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D:\nwrk\15_cng\CA16 - UE-240008 2024 WA GRC\dir\_exh\final\"/>
    </mc:Choice>
  </mc:AlternateContent>
  <xr:revisionPtr revIDLastSave="0" documentId="13_ncr:1_{763C5D54-9F8A-4222-9838-13B8C43247EB}" xr6:coauthVersionLast="47" xr6:coauthVersionMax="47" xr10:uidLastSave="{00000000-0000-0000-0000-000000000000}"/>
  <bookViews>
    <workbookView xWindow="-120" yWindow="-120" windowWidth="29040" windowHeight="15060" tabRatio="896" activeTab="5" xr2:uid="{7D0BD02D-C8F3-425E-87A7-F912FC9B16AC}"/>
  </bookViews>
  <sheets>
    <sheet name="Table 1" sheetId="234" r:id="rId1"/>
    <sheet name="Table 2" sheetId="226" r:id="rId2"/>
    <sheet name="Table 7" sheetId="220" r:id="rId3"/>
    <sheet name="Table 8" sheetId="236" r:id="rId4"/>
    <sheet name="Figure 4" sheetId="237" r:id="rId5"/>
    <sheet name="Exh. BGM-3 (Summary)" sheetId="235" r:id="rId6"/>
    <sheet name="Exh. BGM-3 (Detail)" sheetId="217" r:id="rId7"/>
    <sheet name="Wage Adjustments (AWEC)" sheetId="218" r:id="rId8"/>
    <sheet name="O&amp;M Adj (AWEC)" sheetId="219" r:id="rId9"/>
    <sheet name="D&amp;O Adjustment (AWEC)" sheetId="221" r:id="rId10"/>
    <sheet name="Rate Case Expense Adj (AWEC)" sheetId="222" r:id="rId11"/>
    <sheet name="Provisional Plant Add (AccDepr)" sheetId="233" r:id="rId12"/>
    <sheet name="Provisional Plant Add (RunRate)" sheetId="231" r:id="rId13"/>
    <sheet name="24-25 Plant Additions (RunRate)" sheetId="232" r:id="rId14"/>
    <sheet name="Provisional Plant Add (Discr.)" sheetId="229" r:id="rId15"/>
    <sheet name="24-25 Plant Additions (Descr.)" sheetId="230" r:id="rId16"/>
    <sheet name="Provisional Plant Add (RNG)" sheetId="227" r:id="rId17"/>
    <sheet name="24-25 Plant Additions (RNG)" sheetId="228" r:id="rId18"/>
    <sheet name="Provisional Plant Adds (AWEC1)" sheetId="223" state="hidden" r:id="rId19"/>
    <sheet name="Model as filed-&gt;" sheetId="238" r:id="rId20"/>
    <sheet name="Cover" sheetId="79" r:id="rId21"/>
    <sheet name="Title" sheetId="81" r:id="rId22"/>
    <sheet name="Summary Document" sheetId="212" r:id="rId23"/>
    <sheet name="Summary Document Support" sheetId="213" r:id="rId24"/>
    <sheet name="TY Revenues ---&gt;" sheetId="85" r:id="rId25"/>
    <sheet name="Exh JAD-2, TY Revenues" sheetId="169" r:id="rId26"/>
    <sheet name="Exh. JAD-2 WPs ---&gt;" sheetId="86" r:id="rId27"/>
    <sheet name="Index" sheetId="183" r:id="rId28"/>
    <sheet name="Monthly Billed Revenues" sheetId="174" r:id="rId29"/>
    <sheet name="Customer Counts" sheetId="189" r:id="rId30"/>
    <sheet name="Block Therms Support" sheetId="190" r:id="rId31"/>
    <sheet name="WEAF &amp; Decoupling Rev Adj" sheetId="192" r:id="rId32"/>
    <sheet name="Unbilled Revenue" sheetId="193" r:id="rId33"/>
    <sheet name="Deficiency Billing" sheetId="191" r:id="rId34"/>
    <sheet name="Rev Recon Summary" sheetId="175" r:id="rId35"/>
    <sheet name="EOP Calculations" sheetId="176" r:id="rId36"/>
    <sheet name="663 EOP Contract Demand" sheetId="195" r:id="rId37"/>
    <sheet name="Allocation Report 2023" sheetId="177" r:id="rId38"/>
    <sheet name="Weather Normalization" sheetId="178" r:id="rId39"/>
    <sheet name="Rev Req ---&gt;" sheetId="87" r:id="rId40"/>
    <sheet name="Exh JAD-3 ROO Summary" sheetId="1" r:id="rId41"/>
    <sheet name="Exh JAD-4 MYRP Summary" sheetId="165" r:id="rId42"/>
    <sheet name="Exh JAD-5, Rev Req Calc" sheetId="26" r:id="rId43"/>
    <sheet name="Exh JAD-6, Conversion Factor" sheetId="2" r:id="rId44"/>
    <sheet name="Exh JAD-7, Summary of Adj" sheetId="4" r:id="rId45"/>
    <sheet name="Exh JAD-8, State Allocators" sheetId="60" r:id="rId46"/>
    <sheet name="RR WPs ---&gt;" sheetId="88" r:id="rId47"/>
    <sheet name="JAD WP Index" sheetId="184" r:id="rId48"/>
    <sheet name="Operating Report" sheetId="31" r:id="rId49"/>
    <sheet name="Rate Base" sheetId="32" r:id="rId50"/>
    <sheet name="WACC Calculation" sheetId="3" r:id="rId51"/>
    <sheet name="Suppl Sch Adj" sheetId="181" r:id="rId52"/>
    <sheet name="Normalize Rev Adj" sheetId="70" r:id="rId53"/>
    <sheet name="EOP Rev Adj" sheetId="74" r:id="rId54"/>
    <sheet name="EOP Depn Exp Adj" sheetId="187" r:id="rId55"/>
    <sheet name="Annualized CRM" sheetId="73" r:id="rId56"/>
    <sheet name="Advertising Adj" sheetId="18" r:id="rId57"/>
    <sheet name="Wage Adjustments" sheetId="6" r:id="rId58"/>
    <sheet name="Incentives Adj" sheetId="64" r:id="rId59"/>
    <sheet name="D&amp;O Adjustment" sheetId="163" r:id="rId60"/>
    <sheet name="COVID-19 Offsets" sheetId="199" r:id="rId61"/>
    <sheet name="CCA Deferral" sheetId="201" r:id="rId62"/>
    <sheet name="Commission Fees" sheetId="200" r:id="rId63"/>
    <sheet name="Interest Sync Adj" sheetId="24" r:id="rId64"/>
    <sheet name="MAOP Deferral" sheetId="38" r:id="rId65"/>
    <sheet name="Rate Case Expense Adjustment" sheetId="194" r:id="rId66"/>
    <sheet name="Medical Expense Adjustment" sheetId="207" r:id="rId67"/>
    <sheet name="Property Tax Increase" sheetId="185" r:id="rId68"/>
    <sheet name="Pension Adjustment" sheetId="205" r:id="rId69"/>
    <sheet name="Tax Flow-Through" sheetId="209" r:id="rId70"/>
    <sheet name="O&amp;M Adj" sheetId="160" r:id="rId71"/>
    <sheet name="401K Expense Adjustment" sheetId="208" r:id="rId72"/>
    <sheet name="Decarb Adjustment" sheetId="206" r:id="rId73"/>
    <sheet name="Plt-Accum Depn" sheetId="58" r:id="rId74"/>
    <sheet name="Provisional Plant Additions" sheetId="13" r:id="rId75"/>
    <sheet name="24-25 Plant Additions" sheetId="224" r:id="rId76"/>
    <sheet name="24-25 Cost of Removal" sheetId="210" r:id="rId77"/>
    <sheet name="CAC-Def Tax" sheetId="59" r:id="rId78"/>
    <sheet name="24-25 ADIT" sheetId="204" r:id="rId79"/>
    <sheet name="Working Capital (AMA)" sheetId="62" r:id="rId80"/>
    <sheet name="COS Inputs ---&gt;" sheetId="202" r:id="rId81"/>
    <sheet name="COS Transfer File" sheetId="203" r:id="rId82"/>
    <sheet name="Therms and Customers" sheetId="99" r:id="rId83"/>
    <sheet name="A-RR Cross-Reference " sheetId="214" r:id="rId84"/>
    <sheet name="D-Summary of Adjustments" sheetId="215" r:id="rId85"/>
  </sheets>
  <externalReferences>
    <externalReference r:id="rId86"/>
  </externalReferences>
  <definedNames>
    <definedName name="______Jun09">" BS!$AI$7:$AI$1643"</definedName>
    <definedName name="_____Jun09">" BS!$AI$7:$AI$1643"</definedName>
    <definedName name="____Jun09">" BS!$AI$7:$AI$1643"</definedName>
    <definedName name="___Jun09">" BS!$AI$7:$AI$1643"</definedName>
    <definedName name="__123Graph_A" localSheetId="76" hidden="1">#REF!</definedName>
    <definedName name="__123Graph_A" localSheetId="30" hidden="1">#REF!</definedName>
    <definedName name="__123Graph_A" localSheetId="29" hidden="1">#REF!</definedName>
    <definedName name="__123Graph_A" localSheetId="33" hidden="1">#REF!</definedName>
    <definedName name="__123Graph_A" hidden="1">#REF!</definedName>
    <definedName name="__123Graph_B" localSheetId="76" hidden="1">#REF!</definedName>
    <definedName name="__123Graph_B" localSheetId="30" hidden="1">#REF!</definedName>
    <definedName name="__123Graph_B" localSheetId="29" hidden="1">#REF!</definedName>
    <definedName name="__123Graph_B" localSheetId="33" hidden="1">#REF!</definedName>
    <definedName name="__123Graph_B" hidden="1">#REF!</definedName>
    <definedName name="__123Graph_D" hidden="1">#REF!</definedName>
    <definedName name="__123Graph_E" hidden="1">#REF!</definedName>
    <definedName name="__123Graph_F" hidden="1">#REF!</definedName>
    <definedName name="__IntlFixup" hidden="1">TRUE</definedName>
    <definedName name="__Jun09">" BS!$AI$7:$AI$1643"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localSheetId="76" hidden="1">{"annual",#N/A,FALSE,"Pro Forma";#N/A,#N/A,FALSE,"Golf Operations"}</definedName>
    <definedName name="_cd1" localSheetId="75" hidden="1">{"annual",#N/A,FALSE,"Pro Forma";#N/A,#N/A,FALSE,"Golf Operations"}</definedName>
    <definedName name="_cd1" localSheetId="15" hidden="1">{"annual",#N/A,FALSE,"Pro Forma";#N/A,#N/A,FALSE,"Golf Operations"}</definedName>
    <definedName name="_cd1" localSheetId="17" hidden="1">{"annual",#N/A,FALSE,"Pro Forma";#N/A,#N/A,FALSE,"Golf Operations"}</definedName>
    <definedName name="_cd1" localSheetId="13" hidden="1">{"annual",#N/A,FALSE,"Pro Forma";#N/A,#N/A,FALSE,"Golf Operations"}</definedName>
    <definedName name="_cd1" localSheetId="36" hidden="1">{"annual",#N/A,FALSE,"Pro Forma";#N/A,#N/A,FALSE,"Golf Operations"}</definedName>
    <definedName name="_cd1" localSheetId="30" hidden="1">{"annual",#N/A,FALSE,"Pro Forma";#N/A,#N/A,FALSE,"Golf Operations"}</definedName>
    <definedName name="_cd1" localSheetId="29" hidden="1">{"annual",#N/A,FALSE,"Pro Forma";#N/A,#N/A,FALSE,"Golf Operations"}</definedName>
    <definedName name="_cd1" localSheetId="33" hidden="1">{"annual",#N/A,FALSE,"Pro Forma";#N/A,#N/A,FALSE,"Golf Operations"}</definedName>
    <definedName name="_cd1" localSheetId="28" hidden="1">{"annual",#N/A,FALSE,"Pro Forma";#N/A,#N/A,FALSE,"Golf Operations"}</definedName>
    <definedName name="_cd1" localSheetId="34" hidden="1">{"annual",#N/A,FALSE,"Pro Forma";#N/A,#N/A,FALSE,"Golf Operations"}</definedName>
    <definedName name="_cd1" hidden="1">{"annual",#N/A,FALSE,"Pro Forma";#N/A,#N/A,FALSE,"Golf Operations"}</definedName>
    <definedName name="_Dist_Values" localSheetId="76" hidden="1">#REF!</definedName>
    <definedName name="_Dist_Values" localSheetId="30" hidden="1">#REF!</definedName>
    <definedName name="_Dist_Values" localSheetId="29" hidden="1">#REF!</definedName>
    <definedName name="_Dist_Values" localSheetId="33" hidden="1">#REF!</definedName>
    <definedName name="_Dist_Values" localSheetId="1" hidden="1">#REF!</definedName>
    <definedName name="_Dist_Values" hidden="1">#REF!</definedName>
    <definedName name="_Fill" localSheetId="76" hidden="1">#REF!</definedName>
    <definedName name="_Fill" localSheetId="30" hidden="1">#REF!</definedName>
    <definedName name="_Fill" localSheetId="29" hidden="1">#REF!</definedName>
    <definedName name="_Fill" localSheetId="33" hidden="1">#REF!</definedName>
    <definedName name="_Fill" localSheetId="1" hidden="1">#REF!</definedName>
    <definedName name="_Fill" hidden="1">#REF!</definedName>
    <definedName name="_xlnm._FilterDatabase" localSheetId="76" hidden="1">'24-25 Cost of Removal'!$B$9:$H$11</definedName>
    <definedName name="_xlnm._FilterDatabase" localSheetId="75" hidden="1">'24-25 Plant Additions'!$A$9:$AY$156</definedName>
    <definedName name="_xlnm._FilterDatabase" localSheetId="15" hidden="1">'24-25 Plant Additions (Descr.)'!$A$9:$AY$156</definedName>
    <definedName name="_xlnm._FilterDatabase" localSheetId="17" hidden="1">'24-25 Plant Additions (RNG)'!$A$9:$AY$156</definedName>
    <definedName name="_xlnm._FilterDatabase" localSheetId="13" hidden="1">'24-25 Plant Additions (RunRate)'!$A$9:$AY$156</definedName>
    <definedName name="_xlnm._FilterDatabase" localSheetId="36" hidden="1">'663 EOP Contract Demand'!#REF!</definedName>
    <definedName name="_xlnm._FilterDatabase" localSheetId="30" hidden="1">#REF!</definedName>
    <definedName name="_xlnm._FilterDatabase" localSheetId="29" hidden="1">#REF!</definedName>
    <definedName name="_xlnm._FilterDatabase" localSheetId="33" hidden="1">#REF!</definedName>
    <definedName name="_xlnm._FilterDatabase" localSheetId="25" hidden="1">'Exh JAD-2, TY Revenues'!$A$1:$D$211</definedName>
    <definedName name="_xlnm._FilterDatabase" hidden="1">#REF!</definedName>
    <definedName name="_gr1" localSheetId="76" hidden="1">{"three",#N/A,FALSE,"Capital";"four",#N/A,FALSE,"Capital"}</definedName>
    <definedName name="_gr1" localSheetId="75" hidden="1">{"three",#N/A,FALSE,"Capital";"four",#N/A,FALSE,"Capital"}</definedName>
    <definedName name="_gr1" localSheetId="15" hidden="1">{"three",#N/A,FALSE,"Capital";"four",#N/A,FALSE,"Capital"}</definedName>
    <definedName name="_gr1" localSheetId="17" hidden="1">{"three",#N/A,FALSE,"Capital";"four",#N/A,FALSE,"Capital"}</definedName>
    <definedName name="_gr1" localSheetId="13" hidden="1">{"three",#N/A,FALSE,"Capital";"four",#N/A,FALSE,"Capital"}</definedName>
    <definedName name="_gr1" localSheetId="36" hidden="1">{"three",#N/A,FALSE,"Capital";"four",#N/A,FALSE,"Capital"}</definedName>
    <definedName name="_gr1" localSheetId="30" hidden="1">{"three",#N/A,FALSE,"Capital";"four",#N/A,FALSE,"Capital"}</definedName>
    <definedName name="_gr1" localSheetId="29" hidden="1">{"three",#N/A,FALSE,"Capital";"four",#N/A,FALSE,"Capital"}</definedName>
    <definedName name="_gr1" localSheetId="33" hidden="1">{"three",#N/A,FALSE,"Capital";"four",#N/A,FALSE,"Capital"}</definedName>
    <definedName name="_gr1" localSheetId="28" hidden="1">{"three",#N/A,FALSE,"Capital";"four",#N/A,FALSE,"Capital"}</definedName>
    <definedName name="_gr1" localSheetId="34" hidden="1">{"three",#N/A,FALSE,"Capital";"four",#N/A,FALSE,"Capital"}</definedName>
    <definedName name="_gr1" hidden="1">{"three",#N/A,FALSE,"Capital";"four",#N/A,FALSE,"Capital"}</definedName>
    <definedName name="_j1" localSheetId="76" hidden="1">{"PRINT",#N/A,TRUE,"APPA";"PRINT",#N/A,TRUE,"APS";"PRINT",#N/A,TRUE,"BHPL";"PRINT",#N/A,TRUE,"BHPL2";"PRINT",#N/A,TRUE,"CDWR";"PRINT",#N/A,TRUE,"EWEB";"PRINT",#N/A,TRUE,"LADWP";"PRINT",#N/A,TRUE,"NEVBASE"}</definedName>
    <definedName name="_j1" localSheetId="75"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localSheetId="17"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36" hidden="1">{"PRINT",#N/A,TRUE,"APPA";"PRINT",#N/A,TRUE,"APS";"PRINT",#N/A,TRUE,"BHPL";"PRINT",#N/A,TRUE,"BHPL2";"PRINT",#N/A,TRUE,"CDWR";"PRINT",#N/A,TRUE,"EWEB";"PRINT",#N/A,TRUE,"LADWP";"PRINT",#N/A,TRUE,"NEVBASE"}</definedName>
    <definedName name="_j1" localSheetId="30" hidden="1">{"PRINT",#N/A,TRUE,"APPA";"PRINT",#N/A,TRUE,"APS";"PRINT",#N/A,TRUE,"BHPL";"PRINT",#N/A,TRUE,"BHPL2";"PRINT",#N/A,TRUE,"CDWR";"PRINT",#N/A,TRUE,"EWEB";"PRINT",#N/A,TRUE,"LADWP";"PRINT",#N/A,TRUE,"NEVBASE"}</definedName>
    <definedName name="_j1" localSheetId="29" hidden="1">{"PRINT",#N/A,TRUE,"APPA";"PRINT",#N/A,TRUE,"APS";"PRINT",#N/A,TRUE,"BHPL";"PRINT",#N/A,TRUE,"BHPL2";"PRINT",#N/A,TRUE,"CDWR";"PRINT",#N/A,TRUE,"EWEB";"PRINT",#N/A,TRUE,"LADWP";"PRINT",#N/A,TRUE,"NEVBASE"}</definedName>
    <definedName name="_j1" localSheetId="33"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76" hidden="1">{"PRINT",#N/A,TRUE,"APPA";"PRINT",#N/A,TRUE,"APS";"PRINT",#N/A,TRUE,"BHPL";"PRINT",#N/A,TRUE,"BHPL2";"PRINT",#N/A,TRUE,"CDWR";"PRINT",#N/A,TRUE,"EWEB";"PRINT",#N/A,TRUE,"LADWP";"PRINT",#N/A,TRUE,"NEVBASE"}</definedName>
    <definedName name="_j2" localSheetId="75"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localSheetId="17"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36" hidden="1">{"PRINT",#N/A,TRUE,"APPA";"PRINT",#N/A,TRUE,"APS";"PRINT",#N/A,TRUE,"BHPL";"PRINT",#N/A,TRUE,"BHPL2";"PRINT",#N/A,TRUE,"CDWR";"PRINT",#N/A,TRUE,"EWEB";"PRINT",#N/A,TRUE,"LADWP";"PRINT",#N/A,TRUE,"NEVBASE"}</definedName>
    <definedName name="_j2" localSheetId="30" hidden="1">{"PRINT",#N/A,TRUE,"APPA";"PRINT",#N/A,TRUE,"APS";"PRINT",#N/A,TRUE,"BHPL";"PRINT",#N/A,TRUE,"BHPL2";"PRINT",#N/A,TRUE,"CDWR";"PRINT",#N/A,TRUE,"EWEB";"PRINT",#N/A,TRUE,"LADWP";"PRINT",#N/A,TRUE,"NEVBASE"}</definedName>
    <definedName name="_j2" localSheetId="29" hidden="1">{"PRINT",#N/A,TRUE,"APPA";"PRINT",#N/A,TRUE,"APS";"PRINT",#N/A,TRUE,"BHPL";"PRINT",#N/A,TRUE,"BHPL2";"PRINT",#N/A,TRUE,"CDWR";"PRINT",#N/A,TRUE,"EWEB";"PRINT",#N/A,TRUE,"LADWP";"PRINT",#N/A,TRUE,"NEVBASE"}</definedName>
    <definedName name="_j2" localSheetId="33"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76" hidden="1">{"PRINT",#N/A,TRUE,"APPA";"PRINT",#N/A,TRUE,"APS";"PRINT",#N/A,TRUE,"BHPL";"PRINT",#N/A,TRUE,"BHPL2";"PRINT",#N/A,TRUE,"CDWR";"PRINT",#N/A,TRUE,"EWEB";"PRINT",#N/A,TRUE,"LADWP";"PRINT",#N/A,TRUE,"NEVBASE"}</definedName>
    <definedName name="_j3" localSheetId="75"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localSheetId="17"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36" hidden="1">{"PRINT",#N/A,TRUE,"APPA";"PRINT",#N/A,TRUE,"APS";"PRINT",#N/A,TRUE,"BHPL";"PRINT",#N/A,TRUE,"BHPL2";"PRINT",#N/A,TRUE,"CDWR";"PRINT",#N/A,TRUE,"EWEB";"PRINT",#N/A,TRUE,"LADWP";"PRINT",#N/A,TRUE,"NEVBASE"}</definedName>
    <definedName name="_j3" localSheetId="30" hidden="1">{"PRINT",#N/A,TRUE,"APPA";"PRINT",#N/A,TRUE,"APS";"PRINT",#N/A,TRUE,"BHPL";"PRINT",#N/A,TRUE,"BHPL2";"PRINT",#N/A,TRUE,"CDWR";"PRINT",#N/A,TRUE,"EWEB";"PRINT",#N/A,TRUE,"LADWP";"PRINT",#N/A,TRUE,"NEVBASE"}</definedName>
    <definedName name="_j3" localSheetId="29" hidden="1">{"PRINT",#N/A,TRUE,"APPA";"PRINT",#N/A,TRUE,"APS";"PRINT",#N/A,TRUE,"BHPL";"PRINT",#N/A,TRUE,"BHPL2";"PRINT",#N/A,TRUE,"CDWR";"PRINT",#N/A,TRUE,"EWEB";"PRINT",#N/A,TRUE,"LADWP";"PRINT",#N/A,TRUE,"NEVBASE"}</definedName>
    <definedName name="_j3" localSheetId="33"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76" hidden="1">{"PRINT",#N/A,TRUE,"APPA";"PRINT",#N/A,TRUE,"APS";"PRINT",#N/A,TRUE,"BHPL";"PRINT",#N/A,TRUE,"BHPL2";"PRINT",#N/A,TRUE,"CDWR";"PRINT",#N/A,TRUE,"EWEB";"PRINT",#N/A,TRUE,"LADWP";"PRINT",#N/A,TRUE,"NEVBASE"}</definedName>
    <definedName name="_j4" localSheetId="75"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localSheetId="17"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36" hidden="1">{"PRINT",#N/A,TRUE,"APPA";"PRINT",#N/A,TRUE,"APS";"PRINT",#N/A,TRUE,"BHPL";"PRINT",#N/A,TRUE,"BHPL2";"PRINT",#N/A,TRUE,"CDWR";"PRINT",#N/A,TRUE,"EWEB";"PRINT",#N/A,TRUE,"LADWP";"PRINT",#N/A,TRUE,"NEVBASE"}</definedName>
    <definedName name="_j4" localSheetId="30" hidden="1">{"PRINT",#N/A,TRUE,"APPA";"PRINT",#N/A,TRUE,"APS";"PRINT",#N/A,TRUE,"BHPL";"PRINT",#N/A,TRUE,"BHPL2";"PRINT",#N/A,TRUE,"CDWR";"PRINT",#N/A,TRUE,"EWEB";"PRINT",#N/A,TRUE,"LADWP";"PRINT",#N/A,TRUE,"NEVBASE"}</definedName>
    <definedName name="_j4" localSheetId="29" hidden="1">{"PRINT",#N/A,TRUE,"APPA";"PRINT",#N/A,TRUE,"APS";"PRINT",#N/A,TRUE,"BHPL";"PRINT",#N/A,TRUE,"BHPL2";"PRINT",#N/A,TRUE,"CDWR";"PRINT",#N/A,TRUE,"EWEB";"PRINT",#N/A,TRUE,"LADWP";"PRINT",#N/A,TRUE,"NEVBASE"}</definedName>
    <definedName name="_j4" localSheetId="3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76" hidden="1">{"PRINT",#N/A,TRUE,"APPA";"PRINT",#N/A,TRUE,"APS";"PRINT",#N/A,TRUE,"BHPL";"PRINT",#N/A,TRUE,"BHPL2";"PRINT",#N/A,TRUE,"CDWR";"PRINT",#N/A,TRUE,"EWEB";"PRINT",#N/A,TRUE,"LADWP";"PRINT",#N/A,TRUE,"NEVBASE"}</definedName>
    <definedName name="_j5" localSheetId="75"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localSheetId="17"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36" hidden="1">{"PRINT",#N/A,TRUE,"APPA";"PRINT",#N/A,TRUE,"APS";"PRINT",#N/A,TRUE,"BHPL";"PRINT",#N/A,TRUE,"BHPL2";"PRINT",#N/A,TRUE,"CDWR";"PRINT",#N/A,TRUE,"EWEB";"PRINT",#N/A,TRUE,"LADWP";"PRINT",#N/A,TRUE,"NEVBASE"}</definedName>
    <definedName name="_j5" localSheetId="30" hidden="1">{"PRINT",#N/A,TRUE,"APPA";"PRINT",#N/A,TRUE,"APS";"PRINT",#N/A,TRUE,"BHPL";"PRINT",#N/A,TRUE,"BHPL2";"PRINT",#N/A,TRUE,"CDWR";"PRINT",#N/A,TRUE,"EWEB";"PRINT",#N/A,TRUE,"LADWP";"PRINT",#N/A,TRUE,"NEVBASE"}</definedName>
    <definedName name="_j5" localSheetId="29" hidden="1">{"PRINT",#N/A,TRUE,"APPA";"PRINT",#N/A,TRUE,"APS";"PRINT",#N/A,TRUE,"BHPL";"PRINT",#N/A,TRUE,"BHPL2";"PRINT",#N/A,TRUE,"CDWR";"PRINT",#N/A,TRUE,"EWEB";"PRINT",#N/A,TRUE,"LADWP";"PRINT",#N/A,TRUE,"NEVBASE"}</definedName>
    <definedName name="_j5" localSheetId="33"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hidden="1">#REF!</definedName>
    <definedName name="_Key2" localSheetId="76" hidden="1">#REF!</definedName>
    <definedName name="_Key2" localSheetId="30" hidden="1">#REF!</definedName>
    <definedName name="_Key2" localSheetId="29" hidden="1">#REF!</definedName>
    <definedName name="_Key2" localSheetId="33" hidden="1">#REF!</definedName>
    <definedName name="_Key2" hidden="1">#REF!</definedName>
    <definedName name="_OM1" localSheetId="76" hidden="1">{#N/A,#N/A,FALSE,"Summary";#N/A,#N/A,FALSE,"SmPlants";#N/A,#N/A,FALSE,"Utah";#N/A,#N/A,FALSE,"Idaho";#N/A,#N/A,FALSE,"Lewis River";#N/A,#N/A,FALSE,"NrthUmpq";#N/A,#N/A,FALSE,"KlamRog"}</definedName>
    <definedName name="_OM1" localSheetId="75"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localSheetId="17"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36" hidden="1">{#N/A,#N/A,FALSE,"Summary";#N/A,#N/A,FALSE,"SmPlants";#N/A,#N/A,FALSE,"Utah";#N/A,#N/A,FALSE,"Idaho";#N/A,#N/A,FALSE,"Lewis River";#N/A,#N/A,FALSE,"NrthUmpq";#N/A,#N/A,FALSE,"KlamRog"}</definedName>
    <definedName name="_OM1" localSheetId="30" hidden="1">{#N/A,#N/A,FALSE,"Summary";#N/A,#N/A,FALSE,"SmPlants";#N/A,#N/A,FALSE,"Utah";#N/A,#N/A,FALSE,"Idaho";#N/A,#N/A,FALSE,"Lewis River";#N/A,#N/A,FALSE,"NrthUmpq";#N/A,#N/A,FALSE,"KlamRog"}</definedName>
    <definedName name="_OM1" localSheetId="29" hidden="1">{#N/A,#N/A,FALSE,"Summary";#N/A,#N/A,FALSE,"SmPlants";#N/A,#N/A,FALSE,"Utah";#N/A,#N/A,FALSE,"Idaho";#N/A,#N/A,FALSE,"Lewis River";#N/A,#N/A,FALSE,"NrthUmpq";#N/A,#N/A,FALSE,"KlamRog"}</definedName>
    <definedName name="_OM1" localSheetId="33"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 hidden="1">0</definedName>
    <definedName name="_Order1" hidden="1">255</definedName>
    <definedName name="_Order2" hidden="1">255</definedName>
    <definedName name="_Regression_Int" hidden="1">1</definedName>
    <definedName name="_Regression_Out" localSheetId="76" hidden="1">#REF!</definedName>
    <definedName name="_Regression_Out" localSheetId="30" hidden="1">#REF!</definedName>
    <definedName name="_Regression_Out" localSheetId="29" hidden="1">#REF!</definedName>
    <definedName name="_Regression_Out" localSheetId="33" hidden="1">#REF!</definedName>
    <definedName name="_Regression_Out" localSheetId="1" hidden="1">#REF!</definedName>
    <definedName name="_Regression_Out" hidden="1">#REF!</definedName>
    <definedName name="_Regression_X" localSheetId="76" hidden="1">#REF!</definedName>
    <definedName name="_Regression_X" localSheetId="30" hidden="1">#REF!</definedName>
    <definedName name="_Regression_X" localSheetId="29" hidden="1">#REF!</definedName>
    <definedName name="_Regression_X" localSheetId="33" hidden="1">#REF!</definedName>
    <definedName name="_Regression_X" localSheetId="1" hidden="1">#REF!</definedName>
    <definedName name="_Regression_X" hidden="1">#REF!</definedName>
    <definedName name="_Regression_Y" localSheetId="76" hidden="1">#REF!</definedName>
    <definedName name="_Regression_Y" localSheetId="30" hidden="1">#REF!</definedName>
    <definedName name="_Regression_Y" localSheetId="29" hidden="1">#REF!</definedName>
    <definedName name="_Regression_Y" localSheetId="33" hidden="1">#REF!</definedName>
    <definedName name="_Regression_Y" localSheetId="1" hidden="1">#REF!</definedName>
    <definedName name="_Regression_Y" hidden="1">#REF!</definedName>
    <definedName name="_Sort" localSheetId="76" hidden="1">#REF!</definedName>
    <definedName name="_Sort" localSheetId="30" hidden="1">#REF!</definedName>
    <definedName name="_Sort" localSheetId="29" hidden="1">#REF!</definedName>
    <definedName name="_Sort" localSheetId="33" hidden="1">#REF!</definedName>
    <definedName name="_Sort" hidden="1">#REF!</definedName>
    <definedName name="_Table2_Out" localSheetId="76" hidden="1">#REF!</definedName>
    <definedName name="_Table2_Out" localSheetId="30" hidden="1">#REF!</definedName>
    <definedName name="_Table2_Out" localSheetId="29" hidden="1">#REF!</definedName>
    <definedName name="_Table2_Out" localSheetId="33" hidden="1">#REF!</definedName>
    <definedName name="_Table2_Out" hidden="1">#REF!</definedName>
    <definedName name="_wr1" localSheetId="76" hidden="1">{"Output-3Column",#N/A,FALSE,"Output"}</definedName>
    <definedName name="_wr1" localSheetId="75" hidden="1">{"Output-3Column",#N/A,FALSE,"Output"}</definedName>
    <definedName name="_wr1" localSheetId="15" hidden="1">{"Output-3Column",#N/A,FALSE,"Output"}</definedName>
    <definedName name="_wr1" localSheetId="17" hidden="1">{"Output-3Column",#N/A,FALSE,"Output"}</definedName>
    <definedName name="_wr1" localSheetId="13" hidden="1">{"Output-3Column",#N/A,FALSE,"Output"}</definedName>
    <definedName name="_wr1" localSheetId="36" hidden="1">{"Output-3Column",#N/A,FALSE,"Output"}</definedName>
    <definedName name="_wr1" localSheetId="30" hidden="1">{"Output-3Column",#N/A,FALSE,"Output"}</definedName>
    <definedName name="_wr1" localSheetId="29" hidden="1">{"Output-3Column",#N/A,FALSE,"Output"}</definedName>
    <definedName name="_wr1" localSheetId="33" hidden="1">{"Output-3Column",#N/A,FALSE,"Output"}</definedName>
    <definedName name="_wr1" localSheetId="28" hidden="1">{"Output-3Column",#N/A,FALSE,"Output"}</definedName>
    <definedName name="_wr1" localSheetId="34" hidden="1">{"Output-3Column",#N/A,FALSE,"Output"}</definedName>
    <definedName name="_wr1" hidden="1">{"Output-3Column",#N/A,FALSE,"Output"}</definedName>
    <definedName name="_wrn1" localSheetId="76" hidden="1">{"Inflation-BaseYear",#N/A,FALSE,"Inputs"}</definedName>
    <definedName name="_wrn1" localSheetId="75" hidden="1">{"Inflation-BaseYear",#N/A,FALSE,"Inputs"}</definedName>
    <definedName name="_wrn1" localSheetId="15" hidden="1">{"Inflation-BaseYear",#N/A,FALSE,"Inputs"}</definedName>
    <definedName name="_wrn1" localSheetId="17" hidden="1">{"Inflation-BaseYear",#N/A,FALSE,"Inputs"}</definedName>
    <definedName name="_wrn1" localSheetId="13" hidden="1">{"Inflation-BaseYear",#N/A,FALSE,"Inputs"}</definedName>
    <definedName name="_wrn1" localSheetId="36" hidden="1">{"Inflation-BaseYear",#N/A,FALSE,"Inputs"}</definedName>
    <definedName name="_wrn1" localSheetId="30" hidden="1">{"Inflation-BaseYear",#N/A,FALSE,"Inputs"}</definedName>
    <definedName name="_wrn1" localSheetId="29" hidden="1">{"Inflation-BaseYear",#N/A,FALSE,"Inputs"}</definedName>
    <definedName name="_wrn1" localSheetId="33" hidden="1">{"Inflation-BaseYear",#N/A,FALSE,"Inputs"}</definedName>
    <definedName name="_wrn1" localSheetId="28" hidden="1">{"Inflation-BaseYear",#N/A,FALSE,"Inputs"}</definedName>
    <definedName name="_wrn1" localSheetId="34" hidden="1">{"Inflation-BaseYear",#N/A,FALSE,"Inputs"}</definedName>
    <definedName name="_wrn1" hidden="1">{"Inflation-BaseYear",#N/A,FALSE,"Inputs"}</definedName>
    <definedName name="a" localSheetId="76" hidden="1">{"Print_Detail",#N/A,FALSE,"Redemption_Maturity Extract"}</definedName>
    <definedName name="a" localSheetId="75" hidden="1">{"Print_Detail",#N/A,FALSE,"Redemption_Maturity Extract"}</definedName>
    <definedName name="a" localSheetId="15" hidden="1">{"Print_Detail",#N/A,FALSE,"Redemption_Maturity Extract"}</definedName>
    <definedName name="a" localSheetId="17" hidden="1">{"Print_Detail",#N/A,FALSE,"Redemption_Maturity Extract"}</definedName>
    <definedName name="a" localSheetId="13" hidden="1">{"Print_Detail",#N/A,FALSE,"Redemption_Maturity Extract"}</definedName>
    <definedName name="a" localSheetId="36" hidden="1">{"Print_Detail",#N/A,FALSE,"Redemption_Maturity Extract"}</definedName>
    <definedName name="a" localSheetId="30" hidden="1">{"Print_Detail",#N/A,FALSE,"Redemption_Maturity Extract"}</definedName>
    <definedName name="a" localSheetId="29" hidden="1">{"Print_Detail",#N/A,FALSE,"Redemption_Maturity Extract"}</definedName>
    <definedName name="a" localSheetId="33" hidden="1">{"Print_Detail",#N/A,FALSE,"Redemption_Maturity Extract"}</definedName>
    <definedName name="a" localSheetId="28" hidden="1">{"Print_Detail",#N/A,FALSE,"Redemption_Maturity Extract"}</definedName>
    <definedName name="a" localSheetId="34" hidden="1">{"Print_Detail",#N/A,FALSE,"Redemption_Maturity Extract"}</definedName>
    <definedName name="a" hidden="1">{"Print_Detail",#N/A,FALSE,"Redemption_Maturity Extract"}</definedName>
    <definedName name="Access_Button1" hidden="1">"Headcount_Workbook_Schedules_List"</definedName>
    <definedName name="AccessCode" hidden="1">""""</definedName>
    <definedName name="AccessDatabase" hidden="1">"C:\ncux\bud\rms_inv.mdb"</definedName>
    <definedName name="ACwvu.allocations." localSheetId="76" hidden="1">#REF!</definedName>
    <definedName name="ACwvu.allocations." localSheetId="30" hidden="1">#REF!</definedName>
    <definedName name="ACwvu.allocations." localSheetId="29" hidden="1">#REF!</definedName>
    <definedName name="ACwvu.allocations." localSheetId="33" hidden="1">#REF!</definedName>
    <definedName name="ACwvu.allocations." hidden="1">#REF!</definedName>
    <definedName name="ACwvu.annual._.hotel." hidden="1">#REF!</definedName>
    <definedName name="ACwvu.bottom._.line." hidden="1">#REF!</definedName>
    <definedName name="ACwvu.cash._.flow." localSheetId="76" hidden="1">#REF!</definedName>
    <definedName name="ACwvu.cash._.flow." localSheetId="30" hidden="1">#REF!</definedName>
    <definedName name="ACwvu.cash._.flow." localSheetId="29" hidden="1">#REF!</definedName>
    <definedName name="ACwvu.cash._.flow." localSheetId="33" hidden="1">#REF!</definedName>
    <definedName name="ACwvu.cash._.flow." hidden="1">#REF!</definedName>
    <definedName name="ACwvu.combo." hidden="1">#REF!</definedName>
    <definedName name="ACwvu.full." localSheetId="76" hidden="1">#REF!</definedName>
    <definedName name="ACwvu.full." localSheetId="30" hidden="1">#REF!</definedName>
    <definedName name="ACwvu.full." localSheetId="29" hidden="1">#REF!</definedName>
    <definedName name="ACwvu.full." localSheetId="33" hidden="1">#REF!</definedName>
    <definedName name="ACwvu.full." hidden="1">#REF!</definedName>
    <definedName name="ACwvu.offsite." localSheetId="76" hidden="1">#REF!</definedName>
    <definedName name="ACwvu.offsite." localSheetId="30" hidden="1">#REF!</definedName>
    <definedName name="ACwvu.offsite." localSheetId="29" hidden="1">#REF!</definedName>
    <definedName name="ACwvu.offsite." localSheetId="33" hidden="1">#REF!</definedName>
    <definedName name="ACwvu.offsite." hidden="1">#REF!</definedName>
    <definedName name="ACwvu.onsite." localSheetId="76" hidden="1">#REF!</definedName>
    <definedName name="ACwvu.onsite." localSheetId="30" hidden="1">#REF!</definedName>
    <definedName name="ACwvu.onsite." localSheetId="29" hidden="1">#REF!</definedName>
    <definedName name="ACwvu.onsite." localSheetId="33" hidden="1">#REF!</definedName>
    <definedName name="ACwvu.onsite." hidden="1">#REF!</definedName>
    <definedName name="anscount" hidden="1">2</definedName>
    <definedName name="AS2DocOpenMode">"AS2DocumentEdit"</definedName>
    <definedName name="asa" localSheetId="76" hidden="1">{"Factors Pages 1-2",#N/A,FALSE,"Factors";"Factors Page 3",#N/A,FALSE,"Factors";"Factors Page 4",#N/A,FALSE,"Factors";"Factors Page 5",#N/A,FALSE,"Factors";"Factors Pages 8-27",#N/A,FALSE,"Factors"}</definedName>
    <definedName name="asa" localSheetId="75"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localSheetId="17"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36" hidden="1">{"Factors Pages 1-2",#N/A,FALSE,"Factors";"Factors Page 3",#N/A,FALSE,"Factors";"Factors Page 4",#N/A,FALSE,"Factors";"Factors Page 5",#N/A,FALSE,"Factors";"Factors Pages 8-27",#N/A,FALSE,"Factors"}</definedName>
    <definedName name="asa" localSheetId="30" hidden="1">{"Factors Pages 1-2",#N/A,FALSE,"Factors";"Factors Page 3",#N/A,FALSE,"Factors";"Factors Page 4",#N/A,FALSE,"Factors";"Factors Page 5",#N/A,FALSE,"Factors";"Factors Pages 8-27",#N/A,FALSE,"Factors"}</definedName>
    <definedName name="asa" localSheetId="29" hidden="1">{"Factors Pages 1-2",#N/A,FALSE,"Factors";"Factors Page 3",#N/A,FALSE,"Factors";"Factors Page 4",#N/A,FALSE,"Factors";"Factors Page 5",#N/A,FALSE,"Factors";"Factors Pages 8-27",#N/A,FALSE,"Factors"}</definedName>
    <definedName name="asa" localSheetId="33"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urora_Prices">"Monthly Price Summary'!$C$4:$H$63"</definedName>
    <definedName name="b" localSheetId="76" hidden="1">{"One",#N/A,FALSE,"CClub";"Two",#N/A,FALSE,"CClub";"Three",#N/A,FALSE,"CClub";"Four",#N/A,FALSE,"CClub";"Five",#N/A,FALSE,"CClub"}</definedName>
    <definedName name="b" localSheetId="75" hidden="1">{"One",#N/A,FALSE,"CClub";"Two",#N/A,FALSE,"CClub";"Three",#N/A,FALSE,"CClub";"Four",#N/A,FALSE,"CClub";"Five",#N/A,FALSE,"CClub"}</definedName>
    <definedName name="b" localSheetId="15" hidden="1">{"One",#N/A,FALSE,"CClub";"Two",#N/A,FALSE,"CClub";"Three",#N/A,FALSE,"CClub";"Four",#N/A,FALSE,"CClub";"Five",#N/A,FALSE,"CClub"}</definedName>
    <definedName name="b" localSheetId="17" hidden="1">{"One",#N/A,FALSE,"CClub";"Two",#N/A,FALSE,"CClub";"Three",#N/A,FALSE,"CClub";"Four",#N/A,FALSE,"CClub";"Five",#N/A,FALSE,"CClub"}</definedName>
    <definedName name="b" localSheetId="13" hidden="1">{"One",#N/A,FALSE,"CClub";"Two",#N/A,FALSE,"CClub";"Three",#N/A,FALSE,"CClub";"Four",#N/A,FALSE,"CClub";"Five",#N/A,FALSE,"CClub"}</definedName>
    <definedName name="b" localSheetId="36" hidden="1">{"One",#N/A,FALSE,"CClub";"Two",#N/A,FALSE,"CClub";"Three",#N/A,FALSE,"CClub";"Four",#N/A,FALSE,"CClub";"Five",#N/A,FALSE,"CClub"}</definedName>
    <definedName name="b" localSheetId="30" hidden="1">{"One",#N/A,FALSE,"CClub";"Two",#N/A,FALSE,"CClub";"Three",#N/A,FALSE,"CClub";"Four",#N/A,FALSE,"CClub";"Five",#N/A,FALSE,"CClub"}</definedName>
    <definedName name="b" localSheetId="29" hidden="1">{"One",#N/A,FALSE,"CClub";"Two",#N/A,FALSE,"CClub";"Three",#N/A,FALSE,"CClub";"Four",#N/A,FALSE,"CClub";"Five",#N/A,FALSE,"CClub"}</definedName>
    <definedName name="b" localSheetId="33" hidden="1">{"One",#N/A,FALSE,"CClub";"Two",#N/A,FALSE,"CClub";"Three",#N/A,FALSE,"CClub";"Four",#N/A,FALSE,"CClub";"Five",#N/A,FALSE,"CClub"}</definedName>
    <definedName name="b" localSheetId="28" hidden="1">{"One",#N/A,FALSE,"CClub";"Two",#N/A,FALSE,"CClub";"Three",#N/A,FALSE,"CClub";"Four",#N/A,FALSE,"CClub";"Five",#N/A,FALSE,"CClub"}</definedName>
    <definedName name="b" localSheetId="34" hidden="1">{"One",#N/A,FALSE,"CClub";"Two",#N/A,FALSE,"CClub";"Three",#N/A,FALSE,"CClub";"Four",#N/A,FALSE,"CClub";"Five",#N/A,FALSE,"CClub"}</definedName>
    <definedName name="b" hidden="1">{"One",#N/A,FALSE,"CClub";"Two",#N/A,FALSE,"CClub";"Three",#N/A,FALSE,"CClub";"Four",#N/A,FALSE,"CClub";"Five",#N/A,FALSE,"CClub"}</definedName>
    <definedName name="bi" localSheetId="76" hidden="1">{#N/A,#N/A,FALSE,"BidCo Assumptions";#N/A,#N/A,FALSE,"Credit Stats";#N/A,#N/A,FALSE,"Bidco Summary";#N/A,#N/A,FALSE,"BIDCO Consolidated"}</definedName>
    <definedName name="bi" localSheetId="75" hidden="1">{#N/A,#N/A,FALSE,"BidCo Assumptions";#N/A,#N/A,FALSE,"Credit Stats";#N/A,#N/A,FALSE,"Bidco Summary";#N/A,#N/A,FALSE,"BIDCO Consolidated"}</definedName>
    <definedName name="bi" localSheetId="15" hidden="1">{#N/A,#N/A,FALSE,"BidCo Assumptions";#N/A,#N/A,FALSE,"Credit Stats";#N/A,#N/A,FALSE,"Bidco Summary";#N/A,#N/A,FALSE,"BIDCO Consolidated"}</definedName>
    <definedName name="bi" localSheetId="17" hidden="1">{#N/A,#N/A,FALSE,"BidCo Assumptions";#N/A,#N/A,FALSE,"Credit Stats";#N/A,#N/A,FALSE,"Bidco Summary";#N/A,#N/A,FALSE,"BIDCO Consolidated"}</definedName>
    <definedName name="bi" localSheetId="13" hidden="1">{#N/A,#N/A,FALSE,"BidCo Assumptions";#N/A,#N/A,FALSE,"Credit Stats";#N/A,#N/A,FALSE,"Bidco Summary";#N/A,#N/A,FALSE,"BIDCO Consolidated"}</definedName>
    <definedName name="bi" localSheetId="36" hidden="1">{#N/A,#N/A,FALSE,"BidCo Assumptions";#N/A,#N/A,FALSE,"Credit Stats";#N/A,#N/A,FALSE,"Bidco Summary";#N/A,#N/A,FALSE,"BIDCO Consolidated"}</definedName>
    <definedName name="bi" localSheetId="30" hidden="1">{#N/A,#N/A,FALSE,"BidCo Assumptions";#N/A,#N/A,FALSE,"Credit Stats";#N/A,#N/A,FALSE,"Bidco Summary";#N/A,#N/A,FALSE,"BIDCO Consolidated"}</definedName>
    <definedName name="bi" localSheetId="29" hidden="1">{#N/A,#N/A,FALSE,"BidCo Assumptions";#N/A,#N/A,FALSE,"Credit Stats";#N/A,#N/A,FALSE,"Bidco Summary";#N/A,#N/A,FALSE,"BIDCO Consolidated"}</definedName>
    <definedName name="bi" localSheetId="33" hidden="1">{#N/A,#N/A,FALSE,"BidCo Assumptions";#N/A,#N/A,FALSE,"Credit Stats";#N/A,#N/A,FALSE,"Bidco Summary";#N/A,#N/A,FALSE,"BIDCO Consolidated"}</definedName>
    <definedName name="bi" hidden="1">{#N/A,#N/A,FALSE,"BidCo Assumptions";#N/A,#N/A,FALSE,"Credit Stats";#N/A,#N/A,FALSE,"Bidco Summary";#N/A,#N/A,FALSE,"BIDCO Consolidated"}</definedName>
    <definedName name="BNE_MESSAGES_HIDDEN" localSheetId="76" hidden="1">#REF!</definedName>
    <definedName name="BNE_MESSAGES_HIDDEN" localSheetId="30" hidden="1">#REF!</definedName>
    <definedName name="BNE_MESSAGES_HIDDEN" localSheetId="29" hidden="1">#REF!</definedName>
    <definedName name="BNE_MESSAGES_HIDDEN" localSheetId="33" hidden="1">#REF!</definedName>
    <definedName name="BNE_MESSAGES_HIDDEN" hidden="1">#REF!</definedName>
    <definedName name="Button_1">"TradeSummary_Ken_Finicle_List"</definedName>
    <definedName name="CASE" localSheetId="6">#REF!</definedName>
    <definedName name="CASE" localSheetId="5">#REF!</definedName>
    <definedName name="CASE">#REF!</definedName>
    <definedName name="CASE_E" localSheetId="6">#REF!</definedName>
    <definedName name="CASE_E" localSheetId="5">#REF!</definedName>
    <definedName name="CASE_E">#REF!</definedName>
    <definedName name="CASE_GAS">#REF!</definedName>
    <definedName name="CBWorkbookPriority">-2060790043</definedName>
    <definedName name="cd" localSheetId="76" hidden="1">{"annual",#N/A,FALSE,"Pro Forma";#N/A,#N/A,FALSE,"Golf Operations"}</definedName>
    <definedName name="cd" localSheetId="75" hidden="1">{"annual",#N/A,FALSE,"Pro Forma";#N/A,#N/A,FALSE,"Golf Operations"}</definedName>
    <definedName name="cd" localSheetId="15" hidden="1">{"annual",#N/A,FALSE,"Pro Forma";#N/A,#N/A,FALSE,"Golf Operations"}</definedName>
    <definedName name="cd" localSheetId="17" hidden="1">{"annual",#N/A,FALSE,"Pro Forma";#N/A,#N/A,FALSE,"Golf Operations"}</definedName>
    <definedName name="cd" localSheetId="13" hidden="1">{"annual",#N/A,FALSE,"Pro Forma";#N/A,#N/A,FALSE,"Golf Operations"}</definedName>
    <definedName name="cd" localSheetId="36" hidden="1">{"annual",#N/A,FALSE,"Pro Forma";#N/A,#N/A,FALSE,"Golf Operations"}</definedName>
    <definedName name="cd" localSheetId="30" hidden="1">{"annual",#N/A,FALSE,"Pro Forma";#N/A,#N/A,FALSE,"Golf Operations"}</definedName>
    <definedName name="cd" localSheetId="29" hidden="1">{"annual",#N/A,FALSE,"Pro Forma";#N/A,#N/A,FALSE,"Golf Operations"}</definedName>
    <definedName name="cd" localSheetId="33" hidden="1">{"annual",#N/A,FALSE,"Pro Forma";#N/A,#N/A,FALSE,"Golf Operations"}</definedName>
    <definedName name="cd" localSheetId="28" hidden="1">{"annual",#N/A,FALSE,"Pro Forma";#N/A,#N/A,FALSE,"Golf Operations"}</definedName>
    <definedName name="cd" localSheetId="34" hidden="1">{"annual",#N/A,FALSE,"Pro Forma";#N/A,#N/A,FALSE,"Golf Operations"}</definedName>
    <definedName name="cd" hidden="1">{"annual",#N/A,FALSE,"Pro Forma";#N/A,#N/A,FALSE,"Golf Operations"}</definedName>
    <definedName name="cgf" localSheetId="76" hidden="1">{"PRINT",#N/A,TRUE,"APPA";"PRINT",#N/A,TRUE,"APS";"PRINT",#N/A,TRUE,"BHPL";"PRINT",#N/A,TRUE,"BHPL2";"PRINT",#N/A,TRUE,"CDWR";"PRINT",#N/A,TRUE,"EWEB";"PRINT",#N/A,TRUE,"LADWP";"PRINT",#N/A,TRUE,"NEVBASE"}</definedName>
    <definedName name="cgf" localSheetId="75"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localSheetId="17"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36" hidden="1">{"PRINT",#N/A,TRUE,"APPA";"PRINT",#N/A,TRUE,"APS";"PRINT",#N/A,TRUE,"BHPL";"PRINT",#N/A,TRUE,"BHPL2";"PRINT",#N/A,TRUE,"CDWR";"PRINT",#N/A,TRUE,"EWEB";"PRINT",#N/A,TRUE,"LADWP";"PRINT",#N/A,TRUE,"NEVBASE"}</definedName>
    <definedName name="cgf" localSheetId="30" hidden="1">{"PRINT",#N/A,TRUE,"APPA";"PRINT",#N/A,TRUE,"APS";"PRINT",#N/A,TRUE,"BHPL";"PRINT",#N/A,TRUE,"BHPL2";"PRINT",#N/A,TRUE,"CDWR";"PRINT",#N/A,TRUE,"EWEB";"PRINT",#N/A,TRUE,"LADWP";"PRINT",#N/A,TRUE,"NEVBASE"}</definedName>
    <definedName name="cgf" localSheetId="29" hidden="1">{"PRINT",#N/A,TRUE,"APPA";"PRINT",#N/A,TRUE,"APS";"PRINT",#N/A,TRUE,"BHPL";"PRINT",#N/A,TRUE,"BHPL2";"PRINT",#N/A,TRUE,"CDWR";"PRINT",#N/A,TRUE,"EWEB";"PRINT",#N/A,TRUE,"LADWP";"PRINT",#N/A,TRUE,"NEVBASE"}</definedName>
    <definedName name="cgf" localSheetId="33"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IQWBGuid">"533dd5ee-2992-4878-a6fe-10c93711618f"</definedName>
    <definedName name="combined1" localSheetId="76" hidden="1">{"YTD-Total",#N/A,TRUE,"Provision";"YTD-Utility",#N/A,TRUE,"Prov Utility";"YTD-NonUtility",#N/A,TRUE,"Prov NonUtility"}</definedName>
    <definedName name="combined1" localSheetId="75" hidden="1">{"YTD-Total",#N/A,TRUE,"Provision";"YTD-Utility",#N/A,TRUE,"Prov Utility";"YTD-NonUtility",#N/A,TRUE,"Prov NonUtility"}</definedName>
    <definedName name="combined1" localSheetId="15" hidden="1">{"YTD-Total",#N/A,TRUE,"Provision";"YTD-Utility",#N/A,TRUE,"Prov Utility";"YTD-NonUtility",#N/A,TRUE,"Prov NonUtility"}</definedName>
    <definedName name="combined1" localSheetId="17"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36" hidden="1">{"YTD-Total",#N/A,TRUE,"Provision";"YTD-Utility",#N/A,TRUE,"Prov Utility";"YTD-NonUtility",#N/A,TRUE,"Prov NonUtility"}</definedName>
    <definedName name="combined1" localSheetId="30" hidden="1">{"YTD-Total",#N/A,TRUE,"Provision";"YTD-Utility",#N/A,TRUE,"Prov Utility";"YTD-NonUtility",#N/A,TRUE,"Prov NonUtility"}</definedName>
    <definedName name="combined1" localSheetId="29" hidden="1">{"YTD-Total",#N/A,TRUE,"Provision";"YTD-Utility",#N/A,TRUE,"Prov Utility";"YTD-NonUtility",#N/A,TRUE,"Prov NonUtility"}</definedName>
    <definedName name="combined1" localSheetId="33" hidden="1">{"YTD-Total",#N/A,TRUE,"Provision";"YTD-Utility",#N/A,TRUE,"Prov Utility";"YTD-NonUtility",#N/A,TRUE,"Prov NonUtility"}</definedName>
    <definedName name="combined1" hidden="1">{"YTD-Total",#N/A,TRUE,"Provision";"YTD-Utility",#N/A,TRUE,"Prov Utility";"YTD-NonUtility",#N/A,TRUE,"Prov NonUtility"}</definedName>
    <definedName name="Comp" localSheetId="6">#REF!</definedName>
    <definedName name="Comp" localSheetId="5">#REF!</definedName>
    <definedName name="Comp">#REF!</definedName>
    <definedName name="Comp_E" localSheetId="6">#REF!</definedName>
    <definedName name="Comp_E" localSheetId="5">#REF!</definedName>
    <definedName name="Comp_E">#REF!</definedName>
    <definedName name="Comp_GAS">#REF!</definedName>
    <definedName name="Company" localSheetId="36">#REF!</definedName>
    <definedName name="Company" localSheetId="30">#REF!</definedName>
    <definedName name="Company" localSheetId="29">#REF!</definedName>
    <definedName name="Company" localSheetId="33">#REF!</definedName>
    <definedName name="Company">Title!$A$2</definedName>
    <definedName name="Cost_Debt">#REF!</definedName>
    <definedName name="Cost_equity">#REF!</definedName>
    <definedName name="Cost_pref">#REF!</definedName>
    <definedName name="Cwvu.annual." localSheetId="76" hidden="1">#REF!,#REF!,#REF!,#REF!,#REF!,#REF!,#REF!,#REF!,#REF!,#REF!,#REF!,#REF!,#REF!,#REF!,#REF!,#REF!,#REF!,#REF!,#REF!,#REF!,#REF!,#REF!,#REF!,#REF!</definedName>
    <definedName name="Cwvu.annual." localSheetId="30" hidden="1">#REF!,#REF!,#REF!,#REF!,#REF!,#REF!,#REF!,#REF!,#REF!,#REF!,#REF!,#REF!,#REF!,#REF!,#REF!,#REF!,#REF!,#REF!,#REF!,#REF!,#REF!,#REF!,#REF!,#REF!</definedName>
    <definedName name="Cwvu.annual." localSheetId="29" hidden="1">#REF!,#REF!,#REF!,#REF!,#REF!,#REF!,#REF!,#REF!,#REF!,#REF!,#REF!,#REF!,#REF!,#REF!,#REF!,#REF!,#REF!,#REF!,#REF!,#REF!,#REF!,#REF!,#REF!,#REF!</definedName>
    <definedName name="Cwvu.annual." localSheetId="33" hidden="1">#REF!,#REF!,#REF!,#REF!,#REF!,#REF!,#REF!,#REF!,#REF!,#REF!,#REF!,#REF!,#REF!,#REF!,#REF!,#REF!,#REF!,#REF!,#REF!,#REF!,#REF!,#REF!,#REF!,#REF!</definedName>
    <definedName name="Cwvu.annual." hidden="1">#REF!,#REF!,#REF!,#REF!,#REF!,#REF!,#REF!,#REF!,#REF!,#REF!,#REF!,#REF!,#REF!,#REF!,#REF!,#REF!,#REF!,#REF!,#REF!,#REF!,#REF!,#REF!,#REF!,#REF!</definedName>
    <definedName name="Cwvu.annual._.hotel." localSheetId="76" hidden="1">#REF!,#REF!,#REF!,#REF!,#REF!,#REF!,#REF!,#REF!,#REF!,#REF!,#REF!,#REF!,#REF!,#REF!,#REF!,#REF!,#REF!,#REF!,#REF!</definedName>
    <definedName name="Cwvu.annual._.hotel." localSheetId="30" hidden="1">#REF!,#REF!,#REF!,#REF!,#REF!,#REF!,#REF!,#REF!,#REF!,#REF!,#REF!,#REF!,#REF!,#REF!,#REF!,#REF!,#REF!,#REF!,#REF!</definedName>
    <definedName name="Cwvu.annual._.hotel." localSheetId="29" hidden="1">#REF!,#REF!,#REF!,#REF!,#REF!,#REF!,#REF!,#REF!,#REF!,#REF!,#REF!,#REF!,#REF!,#REF!,#REF!,#REF!,#REF!,#REF!,#REF!</definedName>
    <definedName name="Cwvu.annual._.hotel." localSheetId="33" hidden="1">#REF!,#REF!,#REF!,#REF!,#REF!,#REF!,#REF!,#REF!,#REF!,#REF!,#REF!,#REF!,#REF!,#REF!,#REF!,#REF!,#REF!,#REF!,#REF!</definedName>
    <definedName name="Cwvu.annual._.hotel." hidden="1">#REF!,#REF!,#REF!,#REF!,#REF!,#REF!,#REF!,#REF!,#REF!,#REF!,#REF!,#REF!,#REF!,#REF!,#REF!,#REF!,#REF!,#REF!,#REF!</definedName>
    <definedName name="Cwvu.bottom._.line." localSheetId="76" hidden="1">#REF!,#REF!,#REF!,#REF!,#REF!,#REF!,#REF!,#REF!,#REF!,#REF!,#REF!,#REF!,#REF!,#REF!,#REF!,#REF!,#REF!,#REF!,#REF!,#REF!,#REF!,#REF!</definedName>
    <definedName name="Cwvu.bottom._.line." localSheetId="30" hidden="1">#REF!,#REF!,#REF!,#REF!,#REF!,#REF!,#REF!,#REF!,#REF!,#REF!,#REF!,#REF!,#REF!,#REF!,#REF!,#REF!,#REF!,#REF!,#REF!,#REF!,#REF!,#REF!</definedName>
    <definedName name="Cwvu.bottom._.line." localSheetId="29" hidden="1">#REF!,#REF!,#REF!,#REF!,#REF!,#REF!,#REF!,#REF!,#REF!,#REF!,#REF!,#REF!,#REF!,#REF!,#REF!,#REF!,#REF!,#REF!,#REF!,#REF!,#REF!,#REF!</definedName>
    <definedName name="Cwvu.bottom._.line." localSheetId="33" hidden="1">#REF!,#REF!,#REF!,#REF!,#REF!,#REF!,#REF!,#REF!,#REF!,#REF!,#REF!,#REF!,#REF!,#REF!,#REF!,#REF!,#REF!,#REF!,#REF!,#REF!,#REF!,#REF!</definedName>
    <definedName name="Cwvu.bottom._.line." hidden="1">#REF!,#REF!,#REF!,#REF!,#REF!,#REF!,#REF!,#REF!,#REF!,#REF!,#REF!,#REF!,#REF!,#REF!,#REF!,#REF!,#REF!,#REF!,#REF!,#REF!,#REF!,#REF!</definedName>
    <definedName name="Cwvu.cash._.flow." localSheetId="76" hidden="1">#REF!,#REF!,#REF!,#REF!,#REF!,#REF!,#REF!,#REF!,#REF!,#REF!,#REF!,#REF!,#REF!,#REF!,#REF!,#REF!,#REF!,#REF!,#REF!,#REF!,#REF!,#REF!,#REF!,#REF!,#REF!,#REF!,#REF!,#REF!,#REF!,#REF!,#REF!,#REF!,#REF!,#REF!,#REF!,#REF!,#REF!,#REF!,#REF!,#REF!,#REF!</definedName>
    <definedName name="Cwvu.cash._.flow." localSheetId="30" hidden="1">#REF!,#REF!,#REF!,#REF!,#REF!,#REF!,#REF!,#REF!,#REF!,#REF!,#REF!,#REF!,#REF!,#REF!,#REF!,#REF!,#REF!,#REF!,#REF!,#REF!,#REF!,#REF!,#REF!,#REF!,#REF!,#REF!,#REF!,#REF!,#REF!,#REF!,#REF!,#REF!,#REF!,#REF!,#REF!,#REF!,#REF!,#REF!,#REF!,#REF!,#REF!</definedName>
    <definedName name="Cwvu.cash._.flow." localSheetId="29" hidden="1">#REF!,#REF!,#REF!,#REF!,#REF!,#REF!,#REF!,#REF!,#REF!,#REF!,#REF!,#REF!,#REF!,#REF!,#REF!,#REF!,#REF!,#REF!,#REF!,#REF!,#REF!,#REF!,#REF!,#REF!,#REF!,#REF!,#REF!,#REF!,#REF!,#REF!,#REF!,#REF!,#REF!,#REF!,#REF!,#REF!,#REF!,#REF!,#REF!,#REF!,#REF!</definedName>
    <definedName name="Cwvu.cash._.flow." localSheetId="3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76" hidden="1">#REF!,#REF!,#REF!,#REF!,#REF!,#REF!,#REF!,#REF!,#REF!,#REF!,#REF!,#REF!,#REF!,#REF!,#REF!,#REF!,#REF!,#REF!,#REF!,#REF!,#REF!,#REF!</definedName>
    <definedName name="Cwvu.combo." localSheetId="30" hidden="1">#REF!,#REF!,#REF!,#REF!,#REF!,#REF!,#REF!,#REF!,#REF!,#REF!,#REF!,#REF!,#REF!,#REF!,#REF!,#REF!,#REF!,#REF!,#REF!,#REF!,#REF!,#REF!</definedName>
    <definedName name="Cwvu.combo." localSheetId="29" hidden="1">#REF!,#REF!,#REF!,#REF!,#REF!,#REF!,#REF!,#REF!,#REF!,#REF!,#REF!,#REF!,#REF!,#REF!,#REF!,#REF!,#REF!,#REF!,#REF!,#REF!,#REF!,#REF!</definedName>
    <definedName name="Cwvu.combo." localSheetId="33" hidden="1">#REF!,#REF!,#REF!,#REF!,#REF!,#REF!,#REF!,#REF!,#REF!,#REF!,#REF!,#REF!,#REF!,#REF!,#REF!,#REF!,#REF!,#REF!,#REF!,#REF!,#REF!,#REF!</definedName>
    <definedName name="Cwvu.combo." hidden="1">#REF!,#REF!,#REF!,#REF!,#REF!,#REF!,#REF!,#REF!,#REF!,#REF!,#REF!,#REF!,#REF!,#REF!,#REF!,#REF!,#REF!,#REF!,#REF!,#REF!,#REF!,#REF!</definedName>
    <definedName name="Cwvu.GREY_ALL." localSheetId="76" hidden="1">#REF!</definedName>
    <definedName name="Cwvu.GREY_ALL." localSheetId="30" hidden="1">#REF!</definedName>
    <definedName name="Cwvu.GREY_ALL." localSheetId="29" hidden="1">#REF!</definedName>
    <definedName name="Cwvu.GREY_ALL." localSheetId="33" hidden="1">#REF!</definedName>
    <definedName name="Cwvu.GREY_ALL." hidden="1">#REF!</definedName>
    <definedName name="dd" localSheetId="76" hidden="1">{"Print_Detail",#N/A,FALSE,"Redemption_Maturity Extract"}</definedName>
    <definedName name="dd" localSheetId="75" hidden="1">{"Print_Detail",#N/A,FALSE,"Redemption_Maturity Extract"}</definedName>
    <definedName name="dd" localSheetId="15" hidden="1">{"Print_Detail",#N/A,FALSE,"Redemption_Maturity Extract"}</definedName>
    <definedName name="dd" localSheetId="17" hidden="1">{"Print_Detail",#N/A,FALSE,"Redemption_Maturity Extract"}</definedName>
    <definedName name="dd" localSheetId="13" hidden="1">{"Print_Detail",#N/A,FALSE,"Redemption_Maturity Extract"}</definedName>
    <definedName name="dd" localSheetId="36" hidden="1">{"Print_Detail",#N/A,FALSE,"Redemption_Maturity Extract"}</definedName>
    <definedName name="dd" localSheetId="30" hidden="1">{"Print_Detail",#N/A,FALSE,"Redemption_Maturity Extract"}</definedName>
    <definedName name="dd" localSheetId="29" hidden="1">{"Print_Detail",#N/A,FALSE,"Redemption_Maturity Extract"}</definedName>
    <definedName name="dd" localSheetId="33" hidden="1">{"Print_Detail",#N/A,FALSE,"Redemption_Maturity Extract"}</definedName>
    <definedName name="dd" localSheetId="28" hidden="1">{"Print_Detail",#N/A,FALSE,"Redemption_Maturity Extract"}</definedName>
    <definedName name="dd" localSheetId="34" hidden="1">{"Print_Detail",#N/A,FALSE,"Redemption_Maturity Extract"}</definedName>
    <definedName name="dd" hidden="1">{"Print_Detail",#N/A,FALSE,"Redemption_Maturity Extract"}</definedName>
    <definedName name="ddd" localSheetId="76" hidden="1">{"Full",#N/A,FALSE,"Sec MTN B Summary"}</definedName>
    <definedName name="ddd" localSheetId="75" hidden="1">{"Full",#N/A,FALSE,"Sec MTN B Summary"}</definedName>
    <definedName name="ddd" localSheetId="15" hidden="1">{"Full",#N/A,FALSE,"Sec MTN B Summary"}</definedName>
    <definedName name="ddd" localSheetId="17" hidden="1">{"Full",#N/A,FALSE,"Sec MTN B Summary"}</definedName>
    <definedName name="ddd" localSheetId="13" hidden="1">{"Full",#N/A,FALSE,"Sec MTN B Summary"}</definedName>
    <definedName name="ddd" localSheetId="36" hidden="1">{"Full",#N/A,FALSE,"Sec MTN B Summary"}</definedName>
    <definedName name="ddd" localSheetId="30" hidden="1">{"Full",#N/A,FALSE,"Sec MTN B Summary"}</definedName>
    <definedName name="ddd" localSheetId="29" hidden="1">{"Full",#N/A,FALSE,"Sec MTN B Summary"}</definedName>
    <definedName name="ddd" localSheetId="33" hidden="1">{"Full",#N/A,FALSE,"Sec MTN B Summary"}</definedName>
    <definedName name="ddd" localSheetId="28" hidden="1">{"Full",#N/A,FALSE,"Sec MTN B Summary"}</definedName>
    <definedName name="ddd" localSheetId="34" hidden="1">{"Full",#N/A,FALSE,"Sec MTN B Summary"}</definedName>
    <definedName name="ddd" hidden="1">{"Full",#N/A,FALSE,"Sec MTN B Summary"}</definedName>
    <definedName name="dddd" localSheetId="76" hidden="1">{"RedPrem_InitRed View",#N/A,FALSE,"Sec MTN B Summary"}</definedName>
    <definedName name="dddd" localSheetId="75" hidden="1">{"RedPrem_InitRed View",#N/A,FALSE,"Sec MTN B Summary"}</definedName>
    <definedName name="dddd" localSheetId="15" hidden="1">{"RedPrem_InitRed View",#N/A,FALSE,"Sec MTN B Summary"}</definedName>
    <definedName name="dddd" localSheetId="17" hidden="1">{"RedPrem_InitRed View",#N/A,FALSE,"Sec MTN B Summary"}</definedName>
    <definedName name="dddd" localSheetId="13" hidden="1">{"RedPrem_InitRed View",#N/A,FALSE,"Sec MTN B Summary"}</definedName>
    <definedName name="dddd" localSheetId="36" hidden="1">{"RedPrem_InitRed View",#N/A,FALSE,"Sec MTN B Summary"}</definedName>
    <definedName name="dddd" localSheetId="30" hidden="1">{"RedPrem_InitRed View",#N/A,FALSE,"Sec MTN B Summary"}</definedName>
    <definedName name="dddd" localSheetId="29" hidden="1">{"RedPrem_InitRed View",#N/A,FALSE,"Sec MTN B Summary"}</definedName>
    <definedName name="dddd" localSheetId="33" hidden="1">{"RedPrem_InitRed View",#N/A,FALSE,"Sec MTN B Summary"}</definedName>
    <definedName name="dddd" localSheetId="28" hidden="1">{"RedPrem_InitRed View",#N/A,FALSE,"Sec MTN B Summary"}</definedName>
    <definedName name="dddd" localSheetId="34" hidden="1">{"RedPrem_InitRed View",#N/A,FALSE,"Sec MTN B Summary"}</definedName>
    <definedName name="dddd" hidden="1">{"RedPrem_InitRed View",#N/A,FALSE,"Sec MTN B Summary"}</definedName>
    <definedName name="dddddd" localSheetId="76" hidden="1">{"Pivot1",#N/A,FALSE,"Redemption_Maturity Extract"}</definedName>
    <definedName name="dddddd" localSheetId="75" hidden="1">{"Pivot1",#N/A,FALSE,"Redemption_Maturity Extract"}</definedName>
    <definedName name="dddddd" localSheetId="15" hidden="1">{"Pivot1",#N/A,FALSE,"Redemption_Maturity Extract"}</definedName>
    <definedName name="dddddd" localSheetId="17" hidden="1">{"Pivot1",#N/A,FALSE,"Redemption_Maturity Extract"}</definedName>
    <definedName name="dddddd" localSheetId="13" hidden="1">{"Pivot1",#N/A,FALSE,"Redemption_Maturity Extract"}</definedName>
    <definedName name="dddddd" localSheetId="36" hidden="1">{"Pivot1",#N/A,FALSE,"Redemption_Maturity Extract"}</definedName>
    <definedName name="dddddd" localSheetId="30" hidden="1">{"Pivot1",#N/A,FALSE,"Redemption_Maturity Extract"}</definedName>
    <definedName name="dddddd" localSheetId="29" hidden="1">{"Pivot1",#N/A,FALSE,"Redemption_Maturity Extract"}</definedName>
    <definedName name="dddddd" localSheetId="33" hidden="1">{"Pivot1",#N/A,FALSE,"Redemption_Maturity Extract"}</definedName>
    <definedName name="dddddd" localSheetId="28" hidden="1">{"Pivot1",#N/A,FALSE,"Redemption_Maturity Extract"}</definedName>
    <definedName name="dddddd" localSheetId="34" hidden="1">{"Pivot1",#N/A,FALSE,"Redemption_Maturity Extract"}</definedName>
    <definedName name="dddddd" hidden="1">{"Pivot1",#N/A,FALSE,"Redemption_Maturity Extract"}</definedName>
    <definedName name="dddddddd" localSheetId="76" hidden="1">{"Pivot2",#N/A,FALSE,"Redemption_Maturity Extract"}</definedName>
    <definedName name="dddddddd" localSheetId="75" hidden="1">{"Pivot2",#N/A,FALSE,"Redemption_Maturity Extract"}</definedName>
    <definedName name="dddddddd" localSheetId="15" hidden="1">{"Pivot2",#N/A,FALSE,"Redemption_Maturity Extract"}</definedName>
    <definedName name="dddddddd" localSheetId="17" hidden="1">{"Pivot2",#N/A,FALSE,"Redemption_Maturity Extract"}</definedName>
    <definedName name="dddddddd" localSheetId="13" hidden="1">{"Pivot2",#N/A,FALSE,"Redemption_Maturity Extract"}</definedName>
    <definedName name="dddddddd" localSheetId="36" hidden="1">{"Pivot2",#N/A,FALSE,"Redemption_Maturity Extract"}</definedName>
    <definedName name="dddddddd" localSheetId="30" hidden="1">{"Pivot2",#N/A,FALSE,"Redemption_Maturity Extract"}</definedName>
    <definedName name="dddddddd" localSheetId="29" hidden="1">{"Pivot2",#N/A,FALSE,"Redemption_Maturity Extract"}</definedName>
    <definedName name="dddddddd" localSheetId="33" hidden="1">{"Pivot2",#N/A,FALSE,"Redemption_Maturity Extract"}</definedName>
    <definedName name="dddddddd" localSheetId="28" hidden="1">{"Pivot2",#N/A,FALSE,"Redemption_Maturity Extract"}</definedName>
    <definedName name="dddddddd" localSheetId="34" hidden="1">{"Pivot2",#N/A,FALSE,"Redemption_Maturity Extract"}</definedName>
    <definedName name="dddddddd" hidden="1">{"Pivot2",#N/A,FALSE,"Redemption_Maturity Extract"}</definedName>
    <definedName name="DOCKETNUMBER" localSheetId="6">#REF!</definedName>
    <definedName name="DOCKETNUMBER" localSheetId="5">#REF!</definedName>
    <definedName name="DOCKETNUMBER">#REF!</definedName>
    <definedName name="DOCKETNUMBER_E" localSheetId="6">#REF!</definedName>
    <definedName name="DOCKETNUMBER_E" localSheetId="5">#REF!</definedName>
    <definedName name="DOCKETNUMBER_E">#REF!</definedName>
    <definedName name="DOCKETNUMBER_GAS">#REF!</definedName>
    <definedName name="DUDE" localSheetId="76" hidden="1">#REF!</definedName>
    <definedName name="DUDE" localSheetId="30" hidden="1">#REF!</definedName>
    <definedName name="DUDE" localSheetId="29" hidden="1">#REF!</definedName>
    <definedName name="DUDE" localSheetId="33" hidden="1">#REF!</definedName>
    <definedName name="DUDE" hidden="1">#REF!</definedName>
    <definedName name="enrgy" localSheetId="76" hidden="1">{#N/A,#N/A,FALSE,"Bgt";#N/A,#N/A,FALSE,"Act";#N/A,#N/A,FALSE,"Chrt Data";#N/A,#N/A,FALSE,"Bus Result";#N/A,#N/A,FALSE,"Main Charts";#N/A,#N/A,FALSE,"P&amp;L Ttl";#N/A,#N/A,FALSE,"P&amp;L C_Ttl";#N/A,#N/A,FALSE,"P&amp;L C_Oct";#N/A,#N/A,FALSE,"P&amp;L C_Sep";#N/A,#N/A,FALSE,"1996";#N/A,#N/A,FALSE,"Data"}</definedName>
    <definedName name="enrgy" localSheetId="75"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localSheetId="17"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36" hidden="1">{#N/A,#N/A,FALSE,"Bgt";#N/A,#N/A,FALSE,"Act";#N/A,#N/A,FALSE,"Chrt Data";#N/A,#N/A,FALSE,"Bus Result";#N/A,#N/A,FALSE,"Main Charts";#N/A,#N/A,FALSE,"P&amp;L Ttl";#N/A,#N/A,FALSE,"P&amp;L C_Ttl";#N/A,#N/A,FALSE,"P&amp;L C_Oct";#N/A,#N/A,FALSE,"P&amp;L C_Sep";#N/A,#N/A,FALSE,"1996";#N/A,#N/A,FALSE,"Data"}</definedName>
    <definedName name="enrgy" localSheetId="30" hidden="1">{#N/A,#N/A,FALSE,"Bgt";#N/A,#N/A,FALSE,"Act";#N/A,#N/A,FALSE,"Chrt Data";#N/A,#N/A,FALSE,"Bus Result";#N/A,#N/A,FALSE,"Main Charts";#N/A,#N/A,FALSE,"P&amp;L Ttl";#N/A,#N/A,FALSE,"P&amp;L C_Ttl";#N/A,#N/A,FALSE,"P&amp;L C_Oct";#N/A,#N/A,FALSE,"P&amp;L C_Sep";#N/A,#N/A,FALSE,"1996";#N/A,#N/A,FALSE,"Data"}</definedName>
    <definedName name="enrgy" localSheetId="29" hidden="1">{#N/A,#N/A,FALSE,"Bgt";#N/A,#N/A,FALSE,"Act";#N/A,#N/A,FALSE,"Chrt Data";#N/A,#N/A,FALSE,"Bus Result";#N/A,#N/A,FALSE,"Main Charts";#N/A,#N/A,FALSE,"P&amp;L Ttl";#N/A,#N/A,FALSE,"P&amp;L C_Ttl";#N/A,#N/A,FALSE,"P&amp;L C_Oct";#N/A,#N/A,FALSE,"P&amp;L C_Sep";#N/A,#N/A,FALSE,"1996";#N/A,#N/A,FALSE,"Data"}</definedName>
    <definedName name="enrgy" localSheetId="3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fffff" localSheetId="76" hidden="1">{"ALL",#N/A,FALSE,"A"}</definedName>
    <definedName name="fffff" localSheetId="75" hidden="1">{"ALL",#N/A,FALSE,"A"}</definedName>
    <definedName name="fffff" localSheetId="15" hidden="1">{"ALL",#N/A,FALSE,"A"}</definedName>
    <definedName name="fffff" localSheetId="17" hidden="1">{"ALL",#N/A,FALSE,"A"}</definedName>
    <definedName name="fffff" localSheetId="13" hidden="1">{"ALL",#N/A,FALSE,"A"}</definedName>
    <definedName name="fffff" localSheetId="36" hidden="1">{"ALL",#N/A,FALSE,"A"}</definedName>
    <definedName name="fffff" localSheetId="30" hidden="1">{"ALL",#N/A,FALSE,"A"}</definedName>
    <definedName name="fffff" localSheetId="29" hidden="1">{"ALL",#N/A,FALSE,"A"}</definedName>
    <definedName name="fffff" localSheetId="33" hidden="1">{"ALL",#N/A,FALSE,"A"}</definedName>
    <definedName name="fffff" localSheetId="28" hidden="1">{"ALL",#N/A,FALSE,"A"}</definedName>
    <definedName name="fffff" localSheetId="34" hidden="1">{"ALL",#N/A,FALSE,"A"}</definedName>
    <definedName name="fffff" localSheetId="1" hidden="1">{"ALL",#N/A,FALSE,"A"}</definedName>
    <definedName name="fffff" hidden="1">{"ALL",#N/A,FALSE,"A"}</definedName>
    <definedName name="first_day">#REF!</definedName>
    <definedName name="FIT" localSheetId="6">#REF!</definedName>
    <definedName name="FIT" localSheetId="5">#REF!</definedName>
    <definedName name="FIT">#REF!</definedName>
    <definedName name="FIT_E" localSheetId="6">#REF!</definedName>
    <definedName name="FIT_E" localSheetId="5">#REF!</definedName>
    <definedName name="FIT_E">#REF!</definedName>
    <definedName name="FIT_GAS">#REF!</definedName>
    <definedName name="foo" localSheetId="76" hidden="1">{#N/A,#N/A,FALSE,"Bgt";#N/A,#N/A,FALSE,"Act";#N/A,#N/A,FALSE,"Chrt Data";#N/A,#N/A,FALSE,"Bus Result";#N/A,#N/A,FALSE,"Main Charts";#N/A,#N/A,FALSE,"P&amp;L Ttl";#N/A,#N/A,FALSE,"P&amp;L C_Ttl";#N/A,#N/A,FALSE,"P&amp;L C_Oct";#N/A,#N/A,FALSE,"P&amp;L C_Sep";#N/A,#N/A,FALSE,"1996";#N/A,#N/A,FALSE,"Data"}</definedName>
    <definedName name="foo" localSheetId="75"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localSheetId="17"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36" hidden="1">{#N/A,#N/A,FALSE,"Bgt";#N/A,#N/A,FALSE,"Act";#N/A,#N/A,FALSE,"Chrt Data";#N/A,#N/A,FALSE,"Bus Result";#N/A,#N/A,FALSE,"Main Charts";#N/A,#N/A,FALSE,"P&amp;L Ttl";#N/A,#N/A,FALSE,"P&amp;L C_Ttl";#N/A,#N/A,FALSE,"P&amp;L C_Oct";#N/A,#N/A,FALSE,"P&amp;L C_Sep";#N/A,#N/A,FALSE,"1996";#N/A,#N/A,FALSE,"Data"}</definedName>
    <definedName name="foo" localSheetId="30" hidden="1">{#N/A,#N/A,FALSE,"Bgt";#N/A,#N/A,FALSE,"Act";#N/A,#N/A,FALSE,"Chrt Data";#N/A,#N/A,FALSE,"Bus Result";#N/A,#N/A,FALSE,"Main Charts";#N/A,#N/A,FALSE,"P&amp;L Ttl";#N/A,#N/A,FALSE,"P&amp;L C_Ttl";#N/A,#N/A,FALSE,"P&amp;L C_Oct";#N/A,#N/A,FALSE,"P&amp;L C_Sep";#N/A,#N/A,FALSE,"1996";#N/A,#N/A,FALSE,"Data"}</definedName>
    <definedName name="foo" localSheetId="29" hidden="1">{#N/A,#N/A,FALSE,"Bgt";#N/A,#N/A,FALSE,"Act";#N/A,#N/A,FALSE,"Chrt Data";#N/A,#N/A,FALSE,"Bus Result";#N/A,#N/A,FALSE,"Main Charts";#N/A,#N/A,FALSE,"P&amp;L Ttl";#N/A,#N/A,FALSE,"P&amp;L C_Ttl";#N/A,#N/A,FALSE,"P&amp;L C_Oct";#N/A,#N/A,FALSE,"P&amp;L C_Sep";#N/A,#N/A,FALSE,"1996";#N/A,#N/A,FALSE,"Data"}</definedName>
    <definedName name="foo" localSheetId="3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iend" localSheetId="76" hidden="1">{"PRINT",#N/A,TRUE,"APPA";"PRINT",#N/A,TRUE,"APS";"PRINT",#N/A,TRUE,"BHPL";"PRINT",#N/A,TRUE,"BHPL2";"PRINT",#N/A,TRUE,"CDWR";"PRINT",#N/A,TRUE,"EWEB";"PRINT",#N/A,TRUE,"LADWP";"PRINT",#N/A,TRUE,"NEVBASE"}</definedName>
    <definedName name="friend" localSheetId="75"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localSheetId="17"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36" hidden="1">{"PRINT",#N/A,TRUE,"APPA";"PRINT",#N/A,TRUE,"APS";"PRINT",#N/A,TRUE,"BHPL";"PRINT",#N/A,TRUE,"BHPL2";"PRINT",#N/A,TRUE,"CDWR";"PRINT",#N/A,TRUE,"EWEB";"PRINT",#N/A,TRUE,"LADWP";"PRINT",#N/A,TRUE,"NEVBASE"}</definedName>
    <definedName name="friend" localSheetId="30" hidden="1">{"PRINT",#N/A,TRUE,"APPA";"PRINT",#N/A,TRUE,"APS";"PRINT",#N/A,TRUE,"BHPL";"PRINT",#N/A,TRUE,"BHPL2";"PRINT",#N/A,TRUE,"CDWR";"PRINT",#N/A,TRUE,"EWEB";"PRINT",#N/A,TRUE,"LADWP";"PRINT",#N/A,TRUE,"NEVBASE"}</definedName>
    <definedName name="friend" localSheetId="29" hidden="1">{"PRINT",#N/A,TRUE,"APPA";"PRINT",#N/A,TRUE,"APS";"PRINT",#N/A,TRUE,"BHPL";"PRINT",#N/A,TRUE,"BHPL2";"PRINT",#N/A,TRUE,"CDWR";"PRINT",#N/A,TRUE,"EWEB";"PRINT",#N/A,TRUE,"LADWP";"PRINT",#N/A,TRUE,"NEVBASE"}</definedName>
    <definedName name="friend" localSheetId="33"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76" hidden="1">{"ALL",#N/A,FALSE,"A"}</definedName>
    <definedName name="fsdfsad" localSheetId="75" hidden="1">{"ALL",#N/A,FALSE,"A"}</definedName>
    <definedName name="fsdfsad" localSheetId="15" hidden="1">{"ALL",#N/A,FALSE,"A"}</definedName>
    <definedName name="fsdfsad" localSheetId="17" hidden="1">{"ALL",#N/A,FALSE,"A"}</definedName>
    <definedName name="fsdfsad" localSheetId="13" hidden="1">{"ALL",#N/A,FALSE,"A"}</definedName>
    <definedName name="fsdfsad" localSheetId="36" hidden="1">{"ALL",#N/A,FALSE,"A"}</definedName>
    <definedName name="fsdfsad" localSheetId="30" hidden="1">{"ALL",#N/A,FALSE,"A"}</definedName>
    <definedName name="fsdfsad" localSheetId="29" hidden="1">{"ALL",#N/A,FALSE,"A"}</definedName>
    <definedName name="fsdfsad" localSheetId="33" hidden="1">{"ALL",#N/A,FALSE,"A"}</definedName>
    <definedName name="fsdfsad" localSheetId="28" hidden="1">{"ALL",#N/A,FALSE,"A"}</definedName>
    <definedName name="fsdfsad" localSheetId="34" hidden="1">{"ALL",#N/A,FALSE,"A"}</definedName>
    <definedName name="fsdfsad" localSheetId="1" hidden="1">{"ALL",#N/A,FALSE,"A"}</definedName>
    <definedName name="fsdfsad" hidden="1">{"ALL",#N/A,FALSE,"A"}</definedName>
    <definedName name="gr" localSheetId="76" hidden="1">{"three",#N/A,FALSE,"Capital";"four",#N/A,FALSE,"Capital"}</definedName>
    <definedName name="gr" localSheetId="75" hidden="1">{"three",#N/A,FALSE,"Capital";"four",#N/A,FALSE,"Capital"}</definedName>
    <definedName name="gr" localSheetId="15" hidden="1">{"three",#N/A,FALSE,"Capital";"four",#N/A,FALSE,"Capital"}</definedName>
    <definedName name="gr" localSheetId="17" hidden="1">{"three",#N/A,FALSE,"Capital";"four",#N/A,FALSE,"Capital"}</definedName>
    <definedName name="gr" localSheetId="13" hidden="1">{"three",#N/A,FALSE,"Capital";"four",#N/A,FALSE,"Capital"}</definedName>
    <definedName name="gr" localSheetId="36" hidden="1">{"three",#N/A,FALSE,"Capital";"four",#N/A,FALSE,"Capital"}</definedName>
    <definedName name="gr" localSheetId="30" hidden="1">{"three",#N/A,FALSE,"Capital";"four",#N/A,FALSE,"Capital"}</definedName>
    <definedName name="gr" localSheetId="29" hidden="1">{"three",#N/A,FALSE,"Capital";"four",#N/A,FALSE,"Capital"}</definedName>
    <definedName name="gr" localSheetId="33" hidden="1">{"three",#N/A,FALSE,"Capital";"four",#N/A,FALSE,"Capital"}</definedName>
    <definedName name="gr" localSheetId="28" hidden="1">{"three",#N/A,FALSE,"Capital";"four",#N/A,FALSE,"Capital"}</definedName>
    <definedName name="gr" localSheetId="34" hidden="1">{"three",#N/A,FALSE,"Capital";"four",#N/A,FALSE,"Capital"}</definedName>
    <definedName name="gr" hidden="1">{"three",#N/A,FALSE,"Capital";"four",#N/A,FALSE,"Capital"}</definedName>
    <definedName name="gross_up_factor">#REF!</definedName>
    <definedName name="help" localSheetId="76" hidden="1">{"ALL",#N/A,FALSE,"A"}</definedName>
    <definedName name="help" localSheetId="75" hidden="1">{"ALL",#N/A,FALSE,"A"}</definedName>
    <definedName name="help" localSheetId="15" hidden="1">{"ALL",#N/A,FALSE,"A"}</definedName>
    <definedName name="help" localSheetId="17" hidden="1">{"ALL",#N/A,FALSE,"A"}</definedName>
    <definedName name="help" localSheetId="13" hidden="1">{"ALL",#N/A,FALSE,"A"}</definedName>
    <definedName name="help" localSheetId="36" hidden="1">{"ALL",#N/A,FALSE,"A"}</definedName>
    <definedName name="help" localSheetId="30" hidden="1">{"ALL",#N/A,FALSE,"A"}</definedName>
    <definedName name="help" localSheetId="29" hidden="1">{"ALL",#N/A,FALSE,"A"}</definedName>
    <definedName name="help" localSheetId="33" hidden="1">{"ALL",#N/A,FALSE,"A"}</definedName>
    <definedName name="help" localSheetId="28" hidden="1">{"ALL",#N/A,FALSE,"A"}</definedName>
    <definedName name="help" localSheetId="34" hidden="1">{"ALL",#N/A,FALSE,"A"}</definedName>
    <definedName name="help" localSheetId="1" hidden="1">{"ALL",#N/A,FALSE,"A"}</definedName>
    <definedName name="help" hidden="1">{"ALL",#N/A,FALSE,"A"}</definedName>
    <definedName name="HROptim" localSheetId="76" hidden="1">{#N/A,#N/A,FALSE,"Summary";#N/A,#N/A,FALSE,"SmPlants";#N/A,#N/A,FALSE,"Utah";#N/A,#N/A,FALSE,"Idaho";#N/A,#N/A,FALSE,"Lewis River";#N/A,#N/A,FALSE,"NrthUmpq";#N/A,#N/A,FALSE,"KlamRog"}</definedName>
    <definedName name="HROptim" localSheetId="75"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localSheetId="17"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36" hidden="1">{#N/A,#N/A,FALSE,"Summary";#N/A,#N/A,FALSE,"SmPlants";#N/A,#N/A,FALSE,"Utah";#N/A,#N/A,FALSE,"Idaho";#N/A,#N/A,FALSE,"Lewis River";#N/A,#N/A,FALSE,"NrthUmpq";#N/A,#N/A,FALSE,"KlamRog"}</definedName>
    <definedName name="HROptim" localSheetId="30" hidden="1">{#N/A,#N/A,FALSE,"Summary";#N/A,#N/A,FALSE,"SmPlants";#N/A,#N/A,FALSE,"Utah";#N/A,#N/A,FALSE,"Idaho";#N/A,#N/A,FALSE,"Lewis River";#N/A,#N/A,FALSE,"NrthUmpq";#N/A,#N/A,FALSE,"KlamRog"}</definedName>
    <definedName name="HROptim" localSheetId="29" hidden="1">{#N/A,#N/A,FALSE,"Summary";#N/A,#N/A,FALSE,"SmPlants";#N/A,#N/A,FALSE,"Utah";#N/A,#N/A,FALSE,"Idaho";#N/A,#N/A,FALSE,"Lewis River";#N/A,#N/A,FALSE,"NrthUmpq";#N/A,#N/A,FALSE,"KlamRog"}</definedName>
    <definedName name="HROptim" localSheetId="33"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1252</definedName>
    <definedName name="HTML_Control" localSheetId="75">{"'JAN99'!$A$1:$M$66"}</definedName>
    <definedName name="HTML_Control" localSheetId="15">{"'JAN99'!$A$1:$M$66"}</definedName>
    <definedName name="HTML_Control" localSheetId="17">{"'JAN99'!$A$1:$M$66"}</definedName>
    <definedName name="HTML_Control" localSheetId="13">{"'JAN99'!$A$1:$M$66"}</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ID_Gas" localSheetId="6">#REF!</definedName>
    <definedName name="ID_Gas" localSheetId="5">#REF!</definedName>
    <definedName name="ID_Gas">#REF!</definedName>
    <definedName name="inctaxrate">0.4</definedName>
    <definedName name="inventory" localSheetId="76" hidden="1">{#N/A,#N/A,FALSE,"Summary";#N/A,#N/A,FALSE,"SmPlants";#N/A,#N/A,FALSE,"Utah";#N/A,#N/A,FALSE,"Idaho";#N/A,#N/A,FALSE,"Lewis River";#N/A,#N/A,FALSE,"NrthUmpq";#N/A,#N/A,FALSE,"KlamRog"}</definedName>
    <definedName name="inventory" localSheetId="75"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localSheetId="17"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36" hidden="1">{#N/A,#N/A,FALSE,"Summary";#N/A,#N/A,FALSE,"SmPlants";#N/A,#N/A,FALSE,"Utah";#N/A,#N/A,FALSE,"Idaho";#N/A,#N/A,FALSE,"Lewis River";#N/A,#N/A,FALSE,"NrthUmpq";#N/A,#N/A,FALSE,"KlamRog"}</definedName>
    <definedName name="inventory" localSheetId="30" hidden="1">{#N/A,#N/A,FALSE,"Summary";#N/A,#N/A,FALSE,"SmPlants";#N/A,#N/A,FALSE,"Utah";#N/A,#N/A,FALSE,"Idaho";#N/A,#N/A,FALSE,"Lewis River";#N/A,#N/A,FALSE,"NrthUmpq";#N/A,#N/A,FALSE,"KlamRog"}</definedName>
    <definedName name="inventory" localSheetId="29" hidden="1">{#N/A,#N/A,FALSE,"Summary";#N/A,#N/A,FALSE,"SmPlants";#N/A,#N/A,FALSE,"Utah";#N/A,#N/A,FALSE,"Idaho";#N/A,#N/A,FALSE,"Lewis River";#N/A,#N/A,FALSE,"NrthUmpq";#N/A,#N/A,FALSE,"KlamRog"}</definedName>
    <definedName name="inventory" localSheetId="33"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JIM" localSheetId="76" hidden="1">{#N/A,#N/A,FALSE,"Sheet5"}</definedName>
    <definedName name="JIM" localSheetId="75" hidden="1">{#N/A,#N/A,FALSE,"Sheet5"}</definedName>
    <definedName name="JIM" localSheetId="15" hidden="1">{#N/A,#N/A,FALSE,"Sheet5"}</definedName>
    <definedName name="JIM" localSheetId="17" hidden="1">{#N/A,#N/A,FALSE,"Sheet5"}</definedName>
    <definedName name="JIM" localSheetId="13" hidden="1">{#N/A,#N/A,FALSE,"Sheet5"}</definedName>
    <definedName name="JIM" localSheetId="36" hidden="1">{#N/A,#N/A,FALSE,"Sheet5"}</definedName>
    <definedName name="JIM" localSheetId="30" hidden="1">{#N/A,#N/A,FALSE,"Sheet5"}</definedName>
    <definedName name="JIM" localSheetId="29" hidden="1">{#N/A,#N/A,FALSE,"Sheet5"}</definedName>
    <definedName name="JIM" localSheetId="33" hidden="1">{#N/A,#N/A,FALSE,"Sheet5"}</definedName>
    <definedName name="JIM" localSheetId="28" hidden="1">{#N/A,#N/A,FALSE,"Sheet5"}</definedName>
    <definedName name="JIM" localSheetId="34" hidden="1">{#N/A,#N/A,FALSE,"Sheet5"}</definedName>
    <definedName name="JIM" hidden="1">{#N/A,#N/A,FALSE,"Sheet5"}</definedName>
    <definedName name="June" localSheetId="76" hidden="1">{"three",#N/A,FALSE,"Capital";"four",#N/A,FALSE,"Capital"}</definedName>
    <definedName name="June" localSheetId="75" hidden="1">{"three",#N/A,FALSE,"Capital";"four",#N/A,FALSE,"Capital"}</definedName>
    <definedName name="June" localSheetId="15" hidden="1">{"three",#N/A,FALSE,"Capital";"four",#N/A,FALSE,"Capital"}</definedName>
    <definedName name="June" localSheetId="17" hidden="1">{"three",#N/A,FALSE,"Capital";"four",#N/A,FALSE,"Capital"}</definedName>
    <definedName name="June" localSheetId="13" hidden="1">{"three",#N/A,FALSE,"Capital";"four",#N/A,FALSE,"Capital"}</definedName>
    <definedName name="June" localSheetId="36" hidden="1">{"three",#N/A,FALSE,"Capital";"four",#N/A,FALSE,"Capital"}</definedName>
    <definedName name="June" localSheetId="30" hidden="1">{"three",#N/A,FALSE,"Capital";"four",#N/A,FALSE,"Capital"}</definedName>
    <definedName name="June" localSheetId="29" hidden="1">{"three",#N/A,FALSE,"Capital";"four",#N/A,FALSE,"Capital"}</definedName>
    <definedName name="June" localSheetId="33" hidden="1">{"three",#N/A,FALSE,"Capital";"four",#N/A,FALSE,"Capital"}</definedName>
    <definedName name="June" localSheetId="28" hidden="1">{"three",#N/A,FALSE,"Capital";"four",#N/A,FALSE,"Capital"}</definedName>
    <definedName name="June" localSheetId="34" hidden="1">{"three",#N/A,FALSE,"Capital";"four",#N/A,FALSE,"Capital"}</definedName>
    <definedName name="June" hidden="1">{"three",#N/A,FALSE,"Capital";"four",#N/A,FALSE,"Capital"}</definedName>
    <definedName name="junk" localSheetId="76" hidden="1">{"PRINT",#N/A,TRUE,"APPA";"PRINT",#N/A,TRUE,"APS";"PRINT",#N/A,TRUE,"BHPL";"PRINT",#N/A,TRUE,"BHPL2";"PRINT",#N/A,TRUE,"CDWR";"PRINT",#N/A,TRUE,"EWEB";"PRINT",#N/A,TRUE,"LADWP";"PRINT",#N/A,TRUE,"NEVBASE"}</definedName>
    <definedName name="junk" localSheetId="75"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localSheetId="17"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36" hidden="1">{"PRINT",#N/A,TRUE,"APPA";"PRINT",#N/A,TRUE,"APS";"PRINT",#N/A,TRUE,"BHPL";"PRINT",#N/A,TRUE,"BHPL2";"PRINT",#N/A,TRUE,"CDWR";"PRINT",#N/A,TRUE,"EWEB";"PRINT",#N/A,TRUE,"LADWP";"PRINT",#N/A,TRUE,"NEVBASE"}</definedName>
    <definedName name="junk" localSheetId="30" hidden="1">{"PRINT",#N/A,TRUE,"APPA";"PRINT",#N/A,TRUE,"APS";"PRINT",#N/A,TRUE,"BHPL";"PRINT",#N/A,TRUE,"BHPL2";"PRINT",#N/A,TRUE,"CDWR";"PRINT",#N/A,TRUE,"EWEB";"PRINT",#N/A,TRUE,"LADWP";"PRINT",#N/A,TRUE,"NEVBASE"}</definedName>
    <definedName name="junk" localSheetId="29" hidden="1">{"PRINT",#N/A,TRUE,"APPA";"PRINT",#N/A,TRUE,"APS";"PRINT",#N/A,TRUE,"BHPL";"PRINT",#N/A,TRUE,"BHPL2";"PRINT",#N/A,TRUE,"CDWR";"PRINT",#N/A,TRUE,"EWEB";"PRINT",#N/A,TRUE,"LADWP";"PRINT",#N/A,TRUE,"NEVBASE"}</definedName>
    <definedName name="junk" localSheetId="3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76" hidden="1">{"PRINT",#N/A,TRUE,"APPA";"PRINT",#N/A,TRUE,"APS";"PRINT",#N/A,TRUE,"BHPL";"PRINT",#N/A,TRUE,"BHPL2";"PRINT",#N/A,TRUE,"CDWR";"PRINT",#N/A,TRUE,"EWEB";"PRINT",#N/A,TRUE,"LADWP";"PRINT",#N/A,TRUE,"NEVBASE"}</definedName>
    <definedName name="junk2" localSheetId="75"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localSheetId="17"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36" hidden="1">{"PRINT",#N/A,TRUE,"APPA";"PRINT",#N/A,TRUE,"APS";"PRINT",#N/A,TRUE,"BHPL";"PRINT",#N/A,TRUE,"BHPL2";"PRINT",#N/A,TRUE,"CDWR";"PRINT",#N/A,TRUE,"EWEB";"PRINT",#N/A,TRUE,"LADWP";"PRINT",#N/A,TRUE,"NEVBASE"}</definedName>
    <definedName name="junk2" localSheetId="30" hidden="1">{"PRINT",#N/A,TRUE,"APPA";"PRINT",#N/A,TRUE,"APS";"PRINT",#N/A,TRUE,"BHPL";"PRINT",#N/A,TRUE,"BHPL2";"PRINT",#N/A,TRUE,"CDWR";"PRINT",#N/A,TRUE,"EWEB";"PRINT",#N/A,TRUE,"LADWP";"PRINT",#N/A,TRUE,"NEVBASE"}</definedName>
    <definedName name="junk2" localSheetId="29" hidden="1">{"PRINT",#N/A,TRUE,"APPA";"PRINT",#N/A,TRUE,"APS";"PRINT",#N/A,TRUE,"BHPL";"PRINT",#N/A,TRUE,"BHPL2";"PRINT",#N/A,TRUE,"CDWR";"PRINT",#N/A,TRUE,"EWEB";"PRINT",#N/A,TRUE,"LADWP";"PRINT",#N/A,TRUE,"NEVBASE"}</definedName>
    <definedName name="junk2" localSheetId="3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76" hidden="1">{"PRINT",#N/A,TRUE,"APPA";"PRINT",#N/A,TRUE,"APS";"PRINT",#N/A,TRUE,"BHPL";"PRINT",#N/A,TRUE,"BHPL2";"PRINT",#N/A,TRUE,"CDWR";"PRINT",#N/A,TRUE,"EWEB";"PRINT",#N/A,TRUE,"LADWP";"PRINT",#N/A,TRUE,"NEVBASE"}</definedName>
    <definedName name="junk3" localSheetId="75"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localSheetId="17"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36" hidden="1">{"PRINT",#N/A,TRUE,"APPA";"PRINT",#N/A,TRUE,"APS";"PRINT",#N/A,TRUE,"BHPL";"PRINT",#N/A,TRUE,"BHPL2";"PRINT",#N/A,TRUE,"CDWR";"PRINT",#N/A,TRUE,"EWEB";"PRINT",#N/A,TRUE,"LADWP";"PRINT",#N/A,TRUE,"NEVBASE"}</definedName>
    <definedName name="junk3" localSheetId="30" hidden="1">{"PRINT",#N/A,TRUE,"APPA";"PRINT",#N/A,TRUE,"APS";"PRINT",#N/A,TRUE,"BHPL";"PRINT",#N/A,TRUE,"BHPL2";"PRINT",#N/A,TRUE,"CDWR";"PRINT",#N/A,TRUE,"EWEB";"PRINT",#N/A,TRUE,"LADWP";"PRINT",#N/A,TRUE,"NEVBASE"}</definedName>
    <definedName name="junk3" localSheetId="29" hidden="1">{"PRINT",#N/A,TRUE,"APPA";"PRINT",#N/A,TRUE,"APS";"PRINT",#N/A,TRUE,"BHPL";"PRINT",#N/A,TRUE,"BHPL2";"PRINT",#N/A,TRUE,"CDWR";"PRINT",#N/A,TRUE,"EWEB";"PRINT",#N/A,TRUE,"LADWP";"PRINT",#N/A,TRUE,"NEVBASE"}</definedName>
    <definedName name="junk3" localSheetId="3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76" hidden="1">{"PRINT",#N/A,TRUE,"APPA";"PRINT",#N/A,TRUE,"APS";"PRINT",#N/A,TRUE,"BHPL";"PRINT",#N/A,TRUE,"BHPL2";"PRINT",#N/A,TRUE,"CDWR";"PRINT",#N/A,TRUE,"EWEB";"PRINT",#N/A,TRUE,"LADWP";"PRINT",#N/A,TRUE,"NEVBASE"}</definedName>
    <definedName name="junk4" localSheetId="75"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localSheetId="17"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36" hidden="1">{"PRINT",#N/A,TRUE,"APPA";"PRINT",#N/A,TRUE,"APS";"PRINT",#N/A,TRUE,"BHPL";"PRINT",#N/A,TRUE,"BHPL2";"PRINT",#N/A,TRUE,"CDWR";"PRINT",#N/A,TRUE,"EWEB";"PRINT",#N/A,TRUE,"LADWP";"PRINT",#N/A,TRUE,"NEVBASE"}</definedName>
    <definedName name="junk4" localSheetId="30" hidden="1">{"PRINT",#N/A,TRUE,"APPA";"PRINT",#N/A,TRUE,"APS";"PRINT",#N/A,TRUE,"BHPL";"PRINT",#N/A,TRUE,"BHPL2";"PRINT",#N/A,TRUE,"CDWR";"PRINT",#N/A,TRUE,"EWEB";"PRINT",#N/A,TRUE,"LADWP";"PRINT",#N/A,TRUE,"NEVBASE"}</definedName>
    <definedName name="junk4" localSheetId="29" hidden="1">{"PRINT",#N/A,TRUE,"APPA";"PRINT",#N/A,TRUE,"APS";"PRINT",#N/A,TRUE,"BHPL";"PRINT",#N/A,TRUE,"BHPL2";"PRINT",#N/A,TRUE,"CDWR";"PRINT",#N/A,TRUE,"EWEB";"PRINT",#N/A,TRUE,"LADWP";"PRINT",#N/A,TRUE,"NEVBASE"}</definedName>
    <definedName name="junk4" localSheetId="3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K2_WBEVMODE" hidden="1">0</definedName>
    <definedName name="Keep" localSheetId="76" hidden="1">{"PRINT",#N/A,TRUE,"APPA";"PRINT",#N/A,TRUE,"APS";"PRINT",#N/A,TRUE,"BHPL";"PRINT",#N/A,TRUE,"BHPL2";"PRINT",#N/A,TRUE,"CDWR";"PRINT",#N/A,TRUE,"EWEB";"PRINT",#N/A,TRUE,"LADWP";"PRINT",#N/A,TRUE,"NEVBASE"}</definedName>
    <definedName name="Keep" localSheetId="75"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36" hidden="1">{"PRINT",#N/A,TRUE,"APPA";"PRINT",#N/A,TRUE,"APS";"PRINT",#N/A,TRUE,"BHPL";"PRINT",#N/A,TRUE,"BHPL2";"PRINT",#N/A,TRUE,"CDWR";"PRINT",#N/A,TRUE,"EWEB";"PRINT",#N/A,TRUE,"LADWP";"PRINT",#N/A,TRUE,"NEVBASE"}</definedName>
    <definedName name="Keep" localSheetId="30" hidden="1">{"PRINT",#N/A,TRUE,"APPA";"PRINT",#N/A,TRUE,"APS";"PRINT",#N/A,TRUE,"BHPL";"PRINT",#N/A,TRUE,"BHPL2";"PRINT",#N/A,TRUE,"CDWR";"PRINT",#N/A,TRUE,"EWEB";"PRINT",#N/A,TRUE,"LADWP";"PRINT",#N/A,TRUE,"NEVBASE"}</definedName>
    <definedName name="Keep" localSheetId="29" hidden="1">{"PRINT",#N/A,TRUE,"APPA";"PRINT",#N/A,TRUE,"APS";"PRINT",#N/A,TRUE,"BHPL";"PRINT",#N/A,TRUE,"BHPL2";"PRINT",#N/A,TRUE,"CDWR";"PRINT",#N/A,TRUE,"EWEB";"PRINT",#N/A,TRUE,"LADWP";"PRINT",#N/A,TRUE,"NEVBASE"}</definedName>
    <definedName name="Keep" localSheetId="3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76" hidden="1">{"PRINT",#N/A,TRUE,"APPA";"PRINT",#N/A,TRUE,"APS";"PRINT",#N/A,TRUE,"BHPL";"PRINT",#N/A,TRUE,"BHPL2";"PRINT",#N/A,TRUE,"CDWR";"PRINT",#N/A,TRUE,"EWEB";"PRINT",#N/A,TRUE,"LADWP";"PRINT",#N/A,TRUE,"NEVBASE"}</definedName>
    <definedName name="keep2" localSheetId="75"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36" hidden="1">{"PRINT",#N/A,TRUE,"APPA";"PRINT",#N/A,TRUE,"APS";"PRINT",#N/A,TRUE,"BHPL";"PRINT",#N/A,TRUE,"BHPL2";"PRINT",#N/A,TRUE,"CDWR";"PRINT",#N/A,TRUE,"EWEB";"PRINT",#N/A,TRUE,"LADWP";"PRINT",#N/A,TRUE,"NEVBASE"}</definedName>
    <definedName name="keep2" localSheetId="30" hidden="1">{"PRINT",#N/A,TRUE,"APPA";"PRINT",#N/A,TRUE,"APS";"PRINT",#N/A,TRUE,"BHPL";"PRINT",#N/A,TRUE,"BHPL2";"PRINT",#N/A,TRUE,"CDWR";"PRINT",#N/A,TRUE,"EWEB";"PRINT",#N/A,TRUE,"LADWP";"PRINT",#N/A,TRUE,"NEVBASE"}</definedName>
    <definedName name="keep2" localSheetId="29" hidden="1">{"PRINT",#N/A,TRUE,"APPA";"PRINT",#N/A,TRUE,"APS";"PRINT",#N/A,TRUE,"BHPL";"PRINT",#N/A,TRUE,"BHPL2";"PRINT",#N/A,TRUE,"CDWR";"PRINT",#N/A,TRUE,"EWEB";"PRINT",#N/A,TRUE,"LADWP";"PRINT",#N/A,TRUE,"NEVBASE"}</definedName>
    <definedName name="keep2" localSheetId="3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imcount" hidden="1">3</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aster" localSheetId="76" hidden="1">{#N/A,#N/A,FALSE,"Actual";#N/A,#N/A,FALSE,"Normalized";#N/A,#N/A,FALSE,"Electric Actual";#N/A,#N/A,FALSE,"Electric Normalized"}</definedName>
    <definedName name="Master" localSheetId="75" hidden="1">{#N/A,#N/A,FALSE,"Actual";#N/A,#N/A,FALSE,"Normalized";#N/A,#N/A,FALSE,"Electric Actual";#N/A,#N/A,FALSE,"Electric Normalized"}</definedName>
    <definedName name="Master" localSheetId="15" hidden="1">{#N/A,#N/A,FALSE,"Actual";#N/A,#N/A,FALSE,"Normalized";#N/A,#N/A,FALSE,"Electric Actual";#N/A,#N/A,FALSE,"Electric Normalized"}</definedName>
    <definedName name="Master" localSheetId="17"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36" hidden="1">{#N/A,#N/A,FALSE,"Actual";#N/A,#N/A,FALSE,"Normalized";#N/A,#N/A,FALSE,"Electric Actual";#N/A,#N/A,FALSE,"Electric Normalized"}</definedName>
    <definedName name="Master" localSheetId="30" hidden="1">{#N/A,#N/A,FALSE,"Actual";#N/A,#N/A,FALSE,"Normalized";#N/A,#N/A,FALSE,"Electric Actual";#N/A,#N/A,FALSE,"Electric Normalized"}</definedName>
    <definedName name="Master" localSheetId="29" hidden="1">{#N/A,#N/A,FALSE,"Actual";#N/A,#N/A,FALSE,"Normalized";#N/A,#N/A,FALSE,"Electric Actual";#N/A,#N/A,FALSE,"Electric Normalized"}</definedName>
    <definedName name="Master" localSheetId="33" hidden="1">{#N/A,#N/A,FALSE,"Actual";#N/A,#N/A,FALSE,"Normalized";#N/A,#N/A,FALSE,"Electric Actual";#N/A,#N/A,FALSE,"Electric Normalized"}</definedName>
    <definedName name="Master" hidden="1">{#N/A,#N/A,FALSE,"Actual";#N/A,#N/A,FALSE,"Normalized";#N/A,#N/A,FALSE,"Electric Actual";#N/A,#N/A,FALSE,"Electric Normalized"}</definedName>
    <definedName name="mmm" localSheetId="76" hidden="1">{"PRINT",#N/A,TRUE,"APPA";"PRINT",#N/A,TRUE,"APS";"PRINT",#N/A,TRUE,"BHPL";"PRINT",#N/A,TRUE,"BHPL2";"PRINT",#N/A,TRUE,"CDWR";"PRINT",#N/A,TRUE,"EWEB";"PRINT",#N/A,TRUE,"LADWP";"PRINT",#N/A,TRUE,"NEVBASE"}</definedName>
    <definedName name="mmm" localSheetId="75"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localSheetId="17"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36" hidden="1">{"PRINT",#N/A,TRUE,"APPA";"PRINT",#N/A,TRUE,"APS";"PRINT",#N/A,TRUE,"BHPL";"PRINT",#N/A,TRUE,"BHPL2";"PRINT",#N/A,TRUE,"CDWR";"PRINT",#N/A,TRUE,"EWEB";"PRINT",#N/A,TRUE,"LADWP";"PRINT",#N/A,TRUE,"NEVBASE"}</definedName>
    <definedName name="mmm" localSheetId="30" hidden="1">{"PRINT",#N/A,TRUE,"APPA";"PRINT",#N/A,TRUE,"APS";"PRINT",#N/A,TRUE,"BHPL";"PRINT",#N/A,TRUE,"BHPL2";"PRINT",#N/A,TRUE,"CDWR";"PRINT",#N/A,TRUE,"EWEB";"PRINT",#N/A,TRUE,"LADWP";"PRINT",#N/A,TRUE,"NEVBASE"}</definedName>
    <definedName name="mmm" localSheetId="29" hidden="1">{"PRINT",#N/A,TRUE,"APPA";"PRINT",#N/A,TRUE,"APS";"PRINT",#N/A,TRUE,"BHPL";"PRINT",#N/A,TRUE,"BHPL2";"PRINT",#N/A,TRUE,"CDWR";"PRINT",#N/A,TRUE,"EWEB";"PRINT",#N/A,TRUE,"LADWP";"PRINT",#N/A,TRUE,"NEVBASE"}</definedName>
    <definedName name="mmm" localSheetId="3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NvsASD">"V1999-02-28"</definedName>
    <definedName name="NvsAutoDrillOk">"VN"</definedName>
    <definedName name="NvsElapsedTime">0.00604305555316387</definedName>
    <definedName name="NvsEndTime">36245.5384840278</definedName>
    <definedName name="NvsInstSpec">"%,FPPL_SUPP_RES_CTR,TPPL_RPTD_SRC,NFOSSIL"</definedName>
    <definedName name="NvsLayoutType">"M3"</definedName>
    <definedName name="NvsNplSpec">"%,X,RNF..,CZF.."</definedName>
    <definedName name="NvsPanelEffdt">"V1900-01-01"</definedName>
    <definedName name="NvsPanelSetid">"VSHARE"</definedName>
    <definedName name="NvsReqBU">"V10000"</definedName>
    <definedName name="NvsReqBUOnly">"VN"</definedName>
    <definedName name="NvsTransLed">"VN"</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HSch10YR" localSheetId="76" hidden="1">{#N/A,#N/A,FALSE,"Summary";#N/A,#N/A,FALSE,"SmPlants";#N/A,#N/A,FALSE,"Utah";#N/A,#N/A,FALSE,"Idaho";#N/A,#N/A,FALSE,"Lewis River";#N/A,#N/A,FALSE,"NrthUmpq";#N/A,#N/A,FALSE,"KlamRog"}</definedName>
    <definedName name="OHSch10YR" localSheetId="75"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localSheetId="17"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36" hidden="1">{#N/A,#N/A,FALSE,"Summary";#N/A,#N/A,FALSE,"SmPlants";#N/A,#N/A,FALSE,"Utah";#N/A,#N/A,FALSE,"Idaho";#N/A,#N/A,FALSE,"Lewis River";#N/A,#N/A,FALSE,"NrthUmpq";#N/A,#N/A,FALSE,"KlamRog"}</definedName>
    <definedName name="OHSch10YR" localSheetId="30" hidden="1">{#N/A,#N/A,FALSE,"Summary";#N/A,#N/A,FALSE,"SmPlants";#N/A,#N/A,FALSE,"Utah";#N/A,#N/A,FALSE,"Idaho";#N/A,#N/A,FALSE,"Lewis River";#N/A,#N/A,FALSE,"NrthUmpq";#N/A,#N/A,FALSE,"KlamRog"}</definedName>
    <definedName name="OHSch10YR" localSheetId="29" hidden="1">{#N/A,#N/A,FALSE,"Summary";#N/A,#N/A,FALSE,"SmPlants";#N/A,#N/A,FALSE,"Utah";#N/A,#N/A,FALSE,"Idaho";#N/A,#N/A,FALSE,"Lewis River";#N/A,#N/A,FALSE,"NrthUmpq";#N/A,#N/A,FALSE,"KlamRog"}</definedName>
    <definedName name="OHSch10YR" localSheetId="33"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76" hidden="1">{#N/A,#N/A,FALSE,"Summary";#N/A,#N/A,FALSE,"SmPlants";#N/A,#N/A,FALSE,"Utah";#N/A,#N/A,FALSE,"Idaho";#N/A,#N/A,FALSE,"Lewis River";#N/A,#N/A,FALSE,"NrthUmpq";#N/A,#N/A,FALSE,"KlamRog"}</definedName>
    <definedName name="om" localSheetId="75"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localSheetId="17"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36" hidden="1">{#N/A,#N/A,FALSE,"Summary";#N/A,#N/A,FALSE,"SmPlants";#N/A,#N/A,FALSE,"Utah";#N/A,#N/A,FALSE,"Idaho";#N/A,#N/A,FALSE,"Lewis River";#N/A,#N/A,FALSE,"NrthUmpq";#N/A,#N/A,FALSE,"KlamRog"}</definedName>
    <definedName name="om" localSheetId="30" hidden="1">{#N/A,#N/A,FALSE,"Summary";#N/A,#N/A,FALSE,"SmPlants";#N/A,#N/A,FALSE,"Utah";#N/A,#N/A,FALSE,"Idaho";#N/A,#N/A,FALSE,"Lewis River";#N/A,#N/A,FALSE,"NrthUmpq";#N/A,#N/A,FALSE,"KlamRog"}</definedName>
    <definedName name="om" localSheetId="29" hidden="1">{#N/A,#N/A,FALSE,"Summary";#N/A,#N/A,FALSE,"SmPlants";#N/A,#N/A,FALSE,"Utah";#N/A,#N/A,FALSE,"Idaho";#N/A,#N/A,FALSE,"Lewis River";#N/A,#N/A,FALSE,"NrthUmpq";#N/A,#N/A,FALSE,"KlamRog"}</definedName>
    <definedName name="om" localSheetId="33"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thers" localSheetId="76" hidden="1">{"Factors Pages 1-2",#N/A,FALSE,"Factors";"Factors Page 3",#N/A,FALSE,"Factors";"Factors Page 4",#N/A,FALSE,"Factors";"Factors Page 5",#N/A,FALSE,"Factors";"Factors Pages 8-27",#N/A,FALSE,"Factors"}</definedName>
    <definedName name="others" localSheetId="75"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localSheetId="17"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36" hidden="1">{"Factors Pages 1-2",#N/A,FALSE,"Factors";"Factors Page 3",#N/A,FALSE,"Factors";"Factors Page 4",#N/A,FALSE,"Factors";"Factors Page 5",#N/A,FALSE,"Factors";"Factors Pages 8-27",#N/A,FALSE,"Factors"}</definedName>
    <definedName name="others" localSheetId="30" hidden="1">{"Factors Pages 1-2",#N/A,FALSE,"Factors";"Factors Page 3",#N/A,FALSE,"Factors";"Factors Page 4",#N/A,FALSE,"Factors";"Factors Page 5",#N/A,FALSE,"Factors";"Factors Pages 8-27",#N/A,FALSE,"Factors"}</definedName>
    <definedName name="others" localSheetId="29" hidden="1">{"Factors Pages 1-2",#N/A,FALSE,"Factors";"Factors Page 3",#N/A,FALSE,"Factors";"Factors Page 4",#N/A,FALSE,"Factors";"Factors Page 5",#N/A,FALSE,"Factors";"Factors Pages 8-27",#N/A,FALSE,"Factors"}</definedName>
    <definedName name="others" localSheetId="3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verall_ROR">#REF!</definedName>
    <definedName name="Pal_Workbook_GUID" hidden="1">"VX3CWJGNQX2CCGI81U4N2V76"</definedName>
    <definedName name="Percent_common">#REF!</definedName>
    <definedName name="Percent_debt">#REF!</definedName>
    <definedName name="Percent_pref">#REF!</definedName>
    <definedName name="pete" localSheetId="76" hidden="1">{#N/A,#N/A,FALSE,"Bgt";#N/A,#N/A,FALSE,"Act";#N/A,#N/A,FALSE,"Chrt Data";#N/A,#N/A,FALSE,"Bus Result";#N/A,#N/A,FALSE,"Main Charts";#N/A,#N/A,FALSE,"P&amp;L Ttl";#N/A,#N/A,FALSE,"P&amp;L C_Ttl";#N/A,#N/A,FALSE,"P&amp;L C_Oct";#N/A,#N/A,FALSE,"P&amp;L C_Sep";#N/A,#N/A,FALSE,"1996";#N/A,#N/A,FALSE,"Data"}</definedName>
    <definedName name="pete" localSheetId="75"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localSheetId="17"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36" hidden="1">{#N/A,#N/A,FALSE,"Bgt";#N/A,#N/A,FALSE,"Act";#N/A,#N/A,FALSE,"Chrt Data";#N/A,#N/A,FALSE,"Bus Result";#N/A,#N/A,FALSE,"Main Charts";#N/A,#N/A,FALSE,"P&amp;L Ttl";#N/A,#N/A,FALSE,"P&amp;L C_Ttl";#N/A,#N/A,FALSE,"P&amp;L C_Oct";#N/A,#N/A,FALSE,"P&amp;L C_Sep";#N/A,#N/A,FALSE,"1996";#N/A,#N/A,FALSE,"Data"}</definedName>
    <definedName name="pete" localSheetId="30" hidden="1">{#N/A,#N/A,FALSE,"Bgt";#N/A,#N/A,FALSE,"Act";#N/A,#N/A,FALSE,"Chrt Data";#N/A,#N/A,FALSE,"Bus Result";#N/A,#N/A,FALSE,"Main Charts";#N/A,#N/A,FALSE,"P&amp;L Ttl";#N/A,#N/A,FALSE,"P&amp;L C_Ttl";#N/A,#N/A,FALSE,"P&amp;L C_Oct";#N/A,#N/A,FALSE,"P&amp;L C_Sep";#N/A,#N/A,FALSE,"1996";#N/A,#N/A,FALSE,"Data"}</definedName>
    <definedName name="pete" localSheetId="29" hidden="1">{#N/A,#N/A,FALSE,"Bgt";#N/A,#N/A,FALSE,"Act";#N/A,#N/A,FALSE,"Chrt Data";#N/A,#N/A,FALSE,"Bus Result";#N/A,#N/A,FALSE,"Main Charts";#N/A,#N/A,FALSE,"P&amp;L Ttl";#N/A,#N/A,FALSE,"P&amp;L C_Ttl";#N/A,#N/A,FALSE,"P&amp;L C_Oct";#N/A,#N/A,FALSE,"P&amp;L C_Sep";#N/A,#N/A,FALSE,"1996";#N/A,#N/A,FALSE,"Data"}</definedName>
    <definedName name="pete" localSheetId="3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PPPPPPPPPPPPPPP" localSheetId="76" hidden="1">{#N/A,#N/A,FALSE,"Sheet5"}</definedName>
    <definedName name="PPPPPPPPPPPPPPPP" localSheetId="75" hidden="1">{#N/A,#N/A,FALSE,"Sheet5"}</definedName>
    <definedName name="PPPPPPPPPPPPPPPP" localSheetId="15" hidden="1">{#N/A,#N/A,FALSE,"Sheet5"}</definedName>
    <definedName name="PPPPPPPPPPPPPPPP" localSheetId="17" hidden="1">{#N/A,#N/A,FALSE,"Sheet5"}</definedName>
    <definedName name="PPPPPPPPPPPPPPPP" localSheetId="13" hidden="1">{#N/A,#N/A,FALSE,"Sheet5"}</definedName>
    <definedName name="PPPPPPPPPPPPPPPP" localSheetId="36" hidden="1">{#N/A,#N/A,FALSE,"Sheet5"}</definedName>
    <definedName name="PPPPPPPPPPPPPPPP" localSheetId="30" hidden="1">{#N/A,#N/A,FALSE,"Sheet5"}</definedName>
    <definedName name="PPPPPPPPPPPPPPPP" localSheetId="29" hidden="1">{#N/A,#N/A,FALSE,"Sheet5"}</definedName>
    <definedName name="PPPPPPPPPPPPPPPP" localSheetId="33" hidden="1">{#N/A,#N/A,FALSE,"Sheet5"}</definedName>
    <definedName name="PPPPPPPPPPPPPPPP" localSheetId="28" hidden="1">{#N/A,#N/A,FALSE,"Sheet5"}</definedName>
    <definedName name="PPPPPPPPPPPPPPPP" localSheetId="34" hidden="1">{#N/A,#N/A,FALSE,"Sheet5"}</definedName>
    <definedName name="PPPPPPPPPPPPPPPP" hidden="1">{#N/A,#N/A,FALSE,"Sheet5"}</definedName>
    <definedName name="PricingInfo" localSheetId="76" hidden="1">#REF!</definedName>
    <definedName name="PricingInfo" localSheetId="30" hidden="1">#REF!</definedName>
    <definedName name="PricingInfo" localSheetId="29" hidden="1">#REF!</definedName>
    <definedName name="PricingInfo" localSheetId="33" hidden="1">#REF!</definedName>
    <definedName name="PricingInfo" hidden="1">#REF!</definedName>
    <definedName name="_xlnm.Print_Area" localSheetId="78">'24-25 ADIT'!$A$1:$M$75</definedName>
    <definedName name="_xlnm.Print_Area" localSheetId="75">'24-25 Plant Additions'!$A$1:$M$302</definedName>
    <definedName name="_xlnm.Print_Area" localSheetId="15">'24-25 Plant Additions (Descr.)'!$A$1:$M$302</definedName>
    <definedName name="_xlnm.Print_Area" localSheetId="17">'24-25 Plant Additions (RNG)'!$A$1:$M$302</definedName>
    <definedName name="_xlnm.Print_Area" localSheetId="13">'24-25 Plant Additions (RunRate)'!$A$1:$M$302</definedName>
    <definedName name="_xlnm.Print_Area" localSheetId="56">'Advertising Adj'!$A$1:$F$117</definedName>
    <definedName name="_xlnm.Print_Area" localSheetId="37">'Allocation Report 2023'!$A$1:$P$35</definedName>
    <definedName name="_xlnm.Print_Area" localSheetId="55">'Annualized CRM'!$A$1:$C$21</definedName>
    <definedName name="_xlnm.Print_Area" localSheetId="33">'Deficiency Billing'!$A$1:$M$21</definedName>
    <definedName name="_xlnm.Print_Area" localSheetId="54">'EOP Depn Exp Adj'!$A$1:$J$57</definedName>
    <definedName name="_xlnm.Print_Area" localSheetId="53">'EOP Rev Adj'!$A$1:$C$15</definedName>
    <definedName name="_xlnm.Print_Area" localSheetId="25">'Exh JAD-2, TY Revenues'!$A$1:$X$173</definedName>
    <definedName name="_xlnm.Print_Area" localSheetId="40">'Exh JAD-3 ROO Summary'!$A$1:$I$41</definedName>
    <definedName name="_xlnm.Print_Area" localSheetId="41">'Exh JAD-4 MYRP Summary'!$A$1:$M$42</definedName>
    <definedName name="_xlnm.Print_Area" localSheetId="42">'Exh JAD-5, Rev Req Calc'!$A$1:$G$26</definedName>
    <definedName name="_xlnm.Print_Area" localSheetId="43">'Exh JAD-6, Conversion Factor'!$A$1:$F$33</definedName>
    <definedName name="_xlnm.Print_Area" localSheetId="44">'Exh JAD-7, Summary of Adj'!$A$1:$AN$38</definedName>
    <definedName name="_xlnm.Print_Area" localSheetId="45">'Exh JAD-8, State Allocators'!$A$1:$J$63</definedName>
    <definedName name="_xlnm.Print_Area" localSheetId="6">'Exh. BGM-3 (Detail)'!$A$1:$AF$75</definedName>
    <definedName name="_xlnm.Print_Area" localSheetId="5">'Exh. BGM-3 (Summary)'!$A$1:$AE$62</definedName>
    <definedName name="_xlnm.Print_Area" localSheetId="58">'Incentives Adj'!$A$1:$G$67</definedName>
    <definedName name="_xlnm.Print_Area" localSheetId="27">Index!$A$1:$E$24</definedName>
    <definedName name="_xlnm.Print_Area" localSheetId="64">'MAOP Deferral'!$A$1:$G$20</definedName>
    <definedName name="_xlnm.Print_Area" localSheetId="52">'Normalize Rev Adj'!$A$1:$C$25</definedName>
    <definedName name="_xlnm.Print_Area" localSheetId="70">'O&amp;M Adj'!$A$1:$O$99</definedName>
    <definedName name="_xlnm.Print_Area" localSheetId="8">'O&amp;M Adj (AWEC)'!$A$1:$O$104</definedName>
    <definedName name="_xlnm.Print_Area" localSheetId="68">'Pension Adjustment'!$A$1:$O$37</definedName>
    <definedName name="_xlnm.Print_Area" localSheetId="73">'Plt-Accum Depn'!$A$1:$AE$208</definedName>
    <definedName name="_xlnm.Print_Area" localSheetId="67">'Property Tax Increase'!$A$1:$C$28</definedName>
    <definedName name="_xlnm.Print_Area" localSheetId="11">'Provisional Plant Add (AccDepr)'!$A$1:$C$69,'Provisional Plant Add (AccDepr)'!$A$70:$Z$122</definedName>
    <definedName name="_xlnm.Print_Area" localSheetId="14">'Provisional Plant Add (Discr.)'!$A$1:$C$69,'Provisional Plant Add (Discr.)'!$A$70:$Z$122</definedName>
    <definedName name="_xlnm.Print_Area" localSheetId="16">'Provisional Plant Add (RNG)'!$A$1:$C$69,'Provisional Plant Add (RNG)'!$A$70:$Z$122</definedName>
    <definedName name="_xlnm.Print_Area" localSheetId="12">'Provisional Plant Add (RunRate)'!$A$1:$C$69,'Provisional Plant Add (RunRate)'!$A$70:$Z$122</definedName>
    <definedName name="_xlnm.Print_Area" localSheetId="74">'Provisional Plant Additions'!$A$1:$C$69,'Provisional Plant Additions'!$A$70:$Z$122</definedName>
    <definedName name="_xlnm.Print_Area" localSheetId="18">'Provisional Plant Adds (AWEC1)'!$A$1:$C$69,'Provisional Plant Adds (AWEC1)'!$A$70:$Z$122</definedName>
    <definedName name="_xlnm.Print_Area" localSheetId="49">'Rate Base'!$A$1:$F$17</definedName>
    <definedName name="_xlnm.Print_Area" localSheetId="51">'Suppl Sch Adj'!$A$1:$K$33</definedName>
    <definedName name="_xlnm.Print_Area" localSheetId="82">'Therms and Customers'!$A$1:$K$67</definedName>
    <definedName name="_xlnm.Print_Area" localSheetId="21">Title!$A$2:$H$10</definedName>
    <definedName name="_xlnm.Print_Area" localSheetId="32">'Unbilled Revenue'!$A$1:$Q$56</definedName>
    <definedName name="_xlnm.Print_Area" localSheetId="50">'WACC Calculation'!$A$1:$E$16</definedName>
    <definedName name="_xlnm.Print_Area" localSheetId="57">'Wage Adjustments'!$A$1:$R$91</definedName>
    <definedName name="_xlnm.Print_Area" localSheetId="7">'Wage Adjustments (AWEC)'!$A$1:$R$95</definedName>
    <definedName name="_xlnm.Print_Area" localSheetId="79">'Working Capital (AMA)'!$A$1:$AF$838</definedName>
    <definedName name="Print_for_Checking" localSheetId="6">#REF!:#REF!</definedName>
    <definedName name="Print_for_Checking" localSheetId="5">#REF!:#REF!</definedName>
    <definedName name="Print_for_Checking">#REF!:#REF!</definedName>
    <definedName name="_xlnm.Print_Titles" localSheetId="76">'24-25 Cost of Removal'!$1:$9</definedName>
    <definedName name="_xlnm.Print_Titles" localSheetId="75">'24-25 Plant Additions'!$A:$A,'24-25 Plant Additions'!$1:$9</definedName>
    <definedName name="_xlnm.Print_Titles" localSheetId="15">'24-25 Plant Additions (Descr.)'!$A:$A,'24-25 Plant Additions (Descr.)'!$1:$9</definedName>
    <definedName name="_xlnm.Print_Titles" localSheetId="17">'24-25 Plant Additions (RNG)'!$A:$A,'24-25 Plant Additions (RNG)'!$1:$9</definedName>
    <definedName name="_xlnm.Print_Titles" localSheetId="13">'24-25 Plant Additions (RunRate)'!$A:$A,'24-25 Plant Additions (RunRate)'!$1:$9</definedName>
    <definedName name="_xlnm.Print_Titles" localSheetId="36">'663 EOP Contract Demand'!$1:$9</definedName>
    <definedName name="_xlnm.Print_Titles" localSheetId="56">'Advertising Adj'!$1:$9</definedName>
    <definedName name="_xlnm.Print_Titles" localSheetId="30">'Block Therms Support'!$1:$6</definedName>
    <definedName name="_xlnm.Print_Titles" localSheetId="77">'CAC-Def Tax'!$1:$9</definedName>
    <definedName name="_xlnm.Print_Titles" localSheetId="81">'COS Transfer File'!$1:$9</definedName>
    <definedName name="_xlnm.Print_Titles" localSheetId="35">'EOP Calculations'!$1:$6</definedName>
    <definedName name="_xlnm.Print_Titles" localSheetId="25">'Exh JAD-2, TY Revenues'!$A:$B,'Exh JAD-2, TY Revenues'!$1:$8</definedName>
    <definedName name="_xlnm.Print_Titles" localSheetId="41">'Exh JAD-4 MYRP Summary'!$A:$B</definedName>
    <definedName name="_xlnm.Print_Titles" localSheetId="44">'Exh JAD-7, Summary of Adj'!$A:$B</definedName>
    <definedName name="_xlnm.Print_Titles" localSheetId="45">'Exh JAD-8, State Allocators'!$1:$5</definedName>
    <definedName name="_xlnm.Print_Titles" localSheetId="6">'Exh. BGM-3 (Detail)'!$A:$H,'Exh. BGM-3 (Detail)'!$2:$6</definedName>
    <definedName name="_xlnm.Print_Titles" localSheetId="5">'Exh. BGM-3 (Summary)'!$A:$G,'Exh. BGM-3 (Summary)'!$2:$6</definedName>
    <definedName name="_xlnm.Print_Titles" localSheetId="58">'Incentives Adj'!$1:$9</definedName>
    <definedName name="_xlnm.Print_Titles" localSheetId="28">'Monthly Billed Revenues'!$1:$9</definedName>
    <definedName name="_xlnm.Print_Titles" localSheetId="70">'O&amp;M Adj'!$1:$9</definedName>
    <definedName name="_xlnm.Print_Titles" localSheetId="8">'O&amp;M Adj (AWEC)'!$1:$9</definedName>
    <definedName name="_xlnm.Print_Titles" localSheetId="48">'Operating Report'!$1:$8</definedName>
    <definedName name="_xlnm.Print_Titles" localSheetId="73">'Plt-Accum Depn'!$A:$A,'Plt-Accum Depn'!$1:$9</definedName>
    <definedName name="_xlnm.Print_Titles" localSheetId="34">'Rev Recon Summary'!$1:$10</definedName>
    <definedName name="_xlnm.Print_Titles" localSheetId="51">'Suppl Sch Adj'!$A:$B</definedName>
    <definedName name="_xlnm.Print_Titles" localSheetId="57">'Wage Adjustments'!$1:$7</definedName>
    <definedName name="_xlnm.Print_Titles" localSheetId="7">'Wage Adjustments (AWEC)'!$1:$7</definedName>
    <definedName name="_xlnm.Print_Titles" localSheetId="79">'Working Capital (AMA)'!$1:$13</definedName>
    <definedName name="RateCase">#REF!</definedName>
    <definedName name="Restated_Op_revenue">#REF!</definedName>
    <definedName name="Restated_rate_base">#REF!</definedName>
    <definedName name="Restated_ROE">#REF!</definedName>
    <definedName name="retail" localSheetId="76" hidden="1">{#N/A,#N/A,FALSE,"Loans";#N/A,#N/A,FALSE,"Program Costs";#N/A,#N/A,FALSE,"Measures";#N/A,#N/A,FALSE,"Net Lost Rev";#N/A,#N/A,FALSE,"Incentive"}</definedName>
    <definedName name="retail" localSheetId="75"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36" hidden="1">{#N/A,#N/A,FALSE,"Loans";#N/A,#N/A,FALSE,"Program Costs";#N/A,#N/A,FALSE,"Measures";#N/A,#N/A,FALSE,"Net Lost Rev";#N/A,#N/A,FALSE,"Incentive"}</definedName>
    <definedName name="retail" localSheetId="30" hidden="1">{#N/A,#N/A,FALSE,"Loans";#N/A,#N/A,FALSE,"Program Costs";#N/A,#N/A,FALSE,"Measures";#N/A,#N/A,FALSE,"Net Lost Rev";#N/A,#N/A,FALSE,"Incentive"}</definedName>
    <definedName name="retail" localSheetId="29" hidden="1">{#N/A,#N/A,FALSE,"Loans";#N/A,#N/A,FALSE,"Program Costs";#N/A,#N/A,FALSE,"Measures";#N/A,#N/A,FALSE,"Net Lost Rev";#N/A,#N/A,FALSE,"Incentive"}</definedName>
    <definedName name="retail" localSheetId="3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76" hidden="1">{#N/A,#N/A,FALSE,"Loans";#N/A,#N/A,FALSE,"Program Costs";#N/A,#N/A,FALSE,"Measures";#N/A,#N/A,FALSE,"Net Lost Rev";#N/A,#N/A,FALSE,"Incentive"}</definedName>
    <definedName name="retail_CC" localSheetId="75"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36"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29" hidden="1">{#N/A,#N/A,FALSE,"Loans";#N/A,#N/A,FALSE,"Program Costs";#N/A,#N/A,FALSE,"Measures";#N/A,#N/A,FALSE,"Net Lost Rev";#N/A,#N/A,FALSE,"Incentive"}</definedName>
    <definedName name="retail_CC" localSheetId="3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76" hidden="1">{#N/A,#N/A,FALSE,"Loans";#N/A,#N/A,FALSE,"Program Costs";#N/A,#N/A,FALSE,"Measures";#N/A,#N/A,FALSE,"Net Lost Rev";#N/A,#N/A,FALSE,"Incentive"}</definedName>
    <definedName name="retail_CC1" localSheetId="75"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36"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29" hidden="1">{#N/A,#N/A,FALSE,"Loans";#N/A,#N/A,FALSE,"Program Costs";#N/A,#N/A,FALSE,"Measures";#N/A,#N/A,FALSE,"Net Lost Rev";#N/A,#N/A,FALSE,"Incentive"}</definedName>
    <definedName name="retail_CC1" localSheetId="33" hidden="1">{#N/A,#N/A,FALSE,"Loans";#N/A,#N/A,FALSE,"Program Costs";#N/A,#N/A,FALSE,"Measures";#N/A,#N/A,FALSE,"Net Lost Rev";#N/A,#N/A,FALSE,"Incentive"}</definedName>
    <definedName name="retail_CC1" hidden="1">{#N/A,#N/A,FALSE,"Loans";#N/A,#N/A,FALSE,"Program Costs";#N/A,#N/A,FALSE,"Measures";#N/A,#N/A,FALSE,"Net Lost Rev";#N/A,#N/A,FALSE,"Incentive"}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C_Adjustment_Print" localSheetId="6">#REF!</definedName>
    <definedName name="RRC_Adjustment_Print" localSheetId="5">#REF!</definedName>
    <definedName name="RRC_Rate_Print" localSheetId="6">#REF!</definedName>
    <definedName name="RRC_Rate_Print" localSheetId="5">#REF!</definedName>
    <definedName name="rrr" localSheetId="76" hidden="1">{"PRINT",#N/A,TRUE,"APPA";"PRINT",#N/A,TRUE,"APS";"PRINT",#N/A,TRUE,"BHPL";"PRINT",#N/A,TRUE,"BHPL2";"PRINT",#N/A,TRUE,"CDWR";"PRINT",#N/A,TRUE,"EWEB";"PRINT",#N/A,TRUE,"LADWP";"PRINT",#N/A,TRUE,"NEVBASE"}</definedName>
    <definedName name="rrr" localSheetId="75"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localSheetId="17"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36" hidden="1">{"PRINT",#N/A,TRUE,"APPA";"PRINT",#N/A,TRUE,"APS";"PRINT",#N/A,TRUE,"BHPL";"PRINT",#N/A,TRUE,"BHPL2";"PRINT",#N/A,TRUE,"CDWR";"PRINT",#N/A,TRUE,"EWEB";"PRINT",#N/A,TRUE,"LADWP";"PRINT",#N/A,TRUE,"NEVBASE"}</definedName>
    <definedName name="rrr" localSheetId="30" hidden="1">{"PRINT",#N/A,TRUE,"APPA";"PRINT",#N/A,TRUE,"APS";"PRINT",#N/A,TRUE,"BHPL";"PRINT",#N/A,TRUE,"BHPL2";"PRINT",#N/A,TRUE,"CDWR";"PRINT",#N/A,TRUE,"EWEB";"PRINT",#N/A,TRUE,"LADWP";"PRINT",#N/A,TRUE,"NEVBASE"}</definedName>
    <definedName name="rrr" localSheetId="29" hidden="1">{"PRINT",#N/A,TRUE,"APPA";"PRINT",#N/A,TRUE,"APS";"PRINT",#N/A,TRUE,"BHPL";"PRINT",#N/A,TRUE,"BHPL2";"PRINT",#N/A,TRUE,"CDWR";"PRINT",#N/A,TRUE,"EWEB";"PRINT",#N/A,TRUE,"LADWP";"PRINT",#N/A,TRUE,"NEVBASE"}</definedName>
    <definedName name="rrr" localSheetId="33"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76" hidden="1">#REF!</definedName>
    <definedName name="Rwvu.allocations." localSheetId="30" hidden="1">#REF!</definedName>
    <definedName name="Rwvu.allocations." localSheetId="29" hidden="1">#REF!</definedName>
    <definedName name="Rwvu.allocations." localSheetId="33" hidden="1">#REF!</definedName>
    <definedName name="Rwvu.allocations." hidden="1">#REF!</definedName>
    <definedName name="Rwvu.annual._.hotel." localSheetId="76" hidden="1">#REF!</definedName>
    <definedName name="Rwvu.annual._.hotel." localSheetId="30" hidden="1">#REF!</definedName>
    <definedName name="Rwvu.annual._.hotel." localSheetId="29" hidden="1">#REF!</definedName>
    <definedName name="Rwvu.annual._.hotel." localSheetId="33" hidden="1">#REF!</definedName>
    <definedName name="Rwvu.annual._.hotel." hidden="1">#REF!</definedName>
    <definedName name="Rwvu.bottom._.line." localSheetId="76" hidden="1">#REF!</definedName>
    <definedName name="Rwvu.bottom._.line." localSheetId="30" hidden="1">#REF!</definedName>
    <definedName name="Rwvu.bottom._.line." localSheetId="29" hidden="1">#REF!</definedName>
    <definedName name="Rwvu.bottom._.line." localSheetId="33" hidden="1">#REF!</definedName>
    <definedName name="Rwvu.bottom._.line." hidden="1">#REF!</definedName>
    <definedName name="Rwvu.cash._.flow." localSheetId="76" hidden="1">#REF!</definedName>
    <definedName name="Rwvu.cash._.flow." localSheetId="30" hidden="1">#REF!</definedName>
    <definedName name="Rwvu.cash._.flow." localSheetId="29" hidden="1">#REF!</definedName>
    <definedName name="Rwvu.cash._.flow." localSheetId="33" hidden="1">#REF!</definedName>
    <definedName name="Rwvu.cash._.flow." hidden="1">#REF!</definedName>
    <definedName name="Rwvu.combo." localSheetId="76" hidden="1">#REF!</definedName>
    <definedName name="Rwvu.combo." localSheetId="30" hidden="1">#REF!</definedName>
    <definedName name="Rwvu.combo." localSheetId="29" hidden="1">#REF!</definedName>
    <definedName name="Rwvu.combo." localSheetId="33" hidden="1">#REF!</definedName>
    <definedName name="Rwvu.combo." hidden="1">#REF!</definedName>
    <definedName name="Rwvu.offsite." localSheetId="76" hidden="1">#REF!</definedName>
    <definedName name="Rwvu.offsite." localSheetId="30" hidden="1">#REF!</definedName>
    <definedName name="Rwvu.offsite." localSheetId="29" hidden="1">#REF!</definedName>
    <definedName name="Rwvu.offsite." localSheetId="33" hidden="1">#REF!</definedName>
    <definedName name="Rwvu.offsite." hidden="1">#REF!</definedName>
    <definedName name="Rwvu.onsite." localSheetId="76" hidden="1">#REF!</definedName>
    <definedName name="Rwvu.onsite." localSheetId="30" hidden="1">#REF!</definedName>
    <definedName name="Rwvu.onsite." localSheetId="29" hidden="1">#REF!</definedName>
    <definedName name="Rwvu.onsite." localSheetId="33" hidden="1">#REF!</definedName>
    <definedName name="Rwvu.onsite." hidden="1">#REF!</definedName>
    <definedName name="SAPBEXdnldView">"46HLPWIQ6J3TDMPT5WG7XVEBI"</definedName>
    <definedName name="SAPBEXhrIndnt" hidden="1">"Wide"</definedName>
    <definedName name="SAPBEXrevision" hidden="1">1</definedName>
    <definedName name="SAPBEXsysID" hidden="1">"BWP"</definedName>
    <definedName name="SAPBEXwbID" hidden="1">"45FIHJWMI3GHFVKWLVCY66MTN"</definedName>
    <definedName name="SAPsysID" hidden="1">"708C5W7SBKP804JT78WJ0JNKI"</definedName>
    <definedName name="SAPwbID" hidden="1">"ARS"</definedName>
    <definedName name="shit" localSheetId="76" hidden="1">{"PRINT",#N/A,TRUE,"APPA";"PRINT",#N/A,TRUE,"APS";"PRINT",#N/A,TRUE,"BHPL";"PRINT",#N/A,TRUE,"BHPL2";"PRINT",#N/A,TRUE,"CDWR";"PRINT",#N/A,TRUE,"EWEB";"PRINT",#N/A,TRUE,"LADWP";"PRINT",#N/A,TRUE,"NEVBASE"}</definedName>
    <definedName name="shit" localSheetId="75"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36" hidden="1">{"PRINT",#N/A,TRUE,"APPA";"PRINT",#N/A,TRUE,"APS";"PRINT",#N/A,TRUE,"BHPL";"PRINT",#N/A,TRUE,"BHPL2";"PRINT",#N/A,TRUE,"CDWR";"PRINT",#N/A,TRUE,"EWEB";"PRINT",#N/A,TRUE,"LADWP";"PRINT",#N/A,TRUE,"NEVBASE"}</definedName>
    <definedName name="shit" localSheetId="30" hidden="1">{"PRINT",#N/A,TRUE,"APPA";"PRINT",#N/A,TRUE,"APS";"PRINT",#N/A,TRUE,"BHPL";"PRINT",#N/A,TRUE,"BHPL2";"PRINT",#N/A,TRUE,"CDWR";"PRINT",#N/A,TRUE,"EWEB";"PRINT",#N/A,TRUE,"LADWP";"PRINT",#N/A,TRUE,"NEVBASE"}</definedName>
    <definedName name="shit" localSheetId="29" hidden="1">{"PRINT",#N/A,TRUE,"APPA";"PRINT",#N/A,TRUE,"APS";"PRINT",#N/A,TRUE,"BHPL";"PRINT",#N/A,TRUE,"BHPL2";"PRINT",#N/A,TRUE,"CDWR";"PRINT",#N/A,TRUE,"EWEB";"PRINT",#N/A,TRUE,"LADWP";"PRINT",#N/A,TRUE,"NEVBASE"}</definedName>
    <definedName name="shit" localSheetId="3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28" hidden="1">'Monthly Billed Revenues'!#REF!,'Monthly Billed Revenues'!#REF!</definedName>
    <definedName name="solver_cvg" localSheetId="28" hidden="1">0.0001</definedName>
    <definedName name="solver_drv" localSheetId="28" hidden="1">2</definedName>
    <definedName name="solver_eng" localSheetId="59" hidden="1">1</definedName>
    <definedName name="solver_eng" localSheetId="9" hidden="1">1</definedName>
    <definedName name="solver_eng" localSheetId="28" hidden="1">1</definedName>
    <definedName name="solver_est" localSheetId="28" hidden="1">1</definedName>
    <definedName name="solver_eval">0</definedName>
    <definedName name="solver_itr" localSheetId="28" hidden="1">2147483647</definedName>
    <definedName name="solver_mip" localSheetId="28" hidden="1">2147483647</definedName>
    <definedName name="solver_mni" localSheetId="28" hidden="1">30</definedName>
    <definedName name="solver_mrt" localSheetId="28" hidden="1">0.075</definedName>
    <definedName name="solver_msl" localSheetId="28" hidden="1">2</definedName>
    <definedName name="solver_neg" localSheetId="59" hidden="1">1</definedName>
    <definedName name="solver_neg" localSheetId="9" hidden="1">1</definedName>
    <definedName name="solver_neg" localSheetId="28" hidden="1">1</definedName>
    <definedName name="solver_nod" localSheetId="28" hidden="1">2147483647</definedName>
    <definedName name="solver_ntri">1000</definedName>
    <definedName name="solver_num" localSheetId="59" hidden="1">0</definedName>
    <definedName name="solver_num" localSheetId="9" hidden="1">0</definedName>
    <definedName name="solver_num" localSheetId="28" hidden="1">0</definedName>
    <definedName name="solver_nwt" localSheetId="28" hidden="1">1</definedName>
    <definedName name="solver_opt" localSheetId="59" hidden="1">'D&amp;O Adjustment'!$C$8</definedName>
    <definedName name="solver_opt" localSheetId="9" hidden="1">'D&amp;O Adjustment (AWEC)'!$C$12</definedName>
    <definedName name="solver_opt" localSheetId="28" hidden="1">'Monthly Billed Revenues'!#REF!</definedName>
    <definedName name="solver_pre" localSheetId="28" hidden="1">0.000001</definedName>
    <definedName name="solver_rbv" localSheetId="28" hidden="1">2</definedName>
    <definedName name="solver_rlx" localSheetId="28" hidden="1">2</definedName>
    <definedName name="solver_rsd" localSheetId="28" hidden="1">0</definedName>
    <definedName name="solver_rsmp">1</definedName>
    <definedName name="solver_scl" localSheetId="28" hidden="1">2</definedName>
    <definedName name="solver_seed">0</definedName>
    <definedName name="solver_sho" localSheetId="28" hidden="1">2</definedName>
    <definedName name="solver_ssz" localSheetId="28" hidden="1">100</definedName>
    <definedName name="solver_tim" localSheetId="28" hidden="1">2147483647</definedName>
    <definedName name="solver_tol" localSheetId="28" hidden="1">0.01</definedName>
    <definedName name="solver_typ" localSheetId="59" hidden="1">1</definedName>
    <definedName name="solver_typ" localSheetId="9" hidden="1">1</definedName>
    <definedName name="solver_typ" localSheetId="28" hidden="1">3</definedName>
    <definedName name="solver_val" localSheetId="59" hidden="1">0</definedName>
    <definedName name="solver_val" localSheetId="9" hidden="1">0</definedName>
    <definedName name="solver_val" localSheetId="28" hidden="1">0</definedName>
    <definedName name="solver_ver" localSheetId="59" hidden="1">3</definedName>
    <definedName name="solver_ver" localSheetId="9" hidden="1">3</definedName>
    <definedName name="solver_ver" localSheetId="28" hidden="1">3</definedName>
    <definedName name="spippw" localSheetId="76" hidden="1">{#N/A,#N/A,FALSE,"Actual";#N/A,#N/A,FALSE,"Normalized";#N/A,#N/A,FALSE,"Electric Actual";#N/A,#N/A,FALSE,"Electric Normalized"}</definedName>
    <definedName name="spippw" localSheetId="75" hidden="1">{#N/A,#N/A,FALSE,"Actual";#N/A,#N/A,FALSE,"Normalized";#N/A,#N/A,FALSE,"Electric Actual";#N/A,#N/A,FALSE,"Electric Normalized"}</definedName>
    <definedName name="spippw" localSheetId="15" hidden="1">{#N/A,#N/A,FALSE,"Actual";#N/A,#N/A,FALSE,"Normalized";#N/A,#N/A,FALSE,"Electric Actual";#N/A,#N/A,FALSE,"Electric Normalized"}</definedName>
    <definedName name="spippw" localSheetId="17"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36" hidden="1">{#N/A,#N/A,FALSE,"Actual";#N/A,#N/A,FALSE,"Normalized";#N/A,#N/A,FALSE,"Electric Actual";#N/A,#N/A,FALSE,"Electric Normalized"}</definedName>
    <definedName name="spippw" localSheetId="30" hidden="1">{#N/A,#N/A,FALSE,"Actual";#N/A,#N/A,FALSE,"Normalized";#N/A,#N/A,FALSE,"Electric Actual";#N/A,#N/A,FALSE,"Electric Normalized"}</definedName>
    <definedName name="spippw" localSheetId="29" hidden="1">{#N/A,#N/A,FALSE,"Actual";#N/A,#N/A,FALSE,"Normalized";#N/A,#N/A,FALSE,"Electric Actual";#N/A,#N/A,FALSE,"Electric Normalized"}</definedName>
    <definedName name="spippw" localSheetId="33" hidden="1">{#N/A,#N/A,FALSE,"Actual";#N/A,#N/A,FALSE,"Normalized";#N/A,#N/A,FALSE,"Electric Actual";#N/A,#N/A,FALSE,"Electric Normalized"}</definedName>
    <definedName name="spippw" hidden="1">{#N/A,#N/A,FALSE,"Actual";#N/A,#N/A,FALSE,"Normalized";#N/A,#N/A,FALSE,"Electric Actual";#N/A,#N/A,FALSE,"Electric Normalized"}</definedName>
    <definedName name="SpreadsheetBuilder_2" localSheetId="76" hidden="1">#REF!</definedName>
    <definedName name="SpreadsheetBuilder_2" localSheetId="30" hidden="1">#REF!</definedName>
    <definedName name="SpreadsheetBuilder_2" localSheetId="29" hidden="1">#REF!</definedName>
    <definedName name="SpreadsheetBuilder_2" localSheetId="33" hidden="1">#REF!</definedName>
    <definedName name="SpreadsheetBuilder_2" hidden="1">#REF!</definedName>
    <definedName name="SpreadsheetBuilder_3" localSheetId="76" hidden="1">#REF!</definedName>
    <definedName name="SpreadsheetBuilder_3" localSheetId="30" hidden="1">#REF!</definedName>
    <definedName name="SpreadsheetBuilder_3" localSheetId="29" hidden="1">#REF!</definedName>
    <definedName name="SpreadsheetBuilder_3" localSheetId="33" hidden="1">#REF!</definedName>
    <definedName name="SpreadsheetBuilder_3" hidden="1">#REF!</definedName>
    <definedName name="standard1" localSheetId="76" hidden="1">{"YTD-Total",#N/A,FALSE,"Provision"}</definedName>
    <definedName name="standard1" localSheetId="75" hidden="1">{"YTD-Total",#N/A,FALSE,"Provision"}</definedName>
    <definedName name="standard1" localSheetId="15" hidden="1">{"YTD-Total",#N/A,FALSE,"Provision"}</definedName>
    <definedName name="standard1" localSheetId="17" hidden="1">{"YTD-Total",#N/A,FALSE,"Provision"}</definedName>
    <definedName name="standard1" localSheetId="13" hidden="1">{"YTD-Total",#N/A,FALSE,"Provision"}</definedName>
    <definedName name="standard1" localSheetId="36" hidden="1">{"YTD-Total",#N/A,FALSE,"Provision"}</definedName>
    <definedName name="standard1" localSheetId="30" hidden="1">{"YTD-Total",#N/A,FALSE,"Provision"}</definedName>
    <definedName name="standard1" localSheetId="29" hidden="1">{"YTD-Total",#N/A,FALSE,"Provision"}</definedName>
    <definedName name="standard1" localSheetId="33" hidden="1">{"YTD-Total",#N/A,FALSE,"Provision"}</definedName>
    <definedName name="standard1" hidden="1">{"YTD-Total",#N/A,FALSE,"Provision"}</definedName>
    <definedName name="Summary" localSheetId="6">#REF!</definedName>
    <definedName name="Summary" localSheetId="5">#REF!</definedName>
    <definedName name="Summary">#REF!</definedName>
    <definedName name="Swvu.allocations." localSheetId="76" hidden="1">#REF!</definedName>
    <definedName name="Swvu.allocations." localSheetId="30" hidden="1">#REF!</definedName>
    <definedName name="Swvu.allocations." localSheetId="29" hidden="1">#REF!</definedName>
    <definedName name="Swvu.allocations." localSheetId="33" hidden="1">#REF!</definedName>
    <definedName name="Swvu.allocations." hidden="1">#REF!</definedName>
    <definedName name="Swvu.annual._.hotel." hidden="1">#REF!</definedName>
    <definedName name="Swvu.bottom._.line." hidden="1">#REF!</definedName>
    <definedName name="Swvu.cash._.flow." localSheetId="76" hidden="1">#REF!</definedName>
    <definedName name="Swvu.cash._.flow." localSheetId="30" hidden="1">#REF!</definedName>
    <definedName name="Swvu.cash._.flow." localSheetId="29" hidden="1">#REF!</definedName>
    <definedName name="Swvu.cash._.flow." localSheetId="33" hidden="1">#REF!</definedName>
    <definedName name="Swvu.cash._.flow." hidden="1">#REF!</definedName>
    <definedName name="Swvu.combo." hidden="1">#REF!</definedName>
    <definedName name="Swvu.full." localSheetId="76" hidden="1">#REF!</definedName>
    <definedName name="Swvu.full." localSheetId="30" hidden="1">#REF!</definedName>
    <definedName name="Swvu.full." localSheetId="29" hidden="1">#REF!</definedName>
    <definedName name="Swvu.full." localSheetId="33" hidden="1">#REF!</definedName>
    <definedName name="Swvu.full." hidden="1">#REF!</definedName>
    <definedName name="Swvu.offsite." localSheetId="76" hidden="1">#REF!</definedName>
    <definedName name="Swvu.offsite." localSheetId="30" hidden="1">#REF!</definedName>
    <definedName name="Swvu.offsite." localSheetId="29" hidden="1">#REF!</definedName>
    <definedName name="Swvu.offsite." localSheetId="33" hidden="1">#REF!</definedName>
    <definedName name="Swvu.offsite." hidden="1">#REF!</definedName>
    <definedName name="Swvu.onsite." localSheetId="76" hidden="1">#REF!</definedName>
    <definedName name="Swvu.onsite." localSheetId="30" hidden="1">#REF!</definedName>
    <definedName name="Swvu.onsite." localSheetId="29" hidden="1">#REF!</definedName>
    <definedName name="Swvu.onsite." localSheetId="33" hidden="1">#REF!</definedName>
    <definedName name="Swvu.onsite." hidden="1">#REF!</definedName>
    <definedName name="TableName">"Dummy"</definedName>
    <definedName name="TEST">2000</definedName>
    <definedName name="TESTYEAR" localSheetId="6">#REF!</definedName>
    <definedName name="TESTYEAR" localSheetId="5">#REF!</definedName>
    <definedName name="TESTYEAR">#REF!</definedName>
    <definedName name="TESTYEAR_E" localSheetId="6">#REF!</definedName>
    <definedName name="TESTYEAR_E" localSheetId="5">#REF!</definedName>
    <definedName name="TESTYEAR_E">#REF!</definedName>
    <definedName name="TESTYEAR_GAS">#REF!</definedName>
    <definedName name="Title1" localSheetId="36">#REF!</definedName>
    <definedName name="Title1" localSheetId="30">#REF!</definedName>
    <definedName name="Title1" localSheetId="29">#REF!</definedName>
    <definedName name="Title1" localSheetId="33">#REF!</definedName>
    <definedName name="Title1">Title!$A$3</definedName>
    <definedName name="Title2" localSheetId="36">#REF!</definedName>
    <definedName name="Title2" localSheetId="30">#REF!</definedName>
    <definedName name="Title2" localSheetId="29">#REF!</definedName>
    <definedName name="Title2" localSheetId="33">#REF!</definedName>
    <definedName name="Title2">Title!$A$4</definedName>
    <definedName name="Title3" localSheetId="36">#REF!</definedName>
    <definedName name="Title3" localSheetId="30">#REF!</definedName>
    <definedName name="Title3" localSheetId="29">#REF!</definedName>
    <definedName name="Title3" localSheetId="33">#REF!</definedName>
    <definedName name="Title3">Title!$A$5</definedName>
    <definedName name="Title4">Title!#REF!</definedName>
    <definedName name="Title5">Title!#REF!</definedName>
    <definedName name="Title6">Title!#REF!</definedName>
    <definedName name="Title7">Title!#REF!</definedName>
    <definedName name="Title8" localSheetId="36">#REF!</definedName>
    <definedName name="Title8" localSheetId="30">#REF!</definedName>
    <definedName name="Title8" localSheetId="29">#REF!</definedName>
    <definedName name="Title8" localSheetId="33">#REF!</definedName>
    <definedName name="Title8">Title!$A$6</definedName>
    <definedName name="TP_Footer_User" hidden="1">"Dylan Moser"</definedName>
    <definedName name="TP_Footer_Version" hidden="1">"v4.00"</definedName>
    <definedName name="trth" localSheetId="76" hidden="1">{"ALL",#N/A,FALSE,"A"}</definedName>
    <definedName name="trth" localSheetId="75" hidden="1">{"ALL",#N/A,FALSE,"A"}</definedName>
    <definedName name="trth" localSheetId="15" hidden="1">{"ALL",#N/A,FALSE,"A"}</definedName>
    <definedName name="trth" localSheetId="17" hidden="1">{"ALL",#N/A,FALSE,"A"}</definedName>
    <definedName name="trth" localSheetId="13" hidden="1">{"ALL",#N/A,FALSE,"A"}</definedName>
    <definedName name="trth" localSheetId="36" hidden="1">{"ALL",#N/A,FALSE,"A"}</definedName>
    <definedName name="trth" localSheetId="30" hidden="1">{"ALL",#N/A,FALSE,"A"}</definedName>
    <definedName name="trth" localSheetId="29" hidden="1">{"ALL",#N/A,FALSE,"A"}</definedName>
    <definedName name="trth" localSheetId="33" hidden="1">{"ALL",#N/A,FALSE,"A"}</definedName>
    <definedName name="trth" localSheetId="28" hidden="1">{"ALL",#N/A,FALSE,"A"}</definedName>
    <definedName name="trth" localSheetId="34" hidden="1">{"ALL",#N/A,FALSE,"A"}</definedName>
    <definedName name="trth" localSheetId="1" hidden="1">{"ALL",#N/A,FALSE,"A"}</definedName>
    <definedName name="trth" hidden="1">{"ALL",#N/A,FALSE,"A"}</definedName>
    <definedName name="Unadj_Op_revenue">#REF!</definedName>
    <definedName name="Unadj_rate_base">#REF!</definedName>
    <definedName name="Unadj_ROE">#REF!</definedName>
    <definedName name="uncollectible_perc">#REF!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cdv" localSheetId="76" hidden="1">#REF!</definedName>
    <definedName name="vcdv" localSheetId="30" hidden="1">#REF!</definedName>
    <definedName name="vcdv" localSheetId="29" hidden="1">#REF!</definedName>
    <definedName name="vcdv" localSheetId="33" hidden="1">#REF!</definedName>
    <definedName name="vcdv" hidden="1">#REF!</definedName>
    <definedName name="w" localSheetId="76" hidden="1">#REF!</definedName>
    <definedName name="w" localSheetId="30" hidden="1">#REF!</definedName>
    <definedName name="w" localSheetId="29" hidden="1">#REF!</definedName>
    <definedName name="w" localSheetId="33" hidden="1">#REF!</definedName>
    <definedName name="w" hidden="1">#REF!</definedName>
    <definedName name="WA_Gas" localSheetId="6">#REF!</definedName>
    <definedName name="WA_Gas" localSheetId="5">#REF!</definedName>
    <definedName name="WA_Gas">#REF!</definedName>
    <definedName name="WA_rev_tax_perc">#REF!</definedName>
    <definedName name="Weighted_cost_debt">#REF!</definedName>
    <definedName name="Weighted_cost_equity">#REF!</definedName>
    <definedName name="Weighted_cost_pref">#REF!</definedName>
    <definedName name="wr" localSheetId="76" hidden="1">{"Output-3Column",#N/A,FALSE,"Output"}</definedName>
    <definedName name="wr" localSheetId="75" hidden="1">{"Output-3Column",#N/A,FALSE,"Output"}</definedName>
    <definedName name="wr" localSheetId="15" hidden="1">{"Output-3Column",#N/A,FALSE,"Output"}</definedName>
    <definedName name="wr" localSheetId="17" hidden="1">{"Output-3Column",#N/A,FALSE,"Output"}</definedName>
    <definedName name="wr" localSheetId="13" hidden="1">{"Output-3Column",#N/A,FALSE,"Output"}</definedName>
    <definedName name="wr" localSheetId="36" hidden="1">{"Output-3Column",#N/A,FALSE,"Output"}</definedName>
    <definedName name="wr" localSheetId="30" hidden="1">{"Output-3Column",#N/A,FALSE,"Output"}</definedName>
    <definedName name="wr" localSheetId="29" hidden="1">{"Output-3Column",#N/A,FALSE,"Output"}</definedName>
    <definedName name="wr" localSheetId="33" hidden="1">{"Output-3Column",#N/A,FALSE,"Output"}</definedName>
    <definedName name="wr" localSheetId="28" hidden="1">{"Output-3Column",#N/A,FALSE,"Output"}</definedName>
    <definedName name="wr" localSheetId="34" hidden="1">{"Output-3Column",#N/A,FALSE,"Output"}</definedName>
    <definedName name="wr" hidden="1">{"Output-3Column",#N/A,FALSE,"Output"}</definedName>
    <definedName name="wrn" localSheetId="76" hidden="1">{"Inflation-BaseYear",#N/A,FALSE,"Inputs"}</definedName>
    <definedName name="wrn" localSheetId="75" hidden="1">{"Inflation-BaseYear",#N/A,FALSE,"Inputs"}</definedName>
    <definedName name="wrn" localSheetId="15" hidden="1">{"Inflation-BaseYear",#N/A,FALSE,"Inputs"}</definedName>
    <definedName name="wrn" localSheetId="17" hidden="1">{"Inflation-BaseYear",#N/A,FALSE,"Inputs"}</definedName>
    <definedName name="wrn" localSheetId="13" hidden="1">{"Inflation-BaseYear",#N/A,FALSE,"Inputs"}</definedName>
    <definedName name="wrn" localSheetId="36" hidden="1">{"Inflation-BaseYear",#N/A,FALSE,"Inputs"}</definedName>
    <definedName name="wrn" localSheetId="30" hidden="1">{"Inflation-BaseYear",#N/A,FALSE,"Inputs"}</definedName>
    <definedName name="wrn" localSheetId="29" hidden="1">{"Inflation-BaseYear",#N/A,FALSE,"Inputs"}</definedName>
    <definedName name="wrn" localSheetId="33" hidden="1">{"Inflation-BaseYear",#N/A,FALSE,"Inputs"}</definedName>
    <definedName name="wrn" localSheetId="28" hidden="1">{"Inflation-BaseYear",#N/A,FALSE,"Inputs"}</definedName>
    <definedName name="wrn" localSheetId="34" hidden="1">{"Inflation-BaseYear",#N/A,FALSE,"Inputs"}</definedName>
    <definedName name="wrn" hidden="1">{"Inflation-BaseYear",#N/A,FALSE,"Inputs"}</definedName>
    <definedName name="wrn.1996._.Hydro._.5._.Year._.Forecast._.Budget." localSheetId="76" hidden="1">{#N/A,#N/A,FALSE,"Summary";#N/A,#N/A,FALSE,"SmPlants";#N/A,#N/A,FALSE,"Utah";#N/A,#N/A,FALSE,"Idaho";#N/A,#N/A,FALSE,"Lewis River";#N/A,#N/A,FALSE,"NrthUmpq";#N/A,#N/A,FALSE,"KlamRog"}</definedName>
    <definedName name="wrn.1996._.Hydro._.5._.Year._.Forecast._.Budget." localSheetId="75"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localSheetId="17"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36" hidden="1">{#N/A,#N/A,FALSE,"Summary";#N/A,#N/A,FALSE,"SmPlants";#N/A,#N/A,FALSE,"Utah";#N/A,#N/A,FALSE,"Idaho";#N/A,#N/A,FALSE,"Lewis River";#N/A,#N/A,FALSE,"NrthUmpq";#N/A,#N/A,FALSE,"KlamRog"}</definedName>
    <definedName name="wrn.1996._.Hydro._.5._.Year._.Forecast._.Budget." localSheetId="30" hidden="1">{#N/A,#N/A,FALSE,"Summary";#N/A,#N/A,FALSE,"SmPlants";#N/A,#N/A,FALSE,"Utah";#N/A,#N/A,FALSE,"Idaho";#N/A,#N/A,FALSE,"Lewis River";#N/A,#N/A,FALSE,"NrthUmpq";#N/A,#N/A,FALSE,"KlamRog"}</definedName>
    <definedName name="wrn.1996._.Hydro._.5._.Year._.Forecast._.Budget." localSheetId="29" hidden="1">{#N/A,#N/A,FALSE,"Summary";#N/A,#N/A,FALSE,"SmPlants";#N/A,#N/A,FALSE,"Utah";#N/A,#N/A,FALSE,"Idaho";#N/A,#N/A,FALSE,"Lewis River";#N/A,#N/A,FALSE,"NrthUmpq";#N/A,#N/A,FALSE,"KlamRog"}</definedName>
    <definedName name="wrn.1996._.Hydro._.5._.Year._.Forecast._.Budget." localSheetId="33"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dj._.Back_Up." localSheetId="76" hidden="1">{"Page 3.4.1",#N/A,FALSE,"Totals";"Page 3.4.2",#N/A,FALSE,"Totals"}</definedName>
    <definedName name="wrn.Adj._.Back_Up." localSheetId="75" hidden="1">{"Page 3.4.1",#N/A,FALSE,"Totals";"Page 3.4.2",#N/A,FALSE,"Totals"}</definedName>
    <definedName name="wrn.Adj._.Back_Up." localSheetId="15" hidden="1">{"Page 3.4.1",#N/A,FALSE,"Totals";"Page 3.4.2",#N/A,FALSE,"Totals"}</definedName>
    <definedName name="wrn.Adj._.Back_Up." localSheetId="17" hidden="1">{"Page 3.4.1",#N/A,FALSE,"Totals";"Page 3.4.2",#N/A,FALSE,"Totals"}</definedName>
    <definedName name="wrn.Adj._.Back_Up." localSheetId="13" hidden="1">{"Page 3.4.1",#N/A,FALSE,"Totals";"Page 3.4.2",#N/A,FALSE,"Totals"}</definedName>
    <definedName name="wrn.Adj._.Back_Up." localSheetId="36" hidden="1">{"Page 3.4.1",#N/A,FALSE,"Totals";"Page 3.4.2",#N/A,FALSE,"Totals"}</definedName>
    <definedName name="wrn.Adj._.Back_Up." localSheetId="30" hidden="1">{"Page 3.4.1",#N/A,FALSE,"Totals";"Page 3.4.2",#N/A,FALSE,"Totals"}</definedName>
    <definedName name="wrn.Adj._.Back_Up." localSheetId="29" hidden="1">{"Page 3.4.1",#N/A,FALSE,"Totals";"Page 3.4.2",#N/A,FALSE,"Totals"}</definedName>
    <definedName name="wrn.Adj._.Back_Up." localSheetId="33" hidden="1">{"Page 3.4.1",#N/A,FALSE,"Totals";"Page 3.4.2",#N/A,FALSE,"Totals"}</definedName>
    <definedName name="wrn.Adj._.Back_Up." hidden="1">{"Page 3.4.1",#N/A,FALSE,"Totals";"Page 3.4.2",#N/A,FALSE,"Totals"}</definedName>
    <definedName name="wrn.ALL." localSheetId="76" hidden="1">{"ALL",#N/A,FALSE,"A"}</definedName>
    <definedName name="wrn.ALL." localSheetId="75" hidden="1">{"ALL",#N/A,FALSE,"A"}</definedName>
    <definedName name="wrn.ALL." localSheetId="15" hidden="1">{"ALL",#N/A,FALSE,"A"}</definedName>
    <definedName name="wrn.ALL." localSheetId="17" hidden="1">{"ALL",#N/A,FALSE,"A"}</definedName>
    <definedName name="wrn.ALL." localSheetId="13" hidden="1">{"ALL",#N/A,FALSE,"A"}</definedName>
    <definedName name="wrn.ALL." localSheetId="36" hidden="1">{"ALL",#N/A,FALSE,"A"}</definedName>
    <definedName name="wrn.ALL." localSheetId="30" hidden="1">{"ALL",#N/A,FALSE,"A"}</definedName>
    <definedName name="wrn.ALL." localSheetId="29" hidden="1">{"ALL",#N/A,FALSE,"A"}</definedName>
    <definedName name="wrn.ALL." localSheetId="33" hidden="1">{"ALL",#N/A,FALSE,"A"}</definedName>
    <definedName name="wrn.ALL." localSheetId="28" hidden="1">{"ALL",#N/A,FALSE,"A"}</definedName>
    <definedName name="wrn.ALL." localSheetId="34" hidden="1">{"ALL",#N/A,FALSE,"A"}</definedName>
    <definedName name="wrn.ALL." localSheetId="1" hidden="1">{"ALL",#N/A,FALSE,"A"}</definedName>
    <definedName name="wrn.ALL." hidden="1">{"ALL",#N/A,FALSE,"A"}</definedName>
    <definedName name="wrn.All._.BSs._.and._.JEs." localSheetId="76" hidden="1">{#N/A,#N/A,FALSE,"Top level";#N/A,#N/A,FALSE,"Top level JEs";#N/A,#N/A,FALSE,"PHI";#N/A,#N/A,FALSE,"PHI JEs";#N/A,#N/A,FALSE,"PacifiCorp";#N/A,#N/A,FALSE,"PacifiCorp JEs";#N/A,#N/A,FALSE,"PGHC";#N/A,#N/A,FALSE,"PGHC JEs";#N/A,#N/A,FALSE,"Domestic"}</definedName>
    <definedName name="wrn.All._.BSs._.and._.JEs." localSheetId="75"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localSheetId="17"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36" hidden="1">{#N/A,#N/A,FALSE,"Top level";#N/A,#N/A,FALSE,"Top level JEs";#N/A,#N/A,FALSE,"PHI";#N/A,#N/A,FALSE,"PHI JEs";#N/A,#N/A,FALSE,"PacifiCorp";#N/A,#N/A,FALSE,"PacifiCorp JEs";#N/A,#N/A,FALSE,"PGHC";#N/A,#N/A,FALSE,"PGHC JEs";#N/A,#N/A,FALSE,"Domestic"}</definedName>
    <definedName name="wrn.All._.BSs._.and._.JEs." localSheetId="30" hidden="1">{#N/A,#N/A,FALSE,"Top level";#N/A,#N/A,FALSE,"Top level JEs";#N/A,#N/A,FALSE,"PHI";#N/A,#N/A,FALSE,"PHI JEs";#N/A,#N/A,FALSE,"PacifiCorp";#N/A,#N/A,FALSE,"PacifiCorp JEs";#N/A,#N/A,FALSE,"PGHC";#N/A,#N/A,FALSE,"PGHC JEs";#N/A,#N/A,FALSE,"Domestic"}</definedName>
    <definedName name="wrn.All._.BSs._.and._.JEs." localSheetId="29" hidden="1">{#N/A,#N/A,FALSE,"Top level";#N/A,#N/A,FALSE,"Top level JEs";#N/A,#N/A,FALSE,"PHI";#N/A,#N/A,FALSE,"PHI JEs";#N/A,#N/A,FALSE,"PacifiCorp";#N/A,#N/A,FALSE,"PacifiCorp JEs";#N/A,#N/A,FALSE,"PGHC";#N/A,#N/A,FALSE,"PGHC JEs";#N/A,#N/A,FALSE,"Domestic"}</definedName>
    <definedName name="wrn.All._.BSs._.and._.JEs." localSheetId="3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76"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7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7"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6"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9"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7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7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9"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76" hidden="1">{#N/A,#N/A,FALSE,"Top level MTD";#N/A,#N/A,FALSE,"PHI MTD";#N/A,#N/A,FALSE,"PacifiCorp MTD";#N/A,#N/A,FALSE,"PGHC MTD";#N/A,#N/A,FALSE,"Top level YTD";#N/A,#N/A,FALSE,"PHI YTD";#N/A,#N/A,FALSE,"PacifiCorp YTD";#N/A,#N/A,FALSE,"PGHC YTD"}</definedName>
    <definedName name="wrn.All._.other._.months." localSheetId="75"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localSheetId="17"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36" hidden="1">{#N/A,#N/A,FALSE,"Top level MTD";#N/A,#N/A,FALSE,"PHI MTD";#N/A,#N/A,FALSE,"PacifiCorp MTD";#N/A,#N/A,FALSE,"PGHC MTD";#N/A,#N/A,FALSE,"Top level YTD";#N/A,#N/A,FALSE,"PHI YTD";#N/A,#N/A,FALSE,"PacifiCorp YTD";#N/A,#N/A,FALSE,"PGHC YTD"}</definedName>
    <definedName name="wrn.All._.other._.months." localSheetId="30" hidden="1">{#N/A,#N/A,FALSE,"Top level MTD";#N/A,#N/A,FALSE,"PHI MTD";#N/A,#N/A,FALSE,"PacifiCorp MTD";#N/A,#N/A,FALSE,"PGHC MTD";#N/A,#N/A,FALSE,"Top level YTD";#N/A,#N/A,FALSE,"PHI YTD";#N/A,#N/A,FALSE,"PacifiCorp YTD";#N/A,#N/A,FALSE,"PGHC YTD"}</definedName>
    <definedName name="wrn.All._.other._.months." localSheetId="29" hidden="1">{#N/A,#N/A,FALSE,"Top level MTD";#N/A,#N/A,FALSE,"PHI MTD";#N/A,#N/A,FALSE,"PacifiCorp MTD";#N/A,#N/A,FALSE,"PGHC MTD";#N/A,#N/A,FALSE,"Top level YTD";#N/A,#N/A,FALSE,"PHI YTD";#N/A,#N/A,FALSE,"PacifiCorp YTD";#N/A,#N/A,FALSE,"PGHC YTD"}</definedName>
    <definedName name="wrn.All._.other._.months." localSheetId="3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76" hidden="1">{#N/A,#N/A,FALSE,"Cover";#N/A,#N/A,FALSE,"Lead Sheet";#N/A,#N/A,FALSE,"T-Accounts";#N/A,#N/A,FALSE,"Expense Detail 10 01 to 3  02";#N/A,#N/A,FALSE,"Expense Detail 4 01 to 9 01";#N/A,#N/A,FALSE,"Three Factor % 3  2002"}</definedName>
    <definedName name="wrn.All._.Pages." localSheetId="75" hidden="1">{#N/A,#N/A,FALSE,"Cover";#N/A,#N/A,FALSE,"Lead Sheet";#N/A,#N/A,FALSE,"T-Accounts";#N/A,#N/A,FALSE,"Expense Detail 10 01 to 3  02";#N/A,#N/A,FALSE,"Expense Detail 4 01 to 9 01";#N/A,#N/A,FALSE,"Three Factor % 3  2002"}</definedName>
    <definedName name="wrn.All._.Pages." localSheetId="15" hidden="1">{#N/A,#N/A,FALSE,"Cover";#N/A,#N/A,FALSE,"Lead Sheet";#N/A,#N/A,FALSE,"T-Accounts";#N/A,#N/A,FALSE,"Expense Detail 10 01 to 3  02";#N/A,#N/A,FALSE,"Expense Detail 4 01 to 9 01";#N/A,#N/A,FALSE,"Three Factor % 3  2002"}</definedName>
    <definedName name="wrn.All._.Pages." localSheetId="17" hidden="1">{#N/A,#N/A,FALSE,"Cover";#N/A,#N/A,FALSE,"Lead Sheet";#N/A,#N/A,FALSE,"T-Accounts";#N/A,#N/A,FALSE,"Expense Detail 10 01 to 3  02";#N/A,#N/A,FALSE,"Expense Detail 4 01 to 9 01";#N/A,#N/A,FALSE,"Three Factor % 3  2002"}</definedName>
    <definedName name="wrn.All._.Pages." localSheetId="13" hidden="1">{#N/A,#N/A,FALSE,"Cover";#N/A,#N/A,FALSE,"Lead Sheet";#N/A,#N/A,FALSE,"T-Accounts";#N/A,#N/A,FALSE,"Expense Detail 10 01 to 3  02";#N/A,#N/A,FALSE,"Expense Detail 4 01 to 9 01";#N/A,#N/A,FALSE,"Three Factor % 3  2002"}</definedName>
    <definedName name="wrn.All._.Pages." localSheetId="36" hidden="1">{#N/A,#N/A,FALSE,"Cover";#N/A,#N/A,FALSE,"Lead Sheet";#N/A,#N/A,FALSE,"T-Accounts";#N/A,#N/A,FALSE,"Expense Detail 10 01 to 3  02";#N/A,#N/A,FALSE,"Expense Detail 4 01 to 9 01";#N/A,#N/A,FALSE,"Three Factor % 3  2002"}</definedName>
    <definedName name="wrn.All._.Pages." localSheetId="30" hidden="1">{#N/A,#N/A,FALSE,"Cover";#N/A,#N/A,FALSE,"Lead Sheet";#N/A,#N/A,FALSE,"T-Accounts";#N/A,#N/A,FALSE,"Expense Detail 10 01 to 3  02";#N/A,#N/A,FALSE,"Expense Detail 4 01 to 9 01";#N/A,#N/A,FALSE,"Three Factor % 3  2002"}</definedName>
    <definedName name="wrn.All._.Pages." localSheetId="29" hidden="1">{#N/A,#N/A,FALSE,"Cover";#N/A,#N/A,FALSE,"Lead Sheet";#N/A,#N/A,FALSE,"T-Accounts";#N/A,#N/A,FALSE,"Expense Detail 10 01 to 3  02";#N/A,#N/A,FALSE,"Expense Detail 4 01 to 9 01";#N/A,#N/A,FALSE,"Three Factor % 3  2002"}</definedName>
    <definedName name="wrn.All._.Pages." localSheetId="33"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76" hidden="1">{"IncSt",#N/A,FALSE,"IS";"BalSht",#N/A,FALSE,"BS";"IntCash",#N/A,FALSE,"Int. Cash";"Stats",#N/A,FALSE,"Stats"}</definedName>
    <definedName name="wrn.All._.Sheets." localSheetId="75" hidden="1">{"IncSt",#N/A,FALSE,"IS";"BalSht",#N/A,FALSE,"BS";"IntCash",#N/A,FALSE,"Int. Cash";"Stats",#N/A,FALSE,"Stats"}</definedName>
    <definedName name="wrn.All._.Sheets." localSheetId="15" hidden="1">{"IncSt",#N/A,FALSE,"IS";"BalSht",#N/A,FALSE,"BS";"IntCash",#N/A,FALSE,"Int. Cash";"Stats",#N/A,FALSE,"Stats"}</definedName>
    <definedName name="wrn.All._.Sheets." localSheetId="17" hidden="1">{"IncSt",#N/A,FALSE,"IS";"BalSht",#N/A,FALSE,"BS";"IntCash",#N/A,FALSE,"Int. Cash";"Stats",#N/A,FALSE,"Stats"}</definedName>
    <definedName name="wrn.All._.Sheets." localSheetId="13" hidden="1">{"IncSt",#N/A,FALSE,"IS";"BalSht",#N/A,FALSE,"BS";"IntCash",#N/A,FALSE,"Int. Cash";"Stats",#N/A,FALSE,"Stats"}</definedName>
    <definedName name="wrn.All._.Sheets." localSheetId="36" hidden="1">{"IncSt",#N/A,FALSE,"IS";"BalSht",#N/A,FALSE,"BS";"IntCash",#N/A,FALSE,"Int. Cash";"Stats",#N/A,FALSE,"Stats"}</definedName>
    <definedName name="wrn.All._.Sheets." localSheetId="30" hidden="1">{"IncSt",#N/A,FALSE,"IS";"BalSht",#N/A,FALSE,"BS";"IntCash",#N/A,FALSE,"Int. Cash";"Stats",#N/A,FALSE,"Stats"}</definedName>
    <definedName name="wrn.All._.Sheets." localSheetId="29" hidden="1">{"IncSt",#N/A,FALSE,"IS";"BalSht",#N/A,FALSE,"BS";"IntCash",#N/A,FALSE,"Int. Cash";"Stats",#N/A,FALSE,"Stats"}</definedName>
    <definedName name="wrn.All._.Sheets." localSheetId="33" hidden="1">{"IncSt",#N/A,FALSE,"IS";"BalSht",#N/A,FALSE,"BS";"IntCash",#N/A,FALSE,"Int. Cash";"Stats",#N/A,FALSE,"Stats"}</definedName>
    <definedName name="wrn.All._.Sheets." localSheetId="28" hidden="1">{"IncSt",#N/A,FALSE,"IS";"BalSht",#N/A,FALSE,"BS";"IntCash",#N/A,FALSE,"Int. Cash";"Stats",#N/A,FALSE,"Stats"}</definedName>
    <definedName name="wrn.All._.Sheets." localSheetId="34" hidden="1">{"IncSt",#N/A,FALSE,"IS";"BalSht",#N/A,FALSE,"BS";"IntCash",#N/A,FALSE,"Int. Cash";"Stats",#N/A,FALSE,"Stats"}</definedName>
    <definedName name="wrn.All._.Sheets." hidden="1">{"IncSt",#N/A,FALSE,"IS";"BalSht",#N/A,FALSE,"BS";"IntCash",#N/A,FALSE,"Int. Cash";"Stats",#N/A,FALSE,"Stats"}</definedName>
    <definedName name="wrn.annual." localSheetId="76" hidden="1">{"annual",#N/A,FALSE,"Pro Forma"}</definedName>
    <definedName name="wrn.annual." localSheetId="75" hidden="1">{"annual",#N/A,FALSE,"Pro Forma"}</definedName>
    <definedName name="wrn.annual." localSheetId="15" hidden="1">{"annual",#N/A,FALSE,"Pro Forma"}</definedName>
    <definedName name="wrn.annual." localSheetId="17" hidden="1">{"annual",#N/A,FALSE,"Pro Forma"}</definedName>
    <definedName name="wrn.annual." localSheetId="13" hidden="1">{"annual",#N/A,FALSE,"Pro Forma"}</definedName>
    <definedName name="wrn.annual." localSheetId="36" hidden="1">{"annual",#N/A,FALSE,"Pro Forma"}</definedName>
    <definedName name="wrn.annual." localSheetId="30" hidden="1">{"annual",#N/A,FALSE,"Pro Forma"}</definedName>
    <definedName name="wrn.annual." localSheetId="29" hidden="1">{"annual",#N/A,FALSE,"Pro Forma"}</definedName>
    <definedName name="wrn.annual." localSheetId="33" hidden="1">{"annual",#N/A,FALSE,"Pro Forma"}</definedName>
    <definedName name="wrn.annual." localSheetId="28" hidden="1">{"annual",#N/A,FALSE,"Pro Forma"}</definedName>
    <definedName name="wrn.annual." localSheetId="34" hidden="1">{"annual",#N/A,FALSE,"Pro Forma"}</definedName>
    <definedName name="wrn.annual." hidden="1">{"annual",#N/A,FALSE,"Pro Forma"}</definedName>
    <definedName name="wrn.Annual._.Detail." localSheetId="76" hidden="1">{"annualsum",#N/A,FALSE,"Cost Summary";"annual1",#N/A,FALSE,"Phase_1";"annual2",#N/A,FALSE,"Phase_2";"annual3",#N/A,FALSE,"Phase_3";"annual4",#N/A,FALSE,"Phase_4"}</definedName>
    <definedName name="wrn.Annual._.Detail." localSheetId="75" hidden="1">{"annualsum",#N/A,FALSE,"Cost Summary";"annual1",#N/A,FALSE,"Phase_1";"annual2",#N/A,FALSE,"Phase_2";"annual3",#N/A,FALSE,"Phase_3";"annual4",#N/A,FALSE,"Phase_4"}</definedName>
    <definedName name="wrn.Annual._.Detail." localSheetId="15" hidden="1">{"annualsum",#N/A,FALSE,"Cost Summary";"annual1",#N/A,FALSE,"Phase_1";"annual2",#N/A,FALSE,"Phase_2";"annual3",#N/A,FALSE,"Phase_3";"annual4",#N/A,FALSE,"Phase_4"}</definedName>
    <definedName name="wrn.Annual._.Detail." localSheetId="17" hidden="1">{"annualsum",#N/A,FALSE,"Cost Summary";"annual1",#N/A,FALSE,"Phase_1";"annual2",#N/A,FALSE,"Phase_2";"annual3",#N/A,FALSE,"Phase_3";"annual4",#N/A,FALSE,"Phase_4"}</definedName>
    <definedName name="wrn.Annual._.Detail." localSheetId="13" hidden="1">{"annualsum",#N/A,FALSE,"Cost Summary";"annual1",#N/A,FALSE,"Phase_1";"annual2",#N/A,FALSE,"Phase_2";"annual3",#N/A,FALSE,"Phase_3";"annual4",#N/A,FALSE,"Phase_4"}</definedName>
    <definedName name="wrn.Annual._.Detail." localSheetId="36" hidden="1">{"annualsum",#N/A,FALSE,"Cost Summary";"annual1",#N/A,FALSE,"Phase_1";"annual2",#N/A,FALSE,"Phase_2";"annual3",#N/A,FALSE,"Phase_3";"annual4",#N/A,FALSE,"Phase_4"}</definedName>
    <definedName name="wrn.Annual._.Detail." localSheetId="30" hidden="1">{"annualsum",#N/A,FALSE,"Cost Summary";"annual1",#N/A,FALSE,"Phase_1";"annual2",#N/A,FALSE,"Phase_2";"annual3",#N/A,FALSE,"Phase_3";"annual4",#N/A,FALSE,"Phase_4"}</definedName>
    <definedName name="wrn.Annual._.Detail." localSheetId="29" hidden="1">{"annualsum",#N/A,FALSE,"Cost Summary";"annual1",#N/A,FALSE,"Phase_1";"annual2",#N/A,FALSE,"Phase_2";"annual3",#N/A,FALSE,"Phase_3";"annual4",#N/A,FALSE,"Phase_4"}</definedName>
    <definedName name="wrn.Annual._.Detail." localSheetId="33" hidden="1">{"annualsum",#N/A,FALSE,"Cost Summary";"annual1",#N/A,FALSE,"Phase_1";"annual2",#N/A,FALSE,"Phase_2";"annual3",#N/A,FALSE,"Phase_3";"annual4",#N/A,FALSE,"Phase_4"}</definedName>
    <definedName name="wrn.Annual._.Detail." localSheetId="28" hidden="1">{"annualsum",#N/A,FALSE,"Cost Summary";"annual1",#N/A,FALSE,"Phase_1";"annual2",#N/A,FALSE,"Phase_2";"annual3",#N/A,FALSE,"Phase_3";"annual4",#N/A,FALSE,"Phase_4"}</definedName>
    <definedName name="wrn.Annual._.Detail." localSheetId="34"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76" hidden="1">{"a_dev",#N/A,FALSE,"Golf Development";"a_memstats",#N/A,FALSE,"Golf Development";"a_opstats",#N/A,FALSE,"Golf Development";"a_rev",#N/A,FALSE,"Golf Development";"a_return",#N/A,FALSE,"Golf Development"}</definedName>
    <definedName name="wrn.Annual._.Golf." localSheetId="75" hidden="1">{"a_dev",#N/A,FALSE,"Golf Development";"a_memstats",#N/A,FALSE,"Golf Development";"a_opstats",#N/A,FALSE,"Golf Development";"a_rev",#N/A,FALSE,"Golf Development";"a_return",#N/A,FALSE,"Golf Development"}</definedName>
    <definedName name="wrn.Annual._.Golf." localSheetId="15" hidden="1">{"a_dev",#N/A,FALSE,"Golf Development";"a_memstats",#N/A,FALSE,"Golf Development";"a_opstats",#N/A,FALSE,"Golf Development";"a_rev",#N/A,FALSE,"Golf Development";"a_return",#N/A,FALSE,"Golf Development"}</definedName>
    <definedName name="wrn.Annual._.Golf." localSheetId="17" hidden="1">{"a_dev",#N/A,FALSE,"Golf Development";"a_memstats",#N/A,FALSE,"Golf Development";"a_opstats",#N/A,FALSE,"Golf Development";"a_rev",#N/A,FALSE,"Golf Development";"a_return",#N/A,FALSE,"Golf Development"}</definedName>
    <definedName name="wrn.Annual._.Golf." localSheetId="13" hidden="1">{"a_dev",#N/A,FALSE,"Golf Development";"a_memstats",#N/A,FALSE,"Golf Development";"a_opstats",#N/A,FALSE,"Golf Development";"a_rev",#N/A,FALSE,"Golf Development";"a_return",#N/A,FALSE,"Golf Development"}</definedName>
    <definedName name="wrn.Annual._.Golf." localSheetId="36" hidden="1">{"a_dev",#N/A,FALSE,"Golf Development";"a_memstats",#N/A,FALSE,"Golf Development";"a_opstats",#N/A,FALSE,"Golf Development";"a_rev",#N/A,FALSE,"Golf Development";"a_return",#N/A,FALSE,"Golf Development"}</definedName>
    <definedName name="wrn.Annual._.Golf." localSheetId="30" hidden="1">{"a_dev",#N/A,FALSE,"Golf Development";"a_memstats",#N/A,FALSE,"Golf Development";"a_opstats",#N/A,FALSE,"Golf Development";"a_rev",#N/A,FALSE,"Golf Development";"a_return",#N/A,FALSE,"Golf Development"}</definedName>
    <definedName name="wrn.Annual._.Golf." localSheetId="29" hidden="1">{"a_dev",#N/A,FALSE,"Golf Development";"a_memstats",#N/A,FALSE,"Golf Development";"a_opstats",#N/A,FALSE,"Golf Development";"a_rev",#N/A,FALSE,"Golf Development";"a_return",#N/A,FALSE,"Golf Development"}</definedName>
    <definedName name="wrn.Annual._.Golf." localSheetId="33" hidden="1">{"a_dev",#N/A,FALSE,"Golf Development";"a_memstats",#N/A,FALSE,"Golf Development";"a_opstats",#N/A,FALSE,"Golf Development";"a_rev",#N/A,FALSE,"Golf Development";"a_return",#N/A,FALSE,"Golf Development"}</definedName>
    <definedName name="wrn.Annual._.Golf." localSheetId="28" hidden="1">{"a_dev",#N/A,FALSE,"Golf Development";"a_memstats",#N/A,FALSE,"Golf Development";"a_opstats",#N/A,FALSE,"Golf Development";"a_rev",#N/A,FALSE,"Golf Development";"a_return",#N/A,FALSE,"Golf Development"}</definedName>
    <definedName name="wrn.Annual._.Golf." localSheetId="34"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76" hidden="1">{"annual hotel",#N/A,FALSE,"Hotel Development"}</definedName>
    <definedName name="wrn.Annual._.Hotel." localSheetId="75" hidden="1">{"annual hotel",#N/A,FALSE,"Hotel Development"}</definedName>
    <definedName name="wrn.Annual._.Hotel." localSheetId="15" hidden="1">{"annual hotel",#N/A,FALSE,"Hotel Development"}</definedName>
    <definedName name="wrn.Annual._.Hotel." localSheetId="17" hidden="1">{"annual hotel",#N/A,FALSE,"Hotel Development"}</definedName>
    <definedName name="wrn.Annual._.Hotel." localSheetId="13" hidden="1">{"annual hotel",#N/A,FALSE,"Hotel Development"}</definedName>
    <definedName name="wrn.Annual._.Hotel." localSheetId="36" hidden="1">{"annual hotel",#N/A,FALSE,"Hotel Development"}</definedName>
    <definedName name="wrn.Annual._.Hotel." localSheetId="30" hidden="1">{"annual hotel",#N/A,FALSE,"Hotel Development"}</definedName>
    <definedName name="wrn.Annual._.Hotel." localSheetId="29" hidden="1">{"annual hotel",#N/A,FALSE,"Hotel Development"}</definedName>
    <definedName name="wrn.Annual._.Hotel." localSheetId="33" hidden="1">{"annual hotel",#N/A,FALSE,"Hotel Development"}</definedName>
    <definedName name="wrn.Annual._.Hotel." localSheetId="28" hidden="1">{"annual hotel",#N/A,FALSE,"Hotel Development"}</definedName>
    <definedName name="wrn.Annual._.Hotel." localSheetId="34" hidden="1">{"annual hotel",#N/A,FALSE,"Hotel Development"}</definedName>
    <definedName name="wrn.Annual._.Hotel." hidden="1">{"annual hotel",#N/A,FALSE,"Hotel Development"}</definedName>
    <definedName name="wrn.Annual._.Land._.Sales." localSheetId="76" hidden="1">{"annual",#N/A,FALSE,"Land Sales"}</definedName>
    <definedName name="wrn.Annual._.Land._.Sales." localSheetId="75" hidden="1">{"annual",#N/A,FALSE,"Land Sales"}</definedName>
    <definedName name="wrn.Annual._.Land._.Sales." localSheetId="15" hidden="1">{"annual",#N/A,FALSE,"Land Sales"}</definedName>
    <definedName name="wrn.Annual._.Land._.Sales." localSheetId="17" hidden="1">{"annual",#N/A,FALSE,"Land Sales"}</definedName>
    <definedName name="wrn.Annual._.Land._.Sales." localSheetId="13" hidden="1">{"annual",#N/A,FALSE,"Land Sales"}</definedName>
    <definedName name="wrn.Annual._.Land._.Sales." localSheetId="36" hidden="1">{"annual",#N/A,FALSE,"Land Sales"}</definedName>
    <definedName name="wrn.Annual._.Land._.Sales." localSheetId="30" hidden="1">{"annual",#N/A,FALSE,"Land Sales"}</definedName>
    <definedName name="wrn.Annual._.Land._.Sales." localSheetId="29" hidden="1">{"annual",#N/A,FALSE,"Land Sales"}</definedName>
    <definedName name="wrn.Annual._.Land._.Sales." localSheetId="33" hidden="1">{"annual",#N/A,FALSE,"Land Sales"}</definedName>
    <definedName name="wrn.Annual._.Land._.Sales." localSheetId="28" hidden="1">{"annual",#N/A,FALSE,"Land Sales"}</definedName>
    <definedName name="wrn.Annual._.Land._.Sales." localSheetId="34" hidden="1">{"annual",#N/A,FALSE,"Land Sales"}</definedName>
    <definedName name="wrn.Annual._.Land._.Sales." hidden="1">{"annual",#N/A,FALSE,"Land Sales"}</definedName>
    <definedName name="wrn.Annual._.Report." localSheetId="76" hidden="1">{"annual",#N/A,FALSE,"Pro Forma";#N/A,#N/A,FALSE,"Golf Operations"}</definedName>
    <definedName name="wrn.Annual._.Report." localSheetId="75" hidden="1">{"annual",#N/A,FALSE,"Pro Forma";#N/A,#N/A,FALSE,"Golf Operations"}</definedName>
    <definedName name="wrn.Annual._.Report." localSheetId="15" hidden="1">{"annual",#N/A,FALSE,"Pro Forma";#N/A,#N/A,FALSE,"Golf Operations"}</definedName>
    <definedName name="wrn.Annual._.Report." localSheetId="17" hidden="1">{"annual",#N/A,FALSE,"Pro Forma";#N/A,#N/A,FALSE,"Golf Operations"}</definedName>
    <definedName name="wrn.Annual._.Report." localSheetId="13" hidden="1">{"annual",#N/A,FALSE,"Pro Forma";#N/A,#N/A,FALSE,"Golf Operations"}</definedName>
    <definedName name="wrn.Annual._.Report." localSheetId="36" hidden="1">{"annual",#N/A,FALSE,"Pro Forma";#N/A,#N/A,FALSE,"Golf Operations"}</definedName>
    <definedName name="wrn.Annual._.Report." localSheetId="30" hidden="1">{"annual",#N/A,FALSE,"Pro Forma";#N/A,#N/A,FALSE,"Golf Operations"}</definedName>
    <definedName name="wrn.Annual._.Report." localSheetId="29" hidden="1">{"annual",#N/A,FALSE,"Pro Forma";#N/A,#N/A,FALSE,"Golf Operations"}</definedName>
    <definedName name="wrn.Annual._.Report." localSheetId="33" hidden="1">{"annual",#N/A,FALSE,"Pro Forma";#N/A,#N/A,FALSE,"Golf Operations"}</definedName>
    <definedName name="wrn.Annual._.Report." localSheetId="28" hidden="1">{"annual",#N/A,FALSE,"Pro Forma";#N/A,#N/A,FALSE,"Golf Operations"}</definedName>
    <definedName name="wrn.Annual._.Report." localSheetId="34" hidden="1">{"annual",#N/A,FALSE,"Pro Forma";#N/A,#N/A,FALSE,"Golf Operations"}</definedName>
    <definedName name="wrn.Annual._.Report." hidden="1">{"annual",#N/A,FALSE,"Pro Forma";#N/A,#N/A,FALSE,"Golf Operations"}</definedName>
    <definedName name="wrn.Annual._.Report._.no._.releases." localSheetId="76" hidden="1">{"a_sales",#N/A,FALSE,"Summary";"a_debt",#N/A,FALSE,"Summary";"a_cash",#N/A,FALSE,"Summary";"a_accrual",#N/A,FALSE,"Summary"}</definedName>
    <definedName name="wrn.Annual._.Report._.no._.releases." localSheetId="75" hidden="1">{"a_sales",#N/A,FALSE,"Summary";"a_debt",#N/A,FALSE,"Summary";"a_cash",#N/A,FALSE,"Summary";"a_accrual",#N/A,FALSE,"Summary"}</definedName>
    <definedName name="wrn.Annual._.Report._.no._.releases." localSheetId="15" hidden="1">{"a_sales",#N/A,FALSE,"Summary";"a_debt",#N/A,FALSE,"Summary";"a_cash",#N/A,FALSE,"Summary";"a_accrual",#N/A,FALSE,"Summary"}</definedName>
    <definedName name="wrn.Annual._.Report._.no._.releases." localSheetId="17" hidden="1">{"a_sales",#N/A,FALSE,"Summary";"a_debt",#N/A,FALSE,"Summary";"a_cash",#N/A,FALSE,"Summary";"a_accrual",#N/A,FALSE,"Summary"}</definedName>
    <definedName name="wrn.Annual._.Report._.no._.releases." localSheetId="13" hidden="1">{"a_sales",#N/A,FALSE,"Summary";"a_debt",#N/A,FALSE,"Summary";"a_cash",#N/A,FALSE,"Summary";"a_accrual",#N/A,FALSE,"Summary"}</definedName>
    <definedName name="wrn.Annual._.Report._.no._.releases." localSheetId="36" hidden="1">{"a_sales",#N/A,FALSE,"Summary";"a_debt",#N/A,FALSE,"Summary";"a_cash",#N/A,FALSE,"Summary";"a_accrual",#N/A,FALSE,"Summary"}</definedName>
    <definedName name="wrn.Annual._.Report._.no._.releases." localSheetId="30" hidden="1">{"a_sales",#N/A,FALSE,"Summary";"a_debt",#N/A,FALSE,"Summary";"a_cash",#N/A,FALSE,"Summary";"a_accrual",#N/A,FALSE,"Summary"}</definedName>
    <definedName name="wrn.Annual._.Report._.no._.releases." localSheetId="29" hidden="1">{"a_sales",#N/A,FALSE,"Summary";"a_debt",#N/A,FALSE,"Summary";"a_cash",#N/A,FALSE,"Summary";"a_accrual",#N/A,FALSE,"Summary"}</definedName>
    <definedName name="wrn.Annual._.Report._.no._.releases." localSheetId="33" hidden="1">{"a_sales",#N/A,FALSE,"Summary";"a_debt",#N/A,FALSE,"Summary";"a_cash",#N/A,FALSE,"Summary";"a_accrual",#N/A,FALSE,"Summary"}</definedName>
    <definedName name="wrn.Annual._.Report._.no._.releases." localSheetId="28" hidden="1">{"a_sales",#N/A,FALSE,"Summary";"a_debt",#N/A,FALSE,"Summary";"a_cash",#N/A,FALSE,"Summary";"a_accrual",#N/A,FALSE,"Summary"}</definedName>
    <definedName name="wrn.Annual._.Report._.no._.releases." localSheetId="34"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76" hidden="1">{"a_sales",#N/A,FALSE,"Summary";"a_debt",#N/A,FALSE,"Summary";"a_releases",#N/A,FALSE,"Summary";"a_cash",#N/A,FALSE,"Summary";"a_accrual",#N/A,FALSE,"Summary"}</definedName>
    <definedName name="wrn.Annual._.Report._.with._.releases." localSheetId="75" hidden="1">{"a_sales",#N/A,FALSE,"Summary";"a_debt",#N/A,FALSE,"Summary";"a_releases",#N/A,FALSE,"Summary";"a_cash",#N/A,FALSE,"Summary";"a_accrual",#N/A,FALSE,"Summary"}</definedName>
    <definedName name="wrn.Annual._.Report._.with._.releases." localSheetId="15" hidden="1">{"a_sales",#N/A,FALSE,"Summary";"a_debt",#N/A,FALSE,"Summary";"a_releases",#N/A,FALSE,"Summary";"a_cash",#N/A,FALSE,"Summary";"a_accrual",#N/A,FALSE,"Summary"}</definedName>
    <definedName name="wrn.Annual._.Report._.with._.releases." localSheetId="17" hidden="1">{"a_sales",#N/A,FALSE,"Summary";"a_debt",#N/A,FALSE,"Summary";"a_releases",#N/A,FALSE,"Summary";"a_cash",#N/A,FALSE,"Summary";"a_accrual",#N/A,FALSE,"Summary"}</definedName>
    <definedName name="wrn.Annual._.Report._.with._.releases." localSheetId="13" hidden="1">{"a_sales",#N/A,FALSE,"Summary";"a_debt",#N/A,FALSE,"Summary";"a_releases",#N/A,FALSE,"Summary";"a_cash",#N/A,FALSE,"Summary";"a_accrual",#N/A,FALSE,"Summary"}</definedName>
    <definedName name="wrn.Annual._.Report._.with._.releases." localSheetId="36" hidden="1">{"a_sales",#N/A,FALSE,"Summary";"a_debt",#N/A,FALSE,"Summary";"a_releases",#N/A,FALSE,"Summary";"a_cash",#N/A,FALSE,"Summary";"a_accrual",#N/A,FALSE,"Summary"}</definedName>
    <definedName name="wrn.Annual._.Report._.with._.releases." localSheetId="30" hidden="1">{"a_sales",#N/A,FALSE,"Summary";"a_debt",#N/A,FALSE,"Summary";"a_releases",#N/A,FALSE,"Summary";"a_cash",#N/A,FALSE,"Summary";"a_accrual",#N/A,FALSE,"Summary"}</definedName>
    <definedName name="wrn.Annual._.Report._.with._.releases." localSheetId="29" hidden="1">{"a_sales",#N/A,FALSE,"Summary";"a_debt",#N/A,FALSE,"Summary";"a_releases",#N/A,FALSE,"Summary";"a_cash",#N/A,FALSE,"Summary";"a_accrual",#N/A,FALSE,"Summary"}</definedName>
    <definedName name="wrn.Annual._.Report._.with._.releases." localSheetId="33" hidden="1">{"a_sales",#N/A,FALSE,"Summary";"a_debt",#N/A,FALSE,"Summary";"a_releases",#N/A,FALSE,"Summary";"a_cash",#N/A,FALSE,"Summary";"a_accrual",#N/A,FALSE,"Summary"}</definedName>
    <definedName name="wrn.Annual._.Report._.with._.releases." localSheetId="28" hidden="1">{"a_sales",#N/A,FALSE,"Summary";"a_debt",#N/A,FALSE,"Summary";"a_releases",#N/A,FALSE,"Summary";"a_cash",#N/A,FALSE,"Summary";"a_accrual",#N/A,FALSE,"Summary"}</definedName>
    <definedName name="wrn.Annual._.Report._.with._.releases." localSheetId="34"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76" hidden="1">{"ISP1Y5",#N/A,TRUE,"Template";"ISP2Y5",#N/A,TRUE,"Template";"BSY5",#N/A,TRUE,"Template";"ICFY5",#N/A,TRUE,"Template";"TPY5",#N/A,TRUE,"Template";"CtrlY5",#N/A,TRUE,"Template"}</definedName>
    <definedName name="wrn.Annual_5yr." localSheetId="75" hidden="1">{"ISP1Y5",#N/A,TRUE,"Template";"ISP2Y5",#N/A,TRUE,"Template";"BSY5",#N/A,TRUE,"Template";"ICFY5",#N/A,TRUE,"Template";"TPY5",#N/A,TRUE,"Template";"CtrlY5",#N/A,TRUE,"Template"}</definedName>
    <definedName name="wrn.Annual_5yr." localSheetId="15" hidden="1">{"ISP1Y5",#N/A,TRUE,"Template";"ISP2Y5",#N/A,TRUE,"Template";"BSY5",#N/A,TRUE,"Template";"ICFY5",#N/A,TRUE,"Template";"TPY5",#N/A,TRUE,"Template";"CtrlY5",#N/A,TRUE,"Template"}</definedName>
    <definedName name="wrn.Annual_5yr." localSheetId="17" hidden="1">{"ISP1Y5",#N/A,TRUE,"Template";"ISP2Y5",#N/A,TRUE,"Template";"BSY5",#N/A,TRUE,"Template";"ICFY5",#N/A,TRUE,"Template";"TPY5",#N/A,TRUE,"Template";"CtrlY5",#N/A,TRUE,"Template"}</definedName>
    <definedName name="wrn.Annual_5yr." localSheetId="13" hidden="1">{"ISP1Y5",#N/A,TRUE,"Template";"ISP2Y5",#N/A,TRUE,"Template";"BSY5",#N/A,TRUE,"Template";"ICFY5",#N/A,TRUE,"Template";"TPY5",#N/A,TRUE,"Template";"CtrlY5",#N/A,TRUE,"Template"}</definedName>
    <definedName name="wrn.Annual_5yr." localSheetId="36" hidden="1">{"ISP1Y5",#N/A,TRUE,"Template";"ISP2Y5",#N/A,TRUE,"Template";"BSY5",#N/A,TRUE,"Template";"ICFY5",#N/A,TRUE,"Template";"TPY5",#N/A,TRUE,"Template";"CtrlY5",#N/A,TRUE,"Template"}</definedName>
    <definedName name="wrn.Annual_5yr." localSheetId="30" hidden="1">{"ISP1Y5",#N/A,TRUE,"Template";"ISP2Y5",#N/A,TRUE,"Template";"BSY5",#N/A,TRUE,"Template";"ICFY5",#N/A,TRUE,"Template";"TPY5",#N/A,TRUE,"Template";"CtrlY5",#N/A,TRUE,"Template"}</definedName>
    <definedName name="wrn.Annual_5yr." localSheetId="29" hidden="1">{"ISP1Y5",#N/A,TRUE,"Template";"ISP2Y5",#N/A,TRUE,"Template";"BSY5",#N/A,TRUE,"Template";"ICFY5",#N/A,TRUE,"Template";"TPY5",#N/A,TRUE,"Template";"CtrlY5",#N/A,TRUE,"Template"}</definedName>
    <definedName name="wrn.Annual_5yr." localSheetId="33" hidden="1">{"ISP1Y5",#N/A,TRUE,"Template";"ISP2Y5",#N/A,TRUE,"Template";"BSY5",#N/A,TRUE,"Template";"ICFY5",#N/A,TRUE,"Template";"TPY5",#N/A,TRUE,"Template";"CtrlY5",#N/A,TRUE,"Template"}</definedName>
    <definedName name="wrn.Annual_5yr." localSheetId="28" hidden="1">{"ISP1Y5",#N/A,TRUE,"Template";"ISP2Y5",#N/A,TRUE,"Template";"BSY5",#N/A,TRUE,"Template";"ICFY5",#N/A,TRUE,"Template";"TPY5",#N/A,TRUE,"Template";"CtrlY5",#N/A,TRUE,"Template"}</definedName>
    <definedName name="wrn.Annual_5yr." localSheetId="34" hidden="1">{"ISP1Y5",#N/A,TRUE,"Template";"ISP2Y5",#N/A,TRUE,"Template";"BSY5",#N/A,TRUE,"Template";"ICFY5",#N/A,TRUE,"Template";"TPY5",#N/A,TRUE,"Template";"CtrlY5",#N/A,TRUE,"Template"}</definedName>
    <definedName name="wrn.Annual_5yr." localSheetId="1"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ssets." localSheetId="76" hidden="1">{"ASSETS",#N/A,FALSE,"Assets"}</definedName>
    <definedName name="wrn.Assets." localSheetId="75" hidden="1">{"ASSETS",#N/A,FALSE,"Assets"}</definedName>
    <definedName name="wrn.Assets." localSheetId="15" hidden="1">{"ASSETS",#N/A,FALSE,"Assets"}</definedName>
    <definedName name="wrn.Assets." localSheetId="17" hidden="1">{"ASSETS",#N/A,FALSE,"Assets"}</definedName>
    <definedName name="wrn.Assets." localSheetId="13" hidden="1">{"ASSETS",#N/A,FALSE,"Assets"}</definedName>
    <definedName name="wrn.Assets." localSheetId="36" hidden="1">{"ASSETS",#N/A,FALSE,"Assets"}</definedName>
    <definedName name="wrn.Assets." localSheetId="30" hidden="1">{"ASSETS",#N/A,FALSE,"Assets"}</definedName>
    <definedName name="wrn.Assets." localSheetId="29" hidden="1">{"ASSETS",#N/A,FALSE,"Assets"}</definedName>
    <definedName name="wrn.Assets." localSheetId="33" hidden="1">{"ASSETS",#N/A,FALSE,"Assets"}</definedName>
    <definedName name="wrn.Assets." localSheetId="28" hidden="1">{"ASSETS",#N/A,FALSE,"Assets"}</definedName>
    <definedName name="wrn.Assets." localSheetId="34" hidden="1">{"ASSETS",#N/A,FALSE,"Assets"}</definedName>
    <definedName name="wrn.Assets." localSheetId="1" hidden="1">{"ASSETS",#N/A,FALSE,"Assets"}</definedName>
    <definedName name="wrn.Assets." hidden="1">{"ASSETS",#N/A,FALSE,"Assets"}</definedName>
    <definedName name="wrn.ASSOC_CO." localSheetId="76" hidden="1">{"ASSC_CO",#N/A,FALSE,"A"}</definedName>
    <definedName name="wrn.ASSOC_CO." localSheetId="75" hidden="1">{"ASSC_CO",#N/A,FALSE,"A"}</definedName>
    <definedName name="wrn.ASSOC_CO." localSheetId="15" hidden="1">{"ASSC_CO",#N/A,FALSE,"A"}</definedName>
    <definedName name="wrn.ASSOC_CO." localSheetId="17" hidden="1">{"ASSC_CO",#N/A,FALSE,"A"}</definedName>
    <definedName name="wrn.ASSOC_CO." localSheetId="13" hidden="1">{"ASSC_CO",#N/A,FALSE,"A"}</definedName>
    <definedName name="wrn.ASSOC_CO." localSheetId="36" hidden="1">{"ASSC_CO",#N/A,FALSE,"A"}</definedName>
    <definedName name="wrn.ASSOC_CO." localSheetId="30" hidden="1">{"ASSC_CO",#N/A,FALSE,"A"}</definedName>
    <definedName name="wrn.ASSOC_CO." localSheetId="29" hidden="1">{"ASSC_CO",#N/A,FALSE,"A"}</definedName>
    <definedName name="wrn.ASSOC_CO." localSheetId="33" hidden="1">{"ASSC_CO",#N/A,FALSE,"A"}</definedName>
    <definedName name="wrn.ASSOC_CO." localSheetId="28" hidden="1">{"ASSC_CO",#N/A,FALSE,"A"}</definedName>
    <definedName name="wrn.ASSOC_CO." localSheetId="34" hidden="1">{"ASSC_CO",#N/A,FALSE,"A"}</definedName>
    <definedName name="wrn.ASSOC_CO." localSheetId="1" hidden="1">{"ASSC_CO",#N/A,FALSE,"A"}</definedName>
    <definedName name="wrn.ASSOC_CO." hidden="1">{"ASSC_CO",#N/A,FALSE,"A"}</definedName>
    <definedName name="wrn.BidCo." localSheetId="76" hidden="1">{#N/A,#N/A,FALSE,"BidCo Assumptions";#N/A,#N/A,FALSE,"Credit Stats";#N/A,#N/A,FALSE,"Bidco Summary";#N/A,#N/A,FALSE,"BIDCO Consolidated"}</definedName>
    <definedName name="wrn.BidCo." localSheetId="75" hidden="1">{#N/A,#N/A,FALSE,"BidCo Assumptions";#N/A,#N/A,FALSE,"Credit Stats";#N/A,#N/A,FALSE,"Bidco Summary";#N/A,#N/A,FALSE,"BIDCO Consolidated"}</definedName>
    <definedName name="wrn.BidCo." localSheetId="15" hidden="1">{#N/A,#N/A,FALSE,"BidCo Assumptions";#N/A,#N/A,FALSE,"Credit Stats";#N/A,#N/A,FALSE,"Bidco Summary";#N/A,#N/A,FALSE,"BIDCO Consolidated"}</definedName>
    <definedName name="wrn.BidCo." localSheetId="17" hidden="1">{#N/A,#N/A,FALSE,"BidCo Assumptions";#N/A,#N/A,FALSE,"Credit Stats";#N/A,#N/A,FALSE,"Bidco Summary";#N/A,#N/A,FALSE,"BIDCO Consolidated"}</definedName>
    <definedName name="wrn.BidCo." localSheetId="13" hidden="1">{#N/A,#N/A,FALSE,"BidCo Assumptions";#N/A,#N/A,FALSE,"Credit Stats";#N/A,#N/A,FALSE,"Bidco Summary";#N/A,#N/A,FALSE,"BIDCO Consolidated"}</definedName>
    <definedName name="wrn.BidCo." localSheetId="36" hidden="1">{#N/A,#N/A,FALSE,"BidCo Assumptions";#N/A,#N/A,FALSE,"Credit Stats";#N/A,#N/A,FALSE,"Bidco Summary";#N/A,#N/A,FALSE,"BIDCO Consolidated"}</definedName>
    <definedName name="wrn.BidCo." localSheetId="30" hidden="1">{#N/A,#N/A,FALSE,"BidCo Assumptions";#N/A,#N/A,FALSE,"Credit Stats";#N/A,#N/A,FALSE,"Bidco Summary";#N/A,#N/A,FALSE,"BIDCO Consolidated"}</definedName>
    <definedName name="wrn.BidCo." localSheetId="29" hidden="1">{#N/A,#N/A,FALSE,"BidCo Assumptions";#N/A,#N/A,FALSE,"Credit Stats";#N/A,#N/A,FALSE,"Bidco Summary";#N/A,#N/A,FALSE,"BIDCO Consolidated"}</definedName>
    <definedName name="wrn.BidCo." localSheetId="33"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76" hidden="1">{"BS",#N/A,FALSE,"A"}</definedName>
    <definedName name="wrn.BS." localSheetId="75" hidden="1">{"BS",#N/A,FALSE,"A"}</definedName>
    <definedName name="wrn.BS." localSheetId="15" hidden="1">{"BS",#N/A,FALSE,"A"}</definedName>
    <definedName name="wrn.BS." localSheetId="17" hidden="1">{"BS",#N/A,FALSE,"A"}</definedName>
    <definedName name="wrn.BS." localSheetId="13" hidden="1">{"BS",#N/A,FALSE,"A"}</definedName>
    <definedName name="wrn.BS." localSheetId="36" hidden="1">{"BS",#N/A,FALSE,"A"}</definedName>
    <definedName name="wrn.BS." localSheetId="30" hidden="1">{"BS",#N/A,FALSE,"A"}</definedName>
    <definedName name="wrn.BS." localSheetId="29" hidden="1">{"BS",#N/A,FALSE,"A"}</definedName>
    <definedName name="wrn.BS." localSheetId="33" hidden="1">{"BS",#N/A,FALSE,"A"}</definedName>
    <definedName name="wrn.BS." localSheetId="28" hidden="1">{"BS",#N/A,FALSE,"A"}</definedName>
    <definedName name="wrn.BS." localSheetId="34" hidden="1">{"BS",#N/A,FALSE,"A"}</definedName>
    <definedName name="wrn.BS." localSheetId="1" hidden="1">{"BS",#N/A,FALSE,"A"}</definedName>
    <definedName name="wrn.BS." hidden="1">{"BS",#N/A,FALSE,"A"}</definedName>
    <definedName name="wrn.BUS._.RPT." localSheetId="76" hidden="1">{#N/A,#N/A,FALSE,"P&amp;L Ttl";#N/A,#N/A,FALSE,"P&amp;L C_Ttl New";#N/A,#N/A,FALSE,"Bus Res";#N/A,#N/A,FALSE,"Chrts";#N/A,#N/A,FALSE,"pcf";#N/A,#N/A,FALSE,"pcr ";#N/A,#N/A,FALSE,"Exp Stmt ";#N/A,#N/A,FALSE,"Exp Stmt BU";#N/A,#N/A,FALSE,"Cap";#N/A,#N/A,FALSE,"IT Ytd"}</definedName>
    <definedName name="wrn.BUS._.RPT." localSheetId="75"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localSheetId="17"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36" hidden="1">{#N/A,#N/A,FALSE,"P&amp;L Ttl";#N/A,#N/A,FALSE,"P&amp;L C_Ttl New";#N/A,#N/A,FALSE,"Bus Res";#N/A,#N/A,FALSE,"Chrts";#N/A,#N/A,FALSE,"pcf";#N/A,#N/A,FALSE,"pcr ";#N/A,#N/A,FALSE,"Exp Stmt ";#N/A,#N/A,FALSE,"Exp Stmt BU";#N/A,#N/A,FALSE,"Cap";#N/A,#N/A,FALSE,"IT Ytd"}</definedName>
    <definedName name="wrn.BUS._.RPT." localSheetId="30" hidden="1">{#N/A,#N/A,FALSE,"P&amp;L Ttl";#N/A,#N/A,FALSE,"P&amp;L C_Ttl New";#N/A,#N/A,FALSE,"Bus Res";#N/A,#N/A,FALSE,"Chrts";#N/A,#N/A,FALSE,"pcf";#N/A,#N/A,FALSE,"pcr ";#N/A,#N/A,FALSE,"Exp Stmt ";#N/A,#N/A,FALSE,"Exp Stmt BU";#N/A,#N/A,FALSE,"Cap";#N/A,#N/A,FALSE,"IT Ytd"}</definedName>
    <definedName name="wrn.BUS._.RPT." localSheetId="29" hidden="1">{#N/A,#N/A,FALSE,"P&amp;L Ttl";#N/A,#N/A,FALSE,"P&amp;L C_Ttl New";#N/A,#N/A,FALSE,"Bus Res";#N/A,#N/A,FALSE,"Chrts";#N/A,#N/A,FALSE,"pcf";#N/A,#N/A,FALSE,"pcr ";#N/A,#N/A,FALSE,"Exp Stmt ";#N/A,#N/A,FALSE,"Exp Stmt BU";#N/A,#N/A,FALSE,"Cap";#N/A,#N/A,FALSE,"IT Ytd"}</definedName>
    <definedName name="wrn.BUS._.RPT." localSheetId="3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76" hidden="1">{#N/A,#N/A,FALSE,"Sheet5"}</definedName>
    <definedName name="wrn.CASH." localSheetId="75" hidden="1">{#N/A,#N/A,FALSE,"Sheet5"}</definedName>
    <definedName name="wrn.CASH." localSheetId="15" hidden="1">{#N/A,#N/A,FALSE,"Sheet5"}</definedName>
    <definedName name="wrn.CASH." localSheetId="17" hidden="1">{#N/A,#N/A,FALSE,"Sheet5"}</definedName>
    <definedName name="wrn.CASH." localSheetId="13" hidden="1">{#N/A,#N/A,FALSE,"Sheet5"}</definedName>
    <definedName name="wrn.CASH." localSheetId="36" hidden="1">{#N/A,#N/A,FALSE,"Sheet5"}</definedName>
    <definedName name="wrn.CASH." localSheetId="30" hidden="1">{#N/A,#N/A,FALSE,"Sheet5"}</definedName>
    <definedName name="wrn.CASH." localSheetId="29" hidden="1">{#N/A,#N/A,FALSE,"Sheet5"}</definedName>
    <definedName name="wrn.CASH." localSheetId="33" hidden="1">{#N/A,#N/A,FALSE,"Sheet5"}</definedName>
    <definedName name="wrn.CASH." localSheetId="28" hidden="1">{#N/A,#N/A,FALSE,"Sheet5"}</definedName>
    <definedName name="wrn.CASH." localSheetId="34" hidden="1">{#N/A,#N/A,FALSE,"Sheet5"}</definedName>
    <definedName name="wrn.CASH." hidden="1">{#N/A,#N/A,FALSE,"Sheet5"}</definedName>
    <definedName name="wrn.Cash._.and._.Accrual." localSheetId="76" hidden="1">{"a_cash",#N/A,FALSE,"Summary";"a_accrual",#N/A,FALSE,"Summary"}</definedName>
    <definedName name="wrn.Cash._.and._.Accrual." localSheetId="75" hidden="1">{"a_cash",#N/A,FALSE,"Summary";"a_accrual",#N/A,FALSE,"Summary"}</definedName>
    <definedName name="wrn.Cash._.and._.Accrual." localSheetId="15" hidden="1">{"a_cash",#N/A,FALSE,"Summary";"a_accrual",#N/A,FALSE,"Summary"}</definedName>
    <definedName name="wrn.Cash._.and._.Accrual." localSheetId="17" hidden="1">{"a_cash",#N/A,FALSE,"Summary";"a_accrual",#N/A,FALSE,"Summary"}</definedName>
    <definedName name="wrn.Cash._.and._.Accrual." localSheetId="13" hidden="1">{"a_cash",#N/A,FALSE,"Summary";"a_accrual",#N/A,FALSE,"Summary"}</definedName>
    <definedName name="wrn.Cash._.and._.Accrual." localSheetId="36" hidden="1">{"a_cash",#N/A,FALSE,"Summary";"a_accrual",#N/A,FALSE,"Summary"}</definedName>
    <definedName name="wrn.Cash._.and._.Accrual." localSheetId="30" hidden="1">{"a_cash",#N/A,FALSE,"Summary";"a_accrual",#N/A,FALSE,"Summary"}</definedName>
    <definedName name="wrn.Cash._.and._.Accrual." localSheetId="29" hidden="1">{"a_cash",#N/A,FALSE,"Summary";"a_accrual",#N/A,FALSE,"Summary"}</definedName>
    <definedName name="wrn.Cash._.and._.Accrual." localSheetId="33" hidden="1">{"a_cash",#N/A,FALSE,"Summary";"a_accrual",#N/A,FALSE,"Summary"}</definedName>
    <definedName name="wrn.Cash._.and._.Accrual." localSheetId="28" hidden="1">{"a_cash",#N/A,FALSE,"Summary";"a_accrual",#N/A,FALSE,"Summary"}</definedName>
    <definedName name="wrn.Cash._.and._.Accrual." localSheetId="34" hidden="1">{"a_cash",#N/A,FALSE,"Summary";"a_accrual",#N/A,FALSE,"Summary"}</definedName>
    <definedName name="wrn.Cash._.and._.Accrual." hidden="1">{"a_cash",#N/A,FALSE,"Summary";"a_accrual",#N/A,FALSE,"Summary"}</definedName>
    <definedName name="wrn.Combined._.YTD." localSheetId="76" hidden="1">{"YTD-Total",#N/A,TRUE,"Provision";"YTD-Utility",#N/A,TRUE,"Prov Utility";"YTD-NonUtility",#N/A,TRUE,"Prov NonUtility"}</definedName>
    <definedName name="wrn.Combined._.YTD." localSheetId="75"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localSheetId="17"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36" hidden="1">{"YTD-Total",#N/A,TRUE,"Provision";"YTD-Utility",#N/A,TRUE,"Prov Utility";"YTD-NonUtility",#N/A,TRUE,"Prov NonUtility"}</definedName>
    <definedName name="wrn.Combined._.YTD." localSheetId="30" hidden="1">{"YTD-Total",#N/A,TRUE,"Provision";"YTD-Utility",#N/A,TRUE,"Prov Utility";"YTD-NonUtility",#N/A,TRUE,"Prov NonUtility"}</definedName>
    <definedName name="wrn.Combined._.YTD." localSheetId="29" hidden="1">{"YTD-Total",#N/A,TRUE,"Provision";"YTD-Utility",#N/A,TRUE,"Prov Utility";"YTD-NonUtility",#N/A,TRUE,"Prov NonUtility"}</definedName>
    <definedName name="wrn.Combined._.YTD." localSheetId="33"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76"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75"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5"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7"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6"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9"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76" hidden="1">{"Conol gross povision grouped",#N/A,FALSE,"Consol Gross";"Consol Gross Grouped",#N/A,FALSE,"Consol Gross"}</definedName>
    <definedName name="wrn.ConsolGrossGrp." localSheetId="75"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localSheetId="17"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36" hidden="1">{"Conol gross povision grouped",#N/A,FALSE,"Consol Gross";"Consol Gross Grouped",#N/A,FALSE,"Consol Gross"}</definedName>
    <definedName name="wrn.ConsolGrossGrp." localSheetId="30" hidden="1">{"Conol gross povision grouped",#N/A,FALSE,"Consol Gross";"Consol Gross Grouped",#N/A,FALSE,"Consol Gross"}</definedName>
    <definedName name="wrn.ConsolGrossGrp." localSheetId="29" hidden="1">{"Conol gross povision grouped",#N/A,FALSE,"Consol Gross";"Consol Gross Grouped",#N/A,FALSE,"Consol Gross"}</definedName>
    <definedName name="wrn.ConsolGrossGrp." localSheetId="33" hidden="1">{"Conol gross povision grouped",#N/A,FALSE,"Consol Gross";"Consol Gross Grouped",#N/A,FALSE,"Consol Gross"}</definedName>
    <definedName name="wrn.ConsolGrossGrp." hidden="1">{"Conol gross povision grouped",#N/A,FALSE,"Consol Gross";"Consol Gross Grouped",#N/A,FALSE,"Consol Gross"}</definedName>
    <definedName name="wrn.Current._.Estimate." localSheetId="76"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75"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5"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7"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6"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9"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4"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CF._.Valuation." localSheetId="76" hidden="1">{"value box",#N/A,TRUE,"DPL Inc. Fin Statements";"unlevered free cash flows",#N/A,TRUE,"DPL Inc. Fin Statements"}</definedName>
    <definedName name="wrn.DCF._.Valuation." localSheetId="75" hidden="1">{"value box",#N/A,TRUE,"DPL Inc. Fin Statements";"unlevered free cash flows",#N/A,TRUE,"DPL Inc. Fin Statements"}</definedName>
    <definedName name="wrn.DCF._.Valuation." localSheetId="15" hidden="1">{"value box",#N/A,TRUE,"DPL Inc. Fin Statements";"unlevered free cash flows",#N/A,TRUE,"DPL Inc. Fin Statements"}</definedName>
    <definedName name="wrn.DCF._.Valuation." localSheetId="17" hidden="1">{"value box",#N/A,TRUE,"DPL Inc. Fin Statements";"unlevered free cash flows",#N/A,TRUE,"DPL Inc. Fin Statements"}</definedName>
    <definedName name="wrn.DCF._.Valuation." localSheetId="13" hidden="1">{"value box",#N/A,TRUE,"DPL Inc. Fin Statements";"unlevered free cash flows",#N/A,TRUE,"DPL Inc. Fin Statements"}</definedName>
    <definedName name="wrn.DCF._.Valuation." localSheetId="36" hidden="1">{"value box",#N/A,TRUE,"DPL Inc. Fin Statements";"unlevered free cash flows",#N/A,TRUE,"DPL Inc. Fin Statements"}</definedName>
    <definedName name="wrn.DCF._.Valuation." localSheetId="30" hidden="1">{"value box",#N/A,TRUE,"DPL Inc. Fin Statements";"unlevered free cash flows",#N/A,TRUE,"DPL Inc. Fin Statements"}</definedName>
    <definedName name="wrn.DCF._.Valuation." localSheetId="29" hidden="1">{"value box",#N/A,TRUE,"DPL Inc. Fin Statements";"unlevered free cash flows",#N/A,TRUE,"DPL Inc. Fin Statements"}</definedName>
    <definedName name="wrn.DCF._.Valuation." localSheetId="33" hidden="1">{"value box",#N/A,TRUE,"DPL Inc. Fin Statements";"unlevered free cash flows",#N/A,TRUE,"DPL Inc. Fin Statements"}</definedName>
    <definedName name="wrn.DCF._.Valuation." hidden="1">{"value box",#N/A,TRUE,"DPL Inc. Fin Statements";"unlevered free cash flows",#N/A,TRUE,"DPL Inc. Fin Statements"}</definedName>
    <definedName name="wrn.Detail." localSheetId="76" hidden="1">{"Print_Detail",#N/A,FALSE,"Redemption_Maturity Extract"}</definedName>
    <definedName name="wrn.Detail." localSheetId="75" hidden="1">{"Print_Detail",#N/A,FALSE,"Redemption_Maturity Extract"}</definedName>
    <definedName name="wrn.Detail." localSheetId="15" hidden="1">{"Print_Detail",#N/A,FALSE,"Redemption_Maturity Extract"}</definedName>
    <definedName name="wrn.Detail." localSheetId="17" hidden="1">{"Print_Detail",#N/A,FALSE,"Redemption_Maturity Extract"}</definedName>
    <definedName name="wrn.Detail." localSheetId="13" hidden="1">{"Print_Detail",#N/A,FALSE,"Redemption_Maturity Extract"}</definedName>
    <definedName name="wrn.Detail." localSheetId="36" hidden="1">{"Print_Detail",#N/A,FALSE,"Redemption_Maturity Extract"}</definedName>
    <definedName name="wrn.Detail." localSheetId="30" hidden="1">{"Print_Detail",#N/A,FALSE,"Redemption_Maturity Extract"}</definedName>
    <definedName name="wrn.Detail." localSheetId="29" hidden="1">{"Print_Detail",#N/A,FALSE,"Redemption_Maturity Extract"}</definedName>
    <definedName name="wrn.Detail." localSheetId="33" hidden="1">{"Print_Detail",#N/A,FALSE,"Redemption_Maturity Extract"}</definedName>
    <definedName name="wrn.Detail." localSheetId="28" hidden="1">{"Print_Detail",#N/A,FALSE,"Redemption_Maturity Extract"}</definedName>
    <definedName name="wrn.Detail." localSheetId="34" hidden="1">{"Print_Detail",#N/A,FALSE,"Redemption_Maturity Extract"}</definedName>
    <definedName name="wrn.Detail." hidden="1">{"Print_Detail",#N/A,FALSE,"Redemption_Maturity Extract"}</definedName>
    <definedName name="wrn.Diane._.s._.Version." localSheetId="76" hidden="1">{"Full",#N/A,FALSE,"Sec MTN B Summary"}</definedName>
    <definedName name="wrn.Diane._.s._.Version." localSheetId="75" hidden="1">{"Full",#N/A,FALSE,"Sec MTN B Summary"}</definedName>
    <definedName name="wrn.Diane._.s._.Version." localSheetId="15" hidden="1">{"Full",#N/A,FALSE,"Sec MTN B Summary"}</definedName>
    <definedName name="wrn.Diane._.s._.Version." localSheetId="17" hidden="1">{"Full",#N/A,FALSE,"Sec MTN B Summary"}</definedName>
    <definedName name="wrn.Diane._.s._.Version." localSheetId="13" hidden="1">{"Full",#N/A,FALSE,"Sec MTN B Summary"}</definedName>
    <definedName name="wrn.Diane._.s._.Version." localSheetId="36" hidden="1">{"Full",#N/A,FALSE,"Sec MTN B Summary"}</definedName>
    <definedName name="wrn.Diane._.s._.Version." localSheetId="30" hidden="1">{"Full",#N/A,FALSE,"Sec MTN B Summary"}</definedName>
    <definedName name="wrn.Diane._.s._.Version." localSheetId="29" hidden="1">{"Full",#N/A,FALSE,"Sec MTN B Summary"}</definedName>
    <definedName name="wrn.Diane._.s._.Version." localSheetId="33" hidden="1">{"Full",#N/A,FALSE,"Sec MTN B Summary"}</definedName>
    <definedName name="wrn.Diane._.s._.Version." localSheetId="28" hidden="1">{"Full",#N/A,FALSE,"Sec MTN B Summary"}</definedName>
    <definedName name="wrn.Diane._.s._.Version." localSheetId="34" hidden="1">{"Full",#N/A,FALSE,"Sec MTN B Summary"}</definedName>
    <definedName name="wrn.Diane._.s._.Version." hidden="1">{"Full",#N/A,FALSE,"Sec MTN B Summary"}</definedName>
    <definedName name="wrn.Distribution._.Version." localSheetId="76" hidden="1">{"RedPrem_InitRed View",#N/A,FALSE,"Sec MTN B Summary"}</definedName>
    <definedName name="wrn.Distribution._.Version." localSheetId="75" hidden="1">{"RedPrem_InitRed View",#N/A,FALSE,"Sec MTN B Summary"}</definedName>
    <definedName name="wrn.Distribution._.Version." localSheetId="15" hidden="1">{"RedPrem_InitRed View",#N/A,FALSE,"Sec MTN B Summary"}</definedName>
    <definedName name="wrn.Distribution._.Version." localSheetId="17" hidden="1">{"RedPrem_InitRed View",#N/A,FALSE,"Sec MTN B Summary"}</definedName>
    <definedName name="wrn.Distribution._.Version." localSheetId="13" hidden="1">{"RedPrem_InitRed View",#N/A,FALSE,"Sec MTN B Summary"}</definedName>
    <definedName name="wrn.Distribution._.Version." localSheetId="36" hidden="1">{"RedPrem_InitRed View",#N/A,FALSE,"Sec MTN B Summary"}</definedName>
    <definedName name="wrn.Distribution._.Version." localSheetId="30" hidden="1">{"RedPrem_InitRed View",#N/A,FALSE,"Sec MTN B Summary"}</definedName>
    <definedName name="wrn.Distribution._.Version." localSheetId="29" hidden="1">{"RedPrem_InitRed View",#N/A,FALSE,"Sec MTN B Summary"}</definedName>
    <definedName name="wrn.Distribution._.Version." localSheetId="33" hidden="1">{"RedPrem_InitRed View",#N/A,FALSE,"Sec MTN B Summary"}</definedName>
    <definedName name="wrn.Distribution._.Version." localSheetId="28" hidden="1">{"RedPrem_InitRed View",#N/A,FALSE,"Sec MTN B Summary"}</definedName>
    <definedName name="wrn.Distribution._.Version." localSheetId="34" hidden="1">{"RedPrem_InitRed View",#N/A,FALSE,"Sec MTN B Summary"}</definedName>
    <definedName name="wrn.Distribution._.Version." hidden="1">{"RedPrem_InitRed View",#N/A,FALSE,"Sec MTN B Summary"}</definedName>
    <definedName name="wrn.Factors._.Tab._.10." localSheetId="76" hidden="1">{"Factors Pages 1-2",#N/A,FALSE,"Factors";"Factors Page 3",#N/A,FALSE,"Factors";"Factors Page 4",#N/A,FALSE,"Factors";"Factors Page 5",#N/A,FALSE,"Factors";"Factors Pages 8-27",#N/A,FALSE,"Factors"}</definedName>
    <definedName name="wrn.Factors._.Tab._.10." localSheetId="75"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36" hidden="1">{"Factors Pages 1-2",#N/A,FALSE,"Factors";"Factors Page 3",#N/A,FALSE,"Factors";"Factors Page 4",#N/A,FALSE,"Factors";"Factors Page 5",#N/A,FALSE,"Factors";"Factors Pages 8-27",#N/A,FALSE,"Factors"}</definedName>
    <definedName name="wrn.Factors._.Tab._.10." localSheetId="30" hidden="1">{"Factors Pages 1-2",#N/A,FALSE,"Factors";"Factors Page 3",#N/A,FALSE,"Factors";"Factors Page 4",#N/A,FALSE,"Factors";"Factors Page 5",#N/A,FALSE,"Factors";"Factors Pages 8-27",#N/A,FALSE,"Factors"}</definedName>
    <definedName name="wrn.Factors._.Tab._.10." localSheetId="29" hidden="1">{"Factors Pages 1-2",#N/A,FALSE,"Factors";"Factors Page 3",#N/A,FALSE,"Factors";"Factors Page 4",#N/A,FALSE,"Factors";"Factors Page 5",#N/A,FALSE,"Factors";"Factors Pages 8-27",#N/A,FALSE,"Factors"}</definedName>
    <definedName name="wrn.Factors._.Tab._.10." localSheetId="3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76" hidden="1">{"FCB_ALL",#N/A,FALSE,"FCB"}</definedName>
    <definedName name="wrn.FCB." localSheetId="75" hidden="1">{"FCB_ALL",#N/A,FALSE,"FCB"}</definedName>
    <definedName name="wrn.FCB." localSheetId="15" hidden="1">{"FCB_ALL",#N/A,FALSE,"FCB"}</definedName>
    <definedName name="wrn.FCB." localSheetId="17" hidden="1">{"FCB_ALL",#N/A,FALSE,"FCB"}</definedName>
    <definedName name="wrn.FCB." localSheetId="13" hidden="1">{"FCB_ALL",#N/A,FALSE,"FCB"}</definedName>
    <definedName name="wrn.FCB." localSheetId="36" hidden="1">{"FCB_ALL",#N/A,FALSE,"FCB"}</definedName>
    <definedName name="wrn.FCB." localSheetId="30" hidden="1">{"FCB_ALL",#N/A,FALSE,"FCB"}</definedName>
    <definedName name="wrn.FCB." localSheetId="29" hidden="1">{"FCB_ALL",#N/A,FALSE,"FCB"}</definedName>
    <definedName name="wrn.FCB." localSheetId="33" hidden="1">{"FCB_ALL",#N/A,FALSE,"FCB"}</definedName>
    <definedName name="wrn.FCB." hidden="1">{"FCB_ALL",#N/A,FALSE,"FCB"}</definedName>
    <definedName name="wrn.fcb2" localSheetId="76" hidden="1">{"FCB_ALL",#N/A,FALSE,"FCB"}</definedName>
    <definedName name="wrn.fcb2" localSheetId="75" hidden="1">{"FCB_ALL",#N/A,FALSE,"FCB"}</definedName>
    <definedName name="wrn.fcb2" localSheetId="15" hidden="1">{"FCB_ALL",#N/A,FALSE,"FCB"}</definedName>
    <definedName name="wrn.fcb2" localSheetId="17" hidden="1">{"FCB_ALL",#N/A,FALSE,"FCB"}</definedName>
    <definedName name="wrn.fcb2" localSheetId="13" hidden="1">{"FCB_ALL",#N/A,FALSE,"FCB"}</definedName>
    <definedName name="wrn.fcb2" localSheetId="36" hidden="1">{"FCB_ALL",#N/A,FALSE,"FCB"}</definedName>
    <definedName name="wrn.fcb2" localSheetId="30" hidden="1">{"FCB_ALL",#N/A,FALSE,"FCB"}</definedName>
    <definedName name="wrn.fcb2" localSheetId="29" hidden="1">{"FCB_ALL",#N/A,FALSE,"FCB"}</definedName>
    <definedName name="wrn.fcb2" localSheetId="33" hidden="1">{"FCB_ALL",#N/A,FALSE,"FCB"}</definedName>
    <definedName name="wrn.fcb2" hidden="1">{"FCB_ALL",#N/A,FALSE,"FCB"}</definedName>
    <definedName name="wrn.Financials." localSheetId="76" hidden="1">{#N/A,#N/A,TRUE,"Income Statement";#N/A,#N/A,TRUE,"Balance Sheet";#N/A,#N/A,TRUE,"Cash Flow"}</definedName>
    <definedName name="wrn.Financials." localSheetId="75" hidden="1">{#N/A,#N/A,TRUE,"Income Statement";#N/A,#N/A,TRUE,"Balance Sheet";#N/A,#N/A,TRUE,"Cash Flow"}</definedName>
    <definedName name="wrn.Financials." localSheetId="15" hidden="1">{#N/A,#N/A,TRUE,"Income Statement";#N/A,#N/A,TRUE,"Balance Sheet";#N/A,#N/A,TRUE,"Cash Flow"}</definedName>
    <definedName name="wrn.Financials." localSheetId="17" hidden="1">{#N/A,#N/A,TRUE,"Income Statement";#N/A,#N/A,TRUE,"Balance Sheet";#N/A,#N/A,TRUE,"Cash Flow"}</definedName>
    <definedName name="wrn.Financials." localSheetId="13" hidden="1">{#N/A,#N/A,TRUE,"Income Statement";#N/A,#N/A,TRUE,"Balance Sheet";#N/A,#N/A,TRUE,"Cash Flow"}</definedName>
    <definedName name="wrn.Financials." localSheetId="36" hidden="1">{#N/A,#N/A,TRUE,"Income Statement";#N/A,#N/A,TRUE,"Balance Sheet";#N/A,#N/A,TRUE,"Cash Flow"}</definedName>
    <definedName name="wrn.Financials." localSheetId="30" hidden="1">{#N/A,#N/A,TRUE,"Income Statement";#N/A,#N/A,TRUE,"Balance Sheet";#N/A,#N/A,TRUE,"Cash Flow"}</definedName>
    <definedName name="wrn.Financials." localSheetId="29" hidden="1">{#N/A,#N/A,TRUE,"Income Statement";#N/A,#N/A,TRUE,"Balance Sheet";#N/A,#N/A,TRUE,"Cash Flow"}</definedName>
    <definedName name="wrn.Financials." localSheetId="33" hidden="1">{#N/A,#N/A,TRUE,"Income Statement";#N/A,#N/A,TRUE,"Balance Sheet";#N/A,#N/A,TRUE,"Cash Flow"}</definedName>
    <definedName name="wrn.Financials." hidden="1">{#N/A,#N/A,TRUE,"Income Statement";#N/A,#N/A,TRUE,"Balance Sheet";#N/A,#N/A,TRUE,"Cash Flow"}</definedName>
    <definedName name="wrn.Five._.Year._.Test." localSheetId="76" hidden="1">{"Five Year Plan",#N/A,TRUE,"Monthly Summary-IIIXIILP";"Five Year Plan",#N/A,TRUE,"Cash Flow"}</definedName>
    <definedName name="wrn.Five._.Year._.Test." localSheetId="75" hidden="1">{"Five Year Plan",#N/A,TRUE,"Monthly Summary-IIIXIILP";"Five Year Plan",#N/A,TRUE,"Cash Flow"}</definedName>
    <definedName name="wrn.Five._.Year._.Test." localSheetId="15" hidden="1">{"Five Year Plan",#N/A,TRUE,"Monthly Summary-IIIXIILP";"Five Year Plan",#N/A,TRUE,"Cash Flow"}</definedName>
    <definedName name="wrn.Five._.Year._.Test." localSheetId="17" hidden="1">{"Five Year Plan",#N/A,TRUE,"Monthly Summary-IIIXIILP";"Five Year Plan",#N/A,TRUE,"Cash Flow"}</definedName>
    <definedName name="wrn.Five._.Year._.Test." localSheetId="13" hidden="1">{"Five Year Plan",#N/A,TRUE,"Monthly Summary-IIIXIILP";"Five Year Plan",#N/A,TRUE,"Cash Flow"}</definedName>
    <definedName name="wrn.Five._.Year._.Test." localSheetId="36" hidden="1">{"Five Year Plan",#N/A,TRUE,"Monthly Summary-IIIXIILP";"Five Year Plan",#N/A,TRUE,"Cash Flow"}</definedName>
    <definedName name="wrn.Five._.Year._.Test." localSheetId="30" hidden="1">{"Five Year Plan",#N/A,TRUE,"Monthly Summary-IIIXIILP";"Five Year Plan",#N/A,TRUE,"Cash Flow"}</definedName>
    <definedName name="wrn.Five._.Year._.Test." localSheetId="29" hidden="1">{"Five Year Plan",#N/A,TRUE,"Monthly Summary-IIIXIILP";"Five Year Plan",#N/A,TRUE,"Cash Flow"}</definedName>
    <definedName name="wrn.Five._.Year._.Test." localSheetId="33" hidden="1">{"Five Year Plan",#N/A,TRUE,"Monthly Summary-IIIXIILP";"Five Year Plan",#N/A,TRUE,"Cash Flow"}</definedName>
    <definedName name="wrn.Five._.Year._.Test." localSheetId="28" hidden="1">{"Five Year Plan",#N/A,TRUE,"Monthly Summary-IIIXIILP";"Five Year Plan",#N/A,TRUE,"Cash Flow"}</definedName>
    <definedName name="wrn.Five._.Year._.Test." localSheetId="34" hidden="1">{"Five Year Plan",#N/A,TRUE,"Monthly Summary-IIIXIILP";"Five Year Plan",#N/A,TRUE,"Cash Flow"}</definedName>
    <definedName name="wrn.Five._.Year._.Test." hidden="1">{"Five Year Plan",#N/A,TRUE,"Monthly Summary-IIIXIILP";"Five Year Plan",#N/A,TRUE,"Cash Flow"}</definedName>
    <definedName name="wrn.full._.report." localSheetId="76"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7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7"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6"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9"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76" hidden="1">{"FullView",#N/A,FALSE,"Consltd-For contngcy"}</definedName>
    <definedName name="wrn.Full._.View." localSheetId="75" hidden="1">{"FullView",#N/A,FALSE,"Consltd-For contngcy"}</definedName>
    <definedName name="wrn.Full._.View." localSheetId="15" hidden="1">{"FullView",#N/A,FALSE,"Consltd-For contngcy"}</definedName>
    <definedName name="wrn.Full._.View." localSheetId="17" hidden="1">{"FullView",#N/A,FALSE,"Consltd-For contngcy"}</definedName>
    <definedName name="wrn.Full._.View." localSheetId="13" hidden="1">{"FullView",#N/A,FALSE,"Consltd-For contngcy"}</definedName>
    <definedName name="wrn.Full._.View." localSheetId="36" hidden="1">{"FullView",#N/A,FALSE,"Consltd-For contngcy"}</definedName>
    <definedName name="wrn.Full._.View." localSheetId="30" hidden="1">{"FullView",#N/A,FALSE,"Consltd-For contngcy"}</definedName>
    <definedName name="wrn.Full._.View." localSheetId="29" hidden="1">{"FullView",#N/A,FALSE,"Consltd-For contngcy"}</definedName>
    <definedName name="wrn.Full._.View." localSheetId="33" hidden="1">{"FullView",#N/A,FALSE,"Consltd-For contngcy"}</definedName>
    <definedName name="wrn.Full._.View." hidden="1">{"FullView",#N/A,FALSE,"Consltd-For contngcy"}</definedName>
    <definedName name="wrn.GLReport." localSheetId="7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7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9"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76" hidden="1">{"three",#N/A,FALSE,"Capital";"four",#N/A,FALSE,"Capital"}</definedName>
    <definedName name="wrn.greg." localSheetId="75" hidden="1">{"three",#N/A,FALSE,"Capital";"four",#N/A,FALSE,"Capital"}</definedName>
    <definedName name="wrn.greg." localSheetId="15" hidden="1">{"three",#N/A,FALSE,"Capital";"four",#N/A,FALSE,"Capital"}</definedName>
    <definedName name="wrn.greg." localSheetId="17" hidden="1">{"three",#N/A,FALSE,"Capital";"four",#N/A,FALSE,"Capital"}</definedName>
    <definedName name="wrn.greg." localSheetId="13" hidden="1">{"three",#N/A,FALSE,"Capital";"four",#N/A,FALSE,"Capital"}</definedName>
    <definedName name="wrn.greg." localSheetId="36" hidden="1">{"three",#N/A,FALSE,"Capital";"four",#N/A,FALSE,"Capital"}</definedName>
    <definedName name="wrn.greg." localSheetId="30" hidden="1">{"three",#N/A,FALSE,"Capital";"four",#N/A,FALSE,"Capital"}</definedName>
    <definedName name="wrn.greg." localSheetId="29" hidden="1">{"three",#N/A,FALSE,"Capital";"four",#N/A,FALSE,"Capital"}</definedName>
    <definedName name="wrn.greg." localSheetId="33" hidden="1">{"three",#N/A,FALSE,"Capital";"four",#N/A,FALSE,"Capital"}</definedName>
    <definedName name="wrn.greg." localSheetId="28" hidden="1">{"three",#N/A,FALSE,"Capital";"four",#N/A,FALSE,"Capital"}</definedName>
    <definedName name="wrn.greg." localSheetId="34" hidden="1">{"three",#N/A,FALSE,"Capital";"four",#N/A,FALSE,"Capital"}</definedName>
    <definedName name="wrn.greg." hidden="1">{"three",#N/A,FALSE,"Capital";"four",#N/A,FALSE,"Capital"}</definedName>
    <definedName name="wrn.III._.X._.Co._.Five._.Year._.Plan." localSheetId="76"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75"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5"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7"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6"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9"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4"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76" hidden="1">{#N/A,#N/A,TRUE,"Title Page-Financial Stmts IIIX";#N/A,#N/A,TRUE,"Sumry_Income IIIXCo";#N/A,#N/A,TRUE,"Sumry_Balance Sheet IIIXCo";#N/A,#N/A,TRUE,"Sumry_Cash Flow IIIXCo";#N/A,#N/A,TRUE,"Antelope Creek";#N/A,#N/A,TRUE,"QEP";#N/A,#N/A,TRUE,"Raton"}</definedName>
    <definedName name="wrn.IIIXCo._.Five._.Year._.Summary._.Reports." localSheetId="75" hidden="1">{#N/A,#N/A,TRUE,"Title Page-Financial Stmts IIIX";#N/A,#N/A,TRUE,"Sumry_Income IIIXCo";#N/A,#N/A,TRUE,"Sumry_Balance Sheet IIIXCo";#N/A,#N/A,TRUE,"Sumry_Cash Flow IIIXCo";#N/A,#N/A,TRUE,"Antelope Creek";#N/A,#N/A,TRUE,"QEP";#N/A,#N/A,TRUE,"Raton"}</definedName>
    <definedName name="wrn.IIIXCo._.Five._.Year._.Summary._.Reports." localSheetId="15" hidden="1">{#N/A,#N/A,TRUE,"Title Page-Financial Stmts IIIX";#N/A,#N/A,TRUE,"Sumry_Income IIIXCo";#N/A,#N/A,TRUE,"Sumry_Balance Sheet IIIXCo";#N/A,#N/A,TRUE,"Sumry_Cash Flow IIIXCo";#N/A,#N/A,TRUE,"Antelope Creek";#N/A,#N/A,TRUE,"QEP";#N/A,#N/A,TRUE,"Raton"}</definedName>
    <definedName name="wrn.IIIXCo._.Five._.Year._.Summary._.Reports." localSheetId="17" hidden="1">{#N/A,#N/A,TRUE,"Title Page-Financial Stmts IIIX";#N/A,#N/A,TRUE,"Sumry_Income IIIXCo";#N/A,#N/A,TRUE,"Sumry_Balance Sheet IIIXCo";#N/A,#N/A,TRUE,"Sumry_Cash Flow IIIXCo";#N/A,#N/A,TRUE,"Antelope Creek";#N/A,#N/A,TRUE,"QEP";#N/A,#N/A,TRUE,"Raton"}</definedName>
    <definedName name="wrn.IIIXCo._.Five._.Year._.Summary._.Reports." localSheetId="13" hidden="1">{#N/A,#N/A,TRUE,"Title Page-Financial Stmts IIIX";#N/A,#N/A,TRUE,"Sumry_Income IIIXCo";#N/A,#N/A,TRUE,"Sumry_Balance Sheet IIIXCo";#N/A,#N/A,TRUE,"Sumry_Cash Flow IIIXCo";#N/A,#N/A,TRUE,"Antelope Creek";#N/A,#N/A,TRUE,"QEP";#N/A,#N/A,TRUE,"Raton"}</definedName>
    <definedName name="wrn.IIIXCo._.Five._.Year._.Summary._.Reports." localSheetId="36" hidden="1">{#N/A,#N/A,TRUE,"Title Page-Financial Stmts IIIX";#N/A,#N/A,TRUE,"Sumry_Income IIIXCo";#N/A,#N/A,TRUE,"Sumry_Balance Sheet IIIXCo";#N/A,#N/A,TRUE,"Sumry_Cash Flow IIIXCo";#N/A,#N/A,TRUE,"Antelope Creek";#N/A,#N/A,TRUE,"QEP";#N/A,#N/A,TRUE,"Raton"}</definedName>
    <definedName name="wrn.IIIXCo._.Five._.Year._.Summary._.Reports." localSheetId="30" hidden="1">{#N/A,#N/A,TRUE,"Title Page-Financial Stmts IIIX";#N/A,#N/A,TRUE,"Sumry_Income IIIXCo";#N/A,#N/A,TRUE,"Sumry_Balance Sheet IIIXCo";#N/A,#N/A,TRUE,"Sumry_Cash Flow IIIXCo";#N/A,#N/A,TRUE,"Antelope Creek";#N/A,#N/A,TRUE,"QEP";#N/A,#N/A,TRUE,"Raton"}</definedName>
    <definedName name="wrn.IIIXCo._.Five._.Year._.Summary._.Reports." localSheetId="29" hidden="1">{#N/A,#N/A,TRUE,"Title Page-Financial Stmts IIIX";#N/A,#N/A,TRUE,"Sumry_Income IIIXCo";#N/A,#N/A,TRUE,"Sumry_Balance Sheet IIIXCo";#N/A,#N/A,TRUE,"Sumry_Cash Flow IIIXCo";#N/A,#N/A,TRUE,"Antelope Creek";#N/A,#N/A,TRUE,"QEP";#N/A,#N/A,TRUE,"Raton"}</definedName>
    <definedName name="wrn.IIIXCo._.Five._.Year._.Summary._.Reports." localSheetId="33" hidden="1">{#N/A,#N/A,TRUE,"Title Page-Financial Stmts IIIX";#N/A,#N/A,TRUE,"Sumry_Income IIIXCo";#N/A,#N/A,TRUE,"Sumry_Balance Sheet IIIXCo";#N/A,#N/A,TRUE,"Sumry_Cash Flow IIIXCo";#N/A,#N/A,TRUE,"Antelope Creek";#N/A,#N/A,TRUE,"QEP";#N/A,#N/A,TRUE,"Raton"}</definedName>
    <definedName name="wrn.IIIXCo._.Five._.Year._.Summary._.Reports." localSheetId="28" hidden="1">{#N/A,#N/A,TRUE,"Title Page-Financial Stmts IIIX";#N/A,#N/A,TRUE,"Sumry_Income IIIXCo";#N/A,#N/A,TRUE,"Sumry_Balance Sheet IIIXCo";#N/A,#N/A,TRUE,"Sumry_Cash Flow IIIXCo";#N/A,#N/A,TRUE,"Antelope Creek";#N/A,#N/A,TRUE,"QEP";#N/A,#N/A,TRUE,"Raton"}</definedName>
    <definedName name="wrn.IIIXCo._.Five._.Year._.Summary._.Reports." localSheetId="34"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76" hidden="1">{"IIIXCo FY 04 Plan",#N/A,FALSE,"Monthly Summary-IIIXIILP"}</definedName>
    <definedName name="wrn.IIIXCo._.FY._.2004._.Plan." localSheetId="75" hidden="1">{"IIIXCo FY 04 Plan",#N/A,FALSE,"Monthly Summary-IIIXIILP"}</definedName>
    <definedName name="wrn.IIIXCo._.FY._.2004._.Plan." localSheetId="15" hidden="1">{"IIIXCo FY 04 Plan",#N/A,FALSE,"Monthly Summary-IIIXIILP"}</definedName>
    <definedName name="wrn.IIIXCo._.FY._.2004._.Plan." localSheetId="17" hidden="1">{"IIIXCo FY 04 Plan",#N/A,FALSE,"Monthly Summary-IIIXIILP"}</definedName>
    <definedName name="wrn.IIIXCo._.FY._.2004._.Plan." localSheetId="13" hidden="1">{"IIIXCo FY 04 Plan",#N/A,FALSE,"Monthly Summary-IIIXIILP"}</definedName>
    <definedName name="wrn.IIIXCo._.FY._.2004._.Plan." localSheetId="36" hidden="1">{"IIIXCo FY 04 Plan",#N/A,FALSE,"Monthly Summary-IIIXIILP"}</definedName>
    <definedName name="wrn.IIIXCo._.FY._.2004._.Plan." localSheetId="30" hidden="1">{"IIIXCo FY 04 Plan",#N/A,FALSE,"Monthly Summary-IIIXIILP"}</definedName>
    <definedName name="wrn.IIIXCo._.FY._.2004._.Plan." localSheetId="29" hidden="1">{"IIIXCo FY 04 Plan",#N/A,FALSE,"Monthly Summary-IIIXIILP"}</definedName>
    <definedName name="wrn.IIIXCo._.FY._.2004._.Plan." localSheetId="33" hidden="1">{"IIIXCo FY 04 Plan",#N/A,FALSE,"Monthly Summary-IIIXIILP"}</definedName>
    <definedName name="wrn.IIIXCo._.FY._.2004._.Plan." localSheetId="28" hidden="1">{"IIIXCo FY 04 Plan",#N/A,FALSE,"Monthly Summary-IIIXIILP"}</definedName>
    <definedName name="wrn.IIIXCo._.FY._.2004._.Plan." localSheetId="34" hidden="1">{"IIIXCo FY 04 Plan",#N/A,FALSE,"Monthly Summary-IIIXIILP"}</definedName>
    <definedName name="wrn.IIIXCo._.FY._.2004._.Plan." hidden="1">{"IIIXCo FY 04 Plan",#N/A,FALSE,"Monthly Summary-IIIXIILP"}</definedName>
    <definedName name="wrn.Inputs." localSheetId="76" hidden="1">{"Inflation-BaseYear",#N/A,FALSE,"Inputs"}</definedName>
    <definedName name="wrn.Inputs." localSheetId="75" hidden="1">{"Inflation-BaseYear",#N/A,FALSE,"Inputs"}</definedName>
    <definedName name="wrn.Inputs." localSheetId="15" hidden="1">{"Inflation-BaseYear",#N/A,FALSE,"Inputs"}</definedName>
    <definedName name="wrn.Inputs." localSheetId="17" hidden="1">{"Inflation-BaseYear",#N/A,FALSE,"Inputs"}</definedName>
    <definedName name="wrn.Inputs." localSheetId="13" hidden="1">{"Inflation-BaseYear",#N/A,FALSE,"Inputs"}</definedName>
    <definedName name="wrn.Inputs." localSheetId="36" hidden="1">{"Inflation-BaseYear",#N/A,FALSE,"Inputs"}</definedName>
    <definedName name="wrn.Inputs." localSheetId="30" hidden="1">{"Inflation-BaseYear",#N/A,FALSE,"Inputs"}</definedName>
    <definedName name="wrn.Inputs." localSheetId="29" hidden="1">{"Inflation-BaseYear",#N/A,FALSE,"Inputs"}</definedName>
    <definedName name="wrn.Inputs." localSheetId="33" hidden="1">{"Inflation-BaseYear",#N/A,FALSE,"Inputs"}</definedName>
    <definedName name="wrn.Inputs." localSheetId="28" hidden="1">{"Inflation-BaseYear",#N/A,FALSE,"Inputs"}</definedName>
    <definedName name="wrn.Inputs." localSheetId="34" hidden="1">{"Inflation-BaseYear",#N/A,FALSE,"Inputs"}</definedName>
    <definedName name="wrn.Inputs." hidden="1">{"Inflation-BaseYear",#N/A,FALSE,"Inputs"}</definedName>
    <definedName name="wrn.Invested._.Capital." localSheetId="76" hidden="1">{#N/A,#N/A,FALSE,"Invested Capital-Total";#N/A,#N/A,FALSE,"Invested Capital-SEI";#N/A,#N/A,FALSE,"Invested Capital-Utah";#N/A,#N/A,FALSE,"Invested Capital-Raton"}</definedName>
    <definedName name="wrn.Invested._.Capital." localSheetId="75" hidden="1">{#N/A,#N/A,FALSE,"Invested Capital-Total";#N/A,#N/A,FALSE,"Invested Capital-SEI";#N/A,#N/A,FALSE,"Invested Capital-Utah";#N/A,#N/A,FALSE,"Invested Capital-Raton"}</definedName>
    <definedName name="wrn.Invested._.Capital." localSheetId="15" hidden="1">{#N/A,#N/A,FALSE,"Invested Capital-Total";#N/A,#N/A,FALSE,"Invested Capital-SEI";#N/A,#N/A,FALSE,"Invested Capital-Utah";#N/A,#N/A,FALSE,"Invested Capital-Raton"}</definedName>
    <definedName name="wrn.Invested._.Capital." localSheetId="17" hidden="1">{#N/A,#N/A,FALSE,"Invested Capital-Total";#N/A,#N/A,FALSE,"Invested Capital-SEI";#N/A,#N/A,FALSE,"Invested Capital-Utah";#N/A,#N/A,FALSE,"Invested Capital-Raton"}</definedName>
    <definedName name="wrn.Invested._.Capital." localSheetId="13" hidden="1">{#N/A,#N/A,FALSE,"Invested Capital-Total";#N/A,#N/A,FALSE,"Invested Capital-SEI";#N/A,#N/A,FALSE,"Invested Capital-Utah";#N/A,#N/A,FALSE,"Invested Capital-Raton"}</definedName>
    <definedName name="wrn.Invested._.Capital." localSheetId="36" hidden="1">{#N/A,#N/A,FALSE,"Invested Capital-Total";#N/A,#N/A,FALSE,"Invested Capital-SEI";#N/A,#N/A,FALSE,"Invested Capital-Utah";#N/A,#N/A,FALSE,"Invested Capital-Raton"}</definedName>
    <definedName name="wrn.Invested._.Capital." localSheetId="30" hidden="1">{#N/A,#N/A,FALSE,"Invested Capital-Total";#N/A,#N/A,FALSE,"Invested Capital-SEI";#N/A,#N/A,FALSE,"Invested Capital-Utah";#N/A,#N/A,FALSE,"Invested Capital-Raton"}</definedName>
    <definedName name="wrn.Invested._.Capital." localSheetId="29" hidden="1">{#N/A,#N/A,FALSE,"Invested Capital-Total";#N/A,#N/A,FALSE,"Invested Capital-SEI";#N/A,#N/A,FALSE,"Invested Capital-Utah";#N/A,#N/A,FALSE,"Invested Capital-Raton"}</definedName>
    <definedName name="wrn.Invested._.Capital." localSheetId="33" hidden="1">{#N/A,#N/A,FALSE,"Invested Capital-Total";#N/A,#N/A,FALSE,"Invested Capital-SEI";#N/A,#N/A,FALSE,"Invested Capital-Utah";#N/A,#N/A,FALSE,"Invested Capital-Raton"}</definedName>
    <definedName name="wrn.Invested._.Capital." localSheetId="28" hidden="1">{#N/A,#N/A,FALSE,"Invested Capital-Total";#N/A,#N/A,FALSE,"Invested Capital-SEI";#N/A,#N/A,FALSE,"Invested Capital-Utah";#N/A,#N/A,FALSE,"Invested Capital-Raton"}</definedName>
    <definedName name="wrn.Invested._.Capital." localSheetId="34"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76" hidden="1">{"LIAB",#N/A,FALSE,"Liab"}</definedName>
    <definedName name="wrn.Liab." localSheetId="75" hidden="1">{"LIAB",#N/A,FALSE,"Liab"}</definedName>
    <definedName name="wrn.Liab." localSheetId="15" hidden="1">{"LIAB",#N/A,FALSE,"Liab"}</definedName>
    <definedName name="wrn.Liab." localSheetId="17" hidden="1">{"LIAB",#N/A,FALSE,"Liab"}</definedName>
    <definedName name="wrn.Liab." localSheetId="13" hidden="1">{"LIAB",#N/A,FALSE,"Liab"}</definedName>
    <definedName name="wrn.Liab." localSheetId="36" hidden="1">{"LIAB",#N/A,FALSE,"Liab"}</definedName>
    <definedName name="wrn.Liab." localSheetId="30" hidden="1">{"LIAB",#N/A,FALSE,"Liab"}</definedName>
    <definedName name="wrn.Liab." localSheetId="29" hidden="1">{"LIAB",#N/A,FALSE,"Liab"}</definedName>
    <definedName name="wrn.Liab." localSheetId="33" hidden="1">{"LIAB",#N/A,FALSE,"Liab"}</definedName>
    <definedName name="wrn.Liab." localSheetId="28" hidden="1">{"LIAB",#N/A,FALSE,"Liab"}</definedName>
    <definedName name="wrn.Liab." localSheetId="34" hidden="1">{"LIAB",#N/A,FALSE,"Liab"}</definedName>
    <definedName name="wrn.Liab." localSheetId="1" hidden="1">{"LIAB",#N/A,FALSE,"Liab"}</definedName>
    <definedName name="wrn.Liab." hidden="1">{"LIAB",#N/A,FALSE,"Liab"}</definedName>
    <definedName name="wrn.Monthly_Yr1." localSheetId="76" hidden="1">{"ISP1Y1",#N/A,TRUE,"Template";"ISP2Y1",#N/A,TRUE,"Template";"BSY1",#N/A,TRUE,"Template";"ICFY1",#N/A,TRUE,"Template";"TPY1",#N/A,TRUE,"Template";"CtrlY1",#N/A,TRUE,"Template"}</definedName>
    <definedName name="wrn.Monthly_Yr1." localSheetId="75" hidden="1">{"ISP1Y1",#N/A,TRUE,"Template";"ISP2Y1",#N/A,TRUE,"Template";"BSY1",#N/A,TRUE,"Template";"ICFY1",#N/A,TRUE,"Template";"TPY1",#N/A,TRUE,"Template";"CtrlY1",#N/A,TRUE,"Template"}</definedName>
    <definedName name="wrn.Monthly_Yr1." localSheetId="15" hidden="1">{"ISP1Y1",#N/A,TRUE,"Template";"ISP2Y1",#N/A,TRUE,"Template";"BSY1",#N/A,TRUE,"Template";"ICFY1",#N/A,TRUE,"Template";"TPY1",#N/A,TRUE,"Template";"CtrlY1",#N/A,TRUE,"Template"}</definedName>
    <definedName name="wrn.Monthly_Yr1." localSheetId="17" hidden="1">{"ISP1Y1",#N/A,TRUE,"Template";"ISP2Y1",#N/A,TRUE,"Template";"BSY1",#N/A,TRUE,"Template";"ICFY1",#N/A,TRUE,"Template";"TPY1",#N/A,TRUE,"Template";"CtrlY1",#N/A,TRUE,"Template"}</definedName>
    <definedName name="wrn.Monthly_Yr1." localSheetId="13" hidden="1">{"ISP1Y1",#N/A,TRUE,"Template";"ISP2Y1",#N/A,TRUE,"Template";"BSY1",#N/A,TRUE,"Template";"ICFY1",#N/A,TRUE,"Template";"TPY1",#N/A,TRUE,"Template";"CtrlY1",#N/A,TRUE,"Template"}</definedName>
    <definedName name="wrn.Monthly_Yr1." localSheetId="36" hidden="1">{"ISP1Y1",#N/A,TRUE,"Template";"ISP2Y1",#N/A,TRUE,"Template";"BSY1",#N/A,TRUE,"Template";"ICFY1",#N/A,TRUE,"Template";"TPY1",#N/A,TRUE,"Template";"CtrlY1",#N/A,TRUE,"Template"}</definedName>
    <definedName name="wrn.Monthly_Yr1." localSheetId="30" hidden="1">{"ISP1Y1",#N/A,TRUE,"Template";"ISP2Y1",#N/A,TRUE,"Template";"BSY1",#N/A,TRUE,"Template";"ICFY1",#N/A,TRUE,"Template";"TPY1",#N/A,TRUE,"Template";"CtrlY1",#N/A,TRUE,"Template"}</definedName>
    <definedName name="wrn.Monthly_Yr1." localSheetId="29" hidden="1">{"ISP1Y1",#N/A,TRUE,"Template";"ISP2Y1",#N/A,TRUE,"Template";"BSY1",#N/A,TRUE,"Template";"ICFY1",#N/A,TRUE,"Template";"TPY1",#N/A,TRUE,"Template";"CtrlY1",#N/A,TRUE,"Template"}</definedName>
    <definedName name="wrn.Monthly_Yr1." localSheetId="33" hidden="1">{"ISP1Y1",#N/A,TRUE,"Template";"ISP2Y1",#N/A,TRUE,"Template";"BSY1",#N/A,TRUE,"Template";"ICFY1",#N/A,TRUE,"Template";"TPY1",#N/A,TRUE,"Template";"CtrlY1",#N/A,TRUE,"Template"}</definedName>
    <definedName name="wrn.Monthly_Yr1." localSheetId="28" hidden="1">{"ISP1Y1",#N/A,TRUE,"Template";"ISP2Y1",#N/A,TRUE,"Template";"BSY1",#N/A,TRUE,"Template";"ICFY1",#N/A,TRUE,"Template";"TPY1",#N/A,TRUE,"Template";"CtrlY1",#N/A,TRUE,"Template"}</definedName>
    <definedName name="wrn.Monthly_Yr1." localSheetId="34" hidden="1">{"ISP1Y1",#N/A,TRUE,"Template";"ISP2Y1",#N/A,TRUE,"Template";"BSY1",#N/A,TRUE,"Template";"ICFY1",#N/A,TRUE,"Template";"TPY1",#N/A,TRUE,"Template";"CtrlY1",#N/A,TRUE,"Template"}</definedName>
    <definedName name="wrn.Monthly_Yr1." localSheetId="1"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76" hidden="1">{"ISP1Y1",#N/A,TRUE,"Template";"ISP2Y1",#N/A,TRUE,"Template";"BSY1",#N/A,TRUE,"Template";"ICFY1",#N/A,TRUE,"Template";"TPY1",#N/A,TRUE,"Template";"CtrlY1",#N/A,TRUE,"Template"}</definedName>
    <definedName name="wrn.monthly_yr2" localSheetId="75" hidden="1">{"ISP1Y1",#N/A,TRUE,"Template";"ISP2Y1",#N/A,TRUE,"Template";"BSY1",#N/A,TRUE,"Template";"ICFY1",#N/A,TRUE,"Template";"TPY1",#N/A,TRUE,"Template";"CtrlY1",#N/A,TRUE,"Template"}</definedName>
    <definedName name="wrn.monthly_yr2" localSheetId="15" hidden="1">{"ISP1Y1",#N/A,TRUE,"Template";"ISP2Y1",#N/A,TRUE,"Template";"BSY1",#N/A,TRUE,"Template";"ICFY1",#N/A,TRUE,"Template";"TPY1",#N/A,TRUE,"Template";"CtrlY1",#N/A,TRUE,"Template"}</definedName>
    <definedName name="wrn.monthly_yr2" localSheetId="17" hidden="1">{"ISP1Y1",#N/A,TRUE,"Template";"ISP2Y1",#N/A,TRUE,"Template";"BSY1",#N/A,TRUE,"Template";"ICFY1",#N/A,TRUE,"Template";"TPY1",#N/A,TRUE,"Template";"CtrlY1",#N/A,TRUE,"Template"}</definedName>
    <definedName name="wrn.monthly_yr2" localSheetId="13" hidden="1">{"ISP1Y1",#N/A,TRUE,"Template";"ISP2Y1",#N/A,TRUE,"Template";"BSY1",#N/A,TRUE,"Template";"ICFY1",#N/A,TRUE,"Template";"TPY1",#N/A,TRUE,"Template";"CtrlY1",#N/A,TRUE,"Template"}</definedName>
    <definedName name="wrn.monthly_yr2" localSheetId="36" hidden="1">{"ISP1Y1",#N/A,TRUE,"Template";"ISP2Y1",#N/A,TRUE,"Template";"BSY1",#N/A,TRUE,"Template";"ICFY1",#N/A,TRUE,"Template";"TPY1",#N/A,TRUE,"Template";"CtrlY1",#N/A,TRUE,"Template"}</definedName>
    <definedName name="wrn.monthly_yr2" localSheetId="30" hidden="1">{"ISP1Y1",#N/A,TRUE,"Template";"ISP2Y1",#N/A,TRUE,"Template";"BSY1",#N/A,TRUE,"Template";"ICFY1",#N/A,TRUE,"Template";"TPY1",#N/A,TRUE,"Template";"CtrlY1",#N/A,TRUE,"Template"}</definedName>
    <definedName name="wrn.monthly_yr2" localSheetId="29" hidden="1">{"ISP1Y1",#N/A,TRUE,"Template";"ISP2Y1",#N/A,TRUE,"Template";"BSY1",#N/A,TRUE,"Template";"ICFY1",#N/A,TRUE,"Template";"TPY1",#N/A,TRUE,"Template";"CtrlY1",#N/A,TRUE,"Template"}</definedName>
    <definedName name="wrn.monthly_yr2" localSheetId="33" hidden="1">{"ISP1Y1",#N/A,TRUE,"Template";"ISP2Y1",#N/A,TRUE,"Template";"BSY1",#N/A,TRUE,"Template";"ICFY1",#N/A,TRUE,"Template";"TPY1",#N/A,TRUE,"Template";"CtrlY1",#N/A,TRUE,"Template"}</definedName>
    <definedName name="wrn.monthly_yr2" localSheetId="28" hidden="1">{"ISP1Y1",#N/A,TRUE,"Template";"ISP2Y1",#N/A,TRUE,"Template";"BSY1",#N/A,TRUE,"Template";"ICFY1",#N/A,TRUE,"Template";"TPY1",#N/A,TRUE,"Template";"CtrlY1",#N/A,TRUE,"Template"}</definedName>
    <definedName name="wrn.monthly_yr2" localSheetId="34" hidden="1">{"ISP1Y1",#N/A,TRUE,"Template";"ISP2Y1",#N/A,TRUE,"Template";"BSY1",#N/A,TRUE,"Template";"ICFY1",#N/A,TRUE,"Template";"TPY1",#N/A,TRUE,"Template";"CtrlY1",#N/A,TRUE,"Template"}</definedName>
    <definedName name="wrn.monthly_yr2" localSheetId="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76" hidden="1">{"ISP1Y2",#N/A,TRUE,"Template";"ISP2Y2",#N/A,TRUE,"Template";"BSY2",#N/A,TRUE,"Template";"ICFY2",#N/A,TRUE,"Template";"TPY2",#N/A,TRUE,"Template";"CtrlY2",#N/A,TRUE,"Template"}</definedName>
    <definedName name="wrn.Monthly_Yr2." localSheetId="75" hidden="1">{"ISP1Y2",#N/A,TRUE,"Template";"ISP2Y2",#N/A,TRUE,"Template";"BSY2",#N/A,TRUE,"Template";"ICFY2",#N/A,TRUE,"Template";"TPY2",#N/A,TRUE,"Template";"CtrlY2",#N/A,TRUE,"Template"}</definedName>
    <definedName name="wrn.Monthly_Yr2." localSheetId="15" hidden="1">{"ISP1Y2",#N/A,TRUE,"Template";"ISP2Y2",#N/A,TRUE,"Template";"BSY2",#N/A,TRUE,"Template";"ICFY2",#N/A,TRUE,"Template";"TPY2",#N/A,TRUE,"Template";"CtrlY2",#N/A,TRUE,"Template"}</definedName>
    <definedName name="wrn.Monthly_Yr2." localSheetId="17" hidden="1">{"ISP1Y2",#N/A,TRUE,"Template";"ISP2Y2",#N/A,TRUE,"Template";"BSY2",#N/A,TRUE,"Template";"ICFY2",#N/A,TRUE,"Template";"TPY2",#N/A,TRUE,"Template";"CtrlY2",#N/A,TRUE,"Template"}</definedName>
    <definedName name="wrn.Monthly_Yr2." localSheetId="13" hidden="1">{"ISP1Y2",#N/A,TRUE,"Template";"ISP2Y2",#N/A,TRUE,"Template";"BSY2",#N/A,TRUE,"Template";"ICFY2",#N/A,TRUE,"Template";"TPY2",#N/A,TRUE,"Template";"CtrlY2",#N/A,TRUE,"Template"}</definedName>
    <definedName name="wrn.Monthly_Yr2." localSheetId="36" hidden="1">{"ISP1Y2",#N/A,TRUE,"Template";"ISP2Y2",#N/A,TRUE,"Template";"BSY2",#N/A,TRUE,"Template";"ICFY2",#N/A,TRUE,"Template";"TPY2",#N/A,TRUE,"Template";"CtrlY2",#N/A,TRUE,"Template"}</definedName>
    <definedName name="wrn.Monthly_Yr2." localSheetId="30" hidden="1">{"ISP1Y2",#N/A,TRUE,"Template";"ISP2Y2",#N/A,TRUE,"Template";"BSY2",#N/A,TRUE,"Template";"ICFY2",#N/A,TRUE,"Template";"TPY2",#N/A,TRUE,"Template";"CtrlY2",#N/A,TRUE,"Template"}</definedName>
    <definedName name="wrn.Monthly_Yr2." localSheetId="29" hidden="1">{"ISP1Y2",#N/A,TRUE,"Template";"ISP2Y2",#N/A,TRUE,"Template";"BSY2",#N/A,TRUE,"Template";"ICFY2",#N/A,TRUE,"Template";"TPY2",#N/A,TRUE,"Template";"CtrlY2",#N/A,TRUE,"Template"}</definedName>
    <definedName name="wrn.Monthly_Yr2." localSheetId="33" hidden="1">{"ISP1Y2",#N/A,TRUE,"Template";"ISP2Y2",#N/A,TRUE,"Template";"BSY2",#N/A,TRUE,"Template";"ICFY2",#N/A,TRUE,"Template";"TPY2",#N/A,TRUE,"Template";"CtrlY2",#N/A,TRUE,"Template"}</definedName>
    <definedName name="wrn.Monthly_Yr2." localSheetId="28" hidden="1">{"ISP1Y2",#N/A,TRUE,"Template";"ISP2Y2",#N/A,TRUE,"Template";"BSY2",#N/A,TRUE,"Template";"ICFY2",#N/A,TRUE,"Template";"TPY2",#N/A,TRUE,"Template";"CtrlY2",#N/A,TRUE,"Template"}</definedName>
    <definedName name="wrn.Monthly_Yr2." localSheetId="34" hidden="1">{"ISP1Y2",#N/A,TRUE,"Template";"ISP2Y2",#N/A,TRUE,"Template";"BSY2",#N/A,TRUE,"Template";"ICFY2",#N/A,TRUE,"Template";"TPY2",#N/A,TRUE,"Template";"CtrlY2",#N/A,TRUE,"Template"}</definedName>
    <definedName name="wrn.Monthly_Yr2." localSheetId="1"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NetWorth." localSheetId="76" hidden="1">{"NW",#N/A,FALSE,"STMT"}</definedName>
    <definedName name="wrn.NetWorth." localSheetId="75" hidden="1">{"NW",#N/A,FALSE,"STMT"}</definedName>
    <definedName name="wrn.NetWorth." localSheetId="15" hidden="1">{"NW",#N/A,FALSE,"STMT"}</definedName>
    <definedName name="wrn.NetWorth." localSheetId="17" hidden="1">{"NW",#N/A,FALSE,"STMT"}</definedName>
    <definedName name="wrn.NetWorth." localSheetId="13" hidden="1">{"NW",#N/A,FALSE,"STMT"}</definedName>
    <definedName name="wrn.NetWorth." localSheetId="36" hidden="1">{"NW",#N/A,FALSE,"STMT"}</definedName>
    <definedName name="wrn.NetWorth." localSheetId="30" hidden="1">{"NW",#N/A,FALSE,"STMT"}</definedName>
    <definedName name="wrn.NetWorth." localSheetId="29" hidden="1">{"NW",#N/A,FALSE,"STMT"}</definedName>
    <definedName name="wrn.NetWorth." localSheetId="33" hidden="1">{"NW",#N/A,FALSE,"STMT"}</definedName>
    <definedName name="wrn.NetWorth." localSheetId="28" hidden="1">{"NW",#N/A,FALSE,"STMT"}</definedName>
    <definedName name="wrn.NetWorth." localSheetId="34" hidden="1">{"NW",#N/A,FALSE,"STMT"}</definedName>
    <definedName name="wrn.NetWorth." localSheetId="1" hidden="1">{"NW",#N/A,FALSE,"STMT"}</definedName>
    <definedName name="wrn.NetWorth." hidden="1">{"NW",#N/A,FALSE,"STMT"}</definedName>
    <definedName name="wrn.Open._.Issues._.Only." localSheetId="76" hidden="1">{"Open issues Only",#N/A,FALSE,"TIMELINE"}</definedName>
    <definedName name="wrn.Open._.Issues._.Only." localSheetId="75" hidden="1">{"Open issues Only",#N/A,FALSE,"TIMELINE"}</definedName>
    <definedName name="wrn.Open._.Issues._.Only." localSheetId="15" hidden="1">{"Open issues Only",#N/A,FALSE,"TIMELINE"}</definedName>
    <definedName name="wrn.Open._.Issues._.Only." localSheetId="17" hidden="1">{"Open issues Only",#N/A,FALSE,"TIMELINE"}</definedName>
    <definedName name="wrn.Open._.Issues._.Only." localSheetId="13" hidden="1">{"Open issues Only",#N/A,FALSE,"TIMELINE"}</definedName>
    <definedName name="wrn.Open._.Issues._.Only." localSheetId="36" hidden="1">{"Open issues Only",#N/A,FALSE,"TIMELINE"}</definedName>
    <definedName name="wrn.Open._.Issues._.Only." localSheetId="30" hidden="1">{"Open issues Only",#N/A,FALSE,"TIMELINE"}</definedName>
    <definedName name="wrn.Open._.Issues._.Only." localSheetId="29" hidden="1">{"Open issues Only",#N/A,FALSE,"TIMELINE"}</definedName>
    <definedName name="wrn.Open._.Issues._.Only." localSheetId="33" hidden="1">{"Open issues Only",#N/A,FALSE,"TIMELINE"}</definedName>
    <definedName name="wrn.Open._.Issues._.Only." hidden="1">{"Open issues Only",#N/A,FALSE,"TIMELINE"}</definedName>
    <definedName name="wrn.OR._.Carrying._.Charge._.JV." localSheetId="76" hidden="1">{#N/A,#N/A,FALSE,"Loans";#N/A,#N/A,FALSE,"Program Costs";#N/A,#N/A,FALSE,"Measures";#N/A,#N/A,FALSE,"Net Lost Rev";#N/A,#N/A,FALSE,"Incentive"}</definedName>
    <definedName name="wrn.OR._.Carrying._.Charge._.JV." localSheetId="75"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36"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29" hidden="1">{#N/A,#N/A,FALSE,"Loans";#N/A,#N/A,FALSE,"Program Costs";#N/A,#N/A,FALSE,"Measures";#N/A,#N/A,FALSE,"Net Lost Rev";#N/A,#N/A,FALSE,"Incentive"}</definedName>
    <definedName name="wrn.OR._.Carrying._.Charge._.JV." localSheetId="3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76" hidden="1">{#N/A,#N/A,FALSE,"Loans";#N/A,#N/A,FALSE,"Program Costs";#N/A,#N/A,FALSE,"Measures";#N/A,#N/A,FALSE,"Net Lost Rev";#N/A,#N/A,FALSE,"Incentive"}</definedName>
    <definedName name="wrn.OR._.Carrying._.Charge._.JV.1" localSheetId="75"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36"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29" hidden="1">{#N/A,#N/A,FALSE,"Loans";#N/A,#N/A,FALSE,"Program Costs";#N/A,#N/A,FALSE,"Measures";#N/A,#N/A,FALSE,"Net Lost Rev";#N/A,#N/A,FALSE,"Incentive"}</definedName>
    <definedName name="wrn.OR._.Carrying._.Charge._.JV.1" localSheetId="3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76" hidden="1">{"Output-3Column",#N/A,FALSE,"Output"}</definedName>
    <definedName name="wrn.Output3Column." localSheetId="75" hidden="1">{"Output-3Column",#N/A,FALSE,"Output"}</definedName>
    <definedName name="wrn.Output3Column." localSheetId="15" hidden="1">{"Output-3Column",#N/A,FALSE,"Output"}</definedName>
    <definedName name="wrn.Output3Column." localSheetId="17" hidden="1">{"Output-3Column",#N/A,FALSE,"Output"}</definedName>
    <definedName name="wrn.Output3Column." localSheetId="13" hidden="1">{"Output-3Column",#N/A,FALSE,"Output"}</definedName>
    <definedName name="wrn.Output3Column." localSheetId="36" hidden="1">{"Output-3Column",#N/A,FALSE,"Output"}</definedName>
    <definedName name="wrn.Output3Column." localSheetId="30" hidden="1">{"Output-3Column",#N/A,FALSE,"Output"}</definedName>
    <definedName name="wrn.Output3Column." localSheetId="29" hidden="1">{"Output-3Column",#N/A,FALSE,"Output"}</definedName>
    <definedName name="wrn.Output3Column." localSheetId="33" hidden="1">{"Output-3Column",#N/A,FALSE,"Output"}</definedName>
    <definedName name="wrn.Output3Column." localSheetId="28" hidden="1">{"Output-3Column",#N/A,FALSE,"Output"}</definedName>
    <definedName name="wrn.Output3Column." localSheetId="34" hidden="1">{"Output-3Column",#N/A,FALSE,"Output"}</definedName>
    <definedName name="wrn.Output3Column." hidden="1">{"Output-3Column",#N/A,FALSE,"Output"}</definedName>
    <definedName name="wrn.OutputAll." localSheetId="76" hidden="1">{"Output-All",#N/A,FALSE,"Output"}</definedName>
    <definedName name="wrn.OutputAll." localSheetId="75" hidden="1">{"Output-All",#N/A,FALSE,"Output"}</definedName>
    <definedName name="wrn.OutputAll." localSheetId="15" hidden="1">{"Output-All",#N/A,FALSE,"Output"}</definedName>
    <definedName name="wrn.OutputAll." localSheetId="17" hidden="1">{"Output-All",#N/A,FALSE,"Output"}</definedName>
    <definedName name="wrn.OutputAll." localSheetId="13" hidden="1">{"Output-All",#N/A,FALSE,"Output"}</definedName>
    <definedName name="wrn.OutputAll." localSheetId="36" hidden="1">{"Output-All",#N/A,FALSE,"Output"}</definedName>
    <definedName name="wrn.OutputAll." localSheetId="30" hidden="1">{"Output-All",#N/A,FALSE,"Output"}</definedName>
    <definedName name="wrn.OutputAll." localSheetId="29" hidden="1">{"Output-All",#N/A,FALSE,"Output"}</definedName>
    <definedName name="wrn.OutputAll." localSheetId="33" hidden="1">{"Output-All",#N/A,FALSE,"Output"}</definedName>
    <definedName name="wrn.OutputAll." localSheetId="28" hidden="1">{"Output-All",#N/A,FALSE,"Output"}</definedName>
    <definedName name="wrn.OutputAll." localSheetId="34" hidden="1">{"Output-All",#N/A,FALSE,"Output"}</definedName>
    <definedName name="wrn.OutputAll." hidden="1">{"Output-All",#N/A,FALSE,"Output"}</definedName>
    <definedName name="wrn.OutputBaseYear." localSheetId="76" hidden="1">{"Output-BaseYear",#N/A,FALSE,"Output"}</definedName>
    <definedName name="wrn.OutputBaseYear." localSheetId="75" hidden="1">{"Output-BaseYear",#N/A,FALSE,"Output"}</definedName>
    <definedName name="wrn.OutputBaseYear." localSheetId="15" hidden="1">{"Output-BaseYear",#N/A,FALSE,"Output"}</definedName>
    <definedName name="wrn.OutputBaseYear." localSheetId="17" hidden="1">{"Output-BaseYear",#N/A,FALSE,"Output"}</definedName>
    <definedName name="wrn.OutputBaseYear." localSheetId="13" hidden="1">{"Output-BaseYear",#N/A,FALSE,"Output"}</definedName>
    <definedName name="wrn.OutputBaseYear." localSheetId="36" hidden="1">{"Output-BaseYear",#N/A,FALSE,"Output"}</definedName>
    <definedName name="wrn.OutputBaseYear." localSheetId="30" hidden="1">{"Output-BaseYear",#N/A,FALSE,"Output"}</definedName>
    <definedName name="wrn.OutputBaseYear." localSheetId="29" hidden="1">{"Output-BaseYear",#N/A,FALSE,"Output"}</definedName>
    <definedName name="wrn.OutputBaseYear." localSheetId="33" hidden="1">{"Output-BaseYear",#N/A,FALSE,"Output"}</definedName>
    <definedName name="wrn.OutputBaseYear." localSheetId="28" hidden="1">{"Output-BaseYear",#N/A,FALSE,"Output"}</definedName>
    <definedName name="wrn.OutputBaseYear." localSheetId="34" hidden="1">{"Output-BaseYear",#N/A,FALSE,"Output"}</definedName>
    <definedName name="wrn.OutputBaseYear." hidden="1">{"Output-BaseYear",#N/A,FALSE,"Output"}</definedName>
    <definedName name="wrn.OutputMin." localSheetId="76" hidden="1">{"Output-Min",#N/A,FALSE,"Output"}</definedName>
    <definedName name="wrn.OutputMin." localSheetId="75" hidden="1">{"Output-Min",#N/A,FALSE,"Output"}</definedName>
    <definedName name="wrn.OutputMin." localSheetId="15" hidden="1">{"Output-Min",#N/A,FALSE,"Output"}</definedName>
    <definedName name="wrn.OutputMin." localSheetId="17" hidden="1">{"Output-Min",#N/A,FALSE,"Output"}</definedName>
    <definedName name="wrn.OutputMin." localSheetId="13" hidden="1">{"Output-Min",#N/A,FALSE,"Output"}</definedName>
    <definedName name="wrn.OutputMin." localSheetId="36" hidden="1">{"Output-Min",#N/A,FALSE,"Output"}</definedName>
    <definedName name="wrn.OutputMin." localSheetId="30" hidden="1">{"Output-Min",#N/A,FALSE,"Output"}</definedName>
    <definedName name="wrn.OutputMin." localSheetId="29" hidden="1">{"Output-Min",#N/A,FALSE,"Output"}</definedName>
    <definedName name="wrn.OutputMin." localSheetId="33" hidden="1">{"Output-Min",#N/A,FALSE,"Output"}</definedName>
    <definedName name="wrn.OutputMin." localSheetId="28" hidden="1">{"Output-Min",#N/A,FALSE,"Output"}</definedName>
    <definedName name="wrn.OutputMin." localSheetId="34" hidden="1">{"Output-Min",#N/A,FALSE,"Output"}</definedName>
    <definedName name="wrn.OutputMin." hidden="1">{"Output-Min",#N/A,FALSE,"Output"}</definedName>
    <definedName name="wrn.OutputPercent." localSheetId="76" hidden="1">{"Output%",#N/A,FALSE,"Output"}</definedName>
    <definedName name="wrn.OutputPercent." localSheetId="75" hidden="1">{"Output%",#N/A,FALSE,"Output"}</definedName>
    <definedName name="wrn.OutputPercent." localSheetId="15" hidden="1">{"Output%",#N/A,FALSE,"Output"}</definedName>
    <definedName name="wrn.OutputPercent." localSheetId="17" hidden="1">{"Output%",#N/A,FALSE,"Output"}</definedName>
    <definedName name="wrn.OutputPercent." localSheetId="13" hidden="1">{"Output%",#N/A,FALSE,"Output"}</definedName>
    <definedName name="wrn.OutputPercent." localSheetId="36" hidden="1">{"Output%",#N/A,FALSE,"Output"}</definedName>
    <definedName name="wrn.OutputPercent." localSheetId="30" hidden="1">{"Output%",#N/A,FALSE,"Output"}</definedName>
    <definedName name="wrn.OutputPercent." localSheetId="29" hidden="1">{"Output%",#N/A,FALSE,"Output"}</definedName>
    <definedName name="wrn.OutputPercent." localSheetId="33" hidden="1">{"Output%",#N/A,FALSE,"Output"}</definedName>
    <definedName name="wrn.OutputPercent." localSheetId="28" hidden="1">{"Output%",#N/A,FALSE,"Output"}</definedName>
    <definedName name="wrn.OutputPercent." localSheetId="34" hidden="1">{"Output%",#N/A,FALSE,"Output"}</definedName>
    <definedName name="wrn.OutputPercent." hidden="1">{"Output%",#N/A,FALSE,"Output"}</definedName>
    <definedName name="wrn.pages." localSheetId="76" hidden="1">{#N/A,#N/A,FALSE,"Bgt";#N/A,#N/A,FALSE,"Act";#N/A,#N/A,FALSE,"Chrt Data";#N/A,#N/A,FALSE,"Bus Result";#N/A,#N/A,FALSE,"Main Charts";#N/A,#N/A,FALSE,"P&amp;L Ttl";#N/A,#N/A,FALSE,"P&amp;L C_Ttl";#N/A,#N/A,FALSE,"P&amp;L C_Oct";#N/A,#N/A,FALSE,"P&amp;L C_Sep";#N/A,#N/A,FALSE,"1996";#N/A,#N/A,FALSE,"Data"}</definedName>
    <definedName name="wrn.pages." localSheetId="75"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localSheetId="17"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36" hidden="1">{#N/A,#N/A,FALSE,"Bgt";#N/A,#N/A,FALSE,"Act";#N/A,#N/A,FALSE,"Chrt Data";#N/A,#N/A,FALSE,"Bus Result";#N/A,#N/A,FALSE,"Main Charts";#N/A,#N/A,FALSE,"P&amp;L Ttl";#N/A,#N/A,FALSE,"P&amp;L C_Ttl";#N/A,#N/A,FALSE,"P&amp;L C_Oct";#N/A,#N/A,FALSE,"P&amp;L C_Sep";#N/A,#N/A,FALSE,"1996";#N/A,#N/A,FALSE,"Data"}</definedName>
    <definedName name="wrn.pages." localSheetId="30" hidden="1">{#N/A,#N/A,FALSE,"Bgt";#N/A,#N/A,FALSE,"Act";#N/A,#N/A,FALSE,"Chrt Data";#N/A,#N/A,FALSE,"Bus Result";#N/A,#N/A,FALSE,"Main Charts";#N/A,#N/A,FALSE,"P&amp;L Ttl";#N/A,#N/A,FALSE,"P&amp;L C_Ttl";#N/A,#N/A,FALSE,"P&amp;L C_Oct";#N/A,#N/A,FALSE,"P&amp;L C_Sep";#N/A,#N/A,FALSE,"1996";#N/A,#N/A,FALSE,"Data"}</definedName>
    <definedName name="wrn.pages." localSheetId="29" hidden="1">{#N/A,#N/A,FALSE,"Bgt";#N/A,#N/A,FALSE,"Act";#N/A,#N/A,FALSE,"Chrt Data";#N/A,#N/A,FALSE,"Bus Result";#N/A,#N/A,FALSE,"Main Charts";#N/A,#N/A,FALSE,"P&amp;L Ttl";#N/A,#N/A,FALSE,"P&amp;L C_Ttl";#N/A,#N/A,FALSE,"P&amp;L C_Oct";#N/A,#N/A,FALSE,"P&amp;L C_Sep";#N/A,#N/A,FALSE,"1996";#N/A,#N/A,FALSE,"Data"}</definedName>
    <definedName name="wrn.pages." localSheetId="3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76" hidden="1">{#N/A,#N/A,FALSE,"Consltd-For contngcy";"PaymentView",#N/A,FALSE,"Consltd-For contngcy"}</definedName>
    <definedName name="wrn.Payment._.View." localSheetId="75" hidden="1">{#N/A,#N/A,FALSE,"Consltd-For contngcy";"PaymentView",#N/A,FALSE,"Consltd-For contngcy"}</definedName>
    <definedName name="wrn.Payment._.View." localSheetId="15" hidden="1">{#N/A,#N/A,FALSE,"Consltd-For contngcy";"PaymentView",#N/A,FALSE,"Consltd-For contngcy"}</definedName>
    <definedName name="wrn.Payment._.View." localSheetId="17" hidden="1">{#N/A,#N/A,FALSE,"Consltd-For contngcy";"PaymentView",#N/A,FALSE,"Consltd-For contngcy"}</definedName>
    <definedName name="wrn.Payment._.View." localSheetId="13" hidden="1">{#N/A,#N/A,FALSE,"Consltd-For contngcy";"PaymentView",#N/A,FALSE,"Consltd-For contngcy"}</definedName>
    <definedName name="wrn.Payment._.View." localSheetId="36" hidden="1">{#N/A,#N/A,FALSE,"Consltd-For contngcy";"PaymentView",#N/A,FALSE,"Consltd-For contngcy"}</definedName>
    <definedName name="wrn.Payment._.View." localSheetId="30" hidden="1">{#N/A,#N/A,FALSE,"Consltd-For contngcy";"PaymentView",#N/A,FALSE,"Consltd-For contngcy"}</definedName>
    <definedName name="wrn.Payment._.View." localSheetId="29" hidden="1">{#N/A,#N/A,FALSE,"Consltd-For contngcy";"PaymentView",#N/A,FALSE,"Consltd-For contngcy"}</definedName>
    <definedName name="wrn.Payment._.View." localSheetId="33" hidden="1">{#N/A,#N/A,FALSE,"Consltd-For contngcy";"PaymentView",#N/A,FALSE,"Consltd-For contngcy"}</definedName>
    <definedName name="wrn.Payment._.View." hidden="1">{#N/A,#N/A,FALSE,"Consltd-For contngcy";"PaymentView",#N/A,FALSE,"Consltd-For contngcy"}</definedName>
    <definedName name="wrn.Pfd." localSheetId="76" hidden="1">{"Pfd",#N/A,FALSE,"Pfd"}</definedName>
    <definedName name="wrn.Pfd." localSheetId="75" hidden="1">{"Pfd",#N/A,FALSE,"Pfd"}</definedName>
    <definedName name="wrn.Pfd." localSheetId="15" hidden="1">{"Pfd",#N/A,FALSE,"Pfd"}</definedName>
    <definedName name="wrn.Pfd." localSheetId="17" hidden="1">{"Pfd",#N/A,FALSE,"Pfd"}</definedName>
    <definedName name="wrn.Pfd." localSheetId="13" hidden="1">{"Pfd",#N/A,FALSE,"Pfd"}</definedName>
    <definedName name="wrn.Pfd." localSheetId="36" hidden="1">{"Pfd",#N/A,FALSE,"Pfd"}</definedName>
    <definedName name="wrn.Pfd." localSheetId="30" hidden="1">{"Pfd",#N/A,FALSE,"Pfd"}</definedName>
    <definedName name="wrn.Pfd." localSheetId="29" hidden="1">{"Pfd",#N/A,FALSE,"Pfd"}</definedName>
    <definedName name="wrn.Pfd." localSheetId="33" hidden="1">{"Pfd",#N/A,FALSE,"Pfd"}</definedName>
    <definedName name="wrn.Pfd." localSheetId="28" hidden="1">{"Pfd",#N/A,FALSE,"Pfd"}</definedName>
    <definedName name="wrn.Pfd." localSheetId="34" hidden="1">{"Pfd",#N/A,FALSE,"Pfd"}</definedName>
    <definedName name="wrn.Pfd." localSheetId="1" hidden="1">{"Pfd",#N/A,FALSE,"Pfd"}</definedName>
    <definedName name="wrn.Pfd." hidden="1">{"Pfd",#N/A,FALSE,"Pfd"}</definedName>
    <definedName name="wrn.PFSreconview." localSheetId="76" hidden="1">{"PFS recon view",#N/A,FALSE,"Hyperion Proof"}</definedName>
    <definedName name="wrn.PFSreconview." localSheetId="75" hidden="1">{"PFS recon view",#N/A,FALSE,"Hyperion Proof"}</definedName>
    <definedName name="wrn.PFSreconview." localSheetId="15" hidden="1">{"PFS recon view",#N/A,FALSE,"Hyperion Proof"}</definedName>
    <definedName name="wrn.PFSreconview." localSheetId="17" hidden="1">{"PFS recon view",#N/A,FALSE,"Hyperion Proof"}</definedName>
    <definedName name="wrn.PFSreconview." localSheetId="13" hidden="1">{"PFS recon view",#N/A,FALSE,"Hyperion Proof"}</definedName>
    <definedName name="wrn.PFSreconview." localSheetId="36" hidden="1">{"PFS recon view",#N/A,FALSE,"Hyperion Proof"}</definedName>
    <definedName name="wrn.PFSreconview." localSheetId="30" hidden="1">{"PFS recon view",#N/A,FALSE,"Hyperion Proof"}</definedName>
    <definedName name="wrn.PFSreconview." localSheetId="29" hidden="1">{"PFS recon view",#N/A,FALSE,"Hyperion Proof"}</definedName>
    <definedName name="wrn.PFSreconview." localSheetId="33" hidden="1">{"PFS recon view",#N/A,FALSE,"Hyperion Proof"}</definedName>
    <definedName name="wrn.PFSreconview." hidden="1">{"PFS recon view",#N/A,FALSE,"Hyperion Proof"}</definedName>
    <definedName name="wrn.PGHCreconview." localSheetId="76" hidden="1">{"PGHC recon view",#N/A,FALSE,"Hyperion Proof"}</definedName>
    <definedName name="wrn.PGHCreconview." localSheetId="75" hidden="1">{"PGHC recon view",#N/A,FALSE,"Hyperion Proof"}</definedName>
    <definedName name="wrn.PGHCreconview." localSheetId="15" hidden="1">{"PGHC recon view",#N/A,FALSE,"Hyperion Proof"}</definedName>
    <definedName name="wrn.PGHCreconview." localSheetId="17" hidden="1">{"PGHC recon view",#N/A,FALSE,"Hyperion Proof"}</definedName>
    <definedName name="wrn.PGHCreconview." localSheetId="13" hidden="1">{"PGHC recon view",#N/A,FALSE,"Hyperion Proof"}</definedName>
    <definedName name="wrn.PGHCreconview." localSheetId="36" hidden="1">{"PGHC recon view",#N/A,FALSE,"Hyperion Proof"}</definedName>
    <definedName name="wrn.PGHCreconview." localSheetId="30" hidden="1">{"PGHC recon view",#N/A,FALSE,"Hyperion Proof"}</definedName>
    <definedName name="wrn.PGHCreconview." localSheetId="29" hidden="1">{"PGHC recon view",#N/A,FALSE,"Hyperion Proof"}</definedName>
    <definedName name="wrn.PGHCreconview." localSheetId="33" hidden="1">{"PGHC recon view",#N/A,FALSE,"Hyperion Proof"}</definedName>
    <definedName name="wrn.PGHCreconview." hidden="1">{"PGHC recon view",#N/A,FALSE,"Hyperion Proof"}</definedName>
    <definedName name="wrn.PHI._.all._.other._.months." localSheetId="76" hidden="1">{#N/A,#N/A,FALSE,"PHI MTD";#N/A,#N/A,FALSE,"PHI YTD"}</definedName>
    <definedName name="wrn.PHI._.all._.other._.months." localSheetId="75" hidden="1">{#N/A,#N/A,FALSE,"PHI MTD";#N/A,#N/A,FALSE,"PHI YTD"}</definedName>
    <definedName name="wrn.PHI._.all._.other._.months." localSheetId="15" hidden="1">{#N/A,#N/A,FALSE,"PHI MTD";#N/A,#N/A,FALSE,"PHI YTD"}</definedName>
    <definedName name="wrn.PHI._.all._.other._.months." localSheetId="17" hidden="1">{#N/A,#N/A,FALSE,"PHI MTD";#N/A,#N/A,FALSE,"PHI YTD"}</definedName>
    <definedName name="wrn.PHI._.all._.other._.months." localSheetId="13" hidden="1">{#N/A,#N/A,FALSE,"PHI MTD";#N/A,#N/A,FALSE,"PHI YTD"}</definedName>
    <definedName name="wrn.PHI._.all._.other._.months." localSheetId="36" hidden="1">{#N/A,#N/A,FALSE,"PHI MTD";#N/A,#N/A,FALSE,"PHI YTD"}</definedName>
    <definedName name="wrn.PHI._.all._.other._.months." localSheetId="30" hidden="1">{#N/A,#N/A,FALSE,"PHI MTD";#N/A,#N/A,FALSE,"PHI YTD"}</definedName>
    <definedName name="wrn.PHI._.all._.other._.months." localSheetId="29" hidden="1">{#N/A,#N/A,FALSE,"PHI MTD";#N/A,#N/A,FALSE,"PHI YTD"}</definedName>
    <definedName name="wrn.PHI._.all._.other._.months." localSheetId="33" hidden="1">{#N/A,#N/A,FALSE,"PHI MTD";#N/A,#N/A,FALSE,"PHI YTD"}</definedName>
    <definedName name="wrn.PHI._.all._.other._.months." hidden="1">{#N/A,#N/A,FALSE,"PHI MTD";#N/A,#N/A,FALSE,"PHI YTD"}</definedName>
    <definedName name="wrn.PHI._.only." localSheetId="76" hidden="1">{#N/A,#N/A,FALSE,"PHI"}</definedName>
    <definedName name="wrn.PHI._.only." localSheetId="75" hidden="1">{#N/A,#N/A,FALSE,"PHI"}</definedName>
    <definedName name="wrn.PHI._.only." localSheetId="15" hidden="1">{#N/A,#N/A,FALSE,"PHI"}</definedName>
    <definedName name="wrn.PHI._.only." localSheetId="17" hidden="1">{#N/A,#N/A,FALSE,"PHI"}</definedName>
    <definedName name="wrn.PHI._.only." localSheetId="13" hidden="1">{#N/A,#N/A,FALSE,"PHI"}</definedName>
    <definedName name="wrn.PHI._.only." localSheetId="36" hidden="1">{#N/A,#N/A,FALSE,"PHI"}</definedName>
    <definedName name="wrn.PHI._.only." localSheetId="30" hidden="1">{#N/A,#N/A,FALSE,"PHI"}</definedName>
    <definedName name="wrn.PHI._.only." localSheetId="29" hidden="1">{#N/A,#N/A,FALSE,"PHI"}</definedName>
    <definedName name="wrn.PHI._.only." localSheetId="33" hidden="1">{#N/A,#N/A,FALSE,"PHI"}</definedName>
    <definedName name="wrn.PHI._.only." hidden="1">{#N/A,#N/A,FALSE,"PHI"}</definedName>
    <definedName name="wrn.PHI._.Sept._.Dec._.March." localSheetId="76" hidden="1">{#N/A,#N/A,FALSE,"PHI MTD";#N/A,#N/A,FALSE,"PHI QTD";#N/A,#N/A,FALSE,"PHI YTD"}</definedName>
    <definedName name="wrn.PHI._.Sept._.Dec._.March." localSheetId="75" hidden="1">{#N/A,#N/A,FALSE,"PHI MTD";#N/A,#N/A,FALSE,"PHI QTD";#N/A,#N/A,FALSE,"PHI YTD"}</definedName>
    <definedName name="wrn.PHI._.Sept._.Dec._.March." localSheetId="15" hidden="1">{#N/A,#N/A,FALSE,"PHI MTD";#N/A,#N/A,FALSE,"PHI QTD";#N/A,#N/A,FALSE,"PHI YTD"}</definedName>
    <definedName name="wrn.PHI._.Sept._.Dec._.March." localSheetId="17" hidden="1">{#N/A,#N/A,FALSE,"PHI MTD";#N/A,#N/A,FALSE,"PHI QTD";#N/A,#N/A,FALSE,"PHI YTD"}</definedName>
    <definedName name="wrn.PHI._.Sept._.Dec._.March." localSheetId="13" hidden="1">{#N/A,#N/A,FALSE,"PHI MTD";#N/A,#N/A,FALSE,"PHI QTD";#N/A,#N/A,FALSE,"PHI YTD"}</definedName>
    <definedName name="wrn.PHI._.Sept._.Dec._.March." localSheetId="36" hidden="1">{#N/A,#N/A,FALSE,"PHI MTD";#N/A,#N/A,FALSE,"PHI QTD";#N/A,#N/A,FALSE,"PHI YTD"}</definedName>
    <definedName name="wrn.PHI._.Sept._.Dec._.March." localSheetId="30" hidden="1">{#N/A,#N/A,FALSE,"PHI MTD";#N/A,#N/A,FALSE,"PHI QTD";#N/A,#N/A,FALSE,"PHI YTD"}</definedName>
    <definedName name="wrn.PHI._.Sept._.Dec._.March." localSheetId="29" hidden="1">{#N/A,#N/A,FALSE,"PHI MTD";#N/A,#N/A,FALSE,"PHI QTD";#N/A,#N/A,FALSE,"PHI YTD"}</definedName>
    <definedName name="wrn.PHI._.Sept._.Dec._.March." localSheetId="33" hidden="1">{#N/A,#N/A,FALSE,"PHI MTD";#N/A,#N/A,FALSE,"PHI QTD";#N/A,#N/A,FALSE,"PHI YTD"}</definedName>
    <definedName name="wrn.PHI._.Sept._.Dec._.March." hidden="1">{#N/A,#N/A,FALSE,"PHI MTD";#N/A,#N/A,FALSE,"PHI QTD";#N/A,#N/A,FALSE,"PHI YTD"}</definedName>
    <definedName name="wrn.Pivot1." localSheetId="76" hidden="1">{"Pivot1",#N/A,FALSE,"Redemption_Maturity Extract"}</definedName>
    <definedName name="wrn.Pivot1." localSheetId="75" hidden="1">{"Pivot1",#N/A,FALSE,"Redemption_Maturity Extract"}</definedName>
    <definedName name="wrn.Pivot1." localSheetId="15" hidden="1">{"Pivot1",#N/A,FALSE,"Redemption_Maturity Extract"}</definedName>
    <definedName name="wrn.Pivot1." localSheetId="17" hidden="1">{"Pivot1",#N/A,FALSE,"Redemption_Maturity Extract"}</definedName>
    <definedName name="wrn.Pivot1." localSheetId="13" hidden="1">{"Pivot1",#N/A,FALSE,"Redemption_Maturity Extract"}</definedName>
    <definedName name="wrn.Pivot1." localSheetId="36" hidden="1">{"Pivot1",#N/A,FALSE,"Redemption_Maturity Extract"}</definedName>
    <definedName name="wrn.Pivot1." localSheetId="30" hidden="1">{"Pivot1",#N/A,FALSE,"Redemption_Maturity Extract"}</definedName>
    <definedName name="wrn.Pivot1." localSheetId="29" hidden="1">{"Pivot1",#N/A,FALSE,"Redemption_Maturity Extract"}</definedName>
    <definedName name="wrn.Pivot1." localSheetId="33" hidden="1">{"Pivot1",#N/A,FALSE,"Redemption_Maturity Extract"}</definedName>
    <definedName name="wrn.Pivot1." localSheetId="28" hidden="1">{"Pivot1",#N/A,FALSE,"Redemption_Maturity Extract"}</definedName>
    <definedName name="wrn.Pivot1." localSheetId="34" hidden="1">{"Pivot1",#N/A,FALSE,"Redemption_Maturity Extract"}</definedName>
    <definedName name="wrn.Pivot1." hidden="1">{"Pivot1",#N/A,FALSE,"Redemption_Maturity Extract"}</definedName>
    <definedName name="wrn.Pivot2." localSheetId="76" hidden="1">{"Pivot2",#N/A,FALSE,"Redemption_Maturity Extract"}</definedName>
    <definedName name="wrn.Pivot2." localSheetId="75" hidden="1">{"Pivot2",#N/A,FALSE,"Redemption_Maturity Extract"}</definedName>
    <definedName name="wrn.Pivot2." localSheetId="15" hidden="1">{"Pivot2",#N/A,FALSE,"Redemption_Maturity Extract"}</definedName>
    <definedName name="wrn.Pivot2." localSheetId="17" hidden="1">{"Pivot2",#N/A,FALSE,"Redemption_Maturity Extract"}</definedName>
    <definedName name="wrn.Pivot2." localSheetId="13" hidden="1">{"Pivot2",#N/A,FALSE,"Redemption_Maturity Extract"}</definedName>
    <definedName name="wrn.Pivot2." localSheetId="36" hidden="1">{"Pivot2",#N/A,FALSE,"Redemption_Maturity Extract"}</definedName>
    <definedName name="wrn.Pivot2." localSheetId="30" hidden="1">{"Pivot2",#N/A,FALSE,"Redemption_Maturity Extract"}</definedName>
    <definedName name="wrn.Pivot2." localSheetId="29" hidden="1">{"Pivot2",#N/A,FALSE,"Redemption_Maturity Extract"}</definedName>
    <definedName name="wrn.Pivot2." localSheetId="33" hidden="1">{"Pivot2",#N/A,FALSE,"Redemption_Maturity Extract"}</definedName>
    <definedName name="wrn.Pivot2." localSheetId="28" hidden="1">{"Pivot2",#N/A,FALSE,"Redemption_Maturity Extract"}</definedName>
    <definedName name="wrn.Pivot2." localSheetId="34" hidden="1">{"Pivot2",#N/A,FALSE,"Redemption_Maturity Extract"}</definedName>
    <definedName name="wrn.Pivot2." hidden="1">{"Pivot2",#N/A,FALSE,"Redemption_Maturity Extract"}</definedName>
    <definedName name="wrn.Plan._.2004." localSheetId="76"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75"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5"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7"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6"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9"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76" hidden="1">{"PPM Co Code View",#N/A,FALSE,"Comp Codes"}</definedName>
    <definedName name="wrn.PPMCoCodeView." localSheetId="75" hidden="1">{"PPM Co Code View",#N/A,FALSE,"Comp Codes"}</definedName>
    <definedName name="wrn.PPMCoCodeView." localSheetId="15" hidden="1">{"PPM Co Code View",#N/A,FALSE,"Comp Codes"}</definedName>
    <definedName name="wrn.PPMCoCodeView." localSheetId="17" hidden="1">{"PPM Co Code View",#N/A,FALSE,"Comp Codes"}</definedName>
    <definedName name="wrn.PPMCoCodeView." localSheetId="13" hidden="1">{"PPM Co Code View",#N/A,FALSE,"Comp Codes"}</definedName>
    <definedName name="wrn.PPMCoCodeView." localSheetId="36" hidden="1">{"PPM Co Code View",#N/A,FALSE,"Comp Codes"}</definedName>
    <definedName name="wrn.PPMCoCodeView." localSheetId="30" hidden="1">{"PPM Co Code View",#N/A,FALSE,"Comp Codes"}</definedName>
    <definedName name="wrn.PPMCoCodeView." localSheetId="29" hidden="1">{"PPM Co Code View",#N/A,FALSE,"Comp Codes"}</definedName>
    <definedName name="wrn.PPMCoCodeView." localSheetId="33" hidden="1">{"PPM Co Code View",#N/A,FALSE,"Comp Codes"}</definedName>
    <definedName name="wrn.PPMCoCodeView." hidden="1">{"PPM Co Code View",#N/A,FALSE,"Comp Codes"}</definedName>
    <definedName name="wrn.PPMreconview." localSheetId="76" hidden="1">{"PPM Recon View",#N/A,FALSE,"Hyperion Proof"}</definedName>
    <definedName name="wrn.PPMreconview." localSheetId="75" hidden="1">{"PPM Recon View",#N/A,FALSE,"Hyperion Proof"}</definedName>
    <definedName name="wrn.PPMreconview." localSheetId="15" hidden="1">{"PPM Recon View",#N/A,FALSE,"Hyperion Proof"}</definedName>
    <definedName name="wrn.PPMreconview." localSheetId="17" hidden="1">{"PPM Recon View",#N/A,FALSE,"Hyperion Proof"}</definedName>
    <definedName name="wrn.PPMreconview." localSheetId="13" hidden="1">{"PPM Recon View",#N/A,FALSE,"Hyperion Proof"}</definedName>
    <definedName name="wrn.PPMreconview." localSheetId="36" hidden="1">{"PPM Recon View",#N/A,FALSE,"Hyperion Proof"}</definedName>
    <definedName name="wrn.PPMreconview." localSheetId="30" hidden="1">{"PPM Recon View",#N/A,FALSE,"Hyperion Proof"}</definedName>
    <definedName name="wrn.PPMreconview." localSheetId="29" hidden="1">{"PPM Recon View",#N/A,FALSE,"Hyperion Proof"}</definedName>
    <definedName name="wrn.PPMreconview." localSheetId="33" hidden="1">{"PPM Recon View",#N/A,FALSE,"Hyperion Proof"}</definedName>
    <definedName name="wrn.PPMreconview." hidden="1">{"PPM Recon View",#N/A,FALSE,"Hyperion Proof"}</definedName>
    <definedName name="wrn.PrintAll." localSheetId="76" hidden="1">{"PA1",#N/A,TRUE,"BORDMW";"pa2",#N/A,TRUE,"BORDMW";"PA3",#N/A,TRUE,"BORDMW";"PA4",#N/A,TRUE,"BORDMW"}</definedName>
    <definedName name="wrn.PrintAll." localSheetId="75" hidden="1">{"PA1",#N/A,TRUE,"BORDMW";"pa2",#N/A,TRUE,"BORDMW";"PA3",#N/A,TRUE,"BORDMW";"PA4",#N/A,TRUE,"BORDMW"}</definedName>
    <definedName name="wrn.PrintAll." localSheetId="15" hidden="1">{"PA1",#N/A,TRUE,"BORDMW";"pa2",#N/A,TRUE,"BORDMW";"PA3",#N/A,TRUE,"BORDMW";"PA4",#N/A,TRUE,"BORDMW"}</definedName>
    <definedName name="wrn.PrintAll." localSheetId="17" hidden="1">{"PA1",#N/A,TRUE,"BORDMW";"pa2",#N/A,TRUE,"BORDMW";"PA3",#N/A,TRUE,"BORDMW";"PA4",#N/A,TRUE,"BORDMW"}</definedName>
    <definedName name="wrn.PrintAll." localSheetId="13" hidden="1">{"PA1",#N/A,TRUE,"BORDMW";"pa2",#N/A,TRUE,"BORDMW";"PA3",#N/A,TRUE,"BORDMW";"PA4",#N/A,TRUE,"BORDMW"}</definedName>
    <definedName name="wrn.PrintAll." localSheetId="36" hidden="1">{"PA1",#N/A,TRUE,"BORDMW";"pa2",#N/A,TRUE,"BORDMW";"PA3",#N/A,TRUE,"BORDMW";"PA4",#N/A,TRUE,"BORDMW"}</definedName>
    <definedName name="wrn.PrintAll." localSheetId="30" hidden="1">{"PA1",#N/A,TRUE,"BORDMW";"pa2",#N/A,TRUE,"BORDMW";"PA3",#N/A,TRUE,"BORDMW";"PA4",#N/A,TRUE,"BORDMW"}</definedName>
    <definedName name="wrn.PrintAll." localSheetId="29" hidden="1">{"PA1",#N/A,TRUE,"BORDMW";"pa2",#N/A,TRUE,"BORDMW";"PA3",#N/A,TRUE,"BORDMW";"PA4",#N/A,TRUE,"BORDMW"}</definedName>
    <definedName name="wrn.PrintAll." localSheetId="33" hidden="1">{"PA1",#N/A,TRUE,"BORDMW";"pa2",#N/A,TRUE,"BORDMW";"PA3",#N/A,TRUE,"BORDMW";"PA4",#N/A,TRUE,"BORDMW"}</definedName>
    <definedName name="wrn.PrintAll." hidden="1">{"PA1",#N/A,TRUE,"BORDMW";"pa2",#N/A,TRUE,"BORDMW";"PA3",#N/A,TRUE,"BORDMW";"PA4",#N/A,TRUE,"BORDMW"}</definedName>
    <definedName name="wrn.ProofElectricOnly." localSheetId="76" hidden="1">{"Electric Only",#N/A,FALSE,"Hyperion Proof"}</definedName>
    <definedName name="wrn.ProofElectricOnly." localSheetId="75" hidden="1">{"Electric Only",#N/A,FALSE,"Hyperion Proof"}</definedName>
    <definedName name="wrn.ProofElectricOnly." localSheetId="15" hidden="1">{"Electric Only",#N/A,FALSE,"Hyperion Proof"}</definedName>
    <definedName name="wrn.ProofElectricOnly." localSheetId="17" hidden="1">{"Electric Only",#N/A,FALSE,"Hyperion Proof"}</definedName>
    <definedName name="wrn.ProofElectricOnly." localSheetId="13" hidden="1">{"Electric Only",#N/A,FALSE,"Hyperion Proof"}</definedName>
    <definedName name="wrn.ProofElectricOnly." localSheetId="36" hidden="1">{"Electric Only",#N/A,FALSE,"Hyperion Proof"}</definedName>
    <definedName name="wrn.ProofElectricOnly." localSheetId="30" hidden="1">{"Electric Only",#N/A,FALSE,"Hyperion Proof"}</definedName>
    <definedName name="wrn.ProofElectricOnly." localSheetId="29" hidden="1">{"Electric Only",#N/A,FALSE,"Hyperion Proof"}</definedName>
    <definedName name="wrn.ProofElectricOnly." localSheetId="33" hidden="1">{"Electric Only",#N/A,FALSE,"Hyperion Proof"}</definedName>
    <definedName name="wrn.ProofElectricOnly." hidden="1">{"Electric Only",#N/A,FALSE,"Hyperion Proof"}</definedName>
    <definedName name="wrn.ProofTotal." localSheetId="76" hidden="1">{"Proof Total",#N/A,FALSE,"Hyperion Proof"}</definedName>
    <definedName name="wrn.ProofTotal." localSheetId="75" hidden="1">{"Proof Total",#N/A,FALSE,"Hyperion Proof"}</definedName>
    <definedName name="wrn.ProofTotal." localSheetId="15" hidden="1">{"Proof Total",#N/A,FALSE,"Hyperion Proof"}</definedName>
    <definedName name="wrn.ProofTotal." localSheetId="17" hidden="1">{"Proof Total",#N/A,FALSE,"Hyperion Proof"}</definedName>
    <definedName name="wrn.ProofTotal." localSheetId="13" hidden="1">{"Proof Total",#N/A,FALSE,"Hyperion Proof"}</definedName>
    <definedName name="wrn.ProofTotal." localSheetId="36" hidden="1">{"Proof Total",#N/A,FALSE,"Hyperion Proof"}</definedName>
    <definedName name="wrn.ProofTotal." localSheetId="30" hidden="1">{"Proof Total",#N/A,FALSE,"Hyperion Proof"}</definedName>
    <definedName name="wrn.ProofTotal." localSheetId="29" hidden="1">{"Proof Total",#N/A,FALSE,"Hyperion Proof"}</definedName>
    <definedName name="wrn.ProofTotal." localSheetId="33" hidden="1">{"Proof Total",#N/A,FALSE,"Hyperion Proof"}</definedName>
    <definedName name="wrn.ProofTotal." hidden="1">{"Proof Total",#N/A,FALSE,"Hyperion Proof"}</definedName>
    <definedName name="wrn.quarterly." localSheetId="76" hidden="1">{"quarterly",#N/A,FALSE,"Pro Forma"}</definedName>
    <definedName name="wrn.quarterly." localSheetId="75" hidden="1">{"quarterly",#N/A,FALSE,"Pro Forma"}</definedName>
    <definedName name="wrn.quarterly." localSheetId="15" hidden="1">{"quarterly",#N/A,FALSE,"Pro Forma"}</definedName>
    <definedName name="wrn.quarterly." localSheetId="17" hidden="1">{"quarterly",#N/A,FALSE,"Pro Forma"}</definedName>
    <definedName name="wrn.quarterly." localSheetId="13" hidden="1">{"quarterly",#N/A,FALSE,"Pro Forma"}</definedName>
    <definedName name="wrn.quarterly." localSheetId="36" hidden="1">{"quarterly",#N/A,FALSE,"Pro Forma"}</definedName>
    <definedName name="wrn.quarterly." localSheetId="30" hidden="1">{"quarterly",#N/A,FALSE,"Pro Forma"}</definedName>
    <definedName name="wrn.quarterly." localSheetId="29" hidden="1">{"quarterly",#N/A,FALSE,"Pro Forma"}</definedName>
    <definedName name="wrn.quarterly." localSheetId="33" hidden="1">{"quarterly",#N/A,FALSE,"Pro Forma"}</definedName>
    <definedName name="wrn.quarterly." localSheetId="28" hidden="1">{"quarterly",#N/A,FALSE,"Pro Forma"}</definedName>
    <definedName name="wrn.quarterly." localSheetId="34" hidden="1">{"quarterly",#N/A,FALSE,"Pro Forma"}</definedName>
    <definedName name="wrn.quarterly." hidden="1">{"quarterly",#N/A,FALSE,"Pro Forma"}</definedName>
    <definedName name="wrn.Reformat._.only." localSheetId="76" hidden="1">{#N/A,#N/A,FALSE,"Dec 1999 mapping"}</definedName>
    <definedName name="wrn.Reformat._.only." localSheetId="75" hidden="1">{#N/A,#N/A,FALSE,"Dec 1999 mapping"}</definedName>
    <definedName name="wrn.Reformat._.only." localSheetId="15" hidden="1">{#N/A,#N/A,FALSE,"Dec 1999 mapping"}</definedName>
    <definedName name="wrn.Reformat._.only." localSheetId="17" hidden="1">{#N/A,#N/A,FALSE,"Dec 1999 mapping"}</definedName>
    <definedName name="wrn.Reformat._.only." localSheetId="13" hidden="1">{#N/A,#N/A,FALSE,"Dec 1999 mapping"}</definedName>
    <definedName name="wrn.Reformat._.only." localSheetId="36" hidden="1">{#N/A,#N/A,FALSE,"Dec 1999 mapping"}</definedName>
    <definedName name="wrn.Reformat._.only." localSheetId="30" hidden="1">{#N/A,#N/A,FALSE,"Dec 1999 mapping"}</definedName>
    <definedName name="wrn.Reformat._.only." localSheetId="29" hidden="1">{#N/A,#N/A,FALSE,"Dec 1999 mapping"}</definedName>
    <definedName name="wrn.Reformat._.only." localSheetId="33" hidden="1">{#N/A,#N/A,FALSE,"Dec 1999 mapping"}</definedName>
    <definedName name="wrn.Reformat._.only." hidden="1">{#N/A,#N/A,FALSE,"Dec 1999 mapping"}</definedName>
    <definedName name="wrn.Releases._.Cash._.Accrual." localSheetId="76" hidden="1">{"a_releases",#N/A,FALSE,"Summary";"a_cash",#N/A,FALSE,"Summary";"a_accrual",#N/A,FALSE,"Summary"}</definedName>
    <definedName name="wrn.Releases._.Cash._.Accrual." localSheetId="75" hidden="1">{"a_releases",#N/A,FALSE,"Summary";"a_cash",#N/A,FALSE,"Summary";"a_accrual",#N/A,FALSE,"Summary"}</definedName>
    <definedName name="wrn.Releases._.Cash._.Accrual." localSheetId="15" hidden="1">{"a_releases",#N/A,FALSE,"Summary";"a_cash",#N/A,FALSE,"Summary";"a_accrual",#N/A,FALSE,"Summary"}</definedName>
    <definedName name="wrn.Releases._.Cash._.Accrual." localSheetId="17" hidden="1">{"a_releases",#N/A,FALSE,"Summary";"a_cash",#N/A,FALSE,"Summary";"a_accrual",#N/A,FALSE,"Summary"}</definedName>
    <definedName name="wrn.Releases._.Cash._.Accrual." localSheetId="13" hidden="1">{"a_releases",#N/A,FALSE,"Summary";"a_cash",#N/A,FALSE,"Summary";"a_accrual",#N/A,FALSE,"Summary"}</definedName>
    <definedName name="wrn.Releases._.Cash._.Accrual." localSheetId="36" hidden="1">{"a_releases",#N/A,FALSE,"Summary";"a_cash",#N/A,FALSE,"Summary";"a_accrual",#N/A,FALSE,"Summary"}</definedName>
    <definedName name="wrn.Releases._.Cash._.Accrual." localSheetId="30" hidden="1">{"a_releases",#N/A,FALSE,"Summary";"a_cash",#N/A,FALSE,"Summary";"a_accrual",#N/A,FALSE,"Summary"}</definedName>
    <definedName name="wrn.Releases._.Cash._.Accrual." localSheetId="29" hidden="1">{"a_releases",#N/A,FALSE,"Summary";"a_cash",#N/A,FALSE,"Summary";"a_accrual",#N/A,FALSE,"Summary"}</definedName>
    <definedName name="wrn.Releases._.Cash._.Accrual." localSheetId="33" hidden="1">{"a_releases",#N/A,FALSE,"Summary";"a_cash",#N/A,FALSE,"Summary";"a_accrual",#N/A,FALSE,"Summary"}</definedName>
    <definedName name="wrn.Releases._.Cash._.Accrual." localSheetId="28" hidden="1">{"a_releases",#N/A,FALSE,"Summary";"a_cash",#N/A,FALSE,"Summary";"a_accrual",#N/A,FALSE,"Summary"}</definedName>
    <definedName name="wrn.Releases._.Cash._.Accrual." localSheetId="34" hidden="1">{"a_releases",#N/A,FALSE,"Summary";"a_cash",#N/A,FALSE,"Summary";"a_accrual",#N/A,FALSE,"Summary"}</definedName>
    <definedName name="wrn.Releases._.Cash._.Accrual." hidden="1">{"a_releases",#N/A,FALSE,"Summary";"a_cash",#N/A,FALSE,"Summary";"a_accrual",#N/A,FALSE,"Summary"}</definedName>
    <definedName name="wrn.rpt96." localSheetId="76" hidden="1">{"rmrev1",#N/A,FALSE,"Forecast96";"rmrev2",#N/A,FALSE,"Forecast96";"rmrev3",#N/A,FALSE,"Forecast96"}</definedName>
    <definedName name="wrn.rpt96." localSheetId="75" hidden="1">{"rmrev1",#N/A,FALSE,"Forecast96";"rmrev2",#N/A,FALSE,"Forecast96";"rmrev3",#N/A,FALSE,"Forecast96"}</definedName>
    <definedName name="wrn.rpt96." localSheetId="15" hidden="1">{"rmrev1",#N/A,FALSE,"Forecast96";"rmrev2",#N/A,FALSE,"Forecast96";"rmrev3",#N/A,FALSE,"Forecast96"}</definedName>
    <definedName name="wrn.rpt96." localSheetId="17" hidden="1">{"rmrev1",#N/A,FALSE,"Forecast96";"rmrev2",#N/A,FALSE,"Forecast96";"rmrev3",#N/A,FALSE,"Forecast96"}</definedName>
    <definedName name="wrn.rpt96." localSheetId="13" hidden="1">{"rmrev1",#N/A,FALSE,"Forecast96";"rmrev2",#N/A,FALSE,"Forecast96";"rmrev3",#N/A,FALSE,"Forecast96"}</definedName>
    <definedName name="wrn.rpt96." localSheetId="36" hidden="1">{"rmrev1",#N/A,FALSE,"Forecast96";"rmrev2",#N/A,FALSE,"Forecast96";"rmrev3",#N/A,FALSE,"Forecast96"}</definedName>
    <definedName name="wrn.rpt96." localSheetId="30" hidden="1">{"rmrev1",#N/A,FALSE,"Forecast96";"rmrev2",#N/A,FALSE,"Forecast96";"rmrev3",#N/A,FALSE,"Forecast96"}</definedName>
    <definedName name="wrn.rpt96." localSheetId="29" hidden="1">{"rmrev1",#N/A,FALSE,"Forecast96";"rmrev2",#N/A,FALSE,"Forecast96";"rmrev3",#N/A,FALSE,"Forecast96"}</definedName>
    <definedName name="wrn.rpt96." localSheetId="33" hidden="1">{"rmrev1",#N/A,FALSE,"Forecast96";"rmrev2",#N/A,FALSE,"Forecast96";"rmrev3",#N/A,FALSE,"Forecast96"}</definedName>
    <definedName name="wrn.rpt96." localSheetId="28" hidden="1">{"rmrev1",#N/A,FALSE,"Forecast96";"rmrev2",#N/A,FALSE,"Forecast96";"rmrev3",#N/A,FALSE,"Forecast96"}</definedName>
    <definedName name="wrn.rpt96." localSheetId="34" hidden="1">{"rmrev1",#N/A,FALSE,"Forecast96";"rmrev2",#N/A,FALSE,"Forecast96";"rmrev3",#N/A,FALSE,"Forecast96"}</definedName>
    <definedName name="wrn.rpt96." hidden="1">{"rmrev1",#N/A,FALSE,"Forecast96";"rmrev2",#N/A,FALSE,"Forecast96";"rmrev3",#N/A,FALSE,"Forecast96"}</definedName>
    <definedName name="wrn.sales." localSheetId="76" hidden="1">{"sales",#N/A,FALSE,"Sales";"sales existing",#N/A,FALSE,"Sales";"sales rd1",#N/A,FALSE,"Sales";"sales rd2",#N/A,FALSE,"Sales"}</definedName>
    <definedName name="wrn.sales." localSheetId="75" hidden="1">{"sales",#N/A,FALSE,"Sales";"sales existing",#N/A,FALSE,"Sales";"sales rd1",#N/A,FALSE,"Sales";"sales rd2",#N/A,FALSE,"Sales"}</definedName>
    <definedName name="wrn.sales." localSheetId="15" hidden="1">{"sales",#N/A,FALSE,"Sales";"sales existing",#N/A,FALSE,"Sales";"sales rd1",#N/A,FALSE,"Sales";"sales rd2",#N/A,FALSE,"Sales"}</definedName>
    <definedName name="wrn.sales." localSheetId="1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36" hidden="1">{"sales",#N/A,FALSE,"Sales";"sales existing",#N/A,FALSE,"Sales";"sales rd1",#N/A,FALSE,"Sales";"sales rd2",#N/A,FALSE,"Sales"}</definedName>
    <definedName name="wrn.sales." localSheetId="30" hidden="1">{"sales",#N/A,FALSE,"Sales";"sales existing",#N/A,FALSE,"Sales";"sales rd1",#N/A,FALSE,"Sales";"sales rd2",#N/A,FALSE,"Sales"}</definedName>
    <definedName name="wrn.sales." localSheetId="29" hidden="1">{"sales",#N/A,FALSE,"Sales";"sales existing",#N/A,FALSE,"Sales";"sales rd1",#N/A,FALSE,"Sales";"sales rd2",#N/A,FALSE,"Sales"}</definedName>
    <definedName name="wrn.sales." localSheetId="33"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76" hidden="1">{"a_sales",#N/A,FALSE,"Summary";"a_debt",#N/A,FALSE,"Summary"}</definedName>
    <definedName name="wrn.Sales._.and._.Debt." localSheetId="75" hidden="1">{"a_sales",#N/A,FALSE,"Summary";"a_debt",#N/A,FALSE,"Summary"}</definedName>
    <definedName name="wrn.Sales._.and._.Debt." localSheetId="15" hidden="1">{"a_sales",#N/A,FALSE,"Summary";"a_debt",#N/A,FALSE,"Summary"}</definedName>
    <definedName name="wrn.Sales._.and._.Debt." localSheetId="17" hidden="1">{"a_sales",#N/A,FALSE,"Summary";"a_debt",#N/A,FALSE,"Summary"}</definedName>
    <definedName name="wrn.Sales._.and._.Debt." localSheetId="13" hidden="1">{"a_sales",#N/A,FALSE,"Summary";"a_debt",#N/A,FALSE,"Summary"}</definedName>
    <definedName name="wrn.Sales._.and._.Debt." localSheetId="36" hidden="1">{"a_sales",#N/A,FALSE,"Summary";"a_debt",#N/A,FALSE,"Summary"}</definedName>
    <definedName name="wrn.Sales._.and._.Debt." localSheetId="30" hidden="1">{"a_sales",#N/A,FALSE,"Summary";"a_debt",#N/A,FALSE,"Summary"}</definedName>
    <definedName name="wrn.Sales._.and._.Debt." localSheetId="29" hidden="1">{"a_sales",#N/A,FALSE,"Summary";"a_debt",#N/A,FALSE,"Summary"}</definedName>
    <definedName name="wrn.Sales._.and._.Debt." localSheetId="33" hidden="1">{"a_sales",#N/A,FALSE,"Summary";"a_debt",#N/A,FALSE,"Summary"}</definedName>
    <definedName name="wrn.Sales._.and._.Debt." localSheetId="28" hidden="1">{"a_sales",#N/A,FALSE,"Summary";"a_debt",#N/A,FALSE,"Summary"}</definedName>
    <definedName name="wrn.Sales._.and._.Debt." localSheetId="34" hidden="1">{"a_sales",#N/A,FALSE,"Summary";"a_debt",#N/A,FALSE,"Summary"}</definedName>
    <definedName name="wrn.Sales._.and._.Debt." hidden="1">{"a_sales",#N/A,FALSE,"Summary";"a_debt",#N/A,FALSE,"Summary"}</definedName>
    <definedName name="wrn.SALES._.VAR._.95._.BUDGET." localSheetId="76" hidden="1">{"PRINT",#N/A,TRUE,"APPA";"PRINT",#N/A,TRUE,"APS";"PRINT",#N/A,TRUE,"BHPL";"PRINT",#N/A,TRUE,"BHPL2";"PRINT",#N/A,TRUE,"CDWR";"PRINT",#N/A,TRUE,"EWEB";"PRINT",#N/A,TRUE,"LADWP";"PRINT",#N/A,TRUE,"NEVBASE"}</definedName>
    <definedName name="wrn.SALES._.VAR._.95._.BUDGET." localSheetId="75"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36" hidden="1">{"PRINT",#N/A,TRUE,"APPA";"PRINT",#N/A,TRUE,"APS";"PRINT",#N/A,TRUE,"BHPL";"PRINT",#N/A,TRUE,"BHPL2";"PRINT",#N/A,TRUE,"CDWR";"PRINT",#N/A,TRUE,"EWEB";"PRINT",#N/A,TRUE,"LADWP";"PRINT",#N/A,TRUE,"NEVBASE"}</definedName>
    <definedName name="wrn.SALES._.VAR._.95._.BUDGET." localSheetId="30" hidden="1">{"PRINT",#N/A,TRUE,"APPA";"PRINT",#N/A,TRUE,"APS";"PRINT",#N/A,TRUE,"BHPL";"PRINT",#N/A,TRUE,"BHPL2";"PRINT",#N/A,TRUE,"CDWR";"PRINT",#N/A,TRUE,"EWEB";"PRINT",#N/A,TRUE,"LADWP";"PRINT",#N/A,TRUE,"NEVBASE"}</definedName>
    <definedName name="wrn.SALES._.VAR._.95._.BUDGET." localSheetId="29" hidden="1">{"PRINT",#N/A,TRUE,"APPA";"PRINT",#N/A,TRUE,"APS";"PRINT",#N/A,TRUE,"BHPL";"PRINT",#N/A,TRUE,"BHPL2";"PRINT",#N/A,TRUE,"CDWR";"PRINT",#N/A,TRUE,"EWEB";"PRINT",#N/A,TRUE,"LADWP";"PRINT",#N/A,TRUE,"NEVBASE"}</definedName>
    <definedName name="wrn.SALES._.VAR._.95._.BUDGET." localSheetId="3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76" hidden="1">{"SCHED_B&amp;C",#N/A,FALSE,"A"}</definedName>
    <definedName name="wrn.SCHED._.BC." localSheetId="75" hidden="1">{"SCHED_B&amp;C",#N/A,FALSE,"A"}</definedName>
    <definedName name="wrn.SCHED._.BC." localSheetId="15" hidden="1">{"SCHED_B&amp;C",#N/A,FALSE,"A"}</definedName>
    <definedName name="wrn.SCHED._.BC." localSheetId="17" hidden="1">{"SCHED_B&amp;C",#N/A,FALSE,"A"}</definedName>
    <definedName name="wrn.SCHED._.BC." localSheetId="13" hidden="1">{"SCHED_B&amp;C",#N/A,FALSE,"A"}</definedName>
    <definedName name="wrn.SCHED._.BC." localSheetId="36" hidden="1">{"SCHED_B&amp;C",#N/A,FALSE,"A"}</definedName>
    <definedName name="wrn.SCHED._.BC." localSheetId="30" hidden="1">{"SCHED_B&amp;C",#N/A,FALSE,"A"}</definedName>
    <definedName name="wrn.SCHED._.BC." localSheetId="29" hidden="1">{"SCHED_B&amp;C",#N/A,FALSE,"A"}</definedName>
    <definedName name="wrn.SCHED._.BC." localSheetId="33" hidden="1">{"SCHED_B&amp;C",#N/A,FALSE,"A"}</definedName>
    <definedName name="wrn.SCHED._.BC." localSheetId="28" hidden="1">{"SCHED_B&amp;C",#N/A,FALSE,"A"}</definedName>
    <definedName name="wrn.SCHED._.BC." localSheetId="34" hidden="1">{"SCHED_B&amp;C",#N/A,FALSE,"A"}</definedName>
    <definedName name="wrn.SCHED._.BC." localSheetId="1" hidden="1">{"SCHED_B&amp;C",#N/A,FALSE,"A"}</definedName>
    <definedName name="wrn.SCHED._.BC." hidden="1">{"SCHED_B&amp;C",#N/A,FALSE,"A"}</definedName>
    <definedName name="wrn.SCHED._.DE." localSheetId="76" hidden="1">{"SCHED_D&amp;E",#N/A,FALSE,"A"}</definedName>
    <definedName name="wrn.SCHED._.DE." localSheetId="75" hidden="1">{"SCHED_D&amp;E",#N/A,FALSE,"A"}</definedName>
    <definedName name="wrn.SCHED._.DE." localSheetId="15" hidden="1">{"SCHED_D&amp;E",#N/A,FALSE,"A"}</definedName>
    <definedName name="wrn.SCHED._.DE." localSheetId="17" hidden="1">{"SCHED_D&amp;E",#N/A,FALSE,"A"}</definedName>
    <definedName name="wrn.SCHED._.DE." localSheetId="13" hidden="1">{"SCHED_D&amp;E",#N/A,FALSE,"A"}</definedName>
    <definedName name="wrn.SCHED._.DE." localSheetId="36" hidden="1">{"SCHED_D&amp;E",#N/A,FALSE,"A"}</definedName>
    <definedName name="wrn.SCHED._.DE." localSheetId="30" hidden="1">{"SCHED_D&amp;E",#N/A,FALSE,"A"}</definedName>
    <definedName name="wrn.SCHED._.DE." localSheetId="29" hidden="1">{"SCHED_D&amp;E",#N/A,FALSE,"A"}</definedName>
    <definedName name="wrn.SCHED._.DE." localSheetId="33" hidden="1">{"SCHED_D&amp;E",#N/A,FALSE,"A"}</definedName>
    <definedName name="wrn.SCHED._.DE." localSheetId="28" hidden="1">{"SCHED_D&amp;E",#N/A,FALSE,"A"}</definedName>
    <definedName name="wrn.SCHED._.DE." localSheetId="34" hidden="1">{"SCHED_D&amp;E",#N/A,FALSE,"A"}</definedName>
    <definedName name="wrn.SCHED._.DE." localSheetId="1" hidden="1">{"SCHED_D&amp;E",#N/A,FALSE,"A"}</definedName>
    <definedName name="wrn.SCHED._.DE." hidden="1">{"SCHED_D&amp;E",#N/A,FALSE,"A"}</definedName>
    <definedName name="wrn.Sept._.Dec._.March._.IS." localSheetId="7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7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9"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76" hidden="1">{"cash flow",#N/A,FALSE,"Shared Costs";"allocations",#N/A,FALSE,"Shared Costs"}</definedName>
    <definedName name="wrn.Shared._.Costs." localSheetId="75" hidden="1">{"cash flow",#N/A,FALSE,"Shared Costs";"allocations",#N/A,FALSE,"Shared Costs"}</definedName>
    <definedName name="wrn.Shared._.Costs." localSheetId="15" hidden="1">{"cash flow",#N/A,FALSE,"Shared Costs";"allocations",#N/A,FALSE,"Shared Costs"}</definedName>
    <definedName name="wrn.Shared._.Costs." localSheetId="17" hidden="1">{"cash flow",#N/A,FALSE,"Shared Costs";"allocations",#N/A,FALSE,"Shared Costs"}</definedName>
    <definedName name="wrn.Shared._.Costs." localSheetId="13" hidden="1">{"cash flow",#N/A,FALSE,"Shared Costs";"allocations",#N/A,FALSE,"Shared Costs"}</definedName>
    <definedName name="wrn.Shared._.Costs." localSheetId="36" hidden="1">{"cash flow",#N/A,FALSE,"Shared Costs";"allocations",#N/A,FALSE,"Shared Costs"}</definedName>
    <definedName name="wrn.Shared._.Costs." localSheetId="30" hidden="1">{"cash flow",#N/A,FALSE,"Shared Costs";"allocations",#N/A,FALSE,"Shared Costs"}</definedName>
    <definedName name="wrn.Shared._.Costs." localSheetId="29" hidden="1">{"cash flow",#N/A,FALSE,"Shared Costs";"allocations",#N/A,FALSE,"Shared Costs"}</definedName>
    <definedName name="wrn.Shared._.Costs." localSheetId="33" hidden="1">{"cash flow",#N/A,FALSE,"Shared Costs";"allocations",#N/A,FALSE,"Shared Costs"}</definedName>
    <definedName name="wrn.Shared._.Costs." localSheetId="28" hidden="1">{"cash flow",#N/A,FALSE,"Shared Costs";"allocations",#N/A,FALSE,"Shared Costs"}</definedName>
    <definedName name="wrn.Shared._.Costs." localSheetId="34" hidden="1">{"cash flow",#N/A,FALSE,"Shared Costs";"allocations",#N/A,FALSE,"Shared Costs"}</definedName>
    <definedName name="wrn.Shared._.Costs." hidden="1">{"cash flow",#N/A,FALSE,"Shared Costs";"allocations",#N/A,FALSE,"Shared Costs"}</definedName>
    <definedName name="wrn.SHEDA." localSheetId="76" hidden="1">{"SCHED_A",#N/A,FALSE,"A"}</definedName>
    <definedName name="wrn.SHEDA." localSheetId="75" hidden="1">{"SCHED_A",#N/A,FALSE,"A"}</definedName>
    <definedName name="wrn.SHEDA." localSheetId="15" hidden="1">{"SCHED_A",#N/A,FALSE,"A"}</definedName>
    <definedName name="wrn.SHEDA." localSheetId="17" hidden="1">{"SCHED_A",#N/A,FALSE,"A"}</definedName>
    <definedName name="wrn.SHEDA." localSheetId="13" hidden="1">{"SCHED_A",#N/A,FALSE,"A"}</definedName>
    <definedName name="wrn.SHEDA." localSheetId="36" hidden="1">{"SCHED_A",#N/A,FALSE,"A"}</definedName>
    <definedName name="wrn.SHEDA." localSheetId="30" hidden="1">{"SCHED_A",#N/A,FALSE,"A"}</definedName>
    <definedName name="wrn.SHEDA." localSheetId="29" hidden="1">{"SCHED_A",#N/A,FALSE,"A"}</definedName>
    <definedName name="wrn.SHEDA." localSheetId="33" hidden="1">{"SCHED_A",#N/A,FALSE,"A"}</definedName>
    <definedName name="wrn.SHEDA." localSheetId="28" hidden="1">{"SCHED_A",#N/A,FALSE,"A"}</definedName>
    <definedName name="wrn.SHEDA." localSheetId="34" hidden="1">{"SCHED_A",#N/A,FALSE,"A"}</definedName>
    <definedName name="wrn.SHEDA." localSheetId="1" hidden="1">{"SCHED_A",#N/A,FALSE,"A"}</definedName>
    <definedName name="wrn.SHEDA." hidden="1">{"SCHED_A",#N/A,FALSE,"A"}</definedName>
    <definedName name="wrn.STAND_ALONE_BOTH." localSheetId="76" hidden="1">{"FCB_ALL",#N/A,FALSE,"FCB";"GREY_ALL",#N/A,FALSE,"GREY"}</definedName>
    <definedName name="wrn.STAND_ALONE_BOTH." localSheetId="75" hidden="1">{"FCB_ALL",#N/A,FALSE,"FCB";"GREY_ALL",#N/A,FALSE,"GREY"}</definedName>
    <definedName name="wrn.STAND_ALONE_BOTH." localSheetId="15" hidden="1">{"FCB_ALL",#N/A,FALSE,"FCB";"GREY_ALL",#N/A,FALSE,"GREY"}</definedName>
    <definedName name="wrn.STAND_ALONE_BOTH." localSheetId="17" hidden="1">{"FCB_ALL",#N/A,FALSE,"FCB";"GREY_ALL",#N/A,FALSE,"GREY"}</definedName>
    <definedName name="wrn.STAND_ALONE_BOTH." localSheetId="13" hidden="1">{"FCB_ALL",#N/A,FALSE,"FCB";"GREY_ALL",#N/A,FALSE,"GREY"}</definedName>
    <definedName name="wrn.STAND_ALONE_BOTH." localSheetId="36" hidden="1">{"FCB_ALL",#N/A,FALSE,"FCB";"GREY_ALL",#N/A,FALSE,"GREY"}</definedName>
    <definedName name="wrn.STAND_ALONE_BOTH." localSheetId="30" hidden="1">{"FCB_ALL",#N/A,FALSE,"FCB";"GREY_ALL",#N/A,FALSE,"GREY"}</definedName>
    <definedName name="wrn.STAND_ALONE_BOTH." localSheetId="29" hidden="1">{"FCB_ALL",#N/A,FALSE,"FCB";"GREY_ALL",#N/A,FALSE,"GREY"}</definedName>
    <definedName name="wrn.STAND_ALONE_BOTH." localSheetId="33" hidden="1">{"FCB_ALL",#N/A,FALSE,"FCB";"GREY_ALL",#N/A,FALSE,"GREY"}</definedName>
    <definedName name="wrn.STAND_ALONE_BOTH." hidden="1">{"FCB_ALL",#N/A,FALSE,"FCB";"GREY_ALL",#N/A,FALSE,"GREY"}</definedName>
    <definedName name="wrn.Standard." localSheetId="76" hidden="1">{"YTD-Total",#N/A,FALSE,"Provision"}</definedName>
    <definedName name="wrn.Standard." localSheetId="75" hidden="1">{"YTD-Total",#N/A,FALSE,"Provision"}</definedName>
    <definedName name="wrn.Standard." localSheetId="15" hidden="1">{"YTD-Total",#N/A,FALSE,"Provision"}</definedName>
    <definedName name="wrn.Standard." localSheetId="17" hidden="1">{"YTD-Total",#N/A,FALSE,"Provision"}</definedName>
    <definedName name="wrn.Standard." localSheetId="13" hidden="1">{"YTD-Total",#N/A,FALSE,"Provision"}</definedName>
    <definedName name="wrn.Standard." localSheetId="36" hidden="1">{"YTD-Total",#N/A,FALSE,"Provision"}</definedName>
    <definedName name="wrn.Standard." localSheetId="30" hidden="1">{"YTD-Total",#N/A,FALSE,"Provision"}</definedName>
    <definedName name="wrn.Standard." localSheetId="29" hidden="1">{"YTD-Total",#N/A,FALSE,"Provision"}</definedName>
    <definedName name="wrn.Standard." localSheetId="33" hidden="1">{"YTD-Total",#N/A,FALSE,"Provision"}</definedName>
    <definedName name="wrn.Standard." hidden="1">{"YTD-Total",#N/A,FALSE,"Provision"}</definedName>
    <definedName name="wrn.Standard._.NonUtility._.Only." localSheetId="76" hidden="1">{"YTD-NonUtility",#N/A,FALSE,"Prov NonUtility"}</definedName>
    <definedName name="wrn.Standard._.NonUtility._.Only." localSheetId="75" hidden="1">{"YTD-NonUtility",#N/A,FALSE,"Prov NonUtility"}</definedName>
    <definedName name="wrn.Standard._.NonUtility._.Only." localSheetId="15" hidden="1">{"YTD-NonUtility",#N/A,FALSE,"Prov NonUtility"}</definedName>
    <definedName name="wrn.Standard._.NonUtility._.Only." localSheetId="17" hidden="1">{"YTD-NonUtility",#N/A,FALSE,"Prov NonUtility"}</definedName>
    <definedName name="wrn.Standard._.NonUtility._.Only." localSheetId="13" hidden="1">{"YTD-NonUtility",#N/A,FALSE,"Prov NonUtility"}</definedName>
    <definedName name="wrn.Standard._.NonUtility._.Only." localSheetId="36" hidden="1">{"YTD-NonUtility",#N/A,FALSE,"Prov NonUtility"}</definedName>
    <definedName name="wrn.Standard._.NonUtility._.Only." localSheetId="30" hidden="1">{"YTD-NonUtility",#N/A,FALSE,"Prov NonUtility"}</definedName>
    <definedName name="wrn.Standard._.NonUtility._.Only." localSheetId="29" hidden="1">{"YTD-NonUtility",#N/A,FALSE,"Prov NonUtility"}</definedName>
    <definedName name="wrn.Standard._.NonUtility._.Only." localSheetId="33" hidden="1">{"YTD-NonUtility",#N/A,FALSE,"Prov NonUtility"}</definedName>
    <definedName name="wrn.Standard._.NonUtility._.Only." hidden="1">{"YTD-NonUtility",#N/A,FALSE,"Prov NonUtility"}</definedName>
    <definedName name="wrn.Standard._.Utility._.Only." localSheetId="76" hidden="1">{"YTD-Utility",#N/A,FALSE,"Prov Utility"}</definedName>
    <definedName name="wrn.Standard._.Utility._.Only." localSheetId="75" hidden="1">{"YTD-Utility",#N/A,FALSE,"Prov Utility"}</definedName>
    <definedName name="wrn.Standard._.Utility._.Only." localSheetId="15" hidden="1">{"YTD-Utility",#N/A,FALSE,"Prov Utility"}</definedName>
    <definedName name="wrn.Standard._.Utility._.Only." localSheetId="17" hidden="1">{"YTD-Utility",#N/A,FALSE,"Prov Utility"}</definedName>
    <definedName name="wrn.Standard._.Utility._.Only." localSheetId="13" hidden="1">{"YTD-Utility",#N/A,FALSE,"Prov Utility"}</definedName>
    <definedName name="wrn.Standard._.Utility._.Only." localSheetId="36" hidden="1">{"YTD-Utility",#N/A,FALSE,"Prov Utility"}</definedName>
    <definedName name="wrn.Standard._.Utility._.Only." localSheetId="30" hidden="1">{"YTD-Utility",#N/A,FALSE,"Prov Utility"}</definedName>
    <definedName name="wrn.Standard._.Utility._.Only." localSheetId="29" hidden="1">{"YTD-Utility",#N/A,FALSE,"Prov Utility"}</definedName>
    <definedName name="wrn.Standard._.Utility._.Only." localSheetId="33" hidden="1">{"YTD-Utility",#N/A,FALSE,"Prov Utility"}</definedName>
    <definedName name="wrn.Standard._.Utility._.Only." hidden="1">{"YTD-Utility",#N/A,FALSE,"Prov Utility"}</definedName>
    <definedName name="wrn.Summary._.View." localSheetId="76" hidden="1">{#N/A,#N/A,FALSE,"Consltd-For contngcy"}</definedName>
    <definedName name="wrn.Summary._.View." localSheetId="75" hidden="1">{#N/A,#N/A,FALSE,"Consltd-For contngcy"}</definedName>
    <definedName name="wrn.Summary._.View." localSheetId="15" hidden="1">{#N/A,#N/A,FALSE,"Consltd-For contngcy"}</definedName>
    <definedName name="wrn.Summary._.View." localSheetId="17" hidden="1">{#N/A,#N/A,FALSE,"Consltd-For contngcy"}</definedName>
    <definedName name="wrn.Summary._.View." localSheetId="13" hidden="1">{#N/A,#N/A,FALSE,"Consltd-For contngcy"}</definedName>
    <definedName name="wrn.Summary._.View." localSheetId="36" hidden="1">{#N/A,#N/A,FALSE,"Consltd-For contngcy"}</definedName>
    <definedName name="wrn.Summary._.View." localSheetId="30" hidden="1">{#N/A,#N/A,FALSE,"Consltd-For contngcy"}</definedName>
    <definedName name="wrn.Summary._.View." localSheetId="29" hidden="1">{#N/A,#N/A,FALSE,"Consltd-For contngcy"}</definedName>
    <definedName name="wrn.Summary._.View." localSheetId="33" hidden="1">{#N/A,#N/A,FALSE,"Consltd-For contngcy"}</definedName>
    <definedName name="wrn.Summary._.View." hidden="1">{#N/A,#N/A,FALSE,"Consltd-For contngcy"}</definedName>
    <definedName name="wrn.Tariff99." localSheetId="76" hidden="1">{"103Decup",#N/A,TRUE,"TRF103";"101Refund",#N/A,TRUE,"TRF101A";"101EEAAcct",#N/A,TRUE,"TRF101C";"107DSMRef",#N/A,TRUE,"TRF107";"107Amort",#N/A,TRUE,"DSM Amort";"102RPAInt",#N/A,TRUE,"TRF102B";"111Price1",#N/A,TRUE,"TRF111A";"111Price2",#N/A,TRUE,"TRF111B"}</definedName>
    <definedName name="wrn.Tariff99." localSheetId="75" hidden="1">{"103Decup",#N/A,TRUE,"TRF103";"101Refund",#N/A,TRUE,"TRF101A";"101EEAAcct",#N/A,TRUE,"TRF101C";"107DSMRef",#N/A,TRUE,"TRF107";"107Amort",#N/A,TRUE,"DSM Amort";"102RPAInt",#N/A,TRUE,"TRF102B";"111Price1",#N/A,TRUE,"TRF111A";"111Price2",#N/A,TRUE,"TRF111B"}</definedName>
    <definedName name="wrn.Tariff99." localSheetId="15" hidden="1">{"103Decup",#N/A,TRUE,"TRF103";"101Refund",#N/A,TRUE,"TRF101A";"101EEAAcct",#N/A,TRUE,"TRF101C";"107DSMRef",#N/A,TRUE,"TRF107";"107Amort",#N/A,TRUE,"DSM Amort";"102RPAInt",#N/A,TRUE,"TRF102B";"111Price1",#N/A,TRUE,"TRF111A";"111Price2",#N/A,TRUE,"TRF111B"}</definedName>
    <definedName name="wrn.Tariff99." localSheetId="17" hidden="1">{"103Decup",#N/A,TRUE,"TRF103";"101Refund",#N/A,TRUE,"TRF101A";"101EEAAcct",#N/A,TRUE,"TRF101C";"107DSMRef",#N/A,TRUE,"TRF107";"107Amort",#N/A,TRUE,"DSM Amort";"102RPAInt",#N/A,TRUE,"TRF102B";"111Price1",#N/A,TRUE,"TRF111A";"111Price2",#N/A,TRUE,"TRF111B"}</definedName>
    <definedName name="wrn.Tariff99." localSheetId="13" hidden="1">{"103Decup",#N/A,TRUE,"TRF103";"101Refund",#N/A,TRUE,"TRF101A";"101EEAAcct",#N/A,TRUE,"TRF101C";"107DSMRef",#N/A,TRUE,"TRF107";"107Amort",#N/A,TRUE,"DSM Amort";"102RPAInt",#N/A,TRUE,"TRF102B";"111Price1",#N/A,TRUE,"TRF111A";"111Price2",#N/A,TRUE,"TRF111B"}</definedName>
    <definedName name="wrn.Tariff99." localSheetId="36" hidden="1">{"103Decup",#N/A,TRUE,"TRF103";"101Refund",#N/A,TRUE,"TRF101A";"101EEAAcct",#N/A,TRUE,"TRF101C";"107DSMRef",#N/A,TRUE,"TRF107";"107Amort",#N/A,TRUE,"DSM Amort";"102RPAInt",#N/A,TRUE,"TRF102B";"111Price1",#N/A,TRUE,"TRF111A";"111Price2",#N/A,TRUE,"TRF111B"}</definedName>
    <definedName name="wrn.Tariff99." localSheetId="30" hidden="1">{"103Decup",#N/A,TRUE,"TRF103";"101Refund",#N/A,TRUE,"TRF101A";"101EEAAcct",#N/A,TRUE,"TRF101C";"107DSMRef",#N/A,TRUE,"TRF107";"107Amort",#N/A,TRUE,"DSM Amort";"102RPAInt",#N/A,TRUE,"TRF102B";"111Price1",#N/A,TRUE,"TRF111A";"111Price2",#N/A,TRUE,"TRF111B"}</definedName>
    <definedName name="wrn.Tariff99." localSheetId="29" hidden="1">{"103Decup",#N/A,TRUE,"TRF103";"101Refund",#N/A,TRUE,"TRF101A";"101EEAAcct",#N/A,TRUE,"TRF101C";"107DSMRef",#N/A,TRUE,"TRF107";"107Amort",#N/A,TRUE,"DSM Amort";"102RPAInt",#N/A,TRUE,"TRF102B";"111Price1",#N/A,TRUE,"TRF111A";"111Price2",#N/A,TRUE,"TRF111B"}</definedName>
    <definedName name="wrn.Tariff99." localSheetId="33"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UK._.Conversion._.Only." localSheetId="76" hidden="1">{#N/A,#N/A,FALSE,"Dec 1999 UK Continuing Ops"}</definedName>
    <definedName name="wrn.UK._.Conversion._.Only." localSheetId="75" hidden="1">{#N/A,#N/A,FALSE,"Dec 1999 UK Continuing Ops"}</definedName>
    <definedName name="wrn.UK._.Conversion._.Only." localSheetId="15" hidden="1">{#N/A,#N/A,FALSE,"Dec 1999 UK Continuing Ops"}</definedName>
    <definedName name="wrn.UK._.Conversion._.Only." localSheetId="17" hidden="1">{#N/A,#N/A,FALSE,"Dec 1999 UK Continuing Ops"}</definedName>
    <definedName name="wrn.UK._.Conversion._.Only." localSheetId="13" hidden="1">{#N/A,#N/A,FALSE,"Dec 1999 UK Continuing Ops"}</definedName>
    <definedName name="wrn.UK._.Conversion._.Only." localSheetId="36" hidden="1">{#N/A,#N/A,FALSE,"Dec 1999 UK Continuing Ops"}</definedName>
    <definedName name="wrn.UK._.Conversion._.Only." localSheetId="30" hidden="1">{#N/A,#N/A,FALSE,"Dec 1999 UK Continuing Ops"}</definedName>
    <definedName name="wrn.UK._.Conversion._.Only." localSheetId="29" hidden="1">{#N/A,#N/A,FALSE,"Dec 1999 UK Continuing Ops"}</definedName>
    <definedName name="wrn.UK._.Conversion._.Only." localSheetId="33" hidden="1">{#N/A,#N/A,FALSE,"Dec 1999 UK Continuing Ops"}</definedName>
    <definedName name="wrn.UK._.Conversion._.Only." hidden="1">{#N/A,#N/A,FALSE,"Dec 1999 UK Continuing Ops"}</definedName>
    <definedName name="wrn.Wacc." localSheetId="76" hidden="1">{"Area1",#N/A,FALSE,"OREWACC";"Area2",#N/A,FALSE,"OREWACC"}</definedName>
    <definedName name="wrn.Wacc." localSheetId="75" hidden="1">{"Area1",#N/A,FALSE,"OREWACC";"Area2",#N/A,FALSE,"OREWACC"}</definedName>
    <definedName name="wrn.Wacc." localSheetId="15" hidden="1">{"Area1",#N/A,FALSE,"OREWACC";"Area2",#N/A,FALSE,"OREWACC"}</definedName>
    <definedName name="wrn.Wacc." localSheetId="17" hidden="1">{"Area1",#N/A,FALSE,"OREWACC";"Area2",#N/A,FALSE,"OREWACC"}</definedName>
    <definedName name="wrn.Wacc." localSheetId="13" hidden="1">{"Area1",#N/A,FALSE,"OREWACC";"Area2",#N/A,FALSE,"OREWACC"}</definedName>
    <definedName name="wrn.Wacc." localSheetId="36" hidden="1">{"Area1",#N/A,FALSE,"OREWACC";"Area2",#N/A,FALSE,"OREWACC"}</definedName>
    <definedName name="wrn.Wacc." localSheetId="30" hidden="1">{"Area1",#N/A,FALSE,"OREWACC";"Area2",#N/A,FALSE,"OREWACC"}</definedName>
    <definedName name="wrn.Wacc." localSheetId="29" hidden="1">{"Area1",#N/A,FALSE,"OREWACC";"Area2",#N/A,FALSE,"OREWACC"}</definedName>
    <definedName name="wrn.Wacc." localSheetId="33" hidden="1">{"Area1",#N/A,FALSE,"OREWACC";"Area2",#N/A,FALSE,"OREWACC"}</definedName>
    <definedName name="wrn.Wacc." hidden="1">{"Area1",#N/A,FALSE,"OREWACC";"Area2",#N/A,FALSE,"OREWACC"}</definedName>
    <definedName name="wrn.YearEnd." localSheetId="76" hidden="1">{"Factors Pages 1-2",#N/A,FALSE,"Variables";"Factors Page 3",#N/A,FALSE,"Variables";"Factors Page 4",#N/A,FALSE,"Variables";"Factors Page 5",#N/A,FALSE,"Variables";"YE Pages 7-26",#N/A,FALSE,"Variables"}</definedName>
    <definedName name="wrn.YearEnd." localSheetId="75"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36" hidden="1">{"Factors Pages 1-2",#N/A,FALSE,"Variables";"Factors Page 3",#N/A,FALSE,"Variables";"Factors Page 4",#N/A,FALSE,"Variables";"Factors Page 5",#N/A,FALSE,"Variables";"YE Pages 7-26",#N/A,FALSE,"Variables"}</definedName>
    <definedName name="wrn.YearEnd." localSheetId="30" hidden="1">{"Factors Pages 1-2",#N/A,FALSE,"Variables";"Factors Page 3",#N/A,FALSE,"Variables";"Factors Page 4",#N/A,FALSE,"Variables";"Factors Page 5",#N/A,FALSE,"Variables";"YE Pages 7-26",#N/A,FALSE,"Variables"}</definedName>
    <definedName name="wrn.YearEnd." localSheetId="29" hidden="1">{"Factors Pages 1-2",#N/A,FALSE,"Variables";"Factors Page 3",#N/A,FALSE,"Variables";"Factors Page 4",#N/A,FALSE,"Variables";"Factors Page 5",#N/A,FALSE,"Variables";"YE Pages 7-26",#N/A,FALSE,"Variables"}</definedName>
    <definedName name="wrn.YearEnd." localSheetId="3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76" hidden="1">{"Output-BaseYear",#N/A,FALSE,"Output"}</definedName>
    <definedName name="wrng" localSheetId="75" hidden="1">{"Output-BaseYear",#N/A,FALSE,"Output"}</definedName>
    <definedName name="wrng" localSheetId="15" hidden="1">{"Output-BaseYear",#N/A,FALSE,"Output"}</definedName>
    <definedName name="wrng" localSheetId="17" hidden="1">{"Output-BaseYear",#N/A,FALSE,"Output"}</definedName>
    <definedName name="wrng" localSheetId="13" hidden="1">{"Output-BaseYear",#N/A,FALSE,"Output"}</definedName>
    <definedName name="wrng" localSheetId="36" hidden="1">{"Output-BaseYear",#N/A,FALSE,"Output"}</definedName>
    <definedName name="wrng" localSheetId="30" hidden="1">{"Output-BaseYear",#N/A,FALSE,"Output"}</definedName>
    <definedName name="wrng" localSheetId="29" hidden="1">{"Output-BaseYear",#N/A,FALSE,"Output"}</definedName>
    <definedName name="wrng" localSheetId="33" hidden="1">{"Output-BaseYear",#N/A,FALSE,"Output"}</definedName>
    <definedName name="wrng" localSheetId="28" hidden="1">{"Output-BaseYear",#N/A,FALSE,"Output"}</definedName>
    <definedName name="wrng" localSheetId="34" hidden="1">{"Output-BaseYear",#N/A,FALSE,"Output"}</definedName>
    <definedName name="wrng" hidden="1">{"Output-BaseYear",#N/A,FALSE,"Output"}</definedName>
    <definedName name="wrnh" localSheetId="76" hidden="1">{"Output-All",#N/A,FALSE,"Output"}</definedName>
    <definedName name="wrnh" localSheetId="75" hidden="1">{"Output-All",#N/A,FALSE,"Output"}</definedName>
    <definedName name="wrnh" localSheetId="15" hidden="1">{"Output-All",#N/A,FALSE,"Output"}</definedName>
    <definedName name="wrnh" localSheetId="17" hidden="1">{"Output-All",#N/A,FALSE,"Output"}</definedName>
    <definedName name="wrnh" localSheetId="13" hidden="1">{"Output-All",#N/A,FALSE,"Output"}</definedName>
    <definedName name="wrnh" localSheetId="36" hidden="1">{"Output-All",#N/A,FALSE,"Output"}</definedName>
    <definedName name="wrnh" localSheetId="30" hidden="1">{"Output-All",#N/A,FALSE,"Output"}</definedName>
    <definedName name="wrnh" localSheetId="29" hidden="1">{"Output-All",#N/A,FALSE,"Output"}</definedName>
    <definedName name="wrnh" localSheetId="33" hidden="1">{"Output-All",#N/A,FALSE,"Output"}</definedName>
    <definedName name="wrnh" localSheetId="28" hidden="1">{"Output-All",#N/A,FALSE,"Output"}</definedName>
    <definedName name="wrnh" localSheetId="34" hidden="1">{"Output-All",#N/A,FALSE,"Output"}</definedName>
    <definedName name="wrnh" hidden="1">{"Output-All",#N/A,FALSE,"Output"}</definedName>
    <definedName name="WUTC_reg_fee_perc">#REF!</definedName>
    <definedName name="wvu.allocations." localSheetId="76"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75"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5"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7"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6"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9"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4"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76"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75"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5"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7"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6"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9"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4"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76"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75"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5"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7"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6"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9"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4"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76"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75"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5"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7"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6"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9"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4"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76"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75"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5"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7"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6"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9"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4"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76"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75"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5"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7"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6"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9"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4"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76"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75"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5"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7"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6"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9"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4"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76"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75"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5"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7"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6"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9"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4"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76"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75"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5"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7"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6"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9"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4"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76"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75"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5"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7"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6"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9"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4"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xxx" localSheetId="76" hidden="1">#REF!</definedName>
    <definedName name="xxx" localSheetId="30" hidden="1">#REF!</definedName>
    <definedName name="xxx" localSheetId="29" hidden="1">#REF!</definedName>
    <definedName name="xxx" localSheetId="33" hidden="1">#REF!</definedName>
    <definedName name="xxx" hidden="1">#REF!</definedName>
    <definedName name="y" localSheetId="76" hidden="1">#REF!</definedName>
    <definedName name="y" localSheetId="30" hidden="1">#REF!</definedName>
    <definedName name="y" localSheetId="29" hidden="1">#REF!</definedName>
    <definedName name="y" localSheetId="33" hidden="1">#REF!</definedName>
    <definedName name="y" hidden="1">#REF!</definedName>
    <definedName name="z" hidden="1">#REF!</definedName>
    <definedName name="Z_01844156_6462_4A28_9785_1A86F4D0C834_.wvu.PrintTitles" localSheetId="76" hidden="1">#REF!</definedName>
    <definedName name="Z_01844156_6462_4A28_9785_1A86F4D0C834_.wvu.PrintTitles" localSheetId="30" hidden="1">#REF!</definedName>
    <definedName name="Z_01844156_6462_4A28_9785_1A86F4D0C834_.wvu.PrintTitles" localSheetId="29" hidden="1">#REF!</definedName>
    <definedName name="Z_01844156_6462_4A28_9785_1A86F4D0C834_.wvu.PrintTitles" localSheetId="33" hidden="1">#REF!</definedName>
    <definedName name="Z_01844156_6462_4A28_9785_1A86F4D0C834_.wvu.PrintTitles" hidden="1">#REF!</definedName>
  </definedNames>
  <calcPr calcId="191028" iterateDelta="9.999999999999445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234" l="1"/>
  <c r="P20" i="234" s="1"/>
  <c r="I20" i="234"/>
  <c r="O20" i="234" s="1"/>
  <c r="X60" i="217"/>
  <c r="X35" i="217"/>
  <c r="Q12" i="205"/>
  <c r="Q11" i="205"/>
  <c r="C15" i="205"/>
  <c r="C20" i="205"/>
  <c r="M18" i="220" l="1"/>
  <c r="I18" i="220"/>
  <c r="N14" i="220"/>
  <c r="N16" i="220" s="1"/>
  <c r="N20" i="220" s="1"/>
  <c r="R12" i="220"/>
  <c r="R14" i="220" s="1"/>
  <c r="R16" i="220" s="1"/>
  <c r="R20" i="220" s="1"/>
  <c r="Q12" i="220"/>
  <c r="Q14" i="220" s="1"/>
  <c r="Q16" i="220" s="1"/>
  <c r="Q20" i="220" s="1"/>
  <c r="M16" i="220"/>
  <c r="W9" i="218" s="1"/>
  <c r="N8" i="220"/>
  <c r="N10" i="220" s="1"/>
  <c r="M8" i="220"/>
  <c r="M10" i="220" s="1"/>
  <c r="M14" i="220" s="1"/>
  <c r="L8" i="220"/>
  <c r="P8" i="220" s="1"/>
  <c r="P10" i="220" s="1"/>
  <c r="P12" i="220" s="1"/>
  <c r="P14" i="220" s="1"/>
  <c r="P16" i="220" s="1"/>
  <c r="P20" i="220" s="1"/>
  <c r="J8" i="220"/>
  <c r="J10" i="220" s="1"/>
  <c r="J12" i="220" s="1"/>
  <c r="I8" i="220"/>
  <c r="I10" i="220" s="1"/>
  <c r="I12" i="220" s="1"/>
  <c r="I14" i="220" s="1"/>
  <c r="I16" i="220" s="1"/>
  <c r="I20" i="220" s="1"/>
  <c r="H8" i="220"/>
  <c r="H10" i="220" s="1"/>
  <c r="H12" i="220" s="1"/>
  <c r="H14" i="220" s="1"/>
  <c r="H16" i="220" s="1"/>
  <c r="H20" i="220" s="1"/>
  <c r="L13" i="236"/>
  <c r="K13" i="236"/>
  <c r="J13" i="236"/>
  <c r="I13" i="236"/>
  <c r="M14" i="236" s="1"/>
  <c r="M15" i="236" s="1"/>
  <c r="L10" i="236"/>
  <c r="K10" i="236"/>
  <c r="J10" i="236"/>
  <c r="I10" i="236"/>
  <c r="M11" i="236" s="1"/>
  <c r="M8" i="236"/>
  <c r="I5" i="236"/>
  <c r="J5" i="236" s="1"/>
  <c r="K5" i="236" s="1"/>
  <c r="L5" i="236" s="1"/>
  <c r="J12" i="218"/>
  <c r="W25" i="218"/>
  <c r="W26" i="218" s="1"/>
  <c r="W21" i="218"/>
  <c r="W13" i="218"/>
  <c r="M20" i="220" l="1"/>
  <c r="J14" i="220"/>
  <c r="J16" i="220" s="1"/>
  <c r="J20" i="220" s="1"/>
  <c r="Q8" i="220"/>
  <c r="R8" i="220"/>
  <c r="L10" i="220"/>
  <c r="L12" i="220" s="1"/>
  <c r="L14" i="220" s="1"/>
  <c r="L16" i="220" s="1"/>
  <c r="L20" i="220" s="1"/>
  <c r="W14" i="218"/>
  <c r="J10" i="218" s="1"/>
  <c r="AA51" i="235" a="1"/>
  <c r="AA51" i="235" s="1"/>
  <c r="AA50" i="235" a="1"/>
  <c r="AA50" i="235" s="1"/>
  <c r="AA49" i="235" a="1"/>
  <c r="AA49" i="235" s="1"/>
  <c r="AA48" i="235" a="1"/>
  <c r="AA48" i="235" s="1"/>
  <c r="AA47" i="235" a="1"/>
  <c r="AA47" i="235" s="1"/>
  <c r="AA46" i="235" a="1"/>
  <c r="AA46" i="235" s="1"/>
  <c r="AA45" i="235" a="1"/>
  <c r="AA45" i="235" s="1"/>
  <c r="AA44" i="235" a="1"/>
  <c r="AA44" i="235" s="1"/>
  <c r="AA43" i="235" a="1"/>
  <c r="AA43" i="235" s="1"/>
  <c r="AA36" i="235" a="1"/>
  <c r="AA36" i="235" s="1"/>
  <c r="AA35" i="235" a="1"/>
  <c r="AA35" i="235" s="1"/>
  <c r="AA34" i="235" a="1"/>
  <c r="AA34" i="235" s="1"/>
  <c r="AA33" i="235" a="1"/>
  <c r="AA33" i="235" s="1"/>
  <c r="AA32" i="235" a="1"/>
  <c r="AA32" i="235" s="1"/>
  <c r="AA31" i="235" a="1"/>
  <c r="AA31" i="235" s="1"/>
  <c r="AA30" i="235" a="1"/>
  <c r="AA30" i="235" s="1"/>
  <c r="AA29" i="235" a="1"/>
  <c r="AA29" i="235" s="1"/>
  <c r="AA28" i="235" a="1"/>
  <c r="AA28" i="235" s="1"/>
  <c r="AA27" i="235" a="1"/>
  <c r="AA27" i="235" s="1"/>
  <c r="AA26" i="235" a="1"/>
  <c r="AA26" i="235" s="1"/>
  <c r="AA21" i="235" a="1"/>
  <c r="AA21" i="235" s="1"/>
  <c r="AA20" i="235" a="1"/>
  <c r="AA20" i="235" s="1"/>
  <c r="AA19" i="235" a="1"/>
  <c r="AA19" i="235" s="1"/>
  <c r="AA18" i="235" a="1"/>
  <c r="AA18" i="235" s="1"/>
  <c r="AA17" i="235" a="1"/>
  <c r="AA17" i="235" s="1"/>
  <c r="AA16" i="235" a="1"/>
  <c r="AA16" i="235" s="1"/>
  <c r="R16" i="235" s="1"/>
  <c r="AA15" i="235" a="1"/>
  <c r="AA15" i="235" s="1"/>
  <c r="AA14" i="235" a="1"/>
  <c r="AA14" i="235" s="1"/>
  <c r="AA13" i="235" a="1"/>
  <c r="AA13" i="235" s="1"/>
  <c r="AA12" i="235" a="1"/>
  <c r="AA12" i="235" s="1"/>
  <c r="AA11" i="235" a="1"/>
  <c r="AA11" i="235" s="1"/>
  <c r="AA10" i="235" a="1"/>
  <c r="AA10" i="235" s="1"/>
  <c r="K51" i="235" a="1"/>
  <c r="K51" i="235" s="1"/>
  <c r="I51" i="235" a="1"/>
  <c r="I51" i="235" s="1"/>
  <c r="K50" i="235" a="1"/>
  <c r="K50" i="235" s="1"/>
  <c r="I50" i="235" a="1"/>
  <c r="I50" i="235" s="1"/>
  <c r="K49" i="235" a="1"/>
  <c r="K49" i="235" s="1"/>
  <c r="I49" i="235" a="1"/>
  <c r="I49" i="235" s="1"/>
  <c r="K48" i="235" a="1"/>
  <c r="K48" i="235" s="1"/>
  <c r="I48" i="235" a="1"/>
  <c r="I48" i="235" s="1"/>
  <c r="K47" i="235" a="1"/>
  <c r="K47" i="235" s="1"/>
  <c r="I47" i="235" a="1"/>
  <c r="I47" i="235" s="1"/>
  <c r="K46" i="235" a="1"/>
  <c r="K46" i="235" s="1"/>
  <c r="I46" i="235" a="1"/>
  <c r="I46" i="235" s="1"/>
  <c r="K45" i="235" a="1"/>
  <c r="K45" i="235" s="1"/>
  <c r="I45" i="235" a="1"/>
  <c r="I45" i="235" s="1"/>
  <c r="K44" i="235" a="1"/>
  <c r="K44" i="235" s="1"/>
  <c r="I44" i="235" a="1"/>
  <c r="I44" i="235" s="1"/>
  <c r="K43" i="235" a="1"/>
  <c r="K43" i="235" s="1"/>
  <c r="I43" i="235" a="1"/>
  <c r="I43" i="235" s="1"/>
  <c r="K36" i="235" a="1"/>
  <c r="K36" i="235" s="1"/>
  <c r="I36" i="235" a="1"/>
  <c r="I36" i="235" s="1"/>
  <c r="K35" i="235" a="1"/>
  <c r="K35" i="235" s="1"/>
  <c r="I35" i="235" a="1"/>
  <c r="I35" i="235" s="1"/>
  <c r="K34" i="235" a="1"/>
  <c r="K34" i="235" s="1"/>
  <c r="I34" i="235" a="1"/>
  <c r="I34" i="235" s="1"/>
  <c r="K33" i="235" a="1"/>
  <c r="K33" i="235" s="1"/>
  <c r="I33" i="235" a="1"/>
  <c r="I33" i="235" s="1"/>
  <c r="K32" i="235" a="1"/>
  <c r="K32" i="235" s="1"/>
  <c r="I32" i="235" a="1"/>
  <c r="I32" i="235" s="1"/>
  <c r="K31" i="235" a="1"/>
  <c r="K31" i="235" s="1"/>
  <c r="I31" i="235" a="1"/>
  <c r="I31" i="235" s="1"/>
  <c r="K30" i="235" a="1"/>
  <c r="K30" i="235" s="1"/>
  <c r="I30" i="235" a="1"/>
  <c r="I30" i="235" s="1"/>
  <c r="K29" i="235" a="1"/>
  <c r="K29" i="235" s="1"/>
  <c r="I29" i="235" a="1"/>
  <c r="I29" i="235" s="1"/>
  <c r="K28" i="235" a="1"/>
  <c r="K28" i="235" s="1"/>
  <c r="I28" i="235" a="1"/>
  <c r="I28" i="235" s="1"/>
  <c r="K27" i="235" a="1"/>
  <c r="K27" i="235" s="1"/>
  <c r="I27" i="235" a="1"/>
  <c r="I27" i="235" s="1"/>
  <c r="K26" i="235" a="1"/>
  <c r="K26" i="235" s="1"/>
  <c r="I26" i="235" a="1"/>
  <c r="I26" i="235" s="1"/>
  <c r="I11" i="235" a="1"/>
  <c r="I11" i="235" s="1"/>
  <c r="K11" i="235" a="1"/>
  <c r="K11" i="235" s="1"/>
  <c r="I12" i="235" a="1"/>
  <c r="I12" i="235" s="1"/>
  <c r="K12" i="235" a="1"/>
  <c r="K12" i="235" s="1"/>
  <c r="I13" i="235" a="1"/>
  <c r="I13" i="235" s="1"/>
  <c r="K13" i="235" a="1"/>
  <c r="K13" i="235" s="1"/>
  <c r="I14" i="235" a="1"/>
  <c r="I14" i="235" s="1"/>
  <c r="K14" i="235" a="1"/>
  <c r="K14" i="235"/>
  <c r="I15" i="235" a="1"/>
  <c r="I15" i="235" s="1"/>
  <c r="K15" i="235" a="1"/>
  <c r="K15" i="235" s="1"/>
  <c r="I16" i="235" a="1"/>
  <c r="I16" i="235" s="1"/>
  <c r="K16" i="235" a="1"/>
  <c r="K16" i="235" s="1"/>
  <c r="I17" i="235" a="1"/>
  <c r="I17" i="235" s="1"/>
  <c r="K17" i="235" a="1"/>
  <c r="K17" i="235" s="1"/>
  <c r="I18" i="235" a="1"/>
  <c r="I18" i="235" s="1"/>
  <c r="K18" i="235" a="1"/>
  <c r="K18" i="235" s="1"/>
  <c r="I19" i="235" a="1"/>
  <c r="I19" i="235" s="1"/>
  <c r="K19" i="235" a="1"/>
  <c r="K19" i="235" s="1"/>
  <c r="I20" i="235" a="1"/>
  <c r="I20" i="235" s="1"/>
  <c r="K20" i="235" a="1"/>
  <c r="K20" i="235" s="1"/>
  <c r="I21" i="235" a="1"/>
  <c r="I21" i="235" s="1"/>
  <c r="K21" i="235" a="1"/>
  <c r="K21" i="235" s="1"/>
  <c r="K10" i="235" a="1"/>
  <c r="K10" i="235" s="1"/>
  <c r="I10" i="235" a="1"/>
  <c r="I10" i="235" s="1"/>
  <c r="G65" i="217"/>
  <c r="R12" i="235" l="1"/>
  <c r="R20" i="235"/>
  <c r="R14" i="235"/>
  <c r="R18" i="235"/>
  <c r="R15" i="235"/>
  <c r="R21" i="235"/>
  <c r="R10" i="235"/>
  <c r="R11" i="235"/>
  <c r="R17" i="235"/>
  <c r="R19" i="235"/>
  <c r="R13" i="235"/>
  <c r="R51" i="235" l="1"/>
  <c r="F51" i="235"/>
  <c r="R50" i="235"/>
  <c r="F50" i="235"/>
  <c r="R49" i="235"/>
  <c r="F49" i="235"/>
  <c r="R48" i="235"/>
  <c r="F48" i="235"/>
  <c r="R47" i="235"/>
  <c r="F47" i="235"/>
  <c r="AO45" i="235"/>
  <c r="R46" i="235"/>
  <c r="F46" i="235"/>
  <c r="R45" i="235"/>
  <c r="F45" i="235"/>
  <c r="AQ45" i="235"/>
  <c r="R44" i="235"/>
  <c r="F44" i="235"/>
  <c r="K38" i="235"/>
  <c r="I38" i="235"/>
  <c r="R36" i="235"/>
  <c r="F36" i="235"/>
  <c r="R35" i="235"/>
  <c r="F35" i="235"/>
  <c r="R34" i="235"/>
  <c r="F34" i="235"/>
  <c r="R33" i="235"/>
  <c r="F33" i="235"/>
  <c r="R32" i="235"/>
  <c r="F32" i="235"/>
  <c r="R31" i="235"/>
  <c r="F31" i="235"/>
  <c r="R30" i="235"/>
  <c r="F30" i="235"/>
  <c r="AO29" i="235"/>
  <c r="R29" i="235"/>
  <c r="F29" i="235"/>
  <c r="AQ29" i="235"/>
  <c r="R28" i="235"/>
  <c r="F28" i="235"/>
  <c r="AO27" i="235"/>
  <c r="R27" i="235"/>
  <c r="F27" i="235"/>
  <c r="AQ27" i="235"/>
  <c r="R26" i="235"/>
  <c r="F26" i="235"/>
  <c r="AR24" i="235"/>
  <c r="AQ24" i="235"/>
  <c r="AP24" i="235"/>
  <c r="AO24" i="235"/>
  <c r="AA23" i="235"/>
  <c r="K23" i="235"/>
  <c r="I23" i="235"/>
  <c r="AK23" i="235"/>
  <c r="AJ23" i="235"/>
  <c r="AR22" i="235"/>
  <c r="AQ22" i="235"/>
  <c r="AP22" i="235"/>
  <c r="AO22" i="235"/>
  <c r="AK22" i="235"/>
  <c r="AK14" i="235" s="1"/>
  <c r="AL14" i="235" s="1"/>
  <c r="AJ22" i="235"/>
  <c r="AQ21" i="235"/>
  <c r="AK21" i="235"/>
  <c r="AJ21" i="235"/>
  <c r="F20" i="235"/>
  <c r="AQ20" i="235"/>
  <c r="F19" i="235"/>
  <c r="AQ19" i="235"/>
  <c r="F18" i="235"/>
  <c r="AQ18" i="235"/>
  <c r="AP17" i="235"/>
  <c r="AQ17" i="235"/>
  <c r="F17" i="235"/>
  <c r="F16" i="235"/>
  <c r="AL15" i="235"/>
  <c r="F15" i="235"/>
  <c r="F14" i="235"/>
  <c r="AK13" i="235"/>
  <c r="AL13" i="235" s="1"/>
  <c r="F13" i="235"/>
  <c r="F12" i="235"/>
  <c r="F11" i="235"/>
  <c r="F10" i="235"/>
  <c r="B10" i="235"/>
  <c r="K7" i="235"/>
  <c r="I7" i="235"/>
  <c r="AJ4" i="235"/>
  <c r="AM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C4" i="4"/>
  <c r="P19" i="234"/>
  <c r="P18" i="234"/>
  <c r="P17" i="234"/>
  <c r="U242" i="228"/>
  <c r="T242" i="228"/>
  <c r="U241" i="228"/>
  <c r="U240" i="228"/>
  <c r="U239" i="228"/>
  <c r="T216" i="228"/>
  <c r="U194" i="228"/>
  <c r="T194" i="228"/>
  <c r="U193" i="228"/>
  <c r="T193" i="228"/>
  <c r="U192" i="228"/>
  <c r="T192" i="228"/>
  <c r="U190" i="228"/>
  <c r="T190" i="228"/>
  <c r="U189" i="228"/>
  <c r="T189" i="228"/>
  <c r="U188" i="228"/>
  <c r="T188" i="228"/>
  <c r="U187" i="228"/>
  <c r="T187" i="228"/>
  <c r="U186" i="228"/>
  <c r="T186" i="228"/>
  <c r="U185" i="228"/>
  <c r="T185" i="228"/>
  <c r="U182" i="228"/>
  <c r="U181" i="228"/>
  <c r="U180" i="228"/>
  <c r="U179" i="228"/>
  <c r="U178" i="228"/>
  <c r="U177" i="228"/>
  <c r="U176" i="228"/>
  <c r="U175" i="228"/>
  <c r="U174" i="228"/>
  <c r="U173" i="228"/>
  <c r="U172" i="228"/>
  <c r="U171" i="228"/>
  <c r="T171" i="228"/>
  <c r="U170" i="228"/>
  <c r="U169" i="228"/>
  <c r="U168" i="228"/>
  <c r="U167" i="228"/>
  <c r="U166" i="228"/>
  <c r="U165" i="228"/>
  <c r="U164" i="228"/>
  <c r="U163" i="228"/>
  <c r="U162" i="228"/>
  <c r="U161" i="228"/>
  <c r="U160" i="228"/>
  <c r="U159" i="228"/>
  <c r="U158" i="228"/>
  <c r="T158" i="228"/>
  <c r="U157" i="228"/>
  <c r="U155" i="228"/>
  <c r="T155" i="228"/>
  <c r="U150" i="228"/>
  <c r="T149" i="228"/>
  <c r="U148" i="228"/>
  <c r="T148" i="228"/>
  <c r="U144" i="228"/>
  <c r="T144" i="228"/>
  <c r="U143" i="228"/>
  <c r="T143" i="228"/>
  <c r="U142" i="228"/>
  <c r="T142" i="228"/>
  <c r="F142" i="228" s="1" a="1"/>
  <c r="F142" i="228" s="1"/>
  <c r="G142" i="228" s="1"/>
  <c r="U141" i="228"/>
  <c r="U140" i="228"/>
  <c r="U139" i="228"/>
  <c r="T139" i="228"/>
  <c r="U137" i="228"/>
  <c r="U136" i="228"/>
  <c r="U134" i="228"/>
  <c r="U133" i="228"/>
  <c r="T133" i="228"/>
  <c r="U132" i="228"/>
  <c r="T132" i="228"/>
  <c r="U131" i="228"/>
  <c r="T131" i="228"/>
  <c r="U130" i="228"/>
  <c r="T130" i="228"/>
  <c r="U129" i="228"/>
  <c r="T129" i="228"/>
  <c r="U128" i="228"/>
  <c r="T128" i="228"/>
  <c r="U127" i="228"/>
  <c r="T127" i="228"/>
  <c r="U126" i="228"/>
  <c r="T126" i="228"/>
  <c r="U125" i="228"/>
  <c r="T125" i="228"/>
  <c r="U124" i="228"/>
  <c r="T124" i="228"/>
  <c r="U122" i="228"/>
  <c r="U120" i="228"/>
  <c r="U119" i="228"/>
  <c r="T119" i="228"/>
  <c r="U117" i="228"/>
  <c r="T117" i="228"/>
  <c r="U116" i="228"/>
  <c r="U115" i="228"/>
  <c r="T115" i="228"/>
  <c r="U110" i="228"/>
  <c r="U109" i="228"/>
  <c r="T109" i="228"/>
  <c r="U108" i="228"/>
  <c r="U107" i="228"/>
  <c r="U106" i="228"/>
  <c r="T106" i="228"/>
  <c r="U105" i="228"/>
  <c r="T105" i="228"/>
  <c r="U104" i="228"/>
  <c r="T104" i="228"/>
  <c r="U101" i="228"/>
  <c r="T101" i="228"/>
  <c r="U100" i="228"/>
  <c r="T100" i="228"/>
  <c r="U98" i="228"/>
  <c r="T98" i="228"/>
  <c r="U96" i="228"/>
  <c r="T96" i="228"/>
  <c r="U95" i="228"/>
  <c r="T95" i="228"/>
  <c r="U94" i="228"/>
  <c r="T94" i="228"/>
  <c r="U93" i="228"/>
  <c r="T93" i="228"/>
  <c r="T92" i="228"/>
  <c r="T91" i="228"/>
  <c r="U90" i="228"/>
  <c r="T90" i="228"/>
  <c r="U89" i="228"/>
  <c r="T89" i="228"/>
  <c r="T87" i="228"/>
  <c r="U86" i="228"/>
  <c r="T86" i="228"/>
  <c r="U85" i="228"/>
  <c r="T85" i="228"/>
  <c r="U84" i="228"/>
  <c r="T84" i="228"/>
  <c r="U83" i="228"/>
  <c r="T83" i="228"/>
  <c r="U81" i="228"/>
  <c r="T81" i="228"/>
  <c r="U80" i="228"/>
  <c r="T80" i="228"/>
  <c r="U79" i="228"/>
  <c r="T79" i="228"/>
  <c r="U78" i="228"/>
  <c r="T78" i="228"/>
  <c r="U77" i="228"/>
  <c r="T77" i="228"/>
  <c r="U76" i="228"/>
  <c r="T76" i="228"/>
  <c r="U75" i="228"/>
  <c r="T75" i="228"/>
  <c r="U74" i="228"/>
  <c r="T74" i="228"/>
  <c r="U73" i="228"/>
  <c r="T73" i="228"/>
  <c r="U72" i="228"/>
  <c r="T72" i="228"/>
  <c r="U71" i="228"/>
  <c r="T71" i="228"/>
  <c r="U70" i="228"/>
  <c r="T70" i="228"/>
  <c r="U69" i="228"/>
  <c r="T69" i="228"/>
  <c r="U68" i="228"/>
  <c r="T68" i="228"/>
  <c r="U67" i="228"/>
  <c r="T67" i="228"/>
  <c r="U66" i="228"/>
  <c r="T66" i="228"/>
  <c r="U65" i="228"/>
  <c r="T65" i="228"/>
  <c r="U64" i="228"/>
  <c r="T64" i="228"/>
  <c r="U63" i="228"/>
  <c r="T63" i="228"/>
  <c r="U62" i="228"/>
  <c r="T62" i="228"/>
  <c r="U61" i="228"/>
  <c r="T61" i="228"/>
  <c r="U60" i="228"/>
  <c r="T60" i="228"/>
  <c r="U59" i="228"/>
  <c r="T59" i="228"/>
  <c r="U58" i="228"/>
  <c r="T58" i="228"/>
  <c r="U57" i="228"/>
  <c r="T57" i="228"/>
  <c r="U56" i="228"/>
  <c r="T56" i="228"/>
  <c r="U55" i="228"/>
  <c r="T55" i="228"/>
  <c r="U54" i="228"/>
  <c r="T54" i="228"/>
  <c r="U53" i="228"/>
  <c r="T53" i="228"/>
  <c r="U52" i="228"/>
  <c r="T52" i="228"/>
  <c r="U51" i="228"/>
  <c r="T51" i="228"/>
  <c r="U50" i="228"/>
  <c r="T50" i="228"/>
  <c r="U49" i="228"/>
  <c r="T49" i="228"/>
  <c r="U48" i="228"/>
  <c r="T48" i="228"/>
  <c r="U47" i="228"/>
  <c r="T47" i="228"/>
  <c r="U46" i="228"/>
  <c r="U45" i="228"/>
  <c r="T45" i="228"/>
  <c r="U44" i="228"/>
  <c r="T44" i="228"/>
  <c r="U43" i="228"/>
  <c r="U42" i="228"/>
  <c r="T42" i="228"/>
  <c r="U41" i="228"/>
  <c r="T41" i="228"/>
  <c r="U40" i="228"/>
  <c r="T40" i="228"/>
  <c r="U39" i="228"/>
  <c r="T39" i="228"/>
  <c r="U38" i="228"/>
  <c r="T38" i="228"/>
  <c r="U37" i="228"/>
  <c r="T37" i="228"/>
  <c r="U36" i="228"/>
  <c r="T36" i="228"/>
  <c r="U33" i="228"/>
  <c r="T33" i="228"/>
  <c r="T26" i="228"/>
  <c r="U16" i="228"/>
  <c r="T16" i="228"/>
  <c r="U15" i="228"/>
  <c r="T15" i="228"/>
  <c r="U14" i="228"/>
  <c r="T14" i="228"/>
  <c r="U12" i="228"/>
  <c r="T12" i="228"/>
  <c r="U11" i="228"/>
  <c r="T11" i="228"/>
  <c r="U10" i="228"/>
  <c r="T10" i="228"/>
  <c r="U242" i="230"/>
  <c r="T242" i="230"/>
  <c r="U241" i="230"/>
  <c r="U240" i="230"/>
  <c r="U239" i="230"/>
  <c r="T220" i="230"/>
  <c r="U194" i="230"/>
  <c r="T194" i="230"/>
  <c r="U193" i="230"/>
  <c r="T193" i="230"/>
  <c r="U192" i="230"/>
  <c r="T192" i="230"/>
  <c r="U190" i="230"/>
  <c r="T190" i="230"/>
  <c r="U189" i="230"/>
  <c r="T189" i="230"/>
  <c r="U188" i="230"/>
  <c r="T188" i="230"/>
  <c r="U187" i="230"/>
  <c r="T187" i="230"/>
  <c r="U186" i="230"/>
  <c r="T186" i="230"/>
  <c r="U185" i="230"/>
  <c r="T185" i="230"/>
  <c r="U182" i="230"/>
  <c r="U181" i="230"/>
  <c r="U180" i="230"/>
  <c r="U179" i="230"/>
  <c r="U178" i="230"/>
  <c r="U177" i="230"/>
  <c r="U176" i="230"/>
  <c r="U175" i="230"/>
  <c r="U174" i="230"/>
  <c r="U173" i="230"/>
  <c r="U172" i="230"/>
  <c r="U171" i="230"/>
  <c r="T171" i="230"/>
  <c r="U170" i="230"/>
  <c r="U169" i="230"/>
  <c r="U168" i="230"/>
  <c r="U167" i="230"/>
  <c r="U166" i="230"/>
  <c r="U165" i="230"/>
  <c r="U164" i="230"/>
  <c r="U163" i="230"/>
  <c r="U162" i="230"/>
  <c r="U161" i="230"/>
  <c r="U160" i="230"/>
  <c r="U159" i="230"/>
  <c r="U158" i="230"/>
  <c r="U157" i="230"/>
  <c r="U155" i="230"/>
  <c r="T155" i="230"/>
  <c r="U150" i="230"/>
  <c r="T149" i="230"/>
  <c r="U148" i="230"/>
  <c r="T148" i="230"/>
  <c r="U144" i="230"/>
  <c r="T144" i="230"/>
  <c r="U143" i="230"/>
  <c r="T143" i="230"/>
  <c r="U142" i="230"/>
  <c r="T142" i="230"/>
  <c r="U141" i="230"/>
  <c r="U140" i="230"/>
  <c r="U139" i="230"/>
  <c r="T139" i="230"/>
  <c r="U137" i="230"/>
  <c r="U136" i="230"/>
  <c r="U134" i="230"/>
  <c r="U133" i="230"/>
  <c r="T133" i="230"/>
  <c r="U132" i="230"/>
  <c r="T132" i="230"/>
  <c r="U131" i="230"/>
  <c r="T131" i="230"/>
  <c r="U130" i="230"/>
  <c r="T130" i="230"/>
  <c r="U129" i="230"/>
  <c r="T129" i="230"/>
  <c r="U128" i="230"/>
  <c r="T128" i="230"/>
  <c r="U127" i="230"/>
  <c r="T127" i="230"/>
  <c r="U126" i="230"/>
  <c r="T126" i="230"/>
  <c r="U125" i="230"/>
  <c r="T125" i="230"/>
  <c r="U124" i="230"/>
  <c r="T124" i="230"/>
  <c r="U122" i="230"/>
  <c r="T122" i="230"/>
  <c r="U120" i="230"/>
  <c r="U119" i="230"/>
  <c r="T119" i="230"/>
  <c r="U117" i="230"/>
  <c r="T117" i="230"/>
  <c r="U116" i="230"/>
  <c r="U115" i="230"/>
  <c r="T115" i="230"/>
  <c r="U110" i="230"/>
  <c r="U109" i="230"/>
  <c r="T109" i="230"/>
  <c r="U108" i="230"/>
  <c r="U107" i="230"/>
  <c r="U106" i="230"/>
  <c r="T106" i="230"/>
  <c r="U105" i="230"/>
  <c r="T105" i="230"/>
  <c r="U104" i="230"/>
  <c r="T104" i="230"/>
  <c r="U101" i="230"/>
  <c r="T101" i="230"/>
  <c r="U100" i="230"/>
  <c r="T100" i="230"/>
  <c r="U98" i="230"/>
  <c r="T98" i="230"/>
  <c r="U96" i="230"/>
  <c r="T96" i="230"/>
  <c r="U95" i="230"/>
  <c r="T95" i="230"/>
  <c r="U94" i="230"/>
  <c r="T94" i="230"/>
  <c r="U93" i="230"/>
  <c r="T93" i="230"/>
  <c r="T92" i="230"/>
  <c r="T91" i="230"/>
  <c r="U90" i="230"/>
  <c r="T90" i="230"/>
  <c r="U89" i="230"/>
  <c r="T89" i="230"/>
  <c r="T87" i="230"/>
  <c r="U86" i="230"/>
  <c r="T86" i="230"/>
  <c r="U85" i="230"/>
  <c r="T85" i="230"/>
  <c r="U84" i="230"/>
  <c r="T84" i="230"/>
  <c r="U83" i="230"/>
  <c r="T83" i="230"/>
  <c r="U81" i="230"/>
  <c r="T81" i="230"/>
  <c r="U80" i="230"/>
  <c r="T80" i="230"/>
  <c r="U79" i="230"/>
  <c r="T79" i="230"/>
  <c r="U78" i="230"/>
  <c r="T78" i="230"/>
  <c r="U77" i="230"/>
  <c r="T77" i="230"/>
  <c r="U76" i="230"/>
  <c r="T76" i="230"/>
  <c r="U75" i="230"/>
  <c r="T75" i="230"/>
  <c r="U74" i="230"/>
  <c r="T74" i="230"/>
  <c r="U73" i="230"/>
  <c r="T73" i="230"/>
  <c r="U72" i="230"/>
  <c r="T72" i="230"/>
  <c r="U71" i="230"/>
  <c r="T71" i="230"/>
  <c r="U70" i="230"/>
  <c r="T70" i="230"/>
  <c r="U69" i="230"/>
  <c r="T69" i="230"/>
  <c r="U68" i="230"/>
  <c r="T68" i="230"/>
  <c r="U67" i="230"/>
  <c r="T67" i="230"/>
  <c r="U66" i="230"/>
  <c r="T66" i="230"/>
  <c r="U65" i="230"/>
  <c r="T65" i="230"/>
  <c r="U64" i="230"/>
  <c r="T64" i="230"/>
  <c r="U63" i="230"/>
  <c r="T63" i="230"/>
  <c r="U62" i="230"/>
  <c r="T62" i="230"/>
  <c r="U61" i="230"/>
  <c r="T61" i="230"/>
  <c r="U60" i="230"/>
  <c r="T60" i="230"/>
  <c r="U59" i="230"/>
  <c r="T59" i="230"/>
  <c r="U58" i="230"/>
  <c r="T58" i="230"/>
  <c r="U57" i="230"/>
  <c r="T57" i="230"/>
  <c r="U56" i="230"/>
  <c r="T56" i="230"/>
  <c r="U55" i="230"/>
  <c r="T55" i="230"/>
  <c r="U54" i="230"/>
  <c r="T54" i="230"/>
  <c r="U53" i="230"/>
  <c r="T53" i="230"/>
  <c r="U52" i="230"/>
  <c r="T52" i="230"/>
  <c r="U51" i="230"/>
  <c r="T51" i="230"/>
  <c r="U50" i="230"/>
  <c r="T50" i="230"/>
  <c r="U49" i="230"/>
  <c r="T49" i="230"/>
  <c r="U48" i="230"/>
  <c r="T48" i="230"/>
  <c r="U47" i="230"/>
  <c r="T47" i="230"/>
  <c r="U46" i="230"/>
  <c r="U45" i="230"/>
  <c r="T45" i="230"/>
  <c r="U44" i="230"/>
  <c r="T44" i="230"/>
  <c r="U43" i="230"/>
  <c r="U42" i="230"/>
  <c r="T42" i="230"/>
  <c r="U41" i="230"/>
  <c r="T41" i="230"/>
  <c r="U40" i="230"/>
  <c r="T40" i="230"/>
  <c r="U39" i="230"/>
  <c r="T39" i="230"/>
  <c r="U38" i="230"/>
  <c r="T38" i="230"/>
  <c r="U37" i="230"/>
  <c r="T37" i="230"/>
  <c r="U36" i="230"/>
  <c r="T36" i="230"/>
  <c r="U33" i="230"/>
  <c r="T33" i="230"/>
  <c r="T26" i="230"/>
  <c r="U16" i="230"/>
  <c r="T16" i="230"/>
  <c r="U15" i="230"/>
  <c r="T15" i="230"/>
  <c r="U14" i="230"/>
  <c r="T14" i="230"/>
  <c r="U12" i="230"/>
  <c r="T12" i="230"/>
  <c r="U11" i="230"/>
  <c r="T11" i="230"/>
  <c r="U10" i="230"/>
  <c r="T10" i="230"/>
  <c r="U242" i="232"/>
  <c r="T242" i="232"/>
  <c r="U241" i="232"/>
  <c r="U240" i="232"/>
  <c r="U239" i="232"/>
  <c r="U225" i="232"/>
  <c r="T208" i="232"/>
  <c r="T204" i="232"/>
  <c r="T196" i="232"/>
  <c r="U194" i="232"/>
  <c r="T194" i="232"/>
  <c r="U193" i="232"/>
  <c r="T193" i="232"/>
  <c r="U192" i="232"/>
  <c r="T192" i="232"/>
  <c r="F192" i="232" s="1" a="1"/>
  <c r="F192" i="232" s="1"/>
  <c r="G192" i="232" s="1"/>
  <c r="U190" i="232"/>
  <c r="T190" i="232"/>
  <c r="U189" i="232"/>
  <c r="T189" i="232"/>
  <c r="U188" i="232"/>
  <c r="T188" i="232"/>
  <c r="F188" i="232" s="1" a="1"/>
  <c r="F188" i="232" s="1"/>
  <c r="G188" i="232" s="1"/>
  <c r="U187" i="232"/>
  <c r="T187" i="232"/>
  <c r="U186" i="232"/>
  <c r="T186" i="232"/>
  <c r="U185" i="232"/>
  <c r="T185" i="232"/>
  <c r="U182" i="232"/>
  <c r="T182" i="232"/>
  <c r="U181" i="232"/>
  <c r="U180" i="232"/>
  <c r="U179" i="232"/>
  <c r="U178" i="232"/>
  <c r="T178" i="232"/>
  <c r="U177" i="232"/>
  <c r="U176" i="232"/>
  <c r="U175" i="232"/>
  <c r="U174" i="232"/>
  <c r="T174" i="232"/>
  <c r="U173" i="232"/>
  <c r="U172" i="232"/>
  <c r="U171" i="232"/>
  <c r="T171" i="232"/>
  <c r="U170" i="232"/>
  <c r="T170" i="232"/>
  <c r="U169" i="232"/>
  <c r="U168" i="232"/>
  <c r="U167" i="232"/>
  <c r="U166" i="232"/>
  <c r="U165" i="232"/>
  <c r="U164" i="232"/>
  <c r="U163" i="232"/>
  <c r="U162" i="232"/>
  <c r="T162" i="232"/>
  <c r="U161" i="232"/>
  <c r="U160" i="232"/>
  <c r="U159" i="232"/>
  <c r="U158" i="232"/>
  <c r="T158" i="232"/>
  <c r="U157" i="232"/>
  <c r="U155" i="232"/>
  <c r="T155" i="232"/>
  <c r="T154" i="232"/>
  <c r="U150" i="232"/>
  <c r="T150" i="232"/>
  <c r="T149" i="232"/>
  <c r="U148" i="232"/>
  <c r="T148" i="232"/>
  <c r="U144" i="232"/>
  <c r="T144" i="232"/>
  <c r="U143" i="232"/>
  <c r="T143" i="232"/>
  <c r="U142" i="232"/>
  <c r="T142" i="232"/>
  <c r="U141" i="232"/>
  <c r="U140" i="232"/>
  <c r="U139" i="232"/>
  <c r="T139" i="232"/>
  <c r="T138" i="232"/>
  <c r="U137" i="232"/>
  <c r="U136" i="232"/>
  <c r="U134" i="232"/>
  <c r="T134" i="232"/>
  <c r="U133" i="232"/>
  <c r="T133" i="232"/>
  <c r="U132" i="232"/>
  <c r="T132" i="232"/>
  <c r="U131" i="232"/>
  <c r="T131" i="232"/>
  <c r="U130" i="232"/>
  <c r="T130" i="232"/>
  <c r="F130" i="232" s="1" a="1"/>
  <c r="F130" i="232" s="1"/>
  <c r="G130" i="232" s="1"/>
  <c r="U129" i="232"/>
  <c r="T129" i="232"/>
  <c r="U128" i="232"/>
  <c r="T128" i="232"/>
  <c r="U127" i="232"/>
  <c r="T127" i="232"/>
  <c r="U126" i="232"/>
  <c r="T126" i="232"/>
  <c r="F126" i="232" s="1" a="1"/>
  <c r="F126" i="232" s="1"/>
  <c r="G126" i="232" s="1"/>
  <c r="U125" i="232"/>
  <c r="T125" i="232"/>
  <c r="U124" i="232"/>
  <c r="T124" i="232"/>
  <c r="U122" i="232"/>
  <c r="U120" i="232"/>
  <c r="U119" i="232"/>
  <c r="T119" i="232"/>
  <c r="U117" i="232"/>
  <c r="T117" i="232"/>
  <c r="U116" i="232"/>
  <c r="U115" i="232"/>
  <c r="T115" i="232"/>
  <c r="T114" i="232"/>
  <c r="U110" i="232"/>
  <c r="T110" i="232"/>
  <c r="U109" i="232"/>
  <c r="T109" i="232"/>
  <c r="U108" i="232"/>
  <c r="U107" i="232"/>
  <c r="U106" i="232"/>
  <c r="T106" i="232"/>
  <c r="F106" i="232" s="1" a="1"/>
  <c r="F106" i="232" s="1"/>
  <c r="G106" i="232" s="1"/>
  <c r="U105" i="232"/>
  <c r="T105" i="232"/>
  <c r="U104" i="232"/>
  <c r="T104" i="232"/>
  <c r="T102" i="232"/>
  <c r="U101" i="232"/>
  <c r="T101" i="232"/>
  <c r="U100" i="232"/>
  <c r="T100" i="232"/>
  <c r="U98" i="232"/>
  <c r="T98" i="232"/>
  <c r="U96" i="232"/>
  <c r="T96" i="232"/>
  <c r="U95" i="232"/>
  <c r="T95" i="232"/>
  <c r="U94" i="232"/>
  <c r="T94" i="232"/>
  <c r="U93" i="232"/>
  <c r="T93" i="232"/>
  <c r="T92" i="232"/>
  <c r="T91" i="232"/>
  <c r="U90" i="232"/>
  <c r="T90" i="232"/>
  <c r="F90" i="232" s="1" a="1"/>
  <c r="F90" i="232" s="1"/>
  <c r="G90" i="232" s="1"/>
  <c r="U89" i="232"/>
  <c r="T89" i="232"/>
  <c r="T87" i="232"/>
  <c r="U86" i="232"/>
  <c r="T86" i="232"/>
  <c r="F86" i="232" s="1" a="1"/>
  <c r="F86" i="232" s="1"/>
  <c r="G86" i="232" s="1"/>
  <c r="U85" i="232"/>
  <c r="T85" i="232"/>
  <c r="U84" i="232"/>
  <c r="T84" i="232"/>
  <c r="U83" i="232"/>
  <c r="T83" i="232"/>
  <c r="T82" i="232"/>
  <c r="U81" i="232"/>
  <c r="T81" i="232"/>
  <c r="U80" i="232"/>
  <c r="T80" i="232"/>
  <c r="U79" i="232"/>
  <c r="T79" i="232"/>
  <c r="U78" i="232"/>
  <c r="T78" i="232"/>
  <c r="F78" i="232" s="1" a="1"/>
  <c r="F78" i="232" s="1"/>
  <c r="G78" i="232" s="1"/>
  <c r="U77" i="232"/>
  <c r="T77" i="232"/>
  <c r="U76" i="232"/>
  <c r="T76" i="232"/>
  <c r="U75" i="232"/>
  <c r="T75" i="232"/>
  <c r="U74" i="232"/>
  <c r="T74" i="232"/>
  <c r="F74" i="232" s="1" a="1"/>
  <c r="F74" i="232" s="1"/>
  <c r="G74" i="232" s="1"/>
  <c r="U73" i="232"/>
  <c r="T73" i="232"/>
  <c r="U72" i="232"/>
  <c r="T72" i="232"/>
  <c r="U71" i="232"/>
  <c r="T71" i="232"/>
  <c r="U70" i="232"/>
  <c r="T70" i="232"/>
  <c r="U69" i="232"/>
  <c r="T69" i="232"/>
  <c r="U68" i="232"/>
  <c r="T68" i="232"/>
  <c r="U67" i="232"/>
  <c r="T67" i="232"/>
  <c r="U66" i="232"/>
  <c r="T66" i="232"/>
  <c r="U65" i="232"/>
  <c r="T65" i="232"/>
  <c r="U64" i="232"/>
  <c r="T64" i="232"/>
  <c r="U63" i="232"/>
  <c r="T63" i="232"/>
  <c r="U62" i="232"/>
  <c r="T62" i="232"/>
  <c r="F62" i="232" s="1" a="1"/>
  <c r="F62" i="232" s="1"/>
  <c r="G62" i="232" s="1"/>
  <c r="U61" i="232"/>
  <c r="T61" i="232"/>
  <c r="U60" i="232"/>
  <c r="T60" i="232"/>
  <c r="U59" i="232"/>
  <c r="T59" i="232"/>
  <c r="U58" i="232"/>
  <c r="T58" i="232"/>
  <c r="F58" i="232" s="1" a="1"/>
  <c r="F58" i="232" s="1"/>
  <c r="G58" i="232" s="1"/>
  <c r="U57" i="232"/>
  <c r="T57" i="232"/>
  <c r="U56" i="232"/>
  <c r="T56" i="232"/>
  <c r="U55" i="232"/>
  <c r="T55" i="232"/>
  <c r="U54" i="232"/>
  <c r="T54" i="232"/>
  <c r="F54" i="232" s="1" a="1"/>
  <c r="F54" i="232" s="1"/>
  <c r="G54" i="232" s="1"/>
  <c r="U53" i="232"/>
  <c r="T53" i="232"/>
  <c r="U52" i="232"/>
  <c r="T52" i="232"/>
  <c r="U51" i="232"/>
  <c r="T51" i="232"/>
  <c r="U50" i="232"/>
  <c r="T50" i="232"/>
  <c r="F50" i="232" s="1" a="1"/>
  <c r="F50" i="232" s="1"/>
  <c r="G50" i="232" s="1"/>
  <c r="U49" i="232"/>
  <c r="T49" i="232"/>
  <c r="U48" i="232"/>
  <c r="T48" i="232"/>
  <c r="U47" i="232"/>
  <c r="T47" i="232"/>
  <c r="U46" i="232"/>
  <c r="T46" i="232"/>
  <c r="U45" i="232"/>
  <c r="T45" i="232"/>
  <c r="U44" i="232"/>
  <c r="T44" i="232"/>
  <c r="U43" i="232"/>
  <c r="U42" i="232"/>
  <c r="T42" i="232"/>
  <c r="F42" i="232" s="1" a="1"/>
  <c r="F42" i="232" s="1"/>
  <c r="G42" i="232" s="1"/>
  <c r="U41" i="232"/>
  <c r="T41" i="232"/>
  <c r="U40" i="232"/>
  <c r="T40" i="232"/>
  <c r="U39" i="232"/>
  <c r="T39" i="232"/>
  <c r="U38" i="232"/>
  <c r="T38" i="232"/>
  <c r="F38" i="232" s="1" a="1"/>
  <c r="F38" i="232" s="1"/>
  <c r="G38" i="232" s="1"/>
  <c r="F280" i="232" s="1"/>
  <c r="H280" i="232" s="1"/>
  <c r="U37" i="232"/>
  <c r="T37" i="232"/>
  <c r="U36" i="232"/>
  <c r="T36" i="232"/>
  <c r="U33" i="232"/>
  <c r="T33" i="232"/>
  <c r="T26" i="232"/>
  <c r="T18" i="232"/>
  <c r="U16" i="232"/>
  <c r="T16" i="232"/>
  <c r="U15" i="232"/>
  <c r="T15" i="232"/>
  <c r="U14" i="232"/>
  <c r="T14" i="232"/>
  <c r="F14" i="232" s="1" a="1"/>
  <c r="F14" i="232" s="1"/>
  <c r="G14" i="232" s="1"/>
  <c r="U12" i="232"/>
  <c r="T12" i="232"/>
  <c r="U11" i="232"/>
  <c r="T11" i="232"/>
  <c r="U10" i="232"/>
  <c r="T10" i="232"/>
  <c r="F10" i="232" s="1" a="1"/>
  <c r="F10" i="232" s="1"/>
  <c r="G10" i="232" s="1"/>
  <c r="J33" i="234"/>
  <c r="I19" i="234"/>
  <c r="O19" i="234" s="1"/>
  <c r="I18" i="234"/>
  <c r="O18" i="234" s="1"/>
  <c r="X32" i="217"/>
  <c r="I17" i="234"/>
  <c r="O17" i="234" s="1"/>
  <c r="K16" i="234"/>
  <c r="P16" i="234" s="1"/>
  <c r="I16" i="234"/>
  <c r="O16" i="234" s="1"/>
  <c r="L14" i="233"/>
  <c r="K14" i="233"/>
  <c r="L14" i="231"/>
  <c r="K14" i="231"/>
  <c r="L14" i="229"/>
  <c r="K14" i="229"/>
  <c r="Y118" i="233"/>
  <c r="Q118" i="233"/>
  <c r="I118" i="233"/>
  <c r="T113" i="233"/>
  <c r="L113" i="233"/>
  <c r="D113" i="233"/>
  <c r="S108" i="233"/>
  <c r="K108" i="233"/>
  <c r="I108" i="233"/>
  <c r="I110" i="233" s="1"/>
  <c r="C108" i="233"/>
  <c r="N104" i="233"/>
  <c r="M104" i="233"/>
  <c r="L104" i="233"/>
  <c r="K104" i="233"/>
  <c r="J104" i="233"/>
  <c r="I104" i="233"/>
  <c r="H104" i="233"/>
  <c r="G104" i="233"/>
  <c r="F104" i="233"/>
  <c r="E104" i="233"/>
  <c r="D104" i="233"/>
  <c r="C104" i="233"/>
  <c r="N103" i="233"/>
  <c r="M103" i="233"/>
  <c r="L103" i="233"/>
  <c r="K103" i="233"/>
  <c r="J103" i="233"/>
  <c r="I103" i="233"/>
  <c r="H103" i="233"/>
  <c r="G103" i="233"/>
  <c r="F103" i="233"/>
  <c r="E103" i="233"/>
  <c r="D103" i="233"/>
  <c r="C103" i="233"/>
  <c r="N102" i="233"/>
  <c r="M102" i="233"/>
  <c r="L102" i="233"/>
  <c r="K102" i="233"/>
  <c r="J102" i="233"/>
  <c r="I102" i="233"/>
  <c r="H102" i="233"/>
  <c r="G102" i="233"/>
  <c r="F102" i="233"/>
  <c r="E102" i="233"/>
  <c r="D102" i="233"/>
  <c r="C102" i="233"/>
  <c r="N101" i="233"/>
  <c r="M101" i="233"/>
  <c r="L101" i="233"/>
  <c r="K101" i="233"/>
  <c r="J101" i="233"/>
  <c r="I101" i="233"/>
  <c r="H101" i="233"/>
  <c r="G101" i="233"/>
  <c r="F101" i="233"/>
  <c r="E101" i="233"/>
  <c r="D101" i="233"/>
  <c r="C101" i="233"/>
  <c r="N100" i="233"/>
  <c r="M100" i="233"/>
  <c r="L100" i="233"/>
  <c r="K100" i="233"/>
  <c r="J100" i="233"/>
  <c r="I100" i="233"/>
  <c r="H100" i="233"/>
  <c r="G100" i="233"/>
  <c r="F100" i="233"/>
  <c r="E100" i="233"/>
  <c r="D100" i="233"/>
  <c r="C100" i="233"/>
  <c r="N99" i="233"/>
  <c r="M99" i="233"/>
  <c r="L99" i="233"/>
  <c r="K99" i="233"/>
  <c r="J99" i="233"/>
  <c r="I99" i="233"/>
  <c r="H99" i="233"/>
  <c r="G99" i="233"/>
  <c r="F99" i="233"/>
  <c r="E99" i="233"/>
  <c r="D99" i="233"/>
  <c r="C99" i="233"/>
  <c r="N98" i="233"/>
  <c r="M98" i="233"/>
  <c r="L98" i="233"/>
  <c r="K98" i="233"/>
  <c r="J98" i="233"/>
  <c r="I98" i="233"/>
  <c r="H98" i="233"/>
  <c r="G98" i="233"/>
  <c r="F98" i="233"/>
  <c r="E98" i="233"/>
  <c r="D98" i="233"/>
  <c r="C98" i="233"/>
  <c r="N97" i="233"/>
  <c r="N108" i="233" s="1"/>
  <c r="N110" i="233" s="1"/>
  <c r="M97" i="233"/>
  <c r="M108" i="233" s="1"/>
  <c r="L97" i="233"/>
  <c r="L108" i="233" s="1"/>
  <c r="K97" i="233"/>
  <c r="J97" i="233"/>
  <c r="J108" i="233" s="1"/>
  <c r="I97" i="233"/>
  <c r="H97" i="233"/>
  <c r="H108" i="233" s="1"/>
  <c r="G97" i="233"/>
  <c r="F97" i="233"/>
  <c r="F108" i="233" s="1"/>
  <c r="F110" i="233" s="1"/>
  <c r="E97" i="233"/>
  <c r="E108" i="233" s="1"/>
  <c r="D97" i="233"/>
  <c r="D108" i="233" s="1"/>
  <c r="C97" i="233"/>
  <c r="Y94" i="233"/>
  <c r="Y121" i="233" s="1"/>
  <c r="Q94" i="233"/>
  <c r="Q121" i="233" s="1"/>
  <c r="I94" i="233"/>
  <c r="I121" i="233" s="1"/>
  <c r="Z93" i="233"/>
  <c r="Z120" i="233" s="1"/>
  <c r="X93" i="233"/>
  <c r="X120" i="233" s="1"/>
  <c r="R93" i="233"/>
  <c r="R120" i="233" s="1"/>
  <c r="P93" i="233"/>
  <c r="P120" i="233" s="1"/>
  <c r="J93" i="233"/>
  <c r="J120" i="233" s="1"/>
  <c r="H93" i="233"/>
  <c r="H120" i="233" s="1"/>
  <c r="Y92" i="233"/>
  <c r="Y119" i="233" s="1"/>
  <c r="S92" i="233"/>
  <c r="S119" i="233" s="1"/>
  <c r="Q92" i="233"/>
  <c r="Q119" i="233" s="1"/>
  <c r="K92" i="233"/>
  <c r="K119" i="233" s="1"/>
  <c r="I92" i="233"/>
  <c r="I119" i="233" s="1"/>
  <c r="C92" i="233"/>
  <c r="C119" i="233" s="1"/>
  <c r="Z91" i="233"/>
  <c r="Z114" i="233" s="1"/>
  <c r="T91" i="233"/>
  <c r="T114" i="233" s="1"/>
  <c r="R91" i="233"/>
  <c r="R114" i="233" s="1"/>
  <c r="L91" i="233"/>
  <c r="L114" i="233" s="1"/>
  <c r="J91" i="233"/>
  <c r="J114" i="233" s="1"/>
  <c r="D91" i="233"/>
  <c r="D114" i="233" s="1"/>
  <c r="U90" i="233"/>
  <c r="U109" i="233" s="1"/>
  <c r="S90" i="233"/>
  <c r="S109" i="233" s="1"/>
  <c r="M90" i="233"/>
  <c r="M109" i="233" s="1"/>
  <c r="K90" i="233"/>
  <c r="K109" i="233" s="1"/>
  <c r="E90" i="233"/>
  <c r="E109" i="233" s="1"/>
  <c r="C90" i="233"/>
  <c r="C109" i="233" s="1"/>
  <c r="Z87" i="233"/>
  <c r="Y87" i="233"/>
  <c r="X87" i="233"/>
  <c r="W87" i="233"/>
  <c r="V87" i="233"/>
  <c r="U87" i="233"/>
  <c r="T87" i="233"/>
  <c r="S87" i="233"/>
  <c r="R87" i="233"/>
  <c r="Q87" i="233"/>
  <c r="P87" i="233"/>
  <c r="O87" i="233"/>
  <c r="N87" i="233"/>
  <c r="M87" i="233"/>
  <c r="L87" i="233"/>
  <c r="K87" i="233"/>
  <c r="J87" i="233"/>
  <c r="I87" i="233"/>
  <c r="H87" i="233"/>
  <c r="G87" i="233"/>
  <c r="F87" i="233"/>
  <c r="E87" i="233"/>
  <c r="D87" i="233"/>
  <c r="C87" i="233"/>
  <c r="Z86" i="233"/>
  <c r="Y86" i="233"/>
  <c r="X86" i="233"/>
  <c r="W86" i="233"/>
  <c r="V86" i="233"/>
  <c r="U86" i="233"/>
  <c r="T86" i="233"/>
  <c r="S86" i="233"/>
  <c r="R86" i="233"/>
  <c r="Q86" i="233"/>
  <c r="P86" i="233"/>
  <c r="O86" i="233"/>
  <c r="N86" i="233"/>
  <c r="M86" i="233"/>
  <c r="L86" i="233"/>
  <c r="K86" i="233"/>
  <c r="J86" i="233"/>
  <c r="I86" i="233"/>
  <c r="H86" i="233"/>
  <c r="G86" i="233"/>
  <c r="F86" i="233"/>
  <c r="E86" i="233"/>
  <c r="D86" i="233"/>
  <c r="C86" i="233"/>
  <c r="Z85" i="233"/>
  <c r="Y85" i="233"/>
  <c r="X85" i="233"/>
  <c r="W85" i="233"/>
  <c r="V85" i="233"/>
  <c r="U85" i="233"/>
  <c r="T85" i="233"/>
  <c r="S85" i="233"/>
  <c r="R85" i="233"/>
  <c r="Q85" i="233"/>
  <c r="P85" i="233"/>
  <c r="O85" i="233"/>
  <c r="N85" i="233"/>
  <c r="M85" i="233"/>
  <c r="L85" i="233"/>
  <c r="K85" i="233"/>
  <c r="J85" i="233"/>
  <c r="I85" i="233"/>
  <c r="H85" i="233"/>
  <c r="G85" i="233"/>
  <c r="F85" i="233"/>
  <c r="E85" i="233"/>
  <c r="D85" i="233"/>
  <c r="C85" i="233"/>
  <c r="Z84" i="233"/>
  <c r="Y84" i="233"/>
  <c r="X84" i="233"/>
  <c r="W84" i="233"/>
  <c r="V84" i="233"/>
  <c r="U84" i="233"/>
  <c r="T84" i="233"/>
  <c r="S84" i="233"/>
  <c r="R84" i="233"/>
  <c r="Q84" i="233"/>
  <c r="P84" i="233"/>
  <c r="O84" i="233"/>
  <c r="N84" i="233"/>
  <c r="M84" i="233"/>
  <c r="L84" i="233"/>
  <c r="K84" i="233"/>
  <c r="J84" i="233"/>
  <c r="I84" i="233"/>
  <c r="H84" i="233"/>
  <c r="G84" i="233"/>
  <c r="F84" i="233"/>
  <c r="E84" i="233"/>
  <c r="D84" i="233"/>
  <c r="C84" i="233"/>
  <c r="Z83" i="233"/>
  <c r="Y83" i="233"/>
  <c r="X83" i="233"/>
  <c r="W83" i="233"/>
  <c r="V83" i="233"/>
  <c r="U83" i="233"/>
  <c r="T83" i="233"/>
  <c r="S83" i="233"/>
  <c r="R83" i="233"/>
  <c r="Q83" i="233"/>
  <c r="P83" i="233"/>
  <c r="O83" i="233"/>
  <c r="N83" i="233"/>
  <c r="M83" i="233"/>
  <c r="L83" i="233"/>
  <c r="K83" i="233"/>
  <c r="J83" i="233"/>
  <c r="I83" i="233"/>
  <c r="H83" i="233"/>
  <c r="G83" i="233"/>
  <c r="F83" i="233"/>
  <c r="E83" i="233"/>
  <c r="D83" i="233"/>
  <c r="C83" i="233"/>
  <c r="Z80" i="233"/>
  <c r="Z118" i="233" s="1"/>
  <c r="Y80" i="233"/>
  <c r="Y93" i="233" s="1"/>
  <c r="Y120" i="233" s="1"/>
  <c r="X80" i="233"/>
  <c r="X92" i="233" s="1"/>
  <c r="X119" i="233" s="1"/>
  <c r="W80" i="233"/>
  <c r="V80" i="233"/>
  <c r="V118" i="233" s="1"/>
  <c r="U80" i="233"/>
  <c r="T80" i="233"/>
  <c r="T118" i="233" s="1"/>
  <c r="S80" i="233"/>
  <c r="S118" i="233" s="1"/>
  <c r="R80" i="233"/>
  <c r="R118" i="233" s="1"/>
  <c r="Q80" i="233"/>
  <c r="Q93" i="233" s="1"/>
  <c r="Q120" i="233" s="1"/>
  <c r="P80" i="233"/>
  <c r="P92" i="233" s="1"/>
  <c r="P119" i="233" s="1"/>
  <c r="O80" i="233"/>
  <c r="N80" i="233"/>
  <c r="N118" i="233" s="1"/>
  <c r="M80" i="233"/>
  <c r="L80" i="233"/>
  <c r="L118" i="233" s="1"/>
  <c r="K80" i="233"/>
  <c r="K118" i="233" s="1"/>
  <c r="J80" i="233"/>
  <c r="J118" i="233" s="1"/>
  <c r="I80" i="233"/>
  <c r="I93" i="233" s="1"/>
  <c r="I120" i="233" s="1"/>
  <c r="H80" i="233"/>
  <c r="H92" i="233" s="1"/>
  <c r="H119" i="233" s="1"/>
  <c r="G80" i="233"/>
  <c r="G94" i="233" s="1"/>
  <c r="G121" i="233" s="1"/>
  <c r="F80" i="233"/>
  <c r="F118" i="233" s="1"/>
  <c r="E80" i="233"/>
  <c r="D80" i="233"/>
  <c r="D118" i="233" s="1"/>
  <c r="C80" i="233"/>
  <c r="C118" i="233" s="1"/>
  <c r="Z79" i="233"/>
  <c r="Z113" i="233" s="1"/>
  <c r="Z115" i="233" s="1"/>
  <c r="Y79" i="233"/>
  <c r="Y91" i="233" s="1"/>
  <c r="Y114" i="233" s="1"/>
  <c r="X79" i="233"/>
  <c r="W79" i="233"/>
  <c r="W91" i="233" s="1"/>
  <c r="W114" i="233" s="1"/>
  <c r="V79" i="233"/>
  <c r="U79" i="233"/>
  <c r="U91" i="233" s="1"/>
  <c r="U114" i="233" s="1"/>
  <c r="T79" i="233"/>
  <c r="S79" i="233"/>
  <c r="S113" i="233" s="1"/>
  <c r="R79" i="233"/>
  <c r="R113" i="233" s="1"/>
  <c r="Q79" i="233"/>
  <c r="Q91" i="233" s="1"/>
  <c r="Q114" i="233" s="1"/>
  <c r="P79" i="233"/>
  <c r="O79" i="233"/>
  <c r="O91" i="233" s="1"/>
  <c r="O114" i="233" s="1"/>
  <c r="N79" i="233"/>
  <c r="M79" i="233"/>
  <c r="M91" i="233" s="1"/>
  <c r="M114" i="233" s="1"/>
  <c r="L79" i="233"/>
  <c r="K79" i="233"/>
  <c r="K113" i="233" s="1"/>
  <c r="J79" i="233"/>
  <c r="J113" i="233" s="1"/>
  <c r="J115" i="233" s="1"/>
  <c r="I79" i="233"/>
  <c r="I91" i="233" s="1"/>
  <c r="I114" i="233" s="1"/>
  <c r="H79" i="233"/>
  <c r="G79" i="233"/>
  <c r="G91" i="233" s="1"/>
  <c r="G114" i="233" s="1"/>
  <c r="F79" i="233"/>
  <c r="E79" i="233"/>
  <c r="E91" i="233" s="1"/>
  <c r="E114" i="233" s="1"/>
  <c r="D79" i="233"/>
  <c r="C79" i="233"/>
  <c r="C113" i="233" s="1"/>
  <c r="Z78" i="233"/>
  <c r="Z90" i="233" s="1"/>
  <c r="Z109" i="233" s="1"/>
  <c r="Y78" i="233"/>
  <c r="Y90" i="233" s="1"/>
  <c r="Y109" i="233" s="1"/>
  <c r="X78" i="233"/>
  <c r="X108" i="233" s="1"/>
  <c r="W78" i="233"/>
  <c r="V78" i="233"/>
  <c r="V108" i="233" s="1"/>
  <c r="U78" i="233"/>
  <c r="U108" i="233" s="1"/>
  <c r="U110" i="233" s="1"/>
  <c r="T78" i="233"/>
  <c r="T108" i="233" s="1"/>
  <c r="S78" i="233"/>
  <c r="R78" i="233"/>
  <c r="R90" i="233" s="1"/>
  <c r="R109" i="233" s="1"/>
  <c r="Q78" i="233"/>
  <c r="Q90" i="233" s="1"/>
  <c r="Q109" i="233" s="1"/>
  <c r="P78" i="233"/>
  <c r="P108" i="233" s="1"/>
  <c r="O78" i="233"/>
  <c r="N78" i="233"/>
  <c r="N90" i="233" s="1"/>
  <c r="N109" i="233" s="1"/>
  <c r="M78" i="233"/>
  <c r="L78" i="233"/>
  <c r="K78" i="233"/>
  <c r="J78" i="233"/>
  <c r="J90" i="233" s="1"/>
  <c r="J109" i="233" s="1"/>
  <c r="I78" i="233"/>
  <c r="I90" i="233" s="1"/>
  <c r="I109" i="233" s="1"/>
  <c r="H78" i="233"/>
  <c r="H90" i="233" s="1"/>
  <c r="H109" i="233" s="1"/>
  <c r="G78" i="233"/>
  <c r="G90" i="233" s="1"/>
  <c r="G109" i="233" s="1"/>
  <c r="F78" i="233"/>
  <c r="F90" i="233" s="1"/>
  <c r="F109" i="233" s="1"/>
  <c r="E78" i="233"/>
  <c r="D78" i="233"/>
  <c r="C78" i="233"/>
  <c r="C69" i="233"/>
  <c r="E67" i="233"/>
  <c r="C66" i="233"/>
  <c r="E66" i="233" s="1"/>
  <c r="C63" i="233"/>
  <c r="C57" i="233"/>
  <c r="C55" i="233"/>
  <c r="C50" i="233"/>
  <c r="H14" i="233" s="1"/>
  <c r="C47" i="233"/>
  <c r="C39" i="233"/>
  <c r="E37" i="233"/>
  <c r="C36" i="233"/>
  <c r="E36" i="233" s="1"/>
  <c r="C33" i="233"/>
  <c r="C27" i="233"/>
  <c r="C25" i="233"/>
  <c r="C20" i="233"/>
  <c r="C17" i="233"/>
  <c r="G14" i="233"/>
  <c r="A12" i="233"/>
  <c r="A11" i="233"/>
  <c r="A4" i="233"/>
  <c r="A3" i="233"/>
  <c r="A2" i="233"/>
  <c r="A1" i="233"/>
  <c r="G301" i="232"/>
  <c r="L301" i="232" s="1"/>
  <c r="G300" i="232"/>
  <c r="L300" i="232" s="1"/>
  <c r="L298" i="232"/>
  <c r="G298" i="232"/>
  <c r="L297" i="232"/>
  <c r="G297" i="232"/>
  <c r="G296" i="232"/>
  <c r="L296" i="232" s="1"/>
  <c r="G295" i="232"/>
  <c r="L295" i="232" s="1"/>
  <c r="K294" i="232"/>
  <c r="M294" i="232" s="1"/>
  <c r="G294" i="232"/>
  <c r="L294" i="232" s="1"/>
  <c r="F294" i="232"/>
  <c r="H294" i="232" s="1"/>
  <c r="K293" i="232"/>
  <c r="G293" i="232"/>
  <c r="L293" i="232" s="1"/>
  <c r="F293" i="232"/>
  <c r="H293" i="232" s="1"/>
  <c r="L292" i="232"/>
  <c r="K292" i="232"/>
  <c r="M292" i="232" s="1"/>
  <c r="G292" i="232"/>
  <c r="F292" i="232"/>
  <c r="H292" i="232" s="1"/>
  <c r="G291" i="232"/>
  <c r="L291" i="232" s="1"/>
  <c r="M290" i="232"/>
  <c r="K290" i="232"/>
  <c r="G290" i="232"/>
  <c r="L290" i="232" s="1"/>
  <c r="F290" i="232"/>
  <c r="H290" i="232" s="1"/>
  <c r="L289" i="232"/>
  <c r="G289" i="232"/>
  <c r="K288" i="232"/>
  <c r="M288" i="232" s="1"/>
  <c r="G288" i="232"/>
  <c r="L288" i="232" s="1"/>
  <c r="F288" i="232"/>
  <c r="H288" i="232" s="1"/>
  <c r="G287" i="232"/>
  <c r="L287" i="232" s="1"/>
  <c r="K286" i="232"/>
  <c r="G286" i="232"/>
  <c r="L286" i="232" s="1"/>
  <c r="F286" i="232"/>
  <c r="G285" i="232"/>
  <c r="L285" i="232" s="1"/>
  <c r="L284" i="232"/>
  <c r="K284" i="232"/>
  <c r="M284" i="232" s="1"/>
  <c r="F284" i="232"/>
  <c r="H284" i="232" s="1"/>
  <c r="L283" i="232"/>
  <c r="G283" i="232"/>
  <c r="L282" i="232"/>
  <c r="G282" i="232"/>
  <c r="G281" i="232"/>
  <c r="L281" i="232" s="1"/>
  <c r="G280" i="232"/>
  <c r="L280" i="232" s="1"/>
  <c r="G279" i="232"/>
  <c r="L279" i="232" s="1"/>
  <c r="L278" i="232"/>
  <c r="K278" i="232"/>
  <c r="M278" i="232" s="1"/>
  <c r="G278" i="232"/>
  <c r="F278" i="232"/>
  <c r="H278" i="232" s="1"/>
  <c r="L277" i="232"/>
  <c r="G276" i="232"/>
  <c r="L276" i="232" s="1"/>
  <c r="L275" i="232"/>
  <c r="G275" i="232"/>
  <c r="G274" i="232"/>
  <c r="L274" i="232" s="1"/>
  <c r="G273" i="232"/>
  <c r="L273" i="232" s="1"/>
  <c r="G272" i="232"/>
  <c r="L272" i="232" s="1"/>
  <c r="L271" i="232"/>
  <c r="K271" i="232"/>
  <c r="M271" i="232" s="1"/>
  <c r="G271" i="232"/>
  <c r="F271" i="232"/>
  <c r="H271" i="232" s="1"/>
  <c r="K270" i="232"/>
  <c r="M270" i="232" s="1"/>
  <c r="G270" i="232"/>
  <c r="L270" i="232" s="1"/>
  <c r="F270" i="232"/>
  <c r="H270" i="232" s="1"/>
  <c r="L269" i="232"/>
  <c r="K269" i="232"/>
  <c r="M269" i="232" s="1"/>
  <c r="L268" i="232"/>
  <c r="G268" i="232"/>
  <c r="L267" i="232"/>
  <c r="F267" i="232"/>
  <c r="H267" i="232" s="1"/>
  <c r="L260" i="232"/>
  <c r="I259" i="232" a="1"/>
  <c r="I259" i="232" s="1"/>
  <c r="J259" i="232" s="1"/>
  <c r="U259" i="232" s="1"/>
  <c r="F259" i="232" a="1"/>
  <c r="F259" i="232" s="1"/>
  <c r="I258" i="232" a="1"/>
  <c r="I258" i="232" s="1"/>
  <c r="J258" i="232" s="1"/>
  <c r="U258" i="232" s="1"/>
  <c r="F258" i="232" a="1"/>
  <c r="F258" i="232" s="1"/>
  <c r="G258" i="232" s="1"/>
  <c r="T258" i="232" s="1"/>
  <c r="I257" i="232" a="1"/>
  <c r="I257" i="232" s="1"/>
  <c r="J257" i="232" s="1"/>
  <c r="U257" i="232" s="1"/>
  <c r="F257" i="232" a="1"/>
  <c r="F257" i="232" s="1"/>
  <c r="G257" i="232" s="1"/>
  <c r="T257" i="232" s="1"/>
  <c r="I256" i="232" a="1"/>
  <c r="I256" i="232" s="1"/>
  <c r="J256" i="232" s="1"/>
  <c r="U256" i="232" s="1"/>
  <c r="F256" i="232" a="1"/>
  <c r="F256" i="232" s="1"/>
  <c r="G256" i="232" s="1"/>
  <c r="T256" i="232" s="1"/>
  <c r="I255" i="232" a="1"/>
  <c r="I255" i="232" s="1"/>
  <c r="J255" i="232" s="1"/>
  <c r="U255" i="232" s="1"/>
  <c r="G255" i="232"/>
  <c r="T255" i="232" s="1"/>
  <c r="F255" i="232" a="1"/>
  <c r="F255" i="232" s="1"/>
  <c r="I254" i="232" a="1"/>
  <c r="I254" i="232" s="1"/>
  <c r="J254" i="232" s="1"/>
  <c r="U254" i="232" s="1"/>
  <c r="F254" i="232" a="1"/>
  <c r="F254" i="232" s="1"/>
  <c r="G254" i="232" s="1"/>
  <c r="T254" i="232" s="1"/>
  <c r="I253" i="232"/>
  <c r="J253" i="232" s="1"/>
  <c r="U253" i="232" s="1"/>
  <c r="I253" i="232" a="1"/>
  <c r="F253" i="232" a="1"/>
  <c r="F253" i="232" s="1"/>
  <c r="G253" i="232" s="1"/>
  <c r="T253" i="232" s="1"/>
  <c r="I252" i="232" a="1"/>
  <c r="I252" i="232" s="1"/>
  <c r="J252" i="232" s="1"/>
  <c r="U252" i="232" s="1"/>
  <c r="F252" i="232" a="1"/>
  <c r="F252" i="232" s="1"/>
  <c r="G252" i="232" s="1"/>
  <c r="T252" i="232" s="1"/>
  <c r="I251" i="232" a="1"/>
  <c r="I251" i="232" s="1"/>
  <c r="J251" i="232" s="1"/>
  <c r="U251" i="232" s="1"/>
  <c r="F251" i="232" a="1"/>
  <c r="F251" i="232" s="1"/>
  <c r="G251" i="232" s="1"/>
  <c r="T251" i="232" s="1"/>
  <c r="I250" i="232" a="1"/>
  <c r="I250" i="232" s="1"/>
  <c r="J250" i="232" s="1"/>
  <c r="U250" i="232" s="1"/>
  <c r="F250" i="232"/>
  <c r="G250" i="232" s="1"/>
  <c r="T250" i="232" s="1"/>
  <c r="F250" i="232" a="1"/>
  <c r="I249" i="232" a="1"/>
  <c r="I249" i="232" s="1"/>
  <c r="J249" i="232" s="1"/>
  <c r="U249" i="232" s="1"/>
  <c r="F249" i="232" a="1"/>
  <c r="F249" i="232" s="1"/>
  <c r="G249" i="232" s="1"/>
  <c r="T249" i="232" s="1"/>
  <c r="I248" i="232"/>
  <c r="J248" i="232" s="1"/>
  <c r="U248" i="232" s="1"/>
  <c r="I248" i="232" a="1"/>
  <c r="F248" i="232"/>
  <c r="G248" i="232" s="1"/>
  <c r="T248" i="232" s="1"/>
  <c r="F248" i="232" a="1"/>
  <c r="I247" i="232" a="1"/>
  <c r="I247" i="232" s="1"/>
  <c r="J247" i="232" s="1"/>
  <c r="U247" i="232" s="1"/>
  <c r="F247" i="232" a="1"/>
  <c r="F247" i="232" s="1"/>
  <c r="G247" i="232" s="1"/>
  <c r="T247" i="232" s="1"/>
  <c r="I246" i="232" a="1"/>
  <c r="I246" i="232" s="1"/>
  <c r="J246" i="232" s="1"/>
  <c r="U246" i="232" s="1"/>
  <c r="F246" i="232" a="1"/>
  <c r="F246" i="232" s="1"/>
  <c r="G246" i="232" s="1"/>
  <c r="T246" i="232" s="1"/>
  <c r="I245" i="232" a="1"/>
  <c r="I245" i="232" s="1"/>
  <c r="J245" i="232" s="1"/>
  <c r="U245" i="232" s="1"/>
  <c r="F245" i="232" a="1"/>
  <c r="F245" i="232" s="1"/>
  <c r="G245" i="232" s="1"/>
  <c r="T245" i="232" s="1"/>
  <c r="J244" i="232"/>
  <c r="U244" i="232" s="1"/>
  <c r="I244" i="232" a="1"/>
  <c r="I244" i="232" s="1"/>
  <c r="F244" i="232" a="1"/>
  <c r="F244" i="232" s="1"/>
  <c r="G244" i="232" s="1"/>
  <c r="T244" i="232" s="1"/>
  <c r="I243" i="232" a="1"/>
  <c r="I243" i="232" s="1"/>
  <c r="J243" i="232" s="1"/>
  <c r="U243" i="232" s="1"/>
  <c r="F243" i="232" a="1"/>
  <c r="F243" i="232" s="1"/>
  <c r="G243" i="232" s="1"/>
  <c r="T243" i="232" s="1"/>
  <c r="I242" i="232" a="1"/>
  <c r="I242" i="232" s="1"/>
  <c r="J242" i="232" s="1"/>
  <c r="F242" i="232" a="1"/>
  <c r="F242" i="232" s="1"/>
  <c r="G242" i="232" s="1"/>
  <c r="I241" i="232" a="1"/>
  <c r="I241" i="232" s="1"/>
  <c r="F241" i="232" a="1"/>
  <c r="F241" i="232" s="1"/>
  <c r="G241" i="232" s="1"/>
  <c r="T241" i="232" s="1"/>
  <c r="I240" i="232" a="1"/>
  <c r="I240" i="232" s="1"/>
  <c r="F240" i="232" a="1"/>
  <c r="F240" i="232" s="1"/>
  <c r="G240" i="232" s="1"/>
  <c r="T240" i="232" s="1"/>
  <c r="I239" i="232" a="1"/>
  <c r="I239" i="232" s="1"/>
  <c r="F239" i="232" a="1"/>
  <c r="F239" i="232" s="1"/>
  <c r="G239" i="232" s="1"/>
  <c r="T239" i="232" s="1"/>
  <c r="I238" i="232" a="1"/>
  <c r="I238" i="232" s="1"/>
  <c r="J238" i="232" s="1"/>
  <c r="U238" i="232" s="1"/>
  <c r="F238" i="232" a="1"/>
  <c r="F238" i="232" s="1"/>
  <c r="G238" i="232" s="1"/>
  <c r="T238" i="232" s="1"/>
  <c r="I237" i="232" a="1"/>
  <c r="I237" i="232" s="1"/>
  <c r="J237" i="232" s="1"/>
  <c r="U237" i="232" s="1"/>
  <c r="F237" i="232" a="1"/>
  <c r="F237" i="232" s="1"/>
  <c r="G237" i="232" s="1"/>
  <c r="T237" i="232" s="1"/>
  <c r="I236" i="232" a="1"/>
  <c r="I236" i="232" s="1"/>
  <c r="J236" i="232" s="1"/>
  <c r="U236" i="232" s="1"/>
  <c r="F236" i="232"/>
  <c r="G236" i="232" s="1"/>
  <c r="T236" i="232" s="1"/>
  <c r="F236" i="232" a="1"/>
  <c r="I235" i="232" a="1"/>
  <c r="I235" i="232" s="1"/>
  <c r="J235" i="232" s="1"/>
  <c r="U235" i="232" s="1"/>
  <c r="F235" i="232" a="1"/>
  <c r="F235" i="232" s="1"/>
  <c r="G235" i="232" s="1"/>
  <c r="T235" i="232" s="1"/>
  <c r="I234" i="232" a="1"/>
  <c r="I234" i="232" s="1"/>
  <c r="J234" i="232" s="1"/>
  <c r="U234" i="232" s="1"/>
  <c r="F234" i="232" a="1"/>
  <c r="F234" i="232" s="1"/>
  <c r="G234" i="232" s="1"/>
  <c r="T234" i="232" s="1"/>
  <c r="I233" i="232" a="1"/>
  <c r="I233" i="232" s="1"/>
  <c r="J233" i="232" s="1"/>
  <c r="U233" i="232" s="1"/>
  <c r="F233" i="232"/>
  <c r="G233" i="232" s="1"/>
  <c r="T233" i="232" s="1"/>
  <c r="F233" i="232" a="1"/>
  <c r="I232" i="232" a="1"/>
  <c r="I232" i="232" s="1"/>
  <c r="J232" i="232" s="1"/>
  <c r="U232" i="232" s="1"/>
  <c r="F232" i="232" a="1"/>
  <c r="F232" i="232" s="1"/>
  <c r="G232" i="232" s="1"/>
  <c r="T232" i="232" s="1"/>
  <c r="I231" i="232" a="1"/>
  <c r="I231" i="232" s="1"/>
  <c r="J231" i="232" s="1"/>
  <c r="U231" i="232" s="1"/>
  <c r="F231" i="232" a="1"/>
  <c r="F231" i="232" s="1"/>
  <c r="G231" i="232" s="1"/>
  <c r="T231" i="232" s="1"/>
  <c r="I230" i="232" a="1"/>
  <c r="I230" i="232" s="1"/>
  <c r="J230" i="232" s="1"/>
  <c r="U230" i="232" s="1"/>
  <c r="F230" i="232" a="1"/>
  <c r="F230" i="232" s="1"/>
  <c r="G230" i="232" s="1"/>
  <c r="T230" i="232" s="1"/>
  <c r="I229" i="232" a="1"/>
  <c r="I229" i="232" s="1"/>
  <c r="J229" i="232" s="1"/>
  <c r="U229" i="232" s="1"/>
  <c r="F229" i="232" a="1"/>
  <c r="F229" i="232" s="1"/>
  <c r="G229" i="232" s="1"/>
  <c r="T229" i="232" s="1"/>
  <c r="I228" i="232" a="1"/>
  <c r="I228" i="232" s="1"/>
  <c r="J228" i="232" s="1"/>
  <c r="U228" i="232" s="1"/>
  <c r="F228" i="232" a="1"/>
  <c r="F228" i="232" s="1"/>
  <c r="G228" i="232" s="1"/>
  <c r="T228" i="232" s="1"/>
  <c r="I227" i="232" a="1"/>
  <c r="I227" i="232" s="1"/>
  <c r="J227" i="232" s="1"/>
  <c r="U227" i="232" s="1"/>
  <c r="F227" i="232" a="1"/>
  <c r="F227" i="232" s="1"/>
  <c r="G227" i="232" s="1"/>
  <c r="T227" i="232" s="1"/>
  <c r="I226" i="232" a="1"/>
  <c r="I226" i="232" s="1"/>
  <c r="J226" i="232" s="1"/>
  <c r="U226" i="232" s="1"/>
  <c r="F226" i="232" a="1"/>
  <c r="F226" i="232" s="1"/>
  <c r="G226" i="232" s="1"/>
  <c r="T226" i="232" s="1"/>
  <c r="I225" i="232" a="1"/>
  <c r="I225" i="232" s="1"/>
  <c r="J225" i="232" s="1"/>
  <c r="F225" i="232" a="1"/>
  <c r="F225" i="232" s="1"/>
  <c r="G225" i="232" s="1"/>
  <c r="T225" i="232" s="1"/>
  <c r="I224" i="232" a="1"/>
  <c r="I224" i="232" s="1"/>
  <c r="J224" i="232" s="1"/>
  <c r="U224" i="232" s="1"/>
  <c r="F224" i="232" a="1"/>
  <c r="F224" i="232" s="1"/>
  <c r="G224" i="232" s="1"/>
  <c r="T224" i="232" s="1"/>
  <c r="I223" i="232" a="1"/>
  <c r="I223" i="232" s="1"/>
  <c r="J223" i="232" s="1"/>
  <c r="F223" i="232" a="1"/>
  <c r="F223" i="232" s="1"/>
  <c r="G223" i="232" s="1"/>
  <c r="T223" i="232" s="1"/>
  <c r="I222" i="232" a="1"/>
  <c r="I222" i="232" s="1"/>
  <c r="J222" i="232" s="1"/>
  <c r="U222" i="232" s="1"/>
  <c r="F222" i="232" a="1"/>
  <c r="F222" i="232" s="1"/>
  <c r="G222" i="232" s="1"/>
  <c r="T222" i="232" s="1"/>
  <c r="I221" i="232" a="1"/>
  <c r="I221" i="232" s="1"/>
  <c r="J221" i="232" s="1"/>
  <c r="U221" i="232" s="1"/>
  <c r="F221" i="232" a="1"/>
  <c r="F221" i="232" s="1"/>
  <c r="G221" i="232" s="1"/>
  <c r="T221" i="232" s="1"/>
  <c r="I220" i="232" a="1"/>
  <c r="I220" i="232" s="1"/>
  <c r="J220" i="232" s="1"/>
  <c r="U220" i="232" s="1"/>
  <c r="F220" i="232" a="1"/>
  <c r="F220" i="232" s="1"/>
  <c r="G220" i="232" s="1"/>
  <c r="T220" i="232" s="1"/>
  <c r="I219" i="232" a="1"/>
  <c r="I219" i="232" s="1"/>
  <c r="J219" i="232" s="1"/>
  <c r="U219" i="232" s="1"/>
  <c r="F219" i="232" a="1"/>
  <c r="F219" i="232" s="1"/>
  <c r="G219" i="232" s="1"/>
  <c r="T219" i="232" s="1"/>
  <c r="I218" i="232" a="1"/>
  <c r="I218" i="232" s="1"/>
  <c r="J218" i="232" s="1"/>
  <c r="U218" i="232" s="1"/>
  <c r="F218" i="232" a="1"/>
  <c r="F218" i="232" s="1"/>
  <c r="G218" i="232" s="1"/>
  <c r="T218" i="232" s="1"/>
  <c r="I217" i="232"/>
  <c r="J217" i="232" s="1"/>
  <c r="U217" i="232" s="1"/>
  <c r="I217" i="232" a="1"/>
  <c r="F217" i="232" a="1"/>
  <c r="F217" i="232" s="1"/>
  <c r="G217" i="232" s="1"/>
  <c r="T217" i="232" s="1"/>
  <c r="I216" i="232" a="1"/>
  <c r="I216" i="232" s="1"/>
  <c r="J216" i="232" s="1"/>
  <c r="U216" i="232" s="1"/>
  <c r="F216" i="232" a="1"/>
  <c r="F216" i="232" s="1"/>
  <c r="G216" i="232" s="1"/>
  <c r="T216" i="232" s="1"/>
  <c r="I215" i="232"/>
  <c r="J215" i="232" s="1"/>
  <c r="U215" i="232" s="1"/>
  <c r="I215" i="232" a="1"/>
  <c r="F215" i="232" a="1"/>
  <c r="F215" i="232" s="1"/>
  <c r="G215" i="232" s="1"/>
  <c r="T215" i="232" s="1"/>
  <c r="I214" i="232" a="1"/>
  <c r="I214" i="232" s="1"/>
  <c r="J214" i="232" s="1"/>
  <c r="U214" i="232" s="1"/>
  <c r="F214" i="232" a="1"/>
  <c r="F214" i="232" s="1"/>
  <c r="G214" i="232" s="1"/>
  <c r="T214" i="232" s="1"/>
  <c r="I213" i="232" a="1"/>
  <c r="I213" i="232" s="1"/>
  <c r="J213" i="232" s="1"/>
  <c r="U213" i="232" s="1"/>
  <c r="F213" i="232"/>
  <c r="G213" i="232" s="1"/>
  <c r="T213" i="232" s="1"/>
  <c r="F213" i="232" a="1"/>
  <c r="I212" i="232" a="1"/>
  <c r="I212" i="232" s="1"/>
  <c r="J212" i="232" s="1"/>
  <c r="U212" i="232" s="1"/>
  <c r="F212" i="232" a="1"/>
  <c r="F212" i="232" s="1"/>
  <c r="G212" i="232" s="1"/>
  <c r="T212" i="232" s="1"/>
  <c r="I211" i="232" a="1"/>
  <c r="I211" i="232" s="1"/>
  <c r="J211" i="232" s="1"/>
  <c r="U211" i="232" s="1"/>
  <c r="F211" i="232" a="1"/>
  <c r="F211" i="232" s="1"/>
  <c r="G211" i="232" s="1"/>
  <c r="T211" i="232" s="1"/>
  <c r="I210" i="232" a="1"/>
  <c r="I210" i="232" s="1"/>
  <c r="J210" i="232" s="1"/>
  <c r="U210" i="232" s="1"/>
  <c r="F210" i="232" a="1"/>
  <c r="F210" i="232" s="1"/>
  <c r="G210" i="232" s="1"/>
  <c r="T210" i="232" s="1"/>
  <c r="I209" i="232" a="1"/>
  <c r="I209" i="232" s="1"/>
  <c r="J209" i="232" s="1"/>
  <c r="U209" i="232" s="1"/>
  <c r="F209" i="232" a="1"/>
  <c r="F209" i="232" s="1"/>
  <c r="G209" i="232" s="1"/>
  <c r="T209" i="232" s="1"/>
  <c r="I208" i="232" a="1"/>
  <c r="I208" i="232" s="1"/>
  <c r="J208" i="232" s="1"/>
  <c r="U208" i="232" s="1"/>
  <c r="F208" i="232" a="1"/>
  <c r="F208" i="232" s="1"/>
  <c r="G208" i="232" s="1"/>
  <c r="I207" i="232" a="1"/>
  <c r="I207" i="232" s="1"/>
  <c r="J207" i="232" s="1"/>
  <c r="U207" i="232" s="1"/>
  <c r="F207" i="232" a="1"/>
  <c r="F207" i="232" s="1"/>
  <c r="G207" i="232" s="1"/>
  <c r="T207" i="232" s="1"/>
  <c r="I206" i="232" a="1"/>
  <c r="I206" i="232" s="1"/>
  <c r="J206" i="232" s="1"/>
  <c r="U206" i="232" s="1"/>
  <c r="F206" i="232" a="1"/>
  <c r="F206" i="232" s="1"/>
  <c r="G206" i="232" s="1"/>
  <c r="T206" i="232" s="1"/>
  <c r="I205" i="232" a="1"/>
  <c r="I205" i="232" s="1"/>
  <c r="J205" i="232" s="1"/>
  <c r="U205" i="232" s="1"/>
  <c r="F205" i="232" a="1"/>
  <c r="F205" i="232" s="1"/>
  <c r="G205" i="232" s="1"/>
  <c r="T205" i="232" s="1"/>
  <c r="I204" i="232" a="1"/>
  <c r="I204" i="232" s="1"/>
  <c r="J204" i="232" s="1"/>
  <c r="U204" i="232" s="1"/>
  <c r="F204" i="232" a="1"/>
  <c r="F204" i="232" s="1"/>
  <c r="G204" i="232" s="1"/>
  <c r="I203" i="232" a="1"/>
  <c r="I203" i="232" s="1"/>
  <c r="J203" i="232" s="1"/>
  <c r="U203" i="232" s="1"/>
  <c r="F203" i="232" a="1"/>
  <c r="F203" i="232" s="1"/>
  <c r="G203" i="232" s="1"/>
  <c r="T203" i="232" s="1"/>
  <c r="I202" i="232" a="1"/>
  <c r="I202" i="232" s="1"/>
  <c r="J202" i="232" s="1"/>
  <c r="U202" i="232" s="1"/>
  <c r="F202" i="232" a="1"/>
  <c r="F202" i="232" s="1"/>
  <c r="G202" i="232" s="1"/>
  <c r="T202" i="232" s="1"/>
  <c r="I201" i="232" a="1"/>
  <c r="I201" i="232" s="1"/>
  <c r="J201" i="232" s="1"/>
  <c r="U201" i="232" s="1"/>
  <c r="F201" i="232" a="1"/>
  <c r="F201" i="232" s="1"/>
  <c r="G201" i="232" s="1"/>
  <c r="T201" i="232" s="1"/>
  <c r="I200" i="232" a="1"/>
  <c r="I200" i="232" s="1"/>
  <c r="J200" i="232" s="1"/>
  <c r="U200" i="232" s="1"/>
  <c r="F200" i="232" a="1"/>
  <c r="F200" i="232" s="1"/>
  <c r="G200" i="232" s="1"/>
  <c r="T200" i="232" s="1"/>
  <c r="I199" i="232" a="1"/>
  <c r="I199" i="232" s="1"/>
  <c r="J199" i="232" s="1"/>
  <c r="U199" i="232" s="1"/>
  <c r="F199" i="232" a="1"/>
  <c r="F199" i="232" s="1"/>
  <c r="G199" i="232" s="1"/>
  <c r="T199" i="232" s="1"/>
  <c r="I198" i="232" a="1"/>
  <c r="I198" i="232" s="1"/>
  <c r="J198" i="232" s="1"/>
  <c r="U198" i="232" s="1"/>
  <c r="F198" i="232" a="1"/>
  <c r="F198" i="232" s="1"/>
  <c r="G198" i="232" s="1"/>
  <c r="T198" i="232" s="1"/>
  <c r="I197" i="232" a="1"/>
  <c r="I197" i="232" s="1"/>
  <c r="J197" i="232" s="1"/>
  <c r="U197" i="232" s="1"/>
  <c r="F197" i="232" a="1"/>
  <c r="F197" i="232" s="1"/>
  <c r="G197" i="232" s="1"/>
  <c r="T197" i="232" s="1"/>
  <c r="I196" i="232" a="1"/>
  <c r="I196" i="232" s="1"/>
  <c r="J196" i="232" s="1"/>
  <c r="U196" i="232" s="1"/>
  <c r="F196" i="232" a="1"/>
  <c r="F196" i="232" s="1"/>
  <c r="G196" i="232" s="1"/>
  <c r="I195" i="232" a="1"/>
  <c r="I195" i="232" s="1"/>
  <c r="J195" i="232" s="1"/>
  <c r="U195" i="232" s="1"/>
  <c r="F195" i="232" a="1"/>
  <c r="F195" i="232" s="1"/>
  <c r="G195" i="232" s="1"/>
  <c r="T195" i="232" s="1"/>
  <c r="I194" i="232" a="1"/>
  <c r="I194" i="232" s="1"/>
  <c r="J194" i="232" s="1"/>
  <c r="F194" i="232" a="1"/>
  <c r="F194" i="232" s="1"/>
  <c r="G194" i="232" s="1"/>
  <c r="I193" i="232" a="1"/>
  <c r="I193" i="232" s="1"/>
  <c r="J193" i="232" s="1"/>
  <c r="F193" i="232" a="1"/>
  <c r="F193" i="232" s="1"/>
  <c r="G193" i="232" s="1"/>
  <c r="I192" i="232" a="1"/>
  <c r="I192" i="232" s="1"/>
  <c r="J192" i="232" s="1"/>
  <c r="I191" i="232" a="1"/>
  <c r="I191" i="232" s="1"/>
  <c r="J191" i="232" s="1"/>
  <c r="U191" i="232" s="1"/>
  <c r="F191" i="232" a="1"/>
  <c r="F191" i="232" s="1"/>
  <c r="G191" i="232" s="1"/>
  <c r="T191" i="232" s="1"/>
  <c r="I190" i="232" a="1"/>
  <c r="I190" i="232" s="1"/>
  <c r="J190" i="232" s="1"/>
  <c r="K287" i="232" s="1"/>
  <c r="M287" i="232" s="1"/>
  <c r="F190" i="232" a="1"/>
  <c r="F190" i="232" s="1"/>
  <c r="G190" i="232" s="1"/>
  <c r="F287" i="232" s="1"/>
  <c r="H287" i="232" s="1"/>
  <c r="F189" i="232" a="1"/>
  <c r="F189" i="232" s="1"/>
  <c r="G189" i="232" s="1"/>
  <c r="I189" i="232" a="1"/>
  <c r="I189" i="232" s="1"/>
  <c r="J189" i="232" s="1"/>
  <c r="I188" i="232" a="1"/>
  <c r="I188" i="232" s="1"/>
  <c r="J188" i="232" s="1"/>
  <c r="I187" i="232" a="1"/>
  <c r="I187" i="232" s="1"/>
  <c r="J187" i="232" s="1"/>
  <c r="K289" i="232" s="1"/>
  <c r="M289" i="232" s="1"/>
  <c r="F187" i="232" a="1"/>
  <c r="F187" i="232" s="1"/>
  <c r="G187" i="232" s="1"/>
  <c r="F289" i="232" s="1"/>
  <c r="H289" i="232" s="1"/>
  <c r="I186" i="232" a="1"/>
  <c r="I186" i="232" s="1"/>
  <c r="J186" i="232" s="1"/>
  <c r="F186" i="232" a="1"/>
  <c r="F186" i="232" s="1"/>
  <c r="G186" i="232" s="1"/>
  <c r="J185" i="232"/>
  <c r="I185" i="232" a="1"/>
  <c r="I185" i="232" s="1"/>
  <c r="F185" i="232" a="1"/>
  <c r="F185" i="232" s="1"/>
  <c r="L183" i="232"/>
  <c r="I182" i="232"/>
  <c r="I182" i="232" a="1"/>
  <c r="F182" i="232" a="1"/>
  <c r="F182" i="232" s="1"/>
  <c r="G182" i="232" s="1"/>
  <c r="I181" i="232" a="1"/>
  <c r="I181" i="232" s="1"/>
  <c r="F181" i="232" a="1"/>
  <c r="F181" i="232" s="1"/>
  <c r="G181" i="232" s="1"/>
  <c r="T181" i="232" s="1"/>
  <c r="I180" i="232"/>
  <c r="I180" i="232" a="1"/>
  <c r="F180" i="232" a="1"/>
  <c r="F180" i="232" s="1"/>
  <c r="G180" i="232" s="1"/>
  <c r="T180" i="232" s="1"/>
  <c r="I179" i="232"/>
  <c r="I179" i="232" a="1"/>
  <c r="F179" i="232" a="1"/>
  <c r="F179" i="232" s="1"/>
  <c r="G179" i="232" s="1"/>
  <c r="T179" i="232" s="1"/>
  <c r="I178" i="232"/>
  <c r="I178" i="232" a="1"/>
  <c r="F178" i="232" a="1"/>
  <c r="F178" i="232" s="1"/>
  <c r="G178" i="232" s="1"/>
  <c r="I177" i="232" a="1"/>
  <c r="I177" i="232" s="1"/>
  <c r="F177" i="232" a="1"/>
  <c r="F177" i="232" s="1"/>
  <c r="G177" i="232" s="1"/>
  <c r="T177" i="232" s="1"/>
  <c r="I176" i="232" a="1"/>
  <c r="I176" i="232" s="1"/>
  <c r="F176" i="232" a="1"/>
  <c r="F176" i="232" s="1"/>
  <c r="G176" i="232" s="1"/>
  <c r="T176" i="232" s="1"/>
  <c r="I175" i="232" a="1"/>
  <c r="I175" i="232" s="1"/>
  <c r="F175" i="232" a="1"/>
  <c r="F175" i="232" s="1"/>
  <c r="G175" i="232" s="1"/>
  <c r="T175" i="232" s="1"/>
  <c r="I174" i="232" a="1"/>
  <c r="I174" i="232" s="1"/>
  <c r="F174" i="232" a="1"/>
  <c r="F174" i="232" s="1"/>
  <c r="G174" i="232" s="1"/>
  <c r="I173" i="232"/>
  <c r="I173" i="232" a="1"/>
  <c r="F173" i="232" a="1"/>
  <c r="F173" i="232" s="1"/>
  <c r="G173" i="232" s="1"/>
  <c r="T173" i="232" s="1"/>
  <c r="I172" i="232" a="1"/>
  <c r="I172" i="232" s="1"/>
  <c r="F172" i="232" a="1"/>
  <c r="F172" i="232" s="1"/>
  <c r="G172" i="232" s="1"/>
  <c r="T172" i="232" s="1"/>
  <c r="I171" i="232" a="1"/>
  <c r="F171" i="232" a="1"/>
  <c r="F171" i="232" s="1"/>
  <c r="G171" i="232" s="1"/>
  <c r="I171" i="232"/>
  <c r="I170" i="232" a="1"/>
  <c r="I170" i="232" s="1"/>
  <c r="F170" i="232" a="1"/>
  <c r="F170" i="232" s="1"/>
  <c r="G170" i="232" s="1"/>
  <c r="I169" i="232" a="1"/>
  <c r="I169" i="232" s="1"/>
  <c r="F169" i="232" a="1"/>
  <c r="F169" i="232" s="1"/>
  <c r="G169" i="232" s="1"/>
  <c r="T169" i="232" s="1"/>
  <c r="I168" i="232"/>
  <c r="I168" i="232" a="1"/>
  <c r="F168" i="232" a="1"/>
  <c r="F168" i="232" s="1"/>
  <c r="G168" i="232" s="1"/>
  <c r="T168" i="232" s="1"/>
  <c r="I167" i="232" a="1"/>
  <c r="I167" i="232" s="1"/>
  <c r="F167" i="232" a="1"/>
  <c r="F167" i="232" s="1"/>
  <c r="G167" i="232" s="1"/>
  <c r="T167" i="232" s="1"/>
  <c r="I166" i="232" a="1"/>
  <c r="I166" i="232" s="1"/>
  <c r="F166" i="232" a="1"/>
  <c r="F166" i="232" s="1"/>
  <c r="G166" i="232" s="1"/>
  <c r="T166" i="232" s="1"/>
  <c r="I165" i="232" a="1"/>
  <c r="I165" i="232" s="1"/>
  <c r="F165" i="232" a="1"/>
  <c r="F165" i="232" s="1"/>
  <c r="G165" i="232" s="1"/>
  <c r="T165" i="232" s="1"/>
  <c r="I164" i="232" a="1"/>
  <c r="I164" i="232" s="1"/>
  <c r="F164" i="232" a="1"/>
  <c r="F164" i="232" s="1"/>
  <c r="G164" i="232" s="1"/>
  <c r="T164" i="232" s="1"/>
  <c r="I163" i="232" a="1"/>
  <c r="I163" i="232" s="1"/>
  <c r="F163" i="232" a="1"/>
  <c r="F163" i="232" s="1"/>
  <c r="G163" i="232" s="1"/>
  <c r="T163" i="232" s="1"/>
  <c r="I162" i="232" a="1"/>
  <c r="I162" i="232" s="1"/>
  <c r="F162" i="232" a="1"/>
  <c r="F162" i="232" s="1"/>
  <c r="G162" i="232" s="1"/>
  <c r="I161" i="232" a="1"/>
  <c r="I161" i="232" s="1"/>
  <c r="F161" i="232" a="1"/>
  <c r="F161" i="232" s="1"/>
  <c r="G161" i="232" s="1"/>
  <c r="T161" i="232" s="1"/>
  <c r="I160" i="232" a="1"/>
  <c r="I160" i="232" s="1"/>
  <c r="F160" i="232" a="1"/>
  <c r="F160" i="232" s="1"/>
  <c r="G160" i="232" s="1"/>
  <c r="T160" i="232" s="1"/>
  <c r="I159" i="232"/>
  <c r="I159" i="232" a="1"/>
  <c r="F159" i="232" a="1"/>
  <c r="F159" i="232" s="1"/>
  <c r="G159" i="232" s="1"/>
  <c r="T159" i="232" s="1"/>
  <c r="I158" i="232" a="1"/>
  <c r="I158" i="232" s="1"/>
  <c r="F158" i="232" a="1"/>
  <c r="F158" i="232" s="1"/>
  <c r="G158" i="232" s="1"/>
  <c r="I157" i="232" a="1"/>
  <c r="I157" i="232" s="1"/>
  <c r="F157" i="232" a="1"/>
  <c r="F157" i="232" s="1"/>
  <c r="G157" i="232" s="1"/>
  <c r="T157" i="232" s="1"/>
  <c r="I156" i="232" a="1"/>
  <c r="I156" i="232" s="1"/>
  <c r="J156" i="232" s="1"/>
  <c r="U156" i="232" s="1"/>
  <c r="F156" i="232" a="1"/>
  <c r="F156" i="232" s="1"/>
  <c r="G156" i="232" s="1"/>
  <c r="T156" i="232" s="1"/>
  <c r="I155" i="232" a="1"/>
  <c r="I155" i="232" s="1"/>
  <c r="J155" i="232" s="1"/>
  <c r="F155" i="232" a="1"/>
  <c r="F155" i="232" s="1"/>
  <c r="G155" i="232" s="1"/>
  <c r="I154" i="232" a="1"/>
  <c r="I154" i="232" s="1"/>
  <c r="J154" i="232" s="1"/>
  <c r="U154" i="232" s="1"/>
  <c r="F154" i="232" a="1"/>
  <c r="F154" i="232" s="1"/>
  <c r="G154" i="232" s="1"/>
  <c r="I153" i="232" a="1"/>
  <c r="I153" i="232" s="1"/>
  <c r="J153" i="232" s="1"/>
  <c r="U153" i="232" s="1"/>
  <c r="F153" i="232" a="1"/>
  <c r="F153" i="232" s="1"/>
  <c r="G153" i="232" s="1"/>
  <c r="T153" i="232" s="1"/>
  <c r="I152" i="232" a="1"/>
  <c r="I152" i="232" s="1"/>
  <c r="J152" i="232" s="1"/>
  <c r="U152" i="232" s="1"/>
  <c r="F152" i="232"/>
  <c r="G152" i="232" s="1"/>
  <c r="T152" i="232" s="1"/>
  <c r="F152" i="232" a="1"/>
  <c r="I151" i="232" a="1"/>
  <c r="I151" i="232" s="1"/>
  <c r="J151" i="232" s="1"/>
  <c r="U151" i="232" s="1"/>
  <c r="F151" i="232" a="1"/>
  <c r="F151" i="232" s="1"/>
  <c r="G151" i="232" s="1"/>
  <c r="T151" i="232" s="1"/>
  <c r="I150" i="232" a="1"/>
  <c r="I150" i="232" s="1"/>
  <c r="F150" i="232"/>
  <c r="G150" i="232" s="1"/>
  <c r="F150" i="232" a="1"/>
  <c r="I149" i="232"/>
  <c r="J149" i="232" s="1"/>
  <c r="U149" i="232" s="1"/>
  <c r="I149" i="232" a="1"/>
  <c r="F149" i="232" a="1"/>
  <c r="F149" i="232" s="1"/>
  <c r="F148" i="232" a="1"/>
  <c r="F148" i="232" s="1"/>
  <c r="G148" i="232" s="1"/>
  <c r="I148" i="232" a="1"/>
  <c r="I148" i="232" s="1"/>
  <c r="J148" i="232" s="1"/>
  <c r="I147" i="232" a="1"/>
  <c r="I147" i="232" s="1"/>
  <c r="J147" i="232" s="1"/>
  <c r="U147" i="232" s="1"/>
  <c r="F147" i="232" a="1"/>
  <c r="F147" i="232" s="1"/>
  <c r="G147" i="232" s="1"/>
  <c r="T147" i="232" s="1"/>
  <c r="I146" i="232" a="1"/>
  <c r="I146" i="232" s="1"/>
  <c r="J146" i="232" s="1"/>
  <c r="U146" i="232" s="1"/>
  <c r="F146" i="232" a="1"/>
  <c r="F146" i="232" s="1"/>
  <c r="G146" i="232" s="1"/>
  <c r="T146" i="232" s="1"/>
  <c r="I145" i="232" a="1"/>
  <c r="I145" i="232" s="1"/>
  <c r="J145" i="232" s="1"/>
  <c r="U145" i="232" s="1"/>
  <c r="F145" i="232" a="1"/>
  <c r="F145" i="232" s="1"/>
  <c r="G145" i="232" s="1"/>
  <c r="T145" i="232" s="1"/>
  <c r="I144" i="232" a="1"/>
  <c r="I144" i="232" s="1"/>
  <c r="J144" i="232" s="1"/>
  <c r="F144" i="232" a="1"/>
  <c r="F144" i="232" s="1"/>
  <c r="G144" i="232" s="1"/>
  <c r="I143" i="232" a="1"/>
  <c r="I143" i="232" s="1"/>
  <c r="J143" i="232" s="1"/>
  <c r="F143" i="232" a="1"/>
  <c r="F143" i="232" s="1"/>
  <c r="G143" i="232" s="1"/>
  <c r="I142" i="232" a="1"/>
  <c r="I142" i="232" s="1"/>
  <c r="J142" i="232" s="1"/>
  <c r="F142" i="232" a="1"/>
  <c r="F142" i="232" s="1"/>
  <c r="G142" i="232" s="1"/>
  <c r="I141" i="232" a="1"/>
  <c r="I141" i="232" s="1"/>
  <c r="F141" i="232" a="1"/>
  <c r="F141" i="232" s="1"/>
  <c r="G141" i="232" s="1"/>
  <c r="T141" i="232" s="1"/>
  <c r="I140" i="232" a="1"/>
  <c r="I140" i="232" s="1"/>
  <c r="F140" i="232"/>
  <c r="G140" i="232" s="1"/>
  <c r="T140" i="232" s="1"/>
  <c r="F140" i="232" a="1"/>
  <c r="I139" i="232" a="1"/>
  <c r="I139" i="232" s="1"/>
  <c r="J139" i="232" s="1"/>
  <c r="F139" i="232" a="1"/>
  <c r="F139" i="232" s="1"/>
  <c r="G139" i="232"/>
  <c r="I138" i="232" a="1"/>
  <c r="I138" i="232" s="1"/>
  <c r="J138" i="232" s="1"/>
  <c r="U138" i="232" s="1"/>
  <c r="F138" i="232" a="1"/>
  <c r="F138" i="232" s="1"/>
  <c r="G138" i="232" s="1"/>
  <c r="I137" i="232" a="1"/>
  <c r="I137" i="232" s="1"/>
  <c r="F137" i="232" a="1"/>
  <c r="F137" i="232" s="1"/>
  <c r="G137" i="232" s="1"/>
  <c r="T137" i="232" s="1"/>
  <c r="I136" i="232" a="1"/>
  <c r="I136" i="232" s="1"/>
  <c r="F136" i="232" a="1"/>
  <c r="F136" i="232" s="1"/>
  <c r="G136" i="232" s="1"/>
  <c r="T136" i="232" s="1"/>
  <c r="I135" i="232" a="1"/>
  <c r="I135" i="232" s="1"/>
  <c r="J135" i="232" s="1"/>
  <c r="U135" i="232" s="1"/>
  <c r="F135" i="232" a="1"/>
  <c r="F135" i="232" s="1"/>
  <c r="G135" i="232" s="1"/>
  <c r="T135" i="232" s="1"/>
  <c r="I134" i="232" a="1"/>
  <c r="I134" i="232" s="1"/>
  <c r="F134" i="232" a="1"/>
  <c r="F134" i="232" s="1"/>
  <c r="G134" i="232" s="1"/>
  <c r="I133" i="232" a="1"/>
  <c r="I133" i="232" s="1"/>
  <c r="F133" i="232" a="1"/>
  <c r="F133" i="232" s="1"/>
  <c r="G133" i="232" s="1"/>
  <c r="I132" i="232" a="1"/>
  <c r="F132" i="232" a="1"/>
  <c r="F132" i="232" s="1"/>
  <c r="G132" i="232" s="1"/>
  <c r="I132" i="232"/>
  <c r="I131" i="232" a="1"/>
  <c r="I131" i="232" s="1"/>
  <c r="F131" i="232" a="1"/>
  <c r="F131" i="232" s="1"/>
  <c r="G131" i="232" s="1"/>
  <c r="I130" i="232" a="1"/>
  <c r="I130" i="232" s="1"/>
  <c r="I129" i="232" a="1"/>
  <c r="F129" i="232" a="1"/>
  <c r="F129" i="232" s="1"/>
  <c r="G129" i="232" s="1"/>
  <c r="I129" i="232"/>
  <c r="I128" i="232" a="1"/>
  <c r="I128" i="232" s="1"/>
  <c r="J128" i="232" s="1"/>
  <c r="F128" i="232" a="1"/>
  <c r="F128" i="232" s="1"/>
  <c r="G128" i="232" s="1"/>
  <c r="I127" i="232" a="1"/>
  <c r="I127" i="232" s="1"/>
  <c r="J127" i="232" s="1"/>
  <c r="F127" i="232" a="1"/>
  <c r="F127" i="232" s="1"/>
  <c r="G127" i="232" s="1"/>
  <c r="I126" i="232" a="1"/>
  <c r="I126" i="232" s="1"/>
  <c r="J126" i="232" s="1"/>
  <c r="I125" i="232" a="1"/>
  <c r="I125" i="232" s="1"/>
  <c r="J125" i="232" s="1"/>
  <c r="F125" i="232" a="1"/>
  <c r="F125" i="232" s="1"/>
  <c r="G125" i="232" s="1"/>
  <c r="I124" i="232" a="1"/>
  <c r="I124" i="232" s="1"/>
  <c r="J124" i="232" s="1"/>
  <c r="F124" i="232" a="1"/>
  <c r="F124" i="232" s="1"/>
  <c r="G124" i="232" s="1"/>
  <c r="I123" i="232" a="1"/>
  <c r="I123" i="232" s="1"/>
  <c r="J123" i="232" s="1"/>
  <c r="U123" i="232" s="1"/>
  <c r="F123" i="232"/>
  <c r="G123" i="232" s="1"/>
  <c r="T123" i="232" s="1"/>
  <c r="F123" i="232" a="1"/>
  <c r="I122" i="232" a="1"/>
  <c r="I122" i="232" s="1"/>
  <c r="F122" i="232" a="1"/>
  <c r="F122" i="232" s="1"/>
  <c r="G122" i="232" s="1"/>
  <c r="T122" i="232" s="1"/>
  <c r="I121" i="232" a="1"/>
  <c r="I121" i="232" s="1"/>
  <c r="J121" i="232" s="1"/>
  <c r="U121" i="232" s="1"/>
  <c r="F121" i="232" a="1"/>
  <c r="F121" i="232" s="1"/>
  <c r="G121" i="232" s="1"/>
  <c r="T121" i="232" s="1"/>
  <c r="I120" i="232" a="1"/>
  <c r="I120" i="232" s="1"/>
  <c r="F120" i="232" a="1"/>
  <c r="F120" i="232" s="1"/>
  <c r="G120" i="232" s="1"/>
  <c r="F269" i="232" s="1"/>
  <c r="H269" i="232" s="1"/>
  <c r="I119" i="232" a="1"/>
  <c r="I119" i="232" s="1"/>
  <c r="J119" i="232" s="1"/>
  <c r="F119" i="232" a="1"/>
  <c r="F119" i="232" s="1"/>
  <c r="G119" i="232" s="1"/>
  <c r="I118" i="232" a="1"/>
  <c r="I118" i="232" s="1"/>
  <c r="J118" i="232" s="1"/>
  <c r="U118" i="232" s="1"/>
  <c r="F118" i="232"/>
  <c r="G118" i="232" s="1"/>
  <c r="T118" i="232" s="1"/>
  <c r="F118" i="232" a="1"/>
  <c r="I117" i="232" a="1"/>
  <c r="I117" i="232" s="1"/>
  <c r="J117" i="232" s="1"/>
  <c r="F117" i="232" a="1"/>
  <c r="F117" i="232" s="1"/>
  <c r="G117" i="232" s="1"/>
  <c r="I116" i="232" a="1"/>
  <c r="I116" i="232" s="1"/>
  <c r="G116" i="232"/>
  <c r="T116" i="232" s="1"/>
  <c r="F116" i="232" a="1"/>
  <c r="F116" i="232" s="1"/>
  <c r="I115" i="232" a="1"/>
  <c r="I115" i="232" s="1"/>
  <c r="J115" i="232" s="1"/>
  <c r="F115" i="232" a="1"/>
  <c r="F115" i="232" s="1"/>
  <c r="G115" i="232" s="1"/>
  <c r="I114" i="232" a="1"/>
  <c r="I114" i="232" s="1"/>
  <c r="J114" i="232" s="1"/>
  <c r="U114" i="232" s="1"/>
  <c r="F114" i="232" a="1"/>
  <c r="F114" i="232" s="1"/>
  <c r="G114" i="232" s="1"/>
  <c r="I113" i="232" a="1"/>
  <c r="I113" i="232" s="1"/>
  <c r="J113" i="232" s="1"/>
  <c r="U113" i="232" s="1"/>
  <c r="F113" i="232" a="1"/>
  <c r="F113" i="232" s="1"/>
  <c r="G113" i="232" s="1"/>
  <c r="T113" i="232" s="1"/>
  <c r="I112" i="232"/>
  <c r="J112" i="232" s="1"/>
  <c r="U112" i="232" s="1"/>
  <c r="I112" i="232" a="1"/>
  <c r="F112" i="232" a="1"/>
  <c r="F112" i="232" s="1"/>
  <c r="G112" i="232" s="1"/>
  <c r="T112" i="232" s="1"/>
  <c r="I111" i="232"/>
  <c r="J111" i="232" s="1"/>
  <c r="U111" i="232" s="1"/>
  <c r="I111" i="232" a="1"/>
  <c r="F111" i="232"/>
  <c r="G111" i="232" s="1"/>
  <c r="T111" i="232" s="1"/>
  <c r="F111" i="232" a="1"/>
  <c r="I110" i="232" a="1"/>
  <c r="I110" i="232" s="1"/>
  <c r="F110" i="232" a="1"/>
  <c r="F110" i="232" s="1"/>
  <c r="G110" i="232" s="1"/>
  <c r="I109" i="232" a="1"/>
  <c r="I109" i="232" s="1"/>
  <c r="J109" i="232" s="1"/>
  <c r="F109" i="232" a="1"/>
  <c r="F109" i="232" s="1"/>
  <c r="G109" i="232" s="1"/>
  <c r="I108" i="232" a="1"/>
  <c r="I108" i="232" s="1"/>
  <c r="F108" i="232" a="1"/>
  <c r="F108" i="232" s="1"/>
  <c r="G108" i="232" s="1"/>
  <c r="T108" i="232" s="1"/>
  <c r="I107" i="232" a="1"/>
  <c r="I107" i="232" s="1"/>
  <c r="F107" i="232" a="1"/>
  <c r="F107" i="232" s="1"/>
  <c r="G107" i="232" s="1"/>
  <c r="T107" i="232" s="1"/>
  <c r="I106" i="232" a="1"/>
  <c r="I106" i="232" s="1"/>
  <c r="J106" i="232" s="1"/>
  <c r="F105" i="232" a="1"/>
  <c r="F105" i="232" s="1"/>
  <c r="G105" i="232" s="1"/>
  <c r="I105" i="232" a="1"/>
  <c r="I105" i="232" s="1"/>
  <c r="F104" i="232" a="1"/>
  <c r="F104" i="232" s="1"/>
  <c r="G104" i="232" s="1"/>
  <c r="I104" i="232" a="1"/>
  <c r="I104" i="232" s="1"/>
  <c r="I103" i="232" a="1"/>
  <c r="I103" i="232" s="1"/>
  <c r="J103" i="232" s="1"/>
  <c r="U103" i="232" s="1"/>
  <c r="F103" i="232" a="1"/>
  <c r="F103" i="232" s="1"/>
  <c r="G103" i="232" s="1"/>
  <c r="T103" i="232" s="1"/>
  <c r="I102" i="232" a="1"/>
  <c r="I102" i="232" s="1"/>
  <c r="J102" i="232" s="1"/>
  <c r="U102" i="232" s="1"/>
  <c r="F102" i="232" a="1"/>
  <c r="F102" i="232" s="1"/>
  <c r="G102" i="232" s="1"/>
  <c r="I101" i="232" a="1"/>
  <c r="I101" i="232" s="1"/>
  <c r="J101" i="232" s="1"/>
  <c r="F101" i="232" a="1"/>
  <c r="F101" i="232" s="1"/>
  <c r="I100" i="232" a="1"/>
  <c r="I100" i="232" s="1"/>
  <c r="J100" i="232" s="1"/>
  <c r="K277" i="232" s="1"/>
  <c r="M277" i="232" s="1"/>
  <c r="F100" i="232" a="1"/>
  <c r="F100" i="232"/>
  <c r="I99" i="232" a="1"/>
  <c r="I99" i="232" s="1"/>
  <c r="J99" i="232" s="1"/>
  <c r="U99" i="232" s="1"/>
  <c r="F99" i="232" a="1"/>
  <c r="F99" i="232" s="1"/>
  <c r="G99" i="232" s="1"/>
  <c r="T99" i="232" s="1"/>
  <c r="I98" i="232" a="1"/>
  <c r="I98" i="232" s="1"/>
  <c r="F98" i="232" a="1"/>
  <c r="F98" i="232" s="1"/>
  <c r="G98" i="232" s="1"/>
  <c r="I97" i="232" a="1"/>
  <c r="I97" i="232" s="1"/>
  <c r="J97" i="232" s="1"/>
  <c r="U97" i="232" s="1"/>
  <c r="F97" i="232" a="1"/>
  <c r="F97" i="232" s="1"/>
  <c r="G97" i="232" s="1"/>
  <c r="T97" i="232" s="1"/>
  <c r="I96" i="232" a="1"/>
  <c r="I96" i="232" s="1"/>
  <c r="F96" i="232" a="1"/>
  <c r="F96" i="232" s="1"/>
  <c r="G96" i="232" s="1"/>
  <c r="I95" i="232" a="1"/>
  <c r="I95" i="232" s="1"/>
  <c r="J95" i="232" s="1"/>
  <c r="F95" i="232" a="1"/>
  <c r="F95" i="232" s="1"/>
  <c r="G95" i="232" s="1"/>
  <c r="F94" i="232" a="1"/>
  <c r="F94" i="232" s="1"/>
  <c r="G94" i="232" s="1"/>
  <c r="I94" i="232" a="1"/>
  <c r="I94" i="232" s="1"/>
  <c r="J94" i="232" s="1"/>
  <c r="I93" i="232" a="1"/>
  <c r="I93" i="232" s="1"/>
  <c r="J93" i="232" s="1"/>
  <c r="F93" i="232" a="1"/>
  <c r="F93" i="232" s="1"/>
  <c r="G93" i="232" s="1"/>
  <c r="I92" i="232" a="1"/>
  <c r="I92" i="232" s="1"/>
  <c r="J92" i="232" s="1"/>
  <c r="U92" i="232" s="1"/>
  <c r="F92" i="232" a="1"/>
  <c r="F92" i="232" s="1"/>
  <c r="I91" i="232" a="1"/>
  <c r="I91" i="232" s="1"/>
  <c r="J91" i="232" s="1"/>
  <c r="U91" i="232" s="1"/>
  <c r="F91" i="232" a="1"/>
  <c r="F91" i="232" s="1"/>
  <c r="I90" i="232" a="1"/>
  <c r="I90" i="232" s="1"/>
  <c r="J90" i="232" s="1"/>
  <c r="I89" i="232" a="1"/>
  <c r="I89" i="232" s="1"/>
  <c r="J89" i="232" s="1"/>
  <c r="F89" i="232" a="1"/>
  <c r="F89" i="232" s="1"/>
  <c r="G89" i="232" s="1"/>
  <c r="I88" i="232" a="1"/>
  <c r="I88" i="232" s="1"/>
  <c r="J88" i="232" s="1"/>
  <c r="U88" i="232" s="1"/>
  <c r="F88" i="232" a="1"/>
  <c r="F88" i="232" s="1"/>
  <c r="G88" i="232" s="1"/>
  <c r="I87" i="232" a="1"/>
  <c r="I87" i="232" s="1"/>
  <c r="J87" i="232" s="1"/>
  <c r="U87" i="232" s="1"/>
  <c r="F87" i="232" a="1"/>
  <c r="F87" i="232" s="1"/>
  <c r="I86" i="232" a="1"/>
  <c r="I86" i="232" s="1"/>
  <c r="I85" i="232" a="1"/>
  <c r="I85" i="232" s="1"/>
  <c r="J85" i="232" s="1"/>
  <c r="F85" i="232" a="1"/>
  <c r="F85" i="232" s="1"/>
  <c r="G85" i="232" s="1"/>
  <c r="F84" i="232" a="1"/>
  <c r="F84" i="232" s="1"/>
  <c r="G84" i="232" s="1"/>
  <c r="I84" i="232" a="1"/>
  <c r="I84" i="232" s="1"/>
  <c r="J84" i="232" s="1"/>
  <c r="I83" i="232" a="1"/>
  <c r="I83" i="232" s="1"/>
  <c r="J83" i="232" s="1"/>
  <c r="F83" i="232" a="1"/>
  <c r="F83" i="232" s="1"/>
  <c r="G83" i="232" s="1"/>
  <c r="I82" i="232" a="1"/>
  <c r="I82" i="232" s="1"/>
  <c r="J82" i="232" s="1"/>
  <c r="U82" i="232" s="1"/>
  <c r="F82" i="232"/>
  <c r="G82" i="232" s="1"/>
  <c r="F82" i="232" a="1"/>
  <c r="I81" i="232" a="1"/>
  <c r="I81" i="232" s="1"/>
  <c r="J81" i="232" s="1"/>
  <c r="F81" i="232" a="1"/>
  <c r="F81" i="232" s="1"/>
  <c r="G81" i="232" s="1"/>
  <c r="I80" i="232" a="1"/>
  <c r="I80" i="232" s="1"/>
  <c r="J80" i="232" s="1"/>
  <c r="F80" i="232" a="1"/>
  <c r="F80" i="232" s="1"/>
  <c r="G80" i="232" s="1"/>
  <c r="I79" i="232" a="1"/>
  <c r="I79" i="232" s="1"/>
  <c r="J79" i="232" s="1"/>
  <c r="F79" i="232" a="1"/>
  <c r="F79" i="232" s="1"/>
  <c r="G79" i="232" s="1"/>
  <c r="I78" i="232" a="1"/>
  <c r="I78" i="232" s="1"/>
  <c r="J78" i="232" s="1"/>
  <c r="I77" i="232" a="1"/>
  <c r="I77" i="232" s="1"/>
  <c r="J77" i="232" s="1"/>
  <c r="F77" i="232" a="1"/>
  <c r="F77" i="232" s="1"/>
  <c r="G77" i="232" s="1"/>
  <c r="F76" i="232" a="1"/>
  <c r="F76" i="232" s="1"/>
  <c r="G76" i="232" s="1"/>
  <c r="I76" i="232" a="1"/>
  <c r="I76" i="232" s="1"/>
  <c r="J76" i="232" s="1"/>
  <c r="I75" i="232" a="1"/>
  <c r="I75" i="232" s="1"/>
  <c r="J75" i="232" s="1"/>
  <c r="F75" i="232" a="1"/>
  <c r="F75" i="232" s="1"/>
  <c r="G75" i="232" s="1"/>
  <c r="I74" i="232" a="1"/>
  <c r="I74" i="232" s="1"/>
  <c r="J74" i="232" s="1"/>
  <c r="F73" i="232" a="1"/>
  <c r="F73" i="232" s="1"/>
  <c r="G73" i="232" s="1"/>
  <c r="I73" i="232" a="1"/>
  <c r="I73" i="232" s="1"/>
  <c r="J73" i="232" s="1"/>
  <c r="I72" i="232" a="1"/>
  <c r="I72" i="232" s="1"/>
  <c r="J72" i="232" s="1"/>
  <c r="F72" i="232" a="1"/>
  <c r="F72" i="232" s="1"/>
  <c r="G72" i="232" s="1"/>
  <c r="I71" i="232" a="1"/>
  <c r="I71" i="232" s="1"/>
  <c r="J71" i="232" s="1"/>
  <c r="F71" i="232" a="1"/>
  <c r="F71" i="232" s="1"/>
  <c r="G71" i="232" s="1"/>
  <c r="I70" i="232" a="1"/>
  <c r="I70" i="232" s="1"/>
  <c r="J70" i="232" s="1"/>
  <c r="F70" i="232" a="1"/>
  <c r="F70" i="232" s="1"/>
  <c r="G70" i="232" s="1"/>
  <c r="I69" i="232" a="1"/>
  <c r="I69" i="232" s="1"/>
  <c r="J69" i="232" s="1"/>
  <c r="F69" i="232" a="1"/>
  <c r="F69" i="232" s="1"/>
  <c r="G69" i="232" s="1"/>
  <c r="I68" i="232" a="1"/>
  <c r="I68" i="232" s="1"/>
  <c r="J68" i="232" s="1"/>
  <c r="F68" i="232" a="1"/>
  <c r="F68" i="232" s="1"/>
  <c r="G68" i="232" s="1"/>
  <c r="I67" i="232" a="1"/>
  <c r="I67" i="232" s="1"/>
  <c r="J67" i="232" s="1"/>
  <c r="F67" i="232" a="1"/>
  <c r="F67" i="232" s="1"/>
  <c r="G67" i="232" s="1"/>
  <c r="I66" i="232" a="1"/>
  <c r="I66" i="232" s="1"/>
  <c r="J66" i="232" s="1"/>
  <c r="F66" i="232" a="1"/>
  <c r="F66" i="232" s="1"/>
  <c r="G66" i="232" s="1"/>
  <c r="I65" i="232" a="1"/>
  <c r="I65" i="232" s="1"/>
  <c r="J65" i="232" s="1"/>
  <c r="F65" i="232" a="1"/>
  <c r="F65" i="232" s="1"/>
  <c r="G65" i="232" s="1"/>
  <c r="I64" i="232" a="1"/>
  <c r="I64" i="232" s="1"/>
  <c r="J64" i="232" s="1"/>
  <c r="F64" i="232" a="1"/>
  <c r="F64" i="232" s="1"/>
  <c r="G64" i="232" s="1"/>
  <c r="I63" i="232" a="1"/>
  <c r="I63" i="232" s="1"/>
  <c r="J63" i="232" s="1"/>
  <c r="F63" i="232" a="1"/>
  <c r="F63" i="232" s="1"/>
  <c r="G63" i="232" s="1"/>
  <c r="I62" i="232" a="1"/>
  <c r="I62" i="232" s="1"/>
  <c r="J62" i="232" s="1"/>
  <c r="I61" i="232" a="1"/>
  <c r="I61" i="232" s="1"/>
  <c r="J61" i="232" s="1"/>
  <c r="F61" i="232"/>
  <c r="G61" i="232" s="1"/>
  <c r="F61" i="232" a="1"/>
  <c r="I60" i="232" a="1"/>
  <c r="I60" i="232" s="1"/>
  <c r="J60" i="232" s="1"/>
  <c r="F60" i="232" a="1"/>
  <c r="F60" i="232" s="1"/>
  <c r="G60" i="232" s="1"/>
  <c r="I59" i="232" a="1"/>
  <c r="I59" i="232" s="1"/>
  <c r="J59" i="232" s="1"/>
  <c r="F59" i="232"/>
  <c r="G59" i="232" s="1"/>
  <c r="F59" i="232" a="1"/>
  <c r="I58" i="232" a="1"/>
  <c r="I58" i="232" s="1"/>
  <c r="J58" i="232" s="1"/>
  <c r="I57" i="232" a="1"/>
  <c r="I57" i="232" s="1"/>
  <c r="J57" i="232" s="1"/>
  <c r="F57" i="232" a="1"/>
  <c r="F57" i="232" s="1"/>
  <c r="G57" i="232" s="1"/>
  <c r="F56" i="232" a="1"/>
  <c r="F56" i="232" s="1"/>
  <c r="G56" i="232" s="1"/>
  <c r="I56" i="232" a="1"/>
  <c r="I56" i="232" s="1"/>
  <c r="J56" i="232" s="1"/>
  <c r="F55" i="232" a="1"/>
  <c r="F55" i="232" s="1"/>
  <c r="G55" i="232" s="1"/>
  <c r="I55" i="232" a="1"/>
  <c r="I55" i="232" s="1"/>
  <c r="J55" i="232" s="1"/>
  <c r="I54" i="232" a="1"/>
  <c r="I54" i="232" s="1"/>
  <c r="J54" i="232" s="1"/>
  <c r="I53" i="232" a="1"/>
  <c r="I53" i="232" s="1"/>
  <c r="J53" i="232" s="1"/>
  <c r="F53" i="232" a="1"/>
  <c r="F53" i="232" s="1"/>
  <c r="G53" i="232" s="1"/>
  <c r="I52" i="232" a="1"/>
  <c r="I52" i="232" s="1"/>
  <c r="J52" i="232" s="1"/>
  <c r="F52" i="232" a="1"/>
  <c r="F52" i="232" s="1"/>
  <c r="G52" i="232" s="1"/>
  <c r="F51" i="232" a="1"/>
  <c r="F51" i="232" s="1"/>
  <c r="G51" i="232" s="1"/>
  <c r="I51" i="232"/>
  <c r="J51" i="232" s="1"/>
  <c r="I51" i="232" a="1"/>
  <c r="I50" i="232" a="1"/>
  <c r="I50" i="232" s="1"/>
  <c r="J50" i="232" s="1"/>
  <c r="I49" i="232" a="1"/>
  <c r="I49" i="232" s="1"/>
  <c r="J49" i="232" s="1"/>
  <c r="F49" i="232" a="1"/>
  <c r="F49" i="232" s="1"/>
  <c r="G49" i="232" s="1"/>
  <c r="I48" i="232" a="1"/>
  <c r="I48" i="232" s="1"/>
  <c r="J48" i="232" s="1"/>
  <c r="F48" i="232" a="1"/>
  <c r="F48" i="232" s="1"/>
  <c r="G48" i="232" s="1"/>
  <c r="I47" i="232" a="1"/>
  <c r="I47" i="232" s="1"/>
  <c r="J47" i="232" s="1"/>
  <c r="F47" i="232" a="1"/>
  <c r="F47" i="232" s="1"/>
  <c r="G47" i="232" s="1"/>
  <c r="I46" i="232" a="1"/>
  <c r="I46" i="232" s="1"/>
  <c r="F46" i="232" a="1"/>
  <c r="F46" i="232" s="1"/>
  <c r="G46" i="232" s="1"/>
  <c r="I45" i="232" a="1"/>
  <c r="I45" i="232" s="1"/>
  <c r="J45" i="232" s="1"/>
  <c r="F45" i="232" a="1"/>
  <c r="F45" i="232" s="1"/>
  <c r="G45" i="232" s="1"/>
  <c r="I44" i="232" a="1"/>
  <c r="I44" i="232" s="1"/>
  <c r="J44" i="232" s="1"/>
  <c r="F44" i="232" a="1"/>
  <c r="F44" i="232" s="1"/>
  <c r="G44" i="232"/>
  <c r="I43" i="232" a="1"/>
  <c r="I43" i="232" s="1"/>
  <c r="F43" i="232" a="1"/>
  <c r="F43" i="232" s="1"/>
  <c r="G43" i="232" s="1"/>
  <c r="T43" i="232" s="1"/>
  <c r="I42" i="232" a="1"/>
  <c r="I42" i="232" s="1"/>
  <c r="I41" i="232" a="1"/>
  <c r="I41" i="232" s="1"/>
  <c r="J41" i="232" s="1"/>
  <c r="F41" i="232" a="1"/>
  <c r="F41" i="232" s="1"/>
  <c r="G41" i="232" s="1"/>
  <c r="I40" i="232" a="1"/>
  <c r="I40" i="232" s="1"/>
  <c r="J40" i="232" s="1"/>
  <c r="F40" i="232" a="1"/>
  <c r="F40" i="232" s="1"/>
  <c r="G40" i="232" s="1"/>
  <c r="I39" i="232" a="1"/>
  <c r="I39" i="232" s="1"/>
  <c r="J39" i="232" s="1"/>
  <c r="K281" i="232" s="1"/>
  <c r="M281" i="232" s="1"/>
  <c r="F39" i="232" a="1"/>
  <c r="F39" i="232" s="1"/>
  <c r="G39" i="232" s="1"/>
  <c r="F281" i="232" s="1"/>
  <c r="H281" i="232" s="1"/>
  <c r="I38" i="232" a="1"/>
  <c r="I38" i="232" s="1"/>
  <c r="J38" i="232" s="1"/>
  <c r="K280" i="232" s="1"/>
  <c r="M280" i="232" s="1"/>
  <c r="I37" i="232" a="1"/>
  <c r="I37" i="232" s="1"/>
  <c r="J37" i="232" s="1"/>
  <c r="F37" i="232" a="1"/>
  <c r="F37" i="232" s="1"/>
  <c r="G37" i="232" s="1"/>
  <c r="I36" i="232" a="1"/>
  <c r="I36" i="232" s="1"/>
  <c r="J36" i="232" s="1"/>
  <c r="F36" i="232" a="1"/>
  <c r="F36" i="232" s="1"/>
  <c r="L34" i="232"/>
  <c r="G34" i="232"/>
  <c r="F34" i="232"/>
  <c r="I33" i="232" a="1"/>
  <c r="I33" i="232" s="1"/>
  <c r="I34" i="232" s="1"/>
  <c r="L31" i="232"/>
  <c r="L262" i="232" s="1"/>
  <c r="I30" i="232" a="1"/>
  <c r="I30" i="232" s="1"/>
  <c r="J30" i="232" s="1"/>
  <c r="U30" i="232" s="1"/>
  <c r="F30" i="232" a="1"/>
  <c r="F30" i="232" s="1"/>
  <c r="G30" i="232" s="1"/>
  <c r="T30" i="232" s="1"/>
  <c r="I29" i="232" a="1"/>
  <c r="I29" i="232" s="1"/>
  <c r="J29" i="232" s="1"/>
  <c r="U29" i="232" s="1"/>
  <c r="F29" i="232" a="1"/>
  <c r="F29" i="232" s="1"/>
  <c r="G29" i="232" s="1"/>
  <c r="T29" i="232" s="1"/>
  <c r="I28" i="232" a="1"/>
  <c r="I28" i="232" s="1"/>
  <c r="J28" i="232" s="1"/>
  <c r="U28" i="232" s="1"/>
  <c r="F28" i="232" a="1"/>
  <c r="F28" i="232" s="1"/>
  <c r="G28" i="232" s="1"/>
  <c r="T28" i="232" s="1"/>
  <c r="I27" i="232" a="1"/>
  <c r="I27" i="232" s="1"/>
  <c r="J27" i="232" s="1"/>
  <c r="U27" i="232" s="1"/>
  <c r="F27" i="232" a="1"/>
  <c r="F27" i="232" s="1"/>
  <c r="G27" i="232" s="1"/>
  <c r="T27" i="232" s="1"/>
  <c r="I26" i="232" a="1"/>
  <c r="I26" i="232" s="1"/>
  <c r="J26" i="232" s="1"/>
  <c r="U26" i="232" s="1"/>
  <c r="F26" i="232" a="1"/>
  <c r="F26" i="232" s="1"/>
  <c r="I25" i="232" a="1"/>
  <c r="I25" i="232" s="1"/>
  <c r="J25" i="232" s="1"/>
  <c r="U25" i="232" s="1"/>
  <c r="F25" i="232" a="1"/>
  <c r="F25" i="232" s="1"/>
  <c r="G25" i="232" s="1"/>
  <c r="T25" i="232" s="1"/>
  <c r="I24" i="232" a="1"/>
  <c r="I24" i="232" s="1"/>
  <c r="J24" i="232" s="1"/>
  <c r="U24" i="232" s="1"/>
  <c r="F24" i="232" a="1"/>
  <c r="F24" i="232" s="1"/>
  <c r="G24" i="232" s="1"/>
  <c r="T24" i="232" s="1"/>
  <c r="I23" i="232" a="1"/>
  <c r="I23" i="232" s="1"/>
  <c r="J23" i="232" s="1"/>
  <c r="U23" i="232" s="1"/>
  <c r="F23" i="232" a="1"/>
  <c r="F23" i="232" s="1"/>
  <c r="G23" i="232" s="1"/>
  <c r="T23" i="232" s="1"/>
  <c r="I22" i="232" a="1"/>
  <c r="I22" i="232" s="1"/>
  <c r="J22" i="232" s="1"/>
  <c r="U22" i="232" s="1"/>
  <c r="F22" i="232" a="1"/>
  <c r="F22" i="232" s="1"/>
  <c r="G22" i="232" s="1"/>
  <c r="T22" i="232" s="1"/>
  <c r="I21" i="232" a="1"/>
  <c r="I21" i="232" s="1"/>
  <c r="J21" i="232" s="1"/>
  <c r="U21" i="232" s="1"/>
  <c r="F21" i="232" a="1"/>
  <c r="F21" i="232" s="1"/>
  <c r="G21" i="232" s="1"/>
  <c r="T21" i="232" s="1"/>
  <c r="I20" i="232" a="1"/>
  <c r="I20" i="232" s="1"/>
  <c r="J20" i="232" s="1"/>
  <c r="U20" i="232" s="1"/>
  <c r="F20" i="232" a="1"/>
  <c r="F20" i="232" s="1"/>
  <c r="G20" i="232" s="1"/>
  <c r="T20" i="232" s="1"/>
  <c r="I19" i="232" a="1"/>
  <c r="I19" i="232" s="1"/>
  <c r="J19" i="232" s="1"/>
  <c r="U19" i="232" s="1"/>
  <c r="F19" i="232" a="1"/>
  <c r="F19" i="232" s="1"/>
  <c r="G19" i="232" s="1"/>
  <c r="T19" i="232" s="1"/>
  <c r="I18" i="232" a="1"/>
  <c r="I18" i="232" s="1"/>
  <c r="J18" i="232" s="1"/>
  <c r="U18" i="232" s="1"/>
  <c r="F18" i="232" a="1"/>
  <c r="F18" i="232" s="1"/>
  <c r="G18" i="232" s="1"/>
  <c r="I17" i="232" a="1"/>
  <c r="I17" i="232" s="1"/>
  <c r="J17" i="232" s="1"/>
  <c r="U17" i="232" s="1"/>
  <c r="F17" i="232" a="1"/>
  <c r="F17" i="232" s="1"/>
  <c r="G17" i="232" s="1"/>
  <c r="T17" i="232" s="1"/>
  <c r="I16" i="232" a="1"/>
  <c r="I16" i="232" s="1"/>
  <c r="J16" i="232" s="1"/>
  <c r="F16" i="232" a="1"/>
  <c r="F16" i="232" s="1"/>
  <c r="G16" i="232" s="1"/>
  <c r="I15" i="232" a="1"/>
  <c r="I15" i="232" s="1"/>
  <c r="J15" i="232" s="1"/>
  <c r="F15" i="232" a="1"/>
  <c r="F15" i="232" s="1"/>
  <c r="I14" i="232" a="1"/>
  <c r="I14" i="232" s="1"/>
  <c r="J14" i="232" s="1"/>
  <c r="I13" i="232" a="1"/>
  <c r="I13" i="232" s="1"/>
  <c r="J13" i="232" s="1"/>
  <c r="U13" i="232" s="1"/>
  <c r="F13" i="232" a="1"/>
  <c r="F13" i="232" s="1"/>
  <c r="G13" i="232" s="1"/>
  <c r="T13" i="232" s="1"/>
  <c r="I12" i="232" a="1"/>
  <c r="I12" i="232" s="1"/>
  <c r="J12" i="232" s="1"/>
  <c r="F12" i="232" a="1"/>
  <c r="F12" i="232" s="1"/>
  <c r="I11" i="232" a="1"/>
  <c r="I11" i="232" s="1"/>
  <c r="J11" i="232" s="1"/>
  <c r="F11" i="232" a="1"/>
  <c r="F11" i="232" s="1"/>
  <c r="G11" i="232" s="1"/>
  <c r="A11" i="232"/>
  <c r="I10" i="232" a="1"/>
  <c r="I10" i="232" s="1"/>
  <c r="S7" i="232"/>
  <c r="R7" i="232"/>
  <c r="A4" i="232"/>
  <c r="A3" i="232"/>
  <c r="A2" i="232"/>
  <c r="A1" i="232"/>
  <c r="D119" i="231"/>
  <c r="U118" i="231"/>
  <c r="T118" i="231"/>
  <c r="M118" i="231"/>
  <c r="L118" i="231"/>
  <c r="J118" i="231"/>
  <c r="D118" i="231"/>
  <c r="Z113" i="231"/>
  <c r="Z115" i="231" s="1"/>
  <c r="Y113" i="231"/>
  <c r="W113" i="231"/>
  <c r="W115" i="231" s="1"/>
  <c r="R113" i="231"/>
  <c r="O113" i="231"/>
  <c r="J113" i="231"/>
  <c r="G113" i="231"/>
  <c r="J110" i="231"/>
  <c r="N109" i="231"/>
  <c r="K109" i="231"/>
  <c r="W108" i="231"/>
  <c r="V108" i="231"/>
  <c r="T108" i="231"/>
  <c r="T110" i="231" s="1"/>
  <c r="O108" i="231"/>
  <c r="O110" i="231" s="1"/>
  <c r="N108" i="231"/>
  <c r="N110" i="231" s="1"/>
  <c r="F108" i="231"/>
  <c r="N104" i="231"/>
  <c r="M104" i="231"/>
  <c r="L104" i="231"/>
  <c r="K104" i="231"/>
  <c r="J104" i="231"/>
  <c r="I104" i="231"/>
  <c r="H104" i="231"/>
  <c r="G104" i="231"/>
  <c r="F104" i="231"/>
  <c r="E104" i="231"/>
  <c r="D104" i="231"/>
  <c r="C104" i="231"/>
  <c r="N103" i="231"/>
  <c r="M103" i="231"/>
  <c r="L103" i="231"/>
  <c r="K103" i="231"/>
  <c r="J103" i="231"/>
  <c r="I103" i="231"/>
  <c r="H103" i="231"/>
  <c r="G103" i="231"/>
  <c r="F103" i="231"/>
  <c r="E103" i="231"/>
  <c r="D103" i="231"/>
  <c r="C103" i="231"/>
  <c r="N102" i="231"/>
  <c r="M102" i="231"/>
  <c r="L102" i="231"/>
  <c r="K102" i="231"/>
  <c r="J102" i="231"/>
  <c r="I102" i="231"/>
  <c r="H102" i="231"/>
  <c r="G102" i="231"/>
  <c r="F102" i="231"/>
  <c r="E102" i="231"/>
  <c r="D102" i="231"/>
  <c r="C102" i="231"/>
  <c r="N101" i="231"/>
  <c r="M101" i="231"/>
  <c r="L101" i="231"/>
  <c r="K101" i="231"/>
  <c r="J101" i="231"/>
  <c r="I101" i="231"/>
  <c r="H101" i="231"/>
  <c r="G101" i="231"/>
  <c r="F101" i="231"/>
  <c r="E101" i="231"/>
  <c r="E118" i="231" s="1"/>
  <c r="D101" i="231"/>
  <c r="C101" i="231"/>
  <c r="N100" i="231"/>
  <c r="M100" i="231"/>
  <c r="L100" i="231"/>
  <c r="K100" i="231"/>
  <c r="J100" i="231"/>
  <c r="I100" i="231"/>
  <c r="H100" i="231"/>
  <c r="G100" i="231"/>
  <c r="F100" i="231"/>
  <c r="E100" i="231"/>
  <c r="D100" i="231"/>
  <c r="C100" i="231"/>
  <c r="N99" i="231"/>
  <c r="M99" i="231"/>
  <c r="L99" i="231"/>
  <c r="K99" i="231"/>
  <c r="J99" i="231"/>
  <c r="I99" i="231"/>
  <c r="H99" i="231"/>
  <c r="G99" i="231"/>
  <c r="F99" i="231"/>
  <c r="E99" i="231"/>
  <c r="D99" i="231"/>
  <c r="C99" i="231"/>
  <c r="N98" i="231"/>
  <c r="M98" i="231"/>
  <c r="L98" i="231"/>
  <c r="K98" i="231"/>
  <c r="J98" i="231"/>
  <c r="I98" i="231"/>
  <c r="H98" i="231"/>
  <c r="G98" i="231"/>
  <c r="F98" i="231"/>
  <c r="E98" i="231"/>
  <c r="D98" i="231"/>
  <c r="C98" i="231"/>
  <c r="N97" i="231"/>
  <c r="M97" i="231"/>
  <c r="L97" i="231"/>
  <c r="K97" i="231"/>
  <c r="K108" i="231" s="1"/>
  <c r="K110" i="231" s="1"/>
  <c r="J97" i="231"/>
  <c r="J108" i="231" s="1"/>
  <c r="I97" i="231"/>
  <c r="I108" i="231" s="1"/>
  <c r="H97" i="231"/>
  <c r="H108" i="231" s="1"/>
  <c r="G97" i="231"/>
  <c r="G108" i="231" s="1"/>
  <c r="G110" i="231" s="1"/>
  <c r="F97" i="231"/>
  <c r="E97" i="231"/>
  <c r="D97" i="231"/>
  <c r="C97" i="231"/>
  <c r="C108" i="231" s="1"/>
  <c r="U94" i="231"/>
  <c r="U121" i="231" s="1"/>
  <c r="M94" i="231"/>
  <c r="M121" i="231" s="1"/>
  <c r="L94" i="231"/>
  <c r="L121" i="231" s="1"/>
  <c r="J94" i="231"/>
  <c r="J121" i="231" s="1"/>
  <c r="E94" i="231"/>
  <c r="E121" i="231" s="1"/>
  <c r="V93" i="231"/>
  <c r="V120" i="231" s="1"/>
  <c r="S93" i="231"/>
  <c r="S120" i="231" s="1"/>
  <c r="N93" i="231"/>
  <c r="N120" i="231" s="1"/>
  <c r="F93" i="231"/>
  <c r="F120" i="231" s="1"/>
  <c r="W92" i="231"/>
  <c r="W119" i="231" s="1"/>
  <c r="T92" i="231"/>
  <c r="T119" i="231" s="1"/>
  <c r="O92" i="231"/>
  <c r="O119" i="231" s="1"/>
  <c r="L92" i="231"/>
  <c r="L119" i="231" s="1"/>
  <c r="G92" i="231"/>
  <c r="G119" i="231" s="1"/>
  <c r="D92" i="231"/>
  <c r="X91" i="231"/>
  <c r="X114" i="231" s="1"/>
  <c r="W91" i="231"/>
  <c r="W114" i="231" s="1"/>
  <c r="U91" i="231"/>
  <c r="U114" i="231" s="1"/>
  <c r="U115" i="231" s="1"/>
  <c r="P91" i="231"/>
  <c r="P114" i="231" s="1"/>
  <c r="M91" i="231"/>
  <c r="M114" i="231" s="1"/>
  <c r="H91" i="231"/>
  <c r="H114" i="231" s="1"/>
  <c r="E91" i="231"/>
  <c r="E114" i="231" s="1"/>
  <c r="Y90" i="231"/>
  <c r="Y109" i="231" s="1"/>
  <c r="X90" i="231"/>
  <c r="X109" i="231" s="1"/>
  <c r="V90" i="231"/>
  <c r="V109" i="231" s="1"/>
  <c r="Q90" i="231"/>
  <c r="Q109" i="231" s="1"/>
  <c r="N90" i="231"/>
  <c r="I90" i="231"/>
  <c r="I109" i="231" s="1"/>
  <c r="H90" i="231"/>
  <c r="H109" i="231" s="1"/>
  <c r="F90" i="231"/>
  <c r="F109" i="231" s="1"/>
  <c r="Z87" i="231"/>
  <c r="Y87" i="231"/>
  <c r="X87" i="231"/>
  <c r="W87" i="231"/>
  <c r="V87" i="231"/>
  <c r="U87" i="231"/>
  <c r="T87" i="231"/>
  <c r="T94" i="231" s="1"/>
  <c r="T121" i="231" s="1"/>
  <c r="S87" i="231"/>
  <c r="R87" i="231"/>
  <c r="Q87" i="231"/>
  <c r="P87" i="231"/>
  <c r="O87" i="231"/>
  <c r="N87" i="231"/>
  <c r="M87" i="231"/>
  <c r="L87" i="231"/>
  <c r="K87" i="231"/>
  <c r="J87" i="231"/>
  <c r="I87" i="231"/>
  <c r="H87" i="231"/>
  <c r="G87" i="231"/>
  <c r="F87" i="231"/>
  <c r="E87" i="231"/>
  <c r="D87" i="231"/>
  <c r="D94" i="231" s="1"/>
  <c r="D121" i="231" s="1"/>
  <c r="C87" i="231"/>
  <c r="Z86" i="231"/>
  <c r="Y86" i="231"/>
  <c r="X86" i="231"/>
  <c r="W86" i="231"/>
  <c r="V86" i="231"/>
  <c r="U86" i="231"/>
  <c r="U93" i="231" s="1"/>
  <c r="U120" i="231" s="1"/>
  <c r="T86" i="231"/>
  <c r="T93" i="231" s="1"/>
  <c r="T120" i="231" s="1"/>
  <c r="S86" i="231"/>
  <c r="R86" i="231"/>
  <c r="Q86" i="231"/>
  <c r="P86" i="231"/>
  <c r="O86" i="231"/>
  <c r="N86" i="231"/>
  <c r="M86" i="231"/>
  <c r="M93" i="231" s="1"/>
  <c r="M120" i="231" s="1"/>
  <c r="L86" i="231"/>
  <c r="L93" i="231" s="1"/>
  <c r="L120" i="231" s="1"/>
  <c r="K86" i="231"/>
  <c r="J86" i="231"/>
  <c r="I86" i="231"/>
  <c r="H86" i="231"/>
  <c r="G86" i="231"/>
  <c r="F86" i="231"/>
  <c r="E86" i="231"/>
  <c r="E93" i="231" s="1"/>
  <c r="E120" i="231" s="1"/>
  <c r="D86" i="231"/>
  <c r="D93" i="231" s="1"/>
  <c r="D120" i="231" s="1"/>
  <c r="C86" i="231"/>
  <c r="Z85" i="231"/>
  <c r="Y85" i="231"/>
  <c r="X85" i="231"/>
  <c r="W85" i="231"/>
  <c r="V85" i="231"/>
  <c r="V92" i="231" s="1"/>
  <c r="V119" i="231" s="1"/>
  <c r="U85" i="231"/>
  <c r="U92" i="231" s="1"/>
  <c r="U119" i="231" s="1"/>
  <c r="T85" i="231"/>
  <c r="S85" i="231"/>
  <c r="R85" i="231"/>
  <c r="Q85" i="231"/>
  <c r="P85" i="231"/>
  <c r="O85" i="231"/>
  <c r="N85" i="231"/>
  <c r="N92" i="231" s="1"/>
  <c r="N119" i="231" s="1"/>
  <c r="M85" i="231"/>
  <c r="M92" i="231" s="1"/>
  <c r="M119" i="231" s="1"/>
  <c r="L85" i="231"/>
  <c r="K85" i="231"/>
  <c r="J85" i="231"/>
  <c r="I85" i="231"/>
  <c r="H85" i="231"/>
  <c r="G85" i="231"/>
  <c r="F85" i="231"/>
  <c r="F92" i="231" s="1"/>
  <c r="F119" i="231" s="1"/>
  <c r="E85" i="231"/>
  <c r="E92" i="231" s="1"/>
  <c r="E119" i="231" s="1"/>
  <c r="D85" i="231"/>
  <c r="C85" i="231"/>
  <c r="Z84" i="231"/>
  <c r="Y84" i="231"/>
  <c r="X84" i="231"/>
  <c r="W84" i="231"/>
  <c r="V84" i="231"/>
  <c r="V91" i="231" s="1"/>
  <c r="V114" i="231" s="1"/>
  <c r="U84" i="231"/>
  <c r="T84" i="231"/>
  <c r="S84" i="231"/>
  <c r="R84" i="231"/>
  <c r="Q84" i="231"/>
  <c r="P84" i="231"/>
  <c r="O84" i="231"/>
  <c r="O91" i="231" s="1"/>
  <c r="O114" i="231" s="1"/>
  <c r="O115" i="231" s="1"/>
  <c r="N84" i="231"/>
  <c r="N91" i="231" s="1"/>
  <c r="N114" i="231" s="1"/>
  <c r="M84" i="231"/>
  <c r="L84" i="231"/>
  <c r="K84" i="231"/>
  <c r="J84" i="231"/>
  <c r="I84" i="231"/>
  <c r="H84" i="231"/>
  <c r="G84" i="231"/>
  <c r="G91" i="231" s="1"/>
  <c r="G114" i="231" s="1"/>
  <c r="F84" i="231"/>
  <c r="F91" i="231" s="1"/>
  <c r="F114" i="231" s="1"/>
  <c r="E84" i="231"/>
  <c r="D84" i="231"/>
  <c r="C84" i="231"/>
  <c r="Z83" i="231"/>
  <c r="Y83" i="231"/>
  <c r="X83" i="231"/>
  <c r="W83" i="231"/>
  <c r="W90" i="231" s="1"/>
  <c r="W109" i="231" s="1"/>
  <c r="V83" i="231"/>
  <c r="U83" i="231"/>
  <c r="T83" i="231"/>
  <c r="S83" i="231"/>
  <c r="R83" i="231"/>
  <c r="Q83" i="231"/>
  <c r="P83" i="231"/>
  <c r="P90" i="231" s="1"/>
  <c r="P109" i="231" s="1"/>
  <c r="O83" i="231"/>
  <c r="O90" i="231" s="1"/>
  <c r="O109" i="231" s="1"/>
  <c r="N83" i="231"/>
  <c r="M83" i="231"/>
  <c r="L83" i="231"/>
  <c r="K83" i="231"/>
  <c r="J83" i="231"/>
  <c r="I83" i="231"/>
  <c r="H83" i="231"/>
  <c r="G83" i="231"/>
  <c r="G90" i="231" s="1"/>
  <c r="G109" i="231" s="1"/>
  <c r="F83" i="231"/>
  <c r="E83" i="231"/>
  <c r="D83" i="231"/>
  <c r="C83" i="231"/>
  <c r="Z80" i="231"/>
  <c r="Y80" i="231"/>
  <c r="Y118" i="231" s="1"/>
  <c r="X80" i="231"/>
  <c r="W80" i="231"/>
  <c r="W118" i="231" s="1"/>
  <c r="V80" i="231"/>
  <c r="V118" i="231" s="1"/>
  <c r="U80" i="231"/>
  <c r="T80" i="231"/>
  <c r="S80" i="231"/>
  <c r="R80" i="231"/>
  <c r="R118" i="231" s="1"/>
  <c r="Q80" i="231"/>
  <c r="Q118" i="231" s="1"/>
  <c r="P80" i="231"/>
  <c r="O80" i="231"/>
  <c r="O118" i="231" s="1"/>
  <c r="N80" i="231"/>
  <c r="N118" i="231" s="1"/>
  <c r="M80" i="231"/>
  <c r="L80" i="231"/>
  <c r="K80" i="231"/>
  <c r="K93" i="231" s="1"/>
  <c r="K120" i="231" s="1"/>
  <c r="J80" i="231"/>
  <c r="I80" i="231"/>
  <c r="I118" i="231" s="1"/>
  <c r="H80" i="231"/>
  <c r="G80" i="231"/>
  <c r="G118" i="231" s="1"/>
  <c r="F80" i="231"/>
  <c r="F118" i="231" s="1"/>
  <c r="E80" i="231"/>
  <c r="D80" i="231"/>
  <c r="C80" i="231"/>
  <c r="C93" i="231" s="1"/>
  <c r="C120" i="231" s="1"/>
  <c r="Z79" i="231"/>
  <c r="Z91" i="231" s="1"/>
  <c r="Z114" i="231" s="1"/>
  <c r="Y79" i="231"/>
  <c r="Y91" i="231" s="1"/>
  <c r="Y114" i="231" s="1"/>
  <c r="X79" i="231"/>
  <c r="X113" i="231" s="1"/>
  <c r="X115" i="231" s="1"/>
  <c r="W79" i="231"/>
  <c r="V79" i="231"/>
  <c r="V113" i="231" s="1"/>
  <c r="U79" i="231"/>
  <c r="U113" i="231" s="1"/>
  <c r="T79" i="231"/>
  <c r="S79" i="231"/>
  <c r="R79" i="231"/>
  <c r="R91" i="231" s="1"/>
  <c r="R114" i="231" s="1"/>
  <c r="Q79" i="231"/>
  <c r="Q91" i="231" s="1"/>
  <c r="Q114" i="231" s="1"/>
  <c r="P79" i="231"/>
  <c r="P113" i="231" s="1"/>
  <c r="P115" i="231" s="1"/>
  <c r="O79" i="231"/>
  <c r="N79" i="231"/>
  <c r="N113" i="231" s="1"/>
  <c r="M79" i="231"/>
  <c r="M113" i="231" s="1"/>
  <c r="M115" i="231" s="1"/>
  <c r="L79" i="231"/>
  <c r="K79" i="231"/>
  <c r="J79" i="231"/>
  <c r="J91" i="231" s="1"/>
  <c r="J114" i="231" s="1"/>
  <c r="I79" i="231"/>
  <c r="I91" i="231" s="1"/>
  <c r="I114" i="231" s="1"/>
  <c r="H79" i="231"/>
  <c r="H113" i="231" s="1"/>
  <c r="H115" i="231" s="1"/>
  <c r="G79" i="231"/>
  <c r="F79" i="231"/>
  <c r="F113" i="231" s="1"/>
  <c r="E79" i="231"/>
  <c r="E113" i="231" s="1"/>
  <c r="E115" i="231" s="1"/>
  <c r="D79" i="231"/>
  <c r="C79" i="231"/>
  <c r="Z78" i="231"/>
  <c r="Y78" i="231"/>
  <c r="Y108" i="231" s="1"/>
  <c r="X78" i="231"/>
  <c r="X108" i="231" s="1"/>
  <c r="X110" i="231" s="1"/>
  <c r="W78" i="231"/>
  <c r="V78" i="231"/>
  <c r="U78" i="231"/>
  <c r="T78" i="231"/>
  <c r="T90" i="231" s="1"/>
  <c r="T109" i="231" s="1"/>
  <c r="S78" i="231"/>
  <c r="S108" i="231" s="1"/>
  <c r="R78" i="231"/>
  <c r="Q78" i="231"/>
  <c r="Q108" i="231" s="1"/>
  <c r="Q110" i="231" s="1"/>
  <c r="P78" i="231"/>
  <c r="P108" i="231" s="1"/>
  <c r="O78" i="231"/>
  <c r="N78" i="231"/>
  <c r="M78" i="231"/>
  <c r="L78" i="231"/>
  <c r="L90" i="231" s="1"/>
  <c r="L109" i="231" s="1"/>
  <c r="K78" i="231"/>
  <c r="K90" i="231" s="1"/>
  <c r="J78" i="231"/>
  <c r="J90" i="231" s="1"/>
  <c r="J109" i="231" s="1"/>
  <c r="I78" i="231"/>
  <c r="H78" i="231"/>
  <c r="G78" i="231"/>
  <c r="F78" i="231"/>
  <c r="E78" i="231"/>
  <c r="D78" i="231"/>
  <c r="D90" i="231" s="1"/>
  <c r="D109" i="231" s="1"/>
  <c r="C78" i="231"/>
  <c r="C90" i="231" s="1"/>
  <c r="C109" i="231" s="1"/>
  <c r="C69" i="231"/>
  <c r="E67" i="231"/>
  <c r="C66" i="231"/>
  <c r="E66" i="231" s="1"/>
  <c r="C63" i="231"/>
  <c r="C57" i="231"/>
  <c r="C55" i="231"/>
  <c r="C50" i="231"/>
  <c r="C47" i="231"/>
  <c r="C39" i="231"/>
  <c r="E37" i="231"/>
  <c r="E36" i="231" s="1"/>
  <c r="C36" i="231"/>
  <c r="C33" i="231"/>
  <c r="C27" i="231"/>
  <c r="C25" i="231"/>
  <c r="C20" i="231"/>
  <c r="C17" i="231"/>
  <c r="H14" i="231"/>
  <c r="G14" i="231"/>
  <c r="A11" i="231"/>
  <c r="A4" i="231"/>
  <c r="A3" i="231"/>
  <c r="A2" i="231"/>
  <c r="A1" i="231"/>
  <c r="G301" i="230"/>
  <c r="L301" i="230" s="1"/>
  <c r="G300" i="230"/>
  <c r="L300" i="230" s="1"/>
  <c r="L298" i="230"/>
  <c r="G298" i="230"/>
  <c r="G297" i="230"/>
  <c r="L297" i="230" s="1"/>
  <c r="G296" i="230"/>
  <c r="L296" i="230" s="1"/>
  <c r="G295" i="230"/>
  <c r="L295" i="230" s="1"/>
  <c r="L294" i="230"/>
  <c r="K294" i="230"/>
  <c r="M294" i="230" s="1"/>
  <c r="G294" i="230"/>
  <c r="F294" i="230"/>
  <c r="H294" i="230" s="1"/>
  <c r="K293" i="230"/>
  <c r="G293" i="230"/>
  <c r="L293" i="230" s="1"/>
  <c r="F293" i="230"/>
  <c r="H293" i="230" s="1"/>
  <c r="L292" i="230"/>
  <c r="K292" i="230"/>
  <c r="M292" i="230" s="1"/>
  <c r="G292" i="230"/>
  <c r="F292" i="230"/>
  <c r="H292" i="230" s="1"/>
  <c r="G291" i="230"/>
  <c r="L291" i="230" s="1"/>
  <c r="K290" i="230"/>
  <c r="G290" i="230"/>
  <c r="L290" i="230" s="1"/>
  <c r="M290" i="230" s="1"/>
  <c r="F290" i="230"/>
  <c r="H290" i="230" s="1"/>
  <c r="G289" i="230"/>
  <c r="L289" i="230" s="1"/>
  <c r="K288" i="230"/>
  <c r="M288" i="230" s="1"/>
  <c r="G288" i="230"/>
  <c r="L288" i="230" s="1"/>
  <c r="F288" i="230"/>
  <c r="H288" i="230" s="1"/>
  <c r="G287" i="230"/>
  <c r="L287" i="230" s="1"/>
  <c r="L286" i="230"/>
  <c r="K286" i="230"/>
  <c r="M286" i="230" s="1"/>
  <c r="G286" i="230"/>
  <c r="F286" i="230"/>
  <c r="H286" i="230" s="1"/>
  <c r="G285" i="230"/>
  <c r="L285" i="230" s="1"/>
  <c r="L284" i="230"/>
  <c r="K284" i="230"/>
  <c r="M284" i="230" s="1"/>
  <c r="F284" i="230"/>
  <c r="H284" i="230" s="1"/>
  <c r="G283" i="230"/>
  <c r="L283" i="230" s="1"/>
  <c r="L282" i="230"/>
  <c r="G282" i="230"/>
  <c r="G281" i="230"/>
  <c r="L281" i="230" s="1"/>
  <c r="L280" i="230"/>
  <c r="G280" i="230"/>
  <c r="L279" i="230"/>
  <c r="G279" i="230"/>
  <c r="L278" i="230"/>
  <c r="K278" i="230"/>
  <c r="M278" i="230" s="1"/>
  <c r="G278" i="230"/>
  <c r="F278" i="230"/>
  <c r="H278" i="230" s="1"/>
  <c r="L277" i="230"/>
  <c r="G276" i="230"/>
  <c r="L276" i="230" s="1"/>
  <c r="L275" i="230"/>
  <c r="G275" i="230"/>
  <c r="G274" i="230"/>
  <c r="L274" i="230" s="1"/>
  <c r="L273" i="230"/>
  <c r="G273" i="230"/>
  <c r="L272" i="230"/>
  <c r="G272" i="230"/>
  <c r="L271" i="230"/>
  <c r="K271" i="230"/>
  <c r="M271" i="230" s="1"/>
  <c r="G271" i="230"/>
  <c r="F271" i="230"/>
  <c r="H271" i="230" s="1"/>
  <c r="K270" i="230"/>
  <c r="G270" i="230"/>
  <c r="L270" i="230" s="1"/>
  <c r="F270" i="230"/>
  <c r="H270" i="230" s="1"/>
  <c r="L269" i="230"/>
  <c r="K269" i="230"/>
  <c r="M269" i="230" s="1"/>
  <c r="L268" i="230"/>
  <c r="G268" i="230"/>
  <c r="L267" i="230"/>
  <c r="F267" i="230"/>
  <c r="H267" i="230" s="1"/>
  <c r="L260" i="230"/>
  <c r="I259" i="230" a="1"/>
  <c r="I259" i="230" s="1"/>
  <c r="J259" i="230" s="1"/>
  <c r="U259" i="230" s="1"/>
  <c r="F259" i="230" a="1"/>
  <c r="F259" i="230" s="1"/>
  <c r="G259" i="230" s="1"/>
  <c r="T259" i="230" s="1"/>
  <c r="I258" i="230" a="1"/>
  <c r="I258" i="230" s="1"/>
  <c r="J258" i="230" s="1"/>
  <c r="U258" i="230" s="1"/>
  <c r="F258" i="230" a="1"/>
  <c r="F258" i="230" s="1"/>
  <c r="G258" i="230" s="1"/>
  <c r="T258" i="230" s="1"/>
  <c r="I257" i="230" a="1"/>
  <c r="I257" i="230" s="1"/>
  <c r="J257" i="230" s="1"/>
  <c r="U257" i="230" s="1"/>
  <c r="F257" i="230" a="1"/>
  <c r="F257" i="230" s="1"/>
  <c r="G257" i="230" s="1"/>
  <c r="T257" i="230" s="1"/>
  <c r="I256" i="230" a="1"/>
  <c r="I256" i="230" s="1"/>
  <c r="J256" i="230" s="1"/>
  <c r="U256" i="230" s="1"/>
  <c r="F256" i="230" a="1"/>
  <c r="F256" i="230" s="1"/>
  <c r="G256" i="230" s="1"/>
  <c r="T256" i="230" s="1"/>
  <c r="I255" i="230"/>
  <c r="J255" i="230" s="1"/>
  <c r="U255" i="230" s="1"/>
  <c r="I255" i="230" a="1"/>
  <c r="F255" i="230" a="1"/>
  <c r="F255" i="230" s="1"/>
  <c r="G255" i="230" s="1"/>
  <c r="T255" i="230" s="1"/>
  <c r="I254" i="230" a="1"/>
  <c r="I254" i="230" s="1"/>
  <c r="J254" i="230" s="1"/>
  <c r="U254" i="230" s="1"/>
  <c r="F254" i="230" a="1"/>
  <c r="F254" i="230" s="1"/>
  <c r="G254" i="230" s="1"/>
  <c r="T254" i="230" s="1"/>
  <c r="I253" i="230" a="1"/>
  <c r="I253" i="230" s="1"/>
  <c r="J253" i="230" s="1"/>
  <c r="U253" i="230" s="1"/>
  <c r="F253" i="230" a="1"/>
  <c r="F253" i="230" s="1"/>
  <c r="G253" i="230" s="1"/>
  <c r="T253" i="230" s="1"/>
  <c r="I252" i="230" a="1"/>
  <c r="I252" i="230" s="1"/>
  <c r="J252" i="230" s="1"/>
  <c r="U252" i="230" s="1"/>
  <c r="F252" i="230" a="1"/>
  <c r="F252" i="230" s="1"/>
  <c r="G252" i="230" s="1"/>
  <c r="T252" i="230" s="1"/>
  <c r="I251" i="230" a="1"/>
  <c r="I251" i="230" s="1"/>
  <c r="J251" i="230" s="1"/>
  <c r="U251" i="230" s="1"/>
  <c r="F251" i="230" a="1"/>
  <c r="F251" i="230" s="1"/>
  <c r="G251" i="230" s="1"/>
  <c r="T251" i="230" s="1"/>
  <c r="I250" i="230" a="1"/>
  <c r="I250" i="230" s="1"/>
  <c r="J250" i="230" s="1"/>
  <c r="U250" i="230" s="1"/>
  <c r="F250" i="230" a="1"/>
  <c r="F250" i="230" s="1"/>
  <c r="G250" i="230" s="1"/>
  <c r="T250" i="230" s="1"/>
  <c r="I249" i="230" a="1"/>
  <c r="I249" i="230" s="1"/>
  <c r="J249" i="230" s="1"/>
  <c r="U249" i="230" s="1"/>
  <c r="F249" i="230" a="1"/>
  <c r="F249" i="230" s="1"/>
  <c r="G249" i="230" s="1"/>
  <c r="T249" i="230" s="1"/>
  <c r="I248" i="230" a="1"/>
  <c r="I248" i="230" s="1"/>
  <c r="J248" i="230" s="1"/>
  <c r="U248" i="230" s="1"/>
  <c r="F248" i="230" a="1"/>
  <c r="F248" i="230" s="1"/>
  <c r="G248" i="230" s="1"/>
  <c r="T248" i="230" s="1"/>
  <c r="I247" i="230" a="1"/>
  <c r="I247" i="230" s="1"/>
  <c r="J247" i="230" s="1"/>
  <c r="U247" i="230" s="1"/>
  <c r="F247" i="230" a="1"/>
  <c r="F247" i="230" s="1"/>
  <c r="G247" i="230" s="1"/>
  <c r="T247" i="230" s="1"/>
  <c r="I246" i="230" a="1"/>
  <c r="I246" i="230" s="1"/>
  <c r="J246" i="230" s="1"/>
  <c r="U246" i="230" s="1"/>
  <c r="F246" i="230" a="1"/>
  <c r="F246" i="230" s="1"/>
  <c r="G246" i="230" s="1"/>
  <c r="T246" i="230" s="1"/>
  <c r="I245" i="230"/>
  <c r="J245" i="230" s="1"/>
  <c r="U245" i="230" s="1"/>
  <c r="I245" i="230" a="1"/>
  <c r="F245" i="230" a="1"/>
  <c r="F245" i="230" s="1"/>
  <c r="G245" i="230" s="1"/>
  <c r="T245" i="230" s="1"/>
  <c r="I244" i="230" a="1"/>
  <c r="I244" i="230" s="1"/>
  <c r="J244" i="230" s="1"/>
  <c r="U244" i="230" s="1"/>
  <c r="F244" i="230" a="1"/>
  <c r="F244" i="230" s="1"/>
  <c r="G244" i="230" s="1"/>
  <c r="T244" i="230" s="1"/>
  <c r="I243" i="230" a="1"/>
  <c r="I243" i="230" s="1"/>
  <c r="J243" i="230" s="1"/>
  <c r="U243" i="230" s="1"/>
  <c r="F243" i="230" a="1"/>
  <c r="F243" i="230" s="1"/>
  <c r="G243" i="230" s="1"/>
  <c r="T243" i="230" s="1"/>
  <c r="I242" i="230" a="1"/>
  <c r="I242" i="230" s="1"/>
  <c r="J242" i="230" s="1"/>
  <c r="F242" i="230" a="1"/>
  <c r="F242" i="230" s="1"/>
  <c r="G242" i="230" s="1"/>
  <c r="I241" i="230" a="1"/>
  <c r="I241" i="230" s="1"/>
  <c r="F241" i="230" a="1"/>
  <c r="F241" i="230" s="1"/>
  <c r="G241" i="230" s="1"/>
  <c r="T241" i="230" s="1"/>
  <c r="I240" i="230" a="1"/>
  <c r="I240" i="230" s="1"/>
  <c r="F240" i="230" a="1"/>
  <c r="F240" i="230" s="1"/>
  <c r="G240" i="230" s="1"/>
  <c r="T240" i="230" s="1"/>
  <c r="I239" i="230" a="1"/>
  <c r="I239" i="230" s="1"/>
  <c r="F239" i="230" a="1"/>
  <c r="F239" i="230" s="1"/>
  <c r="G239" i="230" s="1"/>
  <c r="T239" i="230" s="1"/>
  <c r="I238" i="230" a="1"/>
  <c r="I238" i="230" s="1"/>
  <c r="J238" i="230" s="1"/>
  <c r="U238" i="230" s="1"/>
  <c r="F238" i="230" a="1"/>
  <c r="F238" i="230" s="1"/>
  <c r="G238" i="230" s="1"/>
  <c r="T238" i="230" s="1"/>
  <c r="I237" i="230"/>
  <c r="J237" i="230" s="1"/>
  <c r="U237" i="230" s="1"/>
  <c r="I237" i="230" a="1"/>
  <c r="F237" i="230"/>
  <c r="G237" i="230" s="1"/>
  <c r="T237" i="230" s="1"/>
  <c r="F237" i="230" a="1"/>
  <c r="I236" i="230" a="1"/>
  <c r="I236" i="230" s="1"/>
  <c r="J236" i="230" s="1"/>
  <c r="U236" i="230" s="1"/>
  <c r="F236" i="230" a="1"/>
  <c r="F236" i="230" s="1"/>
  <c r="G236" i="230" s="1"/>
  <c r="T236" i="230" s="1"/>
  <c r="I235" i="230" a="1"/>
  <c r="I235" i="230" s="1"/>
  <c r="J235" i="230" s="1"/>
  <c r="U235" i="230" s="1"/>
  <c r="F235" i="230" a="1"/>
  <c r="F235" i="230" s="1"/>
  <c r="G235" i="230" s="1"/>
  <c r="T235" i="230" s="1"/>
  <c r="I234" i="230"/>
  <c r="J234" i="230" s="1"/>
  <c r="U234" i="230" s="1"/>
  <c r="I234" i="230" a="1"/>
  <c r="F234" i="230" a="1"/>
  <c r="F234" i="230" s="1"/>
  <c r="G234" i="230" s="1"/>
  <c r="T234" i="230" s="1"/>
  <c r="I233" i="230" a="1"/>
  <c r="I233" i="230" s="1"/>
  <c r="J233" i="230" s="1"/>
  <c r="U233" i="230" s="1"/>
  <c r="F233" i="230" a="1"/>
  <c r="F233" i="230" s="1"/>
  <c r="G233" i="230" s="1"/>
  <c r="T233" i="230" s="1"/>
  <c r="I232" i="230" a="1"/>
  <c r="I232" i="230" s="1"/>
  <c r="J232" i="230" s="1"/>
  <c r="U232" i="230" s="1"/>
  <c r="F232" i="230"/>
  <c r="G232" i="230" s="1"/>
  <c r="T232" i="230" s="1"/>
  <c r="F232" i="230" a="1"/>
  <c r="I231" i="230" a="1"/>
  <c r="I231" i="230" s="1"/>
  <c r="J231" i="230" s="1"/>
  <c r="U231" i="230" s="1"/>
  <c r="F231" i="230" a="1"/>
  <c r="F231" i="230" s="1"/>
  <c r="G231" i="230" s="1"/>
  <c r="T231" i="230" s="1"/>
  <c r="I230" i="230" a="1"/>
  <c r="I230" i="230" s="1"/>
  <c r="J230" i="230" s="1"/>
  <c r="U230" i="230" s="1"/>
  <c r="F230" i="230" a="1"/>
  <c r="F230" i="230" s="1"/>
  <c r="G230" i="230" s="1"/>
  <c r="T230" i="230" s="1"/>
  <c r="I229" i="230" a="1"/>
  <c r="I229" i="230" s="1"/>
  <c r="J229" i="230" s="1"/>
  <c r="U229" i="230" s="1"/>
  <c r="F229" i="230" a="1"/>
  <c r="F229" i="230" s="1"/>
  <c r="G229" i="230" s="1"/>
  <c r="T229" i="230" s="1"/>
  <c r="I228" i="230" a="1"/>
  <c r="I228" i="230" s="1"/>
  <c r="J228" i="230" s="1"/>
  <c r="U228" i="230" s="1"/>
  <c r="F228" i="230" a="1"/>
  <c r="F228" i="230" s="1"/>
  <c r="G228" i="230" s="1"/>
  <c r="T228" i="230" s="1"/>
  <c r="I227" i="230" a="1"/>
  <c r="I227" i="230" s="1"/>
  <c r="J227" i="230" s="1"/>
  <c r="U227" i="230" s="1"/>
  <c r="F227" i="230" a="1"/>
  <c r="F227" i="230" s="1"/>
  <c r="G227" i="230" s="1"/>
  <c r="T227" i="230" s="1"/>
  <c r="I226" i="230" a="1"/>
  <c r="I226" i="230" s="1"/>
  <c r="J226" i="230" s="1"/>
  <c r="U226" i="230" s="1"/>
  <c r="F226" i="230" a="1"/>
  <c r="F226" i="230" s="1"/>
  <c r="G226" i="230" s="1"/>
  <c r="T226" i="230" s="1"/>
  <c r="I225" i="230" a="1"/>
  <c r="I225" i="230" s="1"/>
  <c r="J225" i="230" s="1"/>
  <c r="U225" i="230" s="1"/>
  <c r="F225" i="230" a="1"/>
  <c r="F225" i="230" s="1"/>
  <c r="G225" i="230" s="1"/>
  <c r="T225" i="230" s="1"/>
  <c r="I224" i="230" a="1"/>
  <c r="I224" i="230" s="1"/>
  <c r="J224" i="230" s="1"/>
  <c r="U224" i="230" s="1"/>
  <c r="F224" i="230" a="1"/>
  <c r="F224" i="230" s="1"/>
  <c r="G224" i="230" s="1"/>
  <c r="T224" i="230" s="1"/>
  <c r="I223" i="230" a="1"/>
  <c r="I223" i="230" s="1"/>
  <c r="J223" i="230" s="1"/>
  <c r="U223" i="230" s="1"/>
  <c r="G223" i="230"/>
  <c r="T223" i="230" s="1"/>
  <c r="F223" i="230" a="1"/>
  <c r="F223" i="230" s="1"/>
  <c r="I222" i="230" a="1"/>
  <c r="I222" i="230" s="1"/>
  <c r="J222" i="230" s="1"/>
  <c r="U222" i="230" s="1"/>
  <c r="F222" i="230" a="1"/>
  <c r="F222" i="230" s="1"/>
  <c r="G222" i="230" s="1"/>
  <c r="T222" i="230" s="1"/>
  <c r="I221" i="230"/>
  <c r="J221" i="230" s="1"/>
  <c r="U221" i="230" s="1"/>
  <c r="I221" i="230" a="1"/>
  <c r="F221" i="230" a="1"/>
  <c r="F221" i="230" s="1"/>
  <c r="G221" i="230" s="1"/>
  <c r="T221" i="230" s="1"/>
  <c r="I220" i="230" a="1"/>
  <c r="I220" i="230" s="1"/>
  <c r="J220" i="230" s="1"/>
  <c r="U220" i="230" s="1"/>
  <c r="F220" i="230"/>
  <c r="G220" i="230" s="1"/>
  <c r="F220" i="230" a="1"/>
  <c r="I219" i="230" a="1"/>
  <c r="I219" i="230" s="1"/>
  <c r="J219" i="230" s="1"/>
  <c r="U219" i="230" s="1"/>
  <c r="F219" i="230" a="1"/>
  <c r="F219" i="230" s="1"/>
  <c r="G219" i="230" s="1"/>
  <c r="T219" i="230" s="1"/>
  <c r="I218" i="230" a="1"/>
  <c r="I218" i="230" s="1"/>
  <c r="J218" i="230" s="1"/>
  <c r="U218" i="230" s="1"/>
  <c r="F218" i="230" a="1"/>
  <c r="F218" i="230" s="1"/>
  <c r="G218" i="230" s="1"/>
  <c r="T218" i="230" s="1"/>
  <c r="I217" i="230" a="1"/>
  <c r="I217" i="230" s="1"/>
  <c r="J217" i="230" s="1"/>
  <c r="U217" i="230" s="1"/>
  <c r="F217" i="230" a="1"/>
  <c r="F217" i="230" s="1"/>
  <c r="G217" i="230" s="1"/>
  <c r="T217" i="230" s="1"/>
  <c r="I216" i="230" a="1"/>
  <c r="I216" i="230" s="1"/>
  <c r="J216" i="230" s="1"/>
  <c r="U216" i="230" s="1"/>
  <c r="F216" i="230" a="1"/>
  <c r="F216" i="230" s="1"/>
  <c r="G216" i="230" s="1"/>
  <c r="T216" i="230" s="1"/>
  <c r="I215" i="230" a="1"/>
  <c r="I215" i="230" s="1"/>
  <c r="J215" i="230" s="1"/>
  <c r="U215" i="230" s="1"/>
  <c r="G215" i="230"/>
  <c r="T215" i="230" s="1"/>
  <c r="F215" i="230" a="1"/>
  <c r="F215" i="230" s="1"/>
  <c r="I214" i="230" a="1"/>
  <c r="I214" i="230" s="1"/>
  <c r="J214" i="230" s="1"/>
  <c r="U214" i="230" s="1"/>
  <c r="F214" i="230" a="1"/>
  <c r="F214" i="230" s="1"/>
  <c r="G214" i="230" s="1"/>
  <c r="T214" i="230" s="1"/>
  <c r="I213" i="230"/>
  <c r="J213" i="230" s="1"/>
  <c r="U213" i="230" s="1"/>
  <c r="I213" i="230" a="1"/>
  <c r="F213" i="230" a="1"/>
  <c r="F213" i="230" s="1"/>
  <c r="G213" i="230" s="1"/>
  <c r="T213" i="230" s="1"/>
  <c r="I212" i="230" a="1"/>
  <c r="I212" i="230" s="1"/>
  <c r="J212" i="230" s="1"/>
  <c r="U212" i="230" s="1"/>
  <c r="F212" i="230" a="1"/>
  <c r="F212" i="230" s="1"/>
  <c r="G212" i="230" s="1"/>
  <c r="T212" i="230" s="1"/>
  <c r="I211" i="230" a="1"/>
  <c r="I211" i="230" s="1"/>
  <c r="J211" i="230" s="1"/>
  <c r="U211" i="230" s="1"/>
  <c r="F211" i="230" a="1"/>
  <c r="F211" i="230" s="1"/>
  <c r="G211" i="230" s="1"/>
  <c r="T211" i="230" s="1"/>
  <c r="I210" i="230" a="1"/>
  <c r="I210" i="230" s="1"/>
  <c r="J210" i="230" s="1"/>
  <c r="U210" i="230" s="1"/>
  <c r="F210" i="230" a="1"/>
  <c r="F210" i="230" s="1"/>
  <c r="G210" i="230" s="1"/>
  <c r="T210" i="230" s="1"/>
  <c r="I209" i="230" a="1"/>
  <c r="I209" i="230" s="1"/>
  <c r="J209" i="230" s="1"/>
  <c r="U209" i="230" s="1"/>
  <c r="F209" i="230" a="1"/>
  <c r="F209" i="230" s="1"/>
  <c r="G209" i="230" s="1"/>
  <c r="T209" i="230" s="1"/>
  <c r="I208" i="230" a="1"/>
  <c r="I208" i="230" s="1"/>
  <c r="J208" i="230" s="1"/>
  <c r="U208" i="230" s="1"/>
  <c r="F208" i="230" a="1"/>
  <c r="F208" i="230" s="1"/>
  <c r="G208" i="230" s="1"/>
  <c r="T208" i="230" s="1"/>
  <c r="I207" i="230" a="1"/>
  <c r="I207" i="230" s="1"/>
  <c r="J207" i="230" s="1"/>
  <c r="U207" i="230" s="1"/>
  <c r="F207" i="230" a="1"/>
  <c r="F207" i="230" s="1"/>
  <c r="G207" i="230" s="1"/>
  <c r="T207" i="230" s="1"/>
  <c r="I206" i="230" a="1"/>
  <c r="I206" i="230" s="1"/>
  <c r="J206" i="230" s="1"/>
  <c r="U206" i="230" s="1"/>
  <c r="F206" i="230" a="1"/>
  <c r="F206" i="230" s="1"/>
  <c r="G206" i="230" s="1"/>
  <c r="T206" i="230" s="1"/>
  <c r="I205" i="230"/>
  <c r="J205" i="230" s="1"/>
  <c r="U205" i="230" s="1"/>
  <c r="I205" i="230" a="1"/>
  <c r="F205" i="230" a="1"/>
  <c r="F205" i="230" s="1"/>
  <c r="G205" i="230" s="1"/>
  <c r="T205" i="230" s="1"/>
  <c r="I204" i="230" a="1"/>
  <c r="I204" i="230" s="1"/>
  <c r="J204" i="230" s="1"/>
  <c r="U204" i="230" s="1"/>
  <c r="F204" i="230" a="1"/>
  <c r="F204" i="230" s="1"/>
  <c r="G204" i="230" s="1"/>
  <c r="T204" i="230" s="1"/>
  <c r="I203" i="230" a="1"/>
  <c r="I203" i="230" s="1"/>
  <c r="J203" i="230" s="1"/>
  <c r="U203" i="230" s="1"/>
  <c r="F203" i="230" a="1"/>
  <c r="F203" i="230" s="1"/>
  <c r="G203" i="230" s="1"/>
  <c r="I202" i="230"/>
  <c r="J202" i="230" s="1"/>
  <c r="U202" i="230" s="1"/>
  <c r="I202" i="230" a="1"/>
  <c r="F202" i="230" a="1"/>
  <c r="F202" i="230" s="1"/>
  <c r="G202" i="230" s="1"/>
  <c r="T202" i="230" s="1"/>
  <c r="I201" i="230" a="1"/>
  <c r="I201" i="230" s="1"/>
  <c r="J201" i="230" s="1"/>
  <c r="U201" i="230" s="1"/>
  <c r="F201" i="230" a="1"/>
  <c r="F201" i="230" s="1"/>
  <c r="G201" i="230" s="1"/>
  <c r="T201" i="230" s="1"/>
  <c r="I200" i="230" a="1"/>
  <c r="I200" i="230" s="1"/>
  <c r="J200" i="230" s="1"/>
  <c r="U200" i="230" s="1"/>
  <c r="F200" i="230"/>
  <c r="G200" i="230" s="1"/>
  <c r="T200" i="230" s="1"/>
  <c r="F200" i="230" a="1"/>
  <c r="I199" i="230" a="1"/>
  <c r="I199" i="230" s="1"/>
  <c r="J199" i="230" s="1"/>
  <c r="U199" i="230" s="1"/>
  <c r="F199" i="230" a="1"/>
  <c r="F199" i="230" s="1"/>
  <c r="G199" i="230" s="1"/>
  <c r="T199" i="230" s="1"/>
  <c r="I198" i="230" a="1"/>
  <c r="I198" i="230" s="1"/>
  <c r="J198" i="230" s="1"/>
  <c r="U198" i="230" s="1"/>
  <c r="F198" i="230" a="1"/>
  <c r="F198" i="230" s="1"/>
  <c r="G198" i="230" s="1"/>
  <c r="T198" i="230" s="1"/>
  <c r="I197" i="230"/>
  <c r="J197" i="230" s="1"/>
  <c r="U197" i="230" s="1"/>
  <c r="I197" i="230" a="1"/>
  <c r="F197" i="230" a="1"/>
  <c r="F197" i="230" s="1"/>
  <c r="G197" i="230" s="1"/>
  <c r="T197" i="230" s="1"/>
  <c r="I196" i="230" a="1"/>
  <c r="I196" i="230" s="1"/>
  <c r="J196" i="230" s="1"/>
  <c r="U196" i="230" s="1"/>
  <c r="F196" i="230"/>
  <c r="G196" i="230" s="1"/>
  <c r="T196" i="230" s="1"/>
  <c r="F196" i="230" a="1"/>
  <c r="I195" i="230" a="1"/>
  <c r="I195" i="230" s="1"/>
  <c r="J195" i="230" s="1"/>
  <c r="U195" i="230" s="1"/>
  <c r="F195" i="230" a="1"/>
  <c r="F195" i="230" s="1"/>
  <c r="G195" i="230" s="1"/>
  <c r="T195" i="230" s="1"/>
  <c r="I194" i="230" a="1"/>
  <c r="I194" i="230" s="1"/>
  <c r="J194" i="230" s="1"/>
  <c r="F194" i="230" a="1"/>
  <c r="F194" i="230" s="1"/>
  <c r="G194" i="230" s="1"/>
  <c r="I193" i="230"/>
  <c r="J193" i="230" s="1"/>
  <c r="I193" i="230" a="1"/>
  <c r="F193" i="230" a="1"/>
  <c r="F193" i="230" s="1"/>
  <c r="G193" i="230" s="1"/>
  <c r="I192" i="230" a="1"/>
  <c r="I192" i="230" s="1"/>
  <c r="J192" i="230" s="1"/>
  <c r="F192" i="230" a="1"/>
  <c r="F192" i="230" s="1"/>
  <c r="G192" i="230" s="1"/>
  <c r="I191" i="230" a="1"/>
  <c r="I191" i="230" s="1"/>
  <c r="J191" i="230" s="1"/>
  <c r="U191" i="230" s="1"/>
  <c r="F191" i="230"/>
  <c r="G191" i="230" s="1"/>
  <c r="T191" i="230" s="1"/>
  <c r="F191" i="230" a="1"/>
  <c r="I190" i="230" a="1"/>
  <c r="I190" i="230" s="1"/>
  <c r="J190" i="230" s="1"/>
  <c r="K287" i="230" s="1"/>
  <c r="M287" i="230" s="1"/>
  <c r="F190" i="230"/>
  <c r="G190" i="230" s="1"/>
  <c r="F287" i="230" s="1"/>
  <c r="H287" i="230" s="1"/>
  <c r="F190" i="230" a="1"/>
  <c r="I189" i="230" a="1"/>
  <c r="I189" i="230" s="1"/>
  <c r="J189" i="230" s="1"/>
  <c r="F189" i="230"/>
  <c r="G189" i="230" s="1"/>
  <c r="F189" i="230" a="1"/>
  <c r="I188" i="230" a="1"/>
  <c r="I188" i="230" s="1"/>
  <c r="J188" i="230" s="1"/>
  <c r="F188" i="230" a="1"/>
  <c r="F188" i="230" s="1"/>
  <c r="G188" i="230" s="1"/>
  <c r="I187" i="230" a="1"/>
  <c r="I187" i="230" s="1"/>
  <c r="J187" i="230" s="1"/>
  <c r="K289" i="230" s="1"/>
  <c r="M289" i="230" s="1"/>
  <c r="F187" i="230" a="1"/>
  <c r="F187" i="230" s="1"/>
  <c r="G187" i="230" s="1"/>
  <c r="F289" i="230" s="1"/>
  <c r="H289" i="230" s="1"/>
  <c r="I186" i="230" a="1"/>
  <c r="I186" i="230" s="1"/>
  <c r="J186" i="230" s="1"/>
  <c r="K297" i="230" s="1"/>
  <c r="M297" i="230" s="1"/>
  <c r="F186" i="230" a="1"/>
  <c r="F186" i="230" s="1"/>
  <c r="G186" i="230" s="1"/>
  <c r="F297" i="230" s="1"/>
  <c r="H297" i="230" s="1"/>
  <c r="I185" i="230" a="1"/>
  <c r="I185" i="230" s="1"/>
  <c r="F185" i="230" a="1"/>
  <c r="F185" i="230" s="1"/>
  <c r="G185" i="230" s="1"/>
  <c r="L183" i="230"/>
  <c r="I182" i="230" a="1"/>
  <c r="I182" i="230" s="1"/>
  <c r="F182" i="230" a="1"/>
  <c r="F182" i="230" s="1"/>
  <c r="G182" i="230" s="1"/>
  <c r="T182" i="230" s="1"/>
  <c r="I181" i="230" a="1"/>
  <c r="I181" i="230" s="1"/>
  <c r="F181" i="230" a="1"/>
  <c r="F181" i="230" s="1"/>
  <c r="G181" i="230" s="1"/>
  <c r="T181" i="230" s="1"/>
  <c r="I180" i="230" a="1"/>
  <c r="I180" i="230" s="1"/>
  <c r="F180" i="230" a="1"/>
  <c r="F180" i="230" s="1"/>
  <c r="G180" i="230" s="1"/>
  <c r="T180" i="230" s="1"/>
  <c r="I179" i="230" a="1"/>
  <c r="I179" i="230" s="1"/>
  <c r="F179" i="230" a="1"/>
  <c r="F179" i="230" s="1"/>
  <c r="G179" i="230" s="1"/>
  <c r="T179" i="230" s="1"/>
  <c r="I178" i="230" a="1"/>
  <c r="I178" i="230" s="1"/>
  <c r="F178" i="230" a="1"/>
  <c r="F178" i="230" s="1"/>
  <c r="G178" i="230" s="1"/>
  <c r="T178" i="230" s="1"/>
  <c r="I177" i="230" a="1"/>
  <c r="I177" i="230" s="1"/>
  <c r="F177" i="230" a="1"/>
  <c r="F177" i="230" s="1"/>
  <c r="G177" i="230" s="1"/>
  <c r="T177" i="230" s="1"/>
  <c r="I176" i="230" a="1"/>
  <c r="I176" i="230" s="1"/>
  <c r="F176" i="230" a="1"/>
  <c r="F176" i="230" s="1"/>
  <c r="G176" i="230" s="1"/>
  <c r="T176" i="230" s="1"/>
  <c r="I175" i="230" a="1"/>
  <c r="I175" i="230" s="1"/>
  <c r="F175" i="230" a="1"/>
  <c r="F175" i="230" s="1"/>
  <c r="G175" i="230" s="1"/>
  <c r="T175" i="230" s="1"/>
  <c r="I174" i="230" a="1"/>
  <c r="I174" i="230" s="1"/>
  <c r="F174" i="230" a="1"/>
  <c r="F174" i="230" s="1"/>
  <c r="G174" i="230" s="1"/>
  <c r="T174" i="230" s="1"/>
  <c r="I173" i="230" a="1"/>
  <c r="I173" i="230" s="1"/>
  <c r="F173" i="230" a="1"/>
  <c r="F173" i="230" s="1"/>
  <c r="G173" i="230" s="1"/>
  <c r="T173" i="230" s="1"/>
  <c r="I172" i="230" a="1"/>
  <c r="I172" i="230" s="1"/>
  <c r="F172" i="230" a="1"/>
  <c r="F172" i="230" s="1"/>
  <c r="G172" i="230" s="1"/>
  <c r="T172" i="230" s="1"/>
  <c r="F171" i="230" a="1"/>
  <c r="F171" i="230" s="1"/>
  <c r="G171" i="230" s="1"/>
  <c r="I171" i="230" a="1"/>
  <c r="I171" i="230" s="1"/>
  <c r="I170" i="230" a="1"/>
  <c r="I170" i="230" s="1"/>
  <c r="F170" i="230" a="1"/>
  <c r="F170" i="230" s="1"/>
  <c r="G170" i="230" s="1"/>
  <c r="T170" i="230" s="1"/>
  <c r="I169" i="230" a="1"/>
  <c r="I169" i="230" s="1"/>
  <c r="F169" i="230"/>
  <c r="G169" i="230" s="1"/>
  <c r="T169" i="230" s="1"/>
  <c r="F169" i="230" a="1"/>
  <c r="I168" i="230" a="1"/>
  <c r="I168" i="230" s="1"/>
  <c r="F168" i="230" a="1"/>
  <c r="F168" i="230" s="1"/>
  <c r="G168" i="230" s="1"/>
  <c r="T168" i="230" s="1"/>
  <c r="I167" i="230" a="1"/>
  <c r="I167" i="230" s="1"/>
  <c r="F167" i="230" a="1"/>
  <c r="F167" i="230" s="1"/>
  <c r="G167" i="230" s="1"/>
  <c r="T167" i="230" s="1"/>
  <c r="I166" i="230" a="1"/>
  <c r="I166" i="230" s="1"/>
  <c r="F166" i="230" a="1"/>
  <c r="F166" i="230" s="1"/>
  <c r="G166" i="230" s="1"/>
  <c r="T166" i="230" s="1"/>
  <c r="I165" i="230" a="1"/>
  <c r="I165" i="230" s="1"/>
  <c r="F165" i="230" a="1"/>
  <c r="F165" i="230" s="1"/>
  <c r="G165" i="230" s="1"/>
  <c r="T165" i="230" s="1"/>
  <c r="I164" i="230" a="1"/>
  <c r="I164" i="230" s="1"/>
  <c r="F164" i="230" a="1"/>
  <c r="F164" i="230" s="1"/>
  <c r="G164" i="230" s="1"/>
  <c r="T164" i="230" s="1"/>
  <c r="I163" i="230" a="1"/>
  <c r="I163" i="230" s="1"/>
  <c r="F163" i="230" a="1"/>
  <c r="F163" i="230" s="1"/>
  <c r="G163" i="230" s="1"/>
  <c r="T163" i="230" s="1"/>
  <c r="I162" i="230" a="1"/>
  <c r="I162" i="230" s="1"/>
  <c r="F162" i="230" a="1"/>
  <c r="F162" i="230" s="1"/>
  <c r="G162" i="230" s="1"/>
  <c r="T162" i="230" s="1"/>
  <c r="I161" i="230" a="1"/>
  <c r="I161" i="230" s="1"/>
  <c r="F161" i="230" a="1"/>
  <c r="F161" i="230" s="1"/>
  <c r="G161" i="230" s="1"/>
  <c r="T161" i="230" s="1"/>
  <c r="I160" i="230" a="1"/>
  <c r="I160" i="230" s="1"/>
  <c r="F160" i="230" a="1"/>
  <c r="F160" i="230" s="1"/>
  <c r="G160" i="230" s="1"/>
  <c r="T160" i="230" s="1"/>
  <c r="I159" i="230" a="1"/>
  <c r="I159" i="230" s="1"/>
  <c r="F159" i="230" a="1"/>
  <c r="F159" i="230" s="1"/>
  <c r="G159" i="230" s="1"/>
  <c r="T159" i="230" s="1"/>
  <c r="I158" i="230" a="1"/>
  <c r="I158" i="230" s="1"/>
  <c r="F158" i="230" a="1"/>
  <c r="F158" i="230" s="1"/>
  <c r="G158" i="230" s="1"/>
  <c r="T158" i="230" s="1"/>
  <c r="I157" i="230" a="1"/>
  <c r="I157" i="230" s="1"/>
  <c r="F157" i="230" a="1"/>
  <c r="F157" i="230" s="1"/>
  <c r="G157" i="230" s="1"/>
  <c r="T157" i="230" s="1"/>
  <c r="I156" i="230" a="1"/>
  <c r="I156" i="230" s="1"/>
  <c r="J156" i="230" s="1"/>
  <c r="U156" i="230" s="1"/>
  <c r="F156" i="230" a="1"/>
  <c r="F156" i="230" s="1"/>
  <c r="G156" i="230" s="1"/>
  <c r="T156" i="230" s="1"/>
  <c r="F155" i="230" a="1"/>
  <c r="F155" i="230" s="1"/>
  <c r="G155" i="230" s="1"/>
  <c r="I155" i="230" a="1"/>
  <c r="I155" i="230" s="1"/>
  <c r="J155" i="230" s="1"/>
  <c r="I154" i="230" a="1"/>
  <c r="I154" i="230" s="1"/>
  <c r="J154" i="230" s="1"/>
  <c r="U154" i="230" s="1"/>
  <c r="F154" i="230" a="1"/>
  <c r="F154" i="230" s="1"/>
  <c r="G154" i="230" s="1"/>
  <c r="T154" i="230" s="1"/>
  <c r="I153" i="230" a="1"/>
  <c r="I153" i="230" s="1"/>
  <c r="J153" i="230" s="1"/>
  <c r="U153" i="230" s="1"/>
  <c r="F153" i="230" a="1"/>
  <c r="F153" i="230" s="1"/>
  <c r="G153" i="230" s="1"/>
  <c r="T153" i="230" s="1"/>
  <c r="I152" i="230" a="1"/>
  <c r="I152" i="230" s="1"/>
  <c r="J152" i="230" s="1"/>
  <c r="U152" i="230" s="1"/>
  <c r="F152" i="230" a="1"/>
  <c r="F152" i="230" s="1"/>
  <c r="G152" i="230" s="1"/>
  <c r="T152" i="230" s="1"/>
  <c r="I151" i="230" a="1"/>
  <c r="I151" i="230" s="1"/>
  <c r="J151" i="230" s="1"/>
  <c r="U151" i="230" s="1"/>
  <c r="F151" i="230" a="1"/>
  <c r="F151" i="230" s="1"/>
  <c r="G151" i="230" s="1"/>
  <c r="T151" i="230" s="1"/>
  <c r="I150" i="230" a="1"/>
  <c r="I150" i="230" s="1"/>
  <c r="F150" i="230"/>
  <c r="G150" i="230" s="1"/>
  <c r="T150" i="230" s="1"/>
  <c r="F150" i="230" a="1"/>
  <c r="I149" i="230"/>
  <c r="J149" i="230" s="1"/>
  <c r="U149" i="230" s="1"/>
  <c r="I149" i="230" a="1"/>
  <c r="F149" i="230" a="1"/>
  <c r="F149" i="230" s="1"/>
  <c r="I148" i="230" a="1"/>
  <c r="I148" i="230" s="1"/>
  <c r="J148" i="230" s="1"/>
  <c r="F148" i="230" a="1"/>
  <c r="F148" i="230" s="1"/>
  <c r="G148" i="230" s="1"/>
  <c r="I147" i="230" a="1"/>
  <c r="I147" i="230" s="1"/>
  <c r="J147" i="230" s="1"/>
  <c r="U147" i="230" s="1"/>
  <c r="F147" i="230" a="1"/>
  <c r="F147" i="230" s="1"/>
  <c r="G147" i="230" s="1"/>
  <c r="T147" i="230" s="1"/>
  <c r="I146" i="230" a="1"/>
  <c r="I146" i="230" s="1"/>
  <c r="J146" i="230" s="1"/>
  <c r="U146" i="230" s="1"/>
  <c r="F146" i="230" a="1"/>
  <c r="F146" i="230" s="1"/>
  <c r="G146" i="230" s="1"/>
  <c r="T146" i="230" s="1"/>
  <c r="I145" i="230" a="1"/>
  <c r="I145" i="230" s="1"/>
  <c r="J145" i="230" s="1"/>
  <c r="U145" i="230" s="1"/>
  <c r="F145" i="230" a="1"/>
  <c r="F145" i="230" s="1"/>
  <c r="G145" i="230" s="1"/>
  <c r="T145" i="230" s="1"/>
  <c r="I144" i="230" a="1"/>
  <c r="I144" i="230" s="1"/>
  <c r="J144" i="230" s="1"/>
  <c r="F144" i="230" a="1"/>
  <c r="F144" i="230" s="1"/>
  <c r="G144" i="230" s="1"/>
  <c r="I143" i="230" a="1"/>
  <c r="I143" i="230" s="1"/>
  <c r="J143" i="230" s="1"/>
  <c r="F143" i="230" a="1"/>
  <c r="F143" i="230" s="1"/>
  <c r="G143" i="230" s="1"/>
  <c r="I142" i="230" a="1"/>
  <c r="I142" i="230" s="1"/>
  <c r="J142" i="230" s="1"/>
  <c r="F142" i="230" a="1"/>
  <c r="F142" i="230" s="1"/>
  <c r="G142" i="230" s="1"/>
  <c r="I141" i="230" a="1"/>
  <c r="I141" i="230" s="1"/>
  <c r="F141" i="230" a="1"/>
  <c r="F141" i="230" s="1"/>
  <c r="G141" i="230" s="1"/>
  <c r="T141" i="230" s="1"/>
  <c r="I140" i="230" a="1"/>
  <c r="I140" i="230" s="1"/>
  <c r="F140" i="230" a="1"/>
  <c r="F140" i="230" s="1"/>
  <c r="G140" i="230" s="1"/>
  <c r="T140" i="230" s="1"/>
  <c r="I139" i="230" a="1"/>
  <c r="I139" i="230" s="1"/>
  <c r="J139" i="230" s="1"/>
  <c r="F139" i="230" a="1"/>
  <c r="F139" i="230" s="1"/>
  <c r="G139" i="230" s="1"/>
  <c r="I138" i="230" a="1"/>
  <c r="I138" i="230" s="1"/>
  <c r="J138" i="230" s="1"/>
  <c r="U138" i="230" s="1"/>
  <c r="F138" i="230" a="1"/>
  <c r="F138" i="230" s="1"/>
  <c r="G138" i="230" s="1"/>
  <c r="T138" i="230" s="1"/>
  <c r="I137" i="230" a="1"/>
  <c r="I137" i="230" s="1"/>
  <c r="F137" i="230" a="1"/>
  <c r="F137" i="230" s="1"/>
  <c r="G137" i="230" s="1"/>
  <c r="T137" i="230" s="1"/>
  <c r="I136" i="230" a="1"/>
  <c r="I136" i="230" s="1"/>
  <c r="F136" i="230" a="1"/>
  <c r="F136" i="230" s="1"/>
  <c r="G136" i="230" s="1"/>
  <c r="T136" i="230" s="1"/>
  <c r="I135" i="230" a="1"/>
  <c r="I135" i="230" s="1"/>
  <c r="J135" i="230" s="1"/>
  <c r="U135" i="230" s="1"/>
  <c r="F135" i="230" a="1"/>
  <c r="F135" i="230" s="1"/>
  <c r="G135" i="230" s="1"/>
  <c r="T135" i="230" s="1"/>
  <c r="I134" i="230" a="1"/>
  <c r="I134" i="230" s="1"/>
  <c r="F134" i="230" a="1"/>
  <c r="F134" i="230" s="1"/>
  <c r="G134" i="230" s="1"/>
  <c r="T134" i="230" s="1"/>
  <c r="F133" i="230" a="1"/>
  <c r="F133" i="230" s="1"/>
  <c r="G133" i="230" s="1"/>
  <c r="I133" i="230" a="1"/>
  <c r="I133" i="230" s="1"/>
  <c r="F132" i="230" a="1"/>
  <c r="F132" i="230" s="1"/>
  <c r="G132" i="230" s="1"/>
  <c r="I132" i="230" a="1"/>
  <c r="I132" i="230" s="1"/>
  <c r="F131" i="230" a="1"/>
  <c r="F131" i="230" s="1"/>
  <c r="G131" i="230" s="1"/>
  <c r="I131" i="230" a="1"/>
  <c r="I131" i="230" s="1"/>
  <c r="F130" i="230" a="1"/>
  <c r="F130" i="230" s="1"/>
  <c r="G130" i="230" s="1"/>
  <c r="I130" i="230" a="1"/>
  <c r="I130" i="230" s="1"/>
  <c r="F129" i="230" a="1"/>
  <c r="F129" i="230" s="1"/>
  <c r="G129" i="230" s="1"/>
  <c r="I129" i="230" a="1"/>
  <c r="I129" i="230" s="1"/>
  <c r="I128" i="230" a="1"/>
  <c r="I128" i="230" s="1"/>
  <c r="J128" i="230" s="1"/>
  <c r="F128" i="230" a="1"/>
  <c r="F128" i="230" s="1"/>
  <c r="G128" i="230" s="1"/>
  <c r="I127" i="230" a="1"/>
  <c r="I127" i="230" s="1"/>
  <c r="J127" i="230"/>
  <c r="F127" i="230" a="1"/>
  <c r="F127" i="230" s="1"/>
  <c r="G127" i="230" s="1"/>
  <c r="F126" i="230" a="1"/>
  <c r="F126" i="230" s="1"/>
  <c r="G126" i="230" s="1"/>
  <c r="I126" i="230" a="1"/>
  <c r="I126" i="230" s="1"/>
  <c r="J126" i="230" s="1"/>
  <c r="I125" i="230" a="1"/>
  <c r="I125" i="230" s="1"/>
  <c r="J125" i="230" s="1"/>
  <c r="F125" i="230" a="1"/>
  <c r="F125" i="230" s="1"/>
  <c r="G125" i="230" s="1"/>
  <c r="I124" i="230" a="1"/>
  <c r="I124" i="230" s="1"/>
  <c r="J124" i="230" s="1"/>
  <c r="F124" i="230" a="1"/>
  <c r="F124" i="230" s="1"/>
  <c r="G124" i="230" s="1"/>
  <c r="I123" i="230" a="1"/>
  <c r="I123" i="230" s="1"/>
  <c r="J123" i="230" s="1"/>
  <c r="U123" i="230" s="1"/>
  <c r="F123" i="230" a="1"/>
  <c r="F123" i="230" s="1"/>
  <c r="G123" i="230" s="1"/>
  <c r="T123" i="230" s="1"/>
  <c r="I122" i="230" a="1"/>
  <c r="I122" i="230" s="1"/>
  <c r="F122" i="230"/>
  <c r="G122" i="230" s="1"/>
  <c r="F122" i="230" a="1"/>
  <c r="I121" i="230" a="1"/>
  <c r="I121" i="230" s="1"/>
  <c r="J121" i="230" s="1"/>
  <c r="U121" i="230" s="1"/>
  <c r="F121" i="230" a="1"/>
  <c r="F121" i="230" s="1"/>
  <c r="G121" i="230" s="1"/>
  <c r="T121" i="230" s="1"/>
  <c r="I120" i="230" a="1"/>
  <c r="I120" i="230" s="1"/>
  <c r="G120" i="230"/>
  <c r="T120" i="230" s="1"/>
  <c r="F120" i="230" a="1"/>
  <c r="F120" i="230" s="1"/>
  <c r="F119" i="230" a="1"/>
  <c r="F119" i="230" s="1"/>
  <c r="G119" i="230" s="1"/>
  <c r="I119" i="230" a="1"/>
  <c r="I119" i="230" s="1"/>
  <c r="J119" i="230" s="1"/>
  <c r="I118" i="230" a="1"/>
  <c r="I118" i="230" s="1"/>
  <c r="J118" i="230" s="1"/>
  <c r="U118" i="230" s="1"/>
  <c r="F118" i="230" a="1"/>
  <c r="F118" i="230" s="1"/>
  <c r="G118" i="230" s="1"/>
  <c r="T118" i="230" s="1"/>
  <c r="F117" i="230" a="1"/>
  <c r="F117" i="230" s="1"/>
  <c r="G117" i="230" s="1"/>
  <c r="I117" i="230" a="1"/>
  <c r="I117" i="230" s="1"/>
  <c r="J117" i="230" s="1"/>
  <c r="I116" i="230" a="1"/>
  <c r="I116" i="230" s="1"/>
  <c r="F116" i="230" a="1"/>
  <c r="F116" i="230" s="1"/>
  <c r="G116" i="230" s="1"/>
  <c r="T116" i="230" s="1"/>
  <c r="I115" i="230" a="1"/>
  <c r="I115" i="230" s="1"/>
  <c r="J115" i="230" s="1"/>
  <c r="F115" i="230" a="1"/>
  <c r="F115" i="230" s="1"/>
  <c r="G115" i="230" s="1"/>
  <c r="I114" i="230" a="1"/>
  <c r="I114" i="230" s="1"/>
  <c r="J114" i="230" s="1"/>
  <c r="U114" i="230" s="1"/>
  <c r="F114" i="230" a="1"/>
  <c r="F114" i="230" s="1"/>
  <c r="G114" i="230" s="1"/>
  <c r="T114" i="230" s="1"/>
  <c r="I113" i="230" a="1"/>
  <c r="I113" i="230" s="1"/>
  <c r="J113" i="230" s="1"/>
  <c r="U113" i="230" s="1"/>
  <c r="F113" i="230" a="1"/>
  <c r="F113" i="230" s="1"/>
  <c r="G113" i="230" s="1"/>
  <c r="T113" i="230" s="1"/>
  <c r="I112" i="230" a="1"/>
  <c r="I112" i="230" s="1"/>
  <c r="J112" i="230" s="1"/>
  <c r="U112" i="230" s="1"/>
  <c r="F112" i="230" a="1"/>
  <c r="F112" i="230" s="1"/>
  <c r="G112" i="230" s="1"/>
  <c r="T112" i="230" s="1"/>
  <c r="I111" i="230" a="1"/>
  <c r="I111" i="230" s="1"/>
  <c r="J111" i="230" s="1"/>
  <c r="U111" i="230" s="1"/>
  <c r="F111" i="230" a="1"/>
  <c r="F111" i="230" s="1"/>
  <c r="G111" i="230" s="1"/>
  <c r="T111" i="230" s="1"/>
  <c r="I110" i="230" a="1"/>
  <c r="I110" i="230" s="1"/>
  <c r="G110" i="230"/>
  <c r="T110" i="230" s="1"/>
  <c r="F110" i="230" a="1"/>
  <c r="F110" i="230" s="1"/>
  <c r="I109" i="230" a="1"/>
  <c r="I109" i="230" s="1"/>
  <c r="J109" i="230" s="1"/>
  <c r="F109" i="230" a="1"/>
  <c r="F109" i="230" s="1"/>
  <c r="G109" i="230" s="1"/>
  <c r="I108" i="230" a="1"/>
  <c r="I108" i="230" s="1"/>
  <c r="F108" i="230" a="1"/>
  <c r="F108" i="230" s="1"/>
  <c r="G108" i="230" s="1"/>
  <c r="T108" i="230" s="1"/>
  <c r="I107" i="230" a="1"/>
  <c r="I107" i="230" s="1"/>
  <c r="F107" i="230" a="1"/>
  <c r="F107" i="230" s="1"/>
  <c r="G107" i="230" s="1"/>
  <c r="T107" i="230" s="1"/>
  <c r="I106" i="230" a="1"/>
  <c r="I106" i="230" s="1"/>
  <c r="J106" i="230" s="1"/>
  <c r="F106" i="230" a="1"/>
  <c r="F106" i="230" s="1"/>
  <c r="G106" i="230" s="1"/>
  <c r="F105" i="230" a="1"/>
  <c r="F105" i="230" s="1"/>
  <c r="G105" i="230" s="1"/>
  <c r="I105" i="230" a="1"/>
  <c r="I105" i="230" s="1"/>
  <c r="I104" i="230" a="1"/>
  <c r="I104" i="230" s="1"/>
  <c r="F104" i="230" a="1"/>
  <c r="F104" i="230" s="1"/>
  <c r="G104" i="230" s="1"/>
  <c r="I103" i="230" a="1"/>
  <c r="I103" i="230" s="1"/>
  <c r="J103" i="230" s="1"/>
  <c r="U103" i="230" s="1"/>
  <c r="F103" i="230" a="1"/>
  <c r="F103" i="230" s="1"/>
  <c r="G103" i="230" s="1"/>
  <c r="T103" i="230" s="1"/>
  <c r="I102" i="230" a="1"/>
  <c r="I102" i="230" s="1"/>
  <c r="J102" i="230" s="1"/>
  <c r="U102" i="230" s="1"/>
  <c r="F102" i="230" a="1"/>
  <c r="F102" i="230" s="1"/>
  <c r="G102" i="230" s="1"/>
  <c r="T102" i="230" s="1"/>
  <c r="I101" i="230" a="1"/>
  <c r="I101" i="230" s="1"/>
  <c r="J101" i="230" s="1"/>
  <c r="F101" i="230" a="1"/>
  <c r="F101" i="230" s="1"/>
  <c r="I100" i="230"/>
  <c r="J100" i="230" s="1"/>
  <c r="K277" i="230" s="1"/>
  <c r="M277" i="230" s="1"/>
  <c r="I100" i="230" a="1"/>
  <c r="F100" i="230" a="1"/>
  <c r="F100" i="230" s="1"/>
  <c r="I99" i="230" a="1"/>
  <c r="I99" i="230" s="1"/>
  <c r="J99" i="230" s="1"/>
  <c r="U99" i="230" s="1"/>
  <c r="F99" i="230"/>
  <c r="G99" i="230" s="1"/>
  <c r="T99" i="230" s="1"/>
  <c r="F99" i="230" a="1"/>
  <c r="F98" i="230" a="1"/>
  <c r="F98" i="230" s="1"/>
  <c r="G98" i="230" s="1"/>
  <c r="I98" i="230" a="1"/>
  <c r="I98" i="230" s="1"/>
  <c r="I97" i="230" a="1"/>
  <c r="I97" i="230" s="1"/>
  <c r="J97" i="230" s="1"/>
  <c r="U97" i="230" s="1"/>
  <c r="F97" i="230" a="1"/>
  <c r="F97" i="230" s="1"/>
  <c r="G97" i="230" s="1"/>
  <c r="T97" i="230" s="1"/>
  <c r="F96" i="230" a="1"/>
  <c r="F96" i="230" s="1"/>
  <c r="G96" i="230" s="1"/>
  <c r="I96" i="230" a="1"/>
  <c r="I96" i="230" s="1"/>
  <c r="I95" i="230" a="1"/>
  <c r="I95" i="230" s="1"/>
  <c r="J95" i="230" s="1"/>
  <c r="F95" i="230" a="1"/>
  <c r="F95" i="230" s="1"/>
  <c r="G95" i="230" s="1"/>
  <c r="I94" i="230"/>
  <c r="J94" i="230" s="1"/>
  <c r="I94" i="230" a="1"/>
  <c r="F94" i="230" a="1"/>
  <c r="F94" i="230" s="1"/>
  <c r="G94" i="230" s="1"/>
  <c r="I93" i="230" a="1"/>
  <c r="I93" i="230" s="1"/>
  <c r="J93" i="230" s="1"/>
  <c r="F93" i="230" a="1"/>
  <c r="F93" i="230" s="1"/>
  <c r="G93" i="230" s="1"/>
  <c r="I92" i="230" a="1"/>
  <c r="I92" i="230" s="1"/>
  <c r="J92" i="230" s="1"/>
  <c r="U92" i="230" s="1"/>
  <c r="F92" i="230" a="1"/>
  <c r="F92" i="230" s="1"/>
  <c r="I91" i="230" a="1"/>
  <c r="I91" i="230" s="1"/>
  <c r="J91" i="230" s="1"/>
  <c r="U91" i="230" s="1"/>
  <c r="F91" i="230" a="1"/>
  <c r="F91" i="230" s="1"/>
  <c r="F90" i="230" a="1"/>
  <c r="F90" i="230" s="1"/>
  <c r="G90" i="230" s="1"/>
  <c r="I90" i="230" a="1"/>
  <c r="I90" i="230" s="1"/>
  <c r="J90" i="230" s="1"/>
  <c r="F89" i="230" a="1"/>
  <c r="F89" i="230" s="1"/>
  <c r="G89" i="230" s="1"/>
  <c r="I89" i="230" a="1"/>
  <c r="I89" i="230" s="1"/>
  <c r="J89" i="230" s="1"/>
  <c r="I88" i="230" a="1"/>
  <c r="I88" i="230" s="1"/>
  <c r="J88" i="230" s="1"/>
  <c r="U88" i="230" s="1"/>
  <c r="F88" i="230" a="1"/>
  <c r="F88" i="230" s="1"/>
  <c r="G88" i="230" s="1"/>
  <c r="T88" i="230" s="1"/>
  <c r="I87" i="230" a="1"/>
  <c r="I87" i="230" s="1"/>
  <c r="J87" i="230" s="1"/>
  <c r="U87" i="230" s="1"/>
  <c r="F87" i="230" a="1"/>
  <c r="F87" i="230" s="1"/>
  <c r="F86" i="230" a="1"/>
  <c r="F86" i="230" s="1"/>
  <c r="G86" i="230" s="1"/>
  <c r="I86" i="230" a="1"/>
  <c r="I86" i="230" s="1"/>
  <c r="I85" i="230" a="1"/>
  <c r="I85" i="230" s="1"/>
  <c r="J85" i="230" s="1"/>
  <c r="F85" i="230" a="1"/>
  <c r="F85" i="230" s="1"/>
  <c r="G85" i="230" s="1"/>
  <c r="I84" i="230" a="1"/>
  <c r="I84" i="230" s="1"/>
  <c r="J84" i="230" s="1"/>
  <c r="F84" i="230" a="1"/>
  <c r="F84" i="230" s="1"/>
  <c r="G84" i="230" s="1"/>
  <c r="I83" i="230" a="1"/>
  <c r="I83" i="230" s="1"/>
  <c r="J83" i="230" s="1"/>
  <c r="F83" i="230" a="1"/>
  <c r="F83" i="230" s="1"/>
  <c r="G83" i="230" s="1"/>
  <c r="I82" i="230" a="1"/>
  <c r="I82" i="230" s="1"/>
  <c r="J82" i="230" s="1"/>
  <c r="U82" i="230" s="1"/>
  <c r="F82" i="230" a="1"/>
  <c r="F82" i="230" s="1"/>
  <c r="G82" i="230" s="1"/>
  <c r="T82" i="230" s="1"/>
  <c r="I81" i="230" a="1"/>
  <c r="I81" i="230" s="1"/>
  <c r="J81" i="230" s="1"/>
  <c r="F81" i="230" a="1"/>
  <c r="F81" i="230" s="1"/>
  <c r="G81" i="230" s="1"/>
  <c r="I80" i="230" a="1"/>
  <c r="I80" i="230" s="1"/>
  <c r="J80" i="230" s="1"/>
  <c r="F80" i="230" a="1"/>
  <c r="F80" i="230" s="1"/>
  <c r="G80" i="230" s="1"/>
  <c r="I79" i="230" a="1"/>
  <c r="I79" i="230" s="1"/>
  <c r="J79" i="230" s="1"/>
  <c r="F79" i="230" a="1"/>
  <c r="F79" i="230" s="1"/>
  <c r="G79" i="230" s="1"/>
  <c r="I78" i="230" a="1"/>
  <c r="I78" i="230" s="1"/>
  <c r="J78" i="230" s="1"/>
  <c r="F78" i="230" a="1"/>
  <c r="F78" i="230" s="1"/>
  <c r="G78" i="230" s="1"/>
  <c r="I77" i="230" a="1"/>
  <c r="I77" i="230" s="1"/>
  <c r="J77" i="230" s="1"/>
  <c r="F77" i="230" a="1"/>
  <c r="F77" i="230" s="1"/>
  <c r="G77" i="230" s="1"/>
  <c r="I76" i="230" a="1"/>
  <c r="I76" i="230" s="1"/>
  <c r="J76" i="230" s="1"/>
  <c r="F76" i="230" a="1"/>
  <c r="F76" i="230" s="1"/>
  <c r="G76" i="230" s="1"/>
  <c r="I75" i="230" a="1"/>
  <c r="I75" i="230" s="1"/>
  <c r="J75" i="230" s="1"/>
  <c r="F75" i="230" a="1"/>
  <c r="F75" i="230" s="1"/>
  <c r="G75" i="230" s="1"/>
  <c r="I74" i="230" a="1"/>
  <c r="I74" i="230" s="1"/>
  <c r="J74" i="230" s="1"/>
  <c r="F74" i="230" a="1"/>
  <c r="F74" i="230" s="1"/>
  <c r="G74" i="230" s="1"/>
  <c r="I73" i="230" a="1"/>
  <c r="I73" i="230" s="1"/>
  <c r="J73" i="230" s="1"/>
  <c r="F73" i="230" a="1"/>
  <c r="F73" i="230" s="1"/>
  <c r="G73" i="230" s="1"/>
  <c r="I72" i="230" a="1"/>
  <c r="I72" i="230" s="1"/>
  <c r="J72" i="230" s="1"/>
  <c r="F72" i="230" a="1"/>
  <c r="F72" i="230" s="1"/>
  <c r="G72" i="230" s="1"/>
  <c r="I71" i="230" a="1"/>
  <c r="I71" i="230" s="1"/>
  <c r="J71" i="230" s="1"/>
  <c r="F71" i="230" a="1"/>
  <c r="F71" i="230" s="1"/>
  <c r="G71" i="230" s="1"/>
  <c r="I70" i="230" a="1"/>
  <c r="I70" i="230" s="1"/>
  <c r="J70" i="230" s="1"/>
  <c r="F70" i="230" a="1"/>
  <c r="F70" i="230" s="1"/>
  <c r="G70" i="230" s="1"/>
  <c r="I69" i="230" a="1"/>
  <c r="I69" i="230" s="1"/>
  <c r="J69" i="230" s="1"/>
  <c r="F69" i="230" a="1"/>
  <c r="F69" i="230" s="1"/>
  <c r="G69" i="230" s="1"/>
  <c r="I68" i="230" a="1"/>
  <c r="I68" i="230" s="1"/>
  <c r="J68" i="230" s="1"/>
  <c r="F68" i="230" a="1"/>
  <c r="F68" i="230" s="1"/>
  <c r="G68" i="230" s="1"/>
  <c r="I67" i="230" a="1"/>
  <c r="I67" i="230" s="1"/>
  <c r="J67" i="230" s="1"/>
  <c r="F67" i="230" a="1"/>
  <c r="F67" i="230" s="1"/>
  <c r="G67" i="230" s="1"/>
  <c r="I66" i="230" a="1"/>
  <c r="I66" i="230" s="1"/>
  <c r="J66" i="230" s="1"/>
  <c r="F66" i="230" a="1"/>
  <c r="F66" i="230" s="1"/>
  <c r="G66" i="230" s="1"/>
  <c r="I65" i="230" a="1"/>
  <c r="I65" i="230" s="1"/>
  <c r="J65" i="230" s="1"/>
  <c r="F65" i="230" a="1"/>
  <c r="F65" i="230" s="1"/>
  <c r="G65" i="230" s="1"/>
  <c r="I64" i="230" a="1"/>
  <c r="I64" i="230" s="1"/>
  <c r="J64" i="230" s="1"/>
  <c r="F64" i="230" a="1"/>
  <c r="F64" i="230" s="1"/>
  <c r="G64" i="230" s="1"/>
  <c r="I63" i="230" a="1"/>
  <c r="I63" i="230" s="1"/>
  <c r="J63" i="230" s="1"/>
  <c r="F63" i="230" a="1"/>
  <c r="F63" i="230" s="1"/>
  <c r="G63" i="230" s="1"/>
  <c r="I62" i="230" a="1"/>
  <c r="I62" i="230" s="1"/>
  <c r="J62" i="230" s="1"/>
  <c r="F62" i="230" a="1"/>
  <c r="F62" i="230" s="1"/>
  <c r="G62" i="230" s="1"/>
  <c r="I61" i="230" a="1"/>
  <c r="I61" i="230" s="1"/>
  <c r="J61" i="230" s="1"/>
  <c r="F61" i="230" a="1"/>
  <c r="F61" i="230" s="1"/>
  <c r="G61" i="230" s="1"/>
  <c r="I60" i="230" a="1"/>
  <c r="I60" i="230" s="1"/>
  <c r="J60" i="230" s="1"/>
  <c r="F60" i="230" a="1"/>
  <c r="F60" i="230" s="1"/>
  <c r="G60" i="230" s="1"/>
  <c r="I59" i="230" a="1"/>
  <c r="I59" i="230" s="1"/>
  <c r="J59" i="230" s="1"/>
  <c r="F59" i="230" a="1"/>
  <c r="F59" i="230" s="1"/>
  <c r="G59" i="230" s="1"/>
  <c r="I58" i="230" a="1"/>
  <c r="I58" i="230" s="1"/>
  <c r="J58" i="230" s="1"/>
  <c r="F58" i="230" a="1"/>
  <c r="F58" i="230" s="1"/>
  <c r="G58" i="230" s="1"/>
  <c r="I57" i="230" a="1"/>
  <c r="I57" i="230" s="1"/>
  <c r="J57" i="230" s="1"/>
  <c r="F57" i="230" a="1"/>
  <c r="F57" i="230" s="1"/>
  <c r="G57" i="230" s="1"/>
  <c r="I56" i="230" a="1"/>
  <c r="I56" i="230" s="1"/>
  <c r="J56" i="230" s="1"/>
  <c r="F56" i="230" a="1"/>
  <c r="F56" i="230" s="1"/>
  <c r="G56" i="230" s="1"/>
  <c r="I55" i="230" a="1"/>
  <c r="I55" i="230" s="1"/>
  <c r="J55" i="230" s="1"/>
  <c r="F55" i="230" a="1"/>
  <c r="F55" i="230" s="1"/>
  <c r="G55" i="230" s="1"/>
  <c r="I54" i="230" a="1"/>
  <c r="I54" i="230" s="1"/>
  <c r="J54" i="230" s="1"/>
  <c r="F54" i="230" a="1"/>
  <c r="F54" i="230" s="1"/>
  <c r="G54" i="230" s="1"/>
  <c r="I53" i="230" a="1"/>
  <c r="I53" i="230" s="1"/>
  <c r="J53" i="230" s="1"/>
  <c r="F53" i="230" a="1"/>
  <c r="F53" i="230" s="1"/>
  <c r="G53" i="230" s="1"/>
  <c r="I52" i="230" a="1"/>
  <c r="I52" i="230" s="1"/>
  <c r="J52" i="230" s="1"/>
  <c r="F52" i="230" a="1"/>
  <c r="F52" i="230" s="1"/>
  <c r="G52" i="230" s="1"/>
  <c r="I51" i="230" a="1"/>
  <c r="I51" i="230" s="1"/>
  <c r="J51" i="230" s="1"/>
  <c r="F51" i="230" a="1"/>
  <c r="F51" i="230" s="1"/>
  <c r="G51" i="230" s="1"/>
  <c r="I50" i="230" a="1"/>
  <c r="I50" i="230" s="1"/>
  <c r="J50" i="230" s="1"/>
  <c r="F50" i="230" a="1"/>
  <c r="F50" i="230" s="1"/>
  <c r="G50" i="230" s="1"/>
  <c r="I49" i="230" a="1"/>
  <c r="I49" i="230" s="1"/>
  <c r="J49" i="230" s="1"/>
  <c r="F49" i="230" a="1"/>
  <c r="F49" i="230" s="1"/>
  <c r="G49" i="230" s="1"/>
  <c r="I48" i="230" a="1"/>
  <c r="I48" i="230" s="1"/>
  <c r="J48" i="230" s="1"/>
  <c r="F48" i="230" a="1"/>
  <c r="F48" i="230" s="1"/>
  <c r="G48" i="230" s="1"/>
  <c r="I47" i="230" a="1"/>
  <c r="I47" i="230" s="1"/>
  <c r="J47" i="230" s="1"/>
  <c r="F47" i="230" a="1"/>
  <c r="F47" i="230" s="1"/>
  <c r="G47" i="230" s="1"/>
  <c r="I46" i="230" a="1"/>
  <c r="I46" i="230" s="1"/>
  <c r="F46" i="230" a="1"/>
  <c r="F46" i="230" s="1"/>
  <c r="G46" i="230" s="1"/>
  <c r="T46" i="230" s="1"/>
  <c r="I45" i="230" a="1"/>
  <c r="I45" i="230" s="1"/>
  <c r="J45" i="230" s="1"/>
  <c r="F45" i="230" a="1"/>
  <c r="F45" i="230" s="1"/>
  <c r="G45" i="230" s="1"/>
  <c r="I44" i="230" a="1"/>
  <c r="I44" i="230" s="1"/>
  <c r="J44" i="230" s="1"/>
  <c r="F44" i="230" a="1"/>
  <c r="F44" i="230" s="1"/>
  <c r="G44" i="230" s="1"/>
  <c r="I43" i="230" a="1"/>
  <c r="I43" i="230" s="1"/>
  <c r="F43" i="230" a="1"/>
  <c r="F43" i="230" s="1"/>
  <c r="G43" i="230" s="1"/>
  <c r="T43" i="230" s="1"/>
  <c r="I42" i="230" a="1"/>
  <c r="I42" i="230" s="1"/>
  <c r="F42" i="230" a="1"/>
  <c r="F42" i="230" s="1"/>
  <c r="G42" i="230" s="1"/>
  <c r="I41" i="230" a="1"/>
  <c r="I41" i="230" s="1"/>
  <c r="J41" i="230" s="1"/>
  <c r="F41" i="230" a="1"/>
  <c r="F41" i="230" s="1"/>
  <c r="G41" i="230" s="1"/>
  <c r="I40" i="230" a="1"/>
  <c r="I40" i="230" s="1"/>
  <c r="J40" i="230" s="1"/>
  <c r="F40" i="230" a="1"/>
  <c r="F40" i="230" s="1"/>
  <c r="G40" i="230" s="1"/>
  <c r="I39" i="230" a="1"/>
  <c r="I39" i="230" s="1"/>
  <c r="J39" i="230" s="1"/>
  <c r="K281" i="230" s="1"/>
  <c r="M281" i="230" s="1"/>
  <c r="F39" i="230" a="1"/>
  <c r="F39" i="230" s="1"/>
  <c r="G39" i="230" s="1"/>
  <c r="F281" i="230" s="1"/>
  <c r="H281" i="230" s="1"/>
  <c r="I38" i="230"/>
  <c r="J38" i="230" s="1"/>
  <c r="K280" i="230" s="1"/>
  <c r="M280" i="230" s="1"/>
  <c r="I38" i="230" a="1"/>
  <c r="F38" i="230" a="1"/>
  <c r="F38" i="230" s="1"/>
  <c r="G38" i="230" s="1"/>
  <c r="F280" i="230" s="1"/>
  <c r="H280" i="230" s="1"/>
  <c r="I37" i="230" a="1"/>
  <c r="I37" i="230" s="1"/>
  <c r="J37" i="230" s="1"/>
  <c r="F37" i="230" a="1"/>
  <c r="F37" i="230" s="1"/>
  <c r="G37" i="230" s="1"/>
  <c r="I36" i="230" a="1"/>
  <c r="I36" i="230" s="1"/>
  <c r="F36" i="230"/>
  <c r="F36" i="230" a="1"/>
  <c r="L34" i="230"/>
  <c r="G34" i="230"/>
  <c r="F34" i="230"/>
  <c r="I33" i="230" a="1"/>
  <c r="I33" i="230" s="1"/>
  <c r="I34" i="230" s="1"/>
  <c r="L31" i="230"/>
  <c r="L262" i="230" s="1"/>
  <c r="I30" i="230" a="1"/>
  <c r="I30" i="230" s="1"/>
  <c r="J30" i="230" s="1"/>
  <c r="U30" i="230" s="1"/>
  <c r="F30" i="230" a="1"/>
  <c r="F30" i="230" s="1"/>
  <c r="G30" i="230" s="1"/>
  <c r="T30" i="230" s="1"/>
  <c r="I29" i="230" a="1"/>
  <c r="I29" i="230" s="1"/>
  <c r="J29" i="230" s="1"/>
  <c r="U29" i="230" s="1"/>
  <c r="F29" i="230" a="1"/>
  <c r="F29" i="230" s="1"/>
  <c r="G29" i="230" s="1"/>
  <c r="T29" i="230" s="1"/>
  <c r="I28" i="230" a="1"/>
  <c r="I28" i="230" s="1"/>
  <c r="J28" i="230" s="1"/>
  <c r="U28" i="230" s="1"/>
  <c r="F28" i="230" a="1"/>
  <c r="F28" i="230" s="1"/>
  <c r="G28" i="230" s="1"/>
  <c r="T28" i="230" s="1"/>
  <c r="I27" i="230" a="1"/>
  <c r="I27" i="230" s="1"/>
  <c r="J27" i="230" s="1"/>
  <c r="U27" i="230" s="1"/>
  <c r="F27" i="230" a="1"/>
  <c r="F27" i="230" s="1"/>
  <c r="G27" i="230" s="1"/>
  <c r="T27" i="230" s="1"/>
  <c r="I26" i="230" a="1"/>
  <c r="I26" i="230" s="1"/>
  <c r="J26" i="230" s="1"/>
  <c r="U26" i="230" s="1"/>
  <c r="F26" i="230" a="1"/>
  <c r="F26" i="230" s="1"/>
  <c r="I25" i="230" a="1"/>
  <c r="I25" i="230" s="1"/>
  <c r="J25" i="230" s="1"/>
  <c r="U25" i="230" s="1"/>
  <c r="F25" i="230" a="1"/>
  <c r="F25" i="230" s="1"/>
  <c r="G25" i="230" s="1"/>
  <c r="T25" i="230" s="1"/>
  <c r="I24" i="230" a="1"/>
  <c r="I24" i="230" s="1"/>
  <c r="J24" i="230" s="1"/>
  <c r="U24" i="230" s="1"/>
  <c r="F24" i="230" a="1"/>
  <c r="F24" i="230" s="1"/>
  <c r="G24" i="230" s="1"/>
  <c r="T24" i="230" s="1"/>
  <c r="I23" i="230" a="1"/>
  <c r="I23" i="230" s="1"/>
  <c r="J23" i="230" s="1"/>
  <c r="U23" i="230" s="1"/>
  <c r="F23" i="230" a="1"/>
  <c r="F23" i="230" s="1"/>
  <c r="G23" i="230" s="1"/>
  <c r="T23" i="230" s="1"/>
  <c r="I22" i="230" a="1"/>
  <c r="I22" i="230" s="1"/>
  <c r="J22" i="230" s="1"/>
  <c r="U22" i="230" s="1"/>
  <c r="F22" i="230" a="1"/>
  <c r="F22" i="230" s="1"/>
  <c r="G22" i="230" s="1"/>
  <c r="T22" i="230" s="1"/>
  <c r="I21" i="230" a="1"/>
  <c r="I21" i="230" s="1"/>
  <c r="J21" i="230" s="1"/>
  <c r="U21" i="230" s="1"/>
  <c r="F21" i="230" a="1"/>
  <c r="F21" i="230" s="1"/>
  <c r="G21" i="230" s="1"/>
  <c r="T21" i="230" s="1"/>
  <c r="I20" i="230"/>
  <c r="J20" i="230" s="1"/>
  <c r="U20" i="230" s="1"/>
  <c r="I20" i="230" a="1"/>
  <c r="F20" i="230" a="1"/>
  <c r="F20" i="230" s="1"/>
  <c r="G20" i="230" s="1"/>
  <c r="T20" i="230" s="1"/>
  <c r="I19" i="230" a="1"/>
  <c r="I19" i="230" s="1"/>
  <c r="J19" i="230" s="1"/>
  <c r="U19" i="230" s="1"/>
  <c r="F19" i="230" a="1"/>
  <c r="F19" i="230" s="1"/>
  <c r="G19" i="230" s="1"/>
  <c r="T19" i="230" s="1"/>
  <c r="I18" i="230" a="1"/>
  <c r="I18" i="230" s="1"/>
  <c r="J18" i="230" s="1"/>
  <c r="U18" i="230" s="1"/>
  <c r="F18" i="230" a="1"/>
  <c r="F18" i="230" s="1"/>
  <c r="G18" i="230" s="1"/>
  <c r="T18" i="230" s="1"/>
  <c r="I17" i="230" a="1"/>
  <c r="I17" i="230" s="1"/>
  <c r="J17" i="230" s="1"/>
  <c r="U17" i="230" s="1"/>
  <c r="F17" i="230" a="1"/>
  <c r="F17" i="230" s="1"/>
  <c r="G17" i="230" s="1"/>
  <c r="T17" i="230" s="1"/>
  <c r="I16" i="230" a="1"/>
  <c r="I16" i="230" s="1"/>
  <c r="J16" i="230" s="1"/>
  <c r="F16" i="230" a="1"/>
  <c r="F16" i="230" s="1"/>
  <c r="G16" i="230" s="1"/>
  <c r="I15" i="230" a="1"/>
  <c r="I15" i="230" s="1"/>
  <c r="J15" i="230" s="1"/>
  <c r="F15" i="230" a="1"/>
  <c r="F15" i="230" s="1"/>
  <c r="I14" i="230" a="1"/>
  <c r="I14" i="230" s="1"/>
  <c r="J14" i="230" s="1"/>
  <c r="F14" i="230" a="1"/>
  <c r="F14" i="230" s="1"/>
  <c r="G14" i="230" s="1"/>
  <c r="I13" i="230" a="1"/>
  <c r="I13" i="230" s="1"/>
  <c r="J13" i="230" s="1"/>
  <c r="U13" i="230" s="1"/>
  <c r="F13" i="230" a="1"/>
  <c r="F13" i="230" s="1"/>
  <c r="G13" i="230" s="1"/>
  <c r="T13" i="230" s="1"/>
  <c r="I12" i="230" a="1"/>
  <c r="I12" i="230" s="1"/>
  <c r="J12" i="230" s="1"/>
  <c r="F12" i="230" a="1"/>
  <c r="F12" i="230" s="1"/>
  <c r="I11" i="230" a="1"/>
  <c r="I11" i="230" s="1"/>
  <c r="J11" i="230" s="1"/>
  <c r="F11" i="230" a="1"/>
  <c r="F11" i="230" s="1"/>
  <c r="G11" i="230" s="1"/>
  <c r="A11" i="230"/>
  <c r="I10" i="230" a="1"/>
  <c r="I10" i="230" s="1"/>
  <c r="J10" i="230" s="1"/>
  <c r="F10" i="230" a="1"/>
  <c r="F10" i="230" s="1"/>
  <c r="G10" i="230" s="1"/>
  <c r="S7" i="230"/>
  <c r="R7" i="230"/>
  <c r="A4" i="230"/>
  <c r="A3" i="230"/>
  <c r="A2" i="230"/>
  <c r="A1" i="230"/>
  <c r="S118" i="229"/>
  <c r="Q118" i="229"/>
  <c r="D114" i="229"/>
  <c r="V113" i="229"/>
  <c r="U113" i="229"/>
  <c r="N113" i="229"/>
  <c r="N115" i="229" s="1"/>
  <c r="M113" i="229"/>
  <c r="F113" i="229"/>
  <c r="E113" i="229"/>
  <c r="Z108" i="229"/>
  <c r="S108" i="229"/>
  <c r="S110" i="229" s="1"/>
  <c r="R108" i="229"/>
  <c r="K108" i="229"/>
  <c r="J108" i="229"/>
  <c r="C108" i="229"/>
  <c r="N104" i="229"/>
  <c r="M104" i="229"/>
  <c r="L104" i="229"/>
  <c r="K104" i="229"/>
  <c r="J104" i="229"/>
  <c r="I104" i="229"/>
  <c r="H104" i="229"/>
  <c r="G104" i="229"/>
  <c r="F104" i="229"/>
  <c r="E104" i="229"/>
  <c r="D104" i="229"/>
  <c r="C104" i="229"/>
  <c r="N103" i="229"/>
  <c r="M103" i="229"/>
  <c r="L103" i="229"/>
  <c r="K103" i="229"/>
  <c r="J103" i="229"/>
  <c r="I103" i="229"/>
  <c r="H103" i="229"/>
  <c r="G103" i="229"/>
  <c r="F103" i="229"/>
  <c r="E103" i="229"/>
  <c r="D103" i="229"/>
  <c r="C103" i="229"/>
  <c r="N102" i="229"/>
  <c r="M102" i="229"/>
  <c r="L102" i="229"/>
  <c r="K102" i="229"/>
  <c r="J102" i="229"/>
  <c r="I102" i="229"/>
  <c r="H102" i="229"/>
  <c r="G102" i="229"/>
  <c r="F102" i="229"/>
  <c r="E102" i="229"/>
  <c r="D102" i="229"/>
  <c r="C102" i="229"/>
  <c r="N101" i="229"/>
  <c r="M101" i="229"/>
  <c r="L101" i="229"/>
  <c r="K101" i="229"/>
  <c r="J101" i="229"/>
  <c r="I101" i="229"/>
  <c r="H101" i="229"/>
  <c r="G101" i="229"/>
  <c r="F101" i="229"/>
  <c r="E101" i="229"/>
  <c r="D101" i="229"/>
  <c r="C101" i="229"/>
  <c r="N100" i="229"/>
  <c r="M100" i="229"/>
  <c r="L100" i="229"/>
  <c r="K100" i="229"/>
  <c r="J100" i="229"/>
  <c r="I100" i="229"/>
  <c r="H100" i="229"/>
  <c r="G100" i="229"/>
  <c r="F100" i="229"/>
  <c r="E100" i="229"/>
  <c r="D100" i="229"/>
  <c r="C100" i="229"/>
  <c r="N99" i="229"/>
  <c r="M99" i="229"/>
  <c r="L99" i="229"/>
  <c r="K99" i="229"/>
  <c r="J99" i="229"/>
  <c r="I99" i="229"/>
  <c r="H99" i="229"/>
  <c r="G99" i="229"/>
  <c r="F99" i="229"/>
  <c r="E99" i="229"/>
  <c r="D99" i="229"/>
  <c r="C99" i="229"/>
  <c r="N98" i="229"/>
  <c r="M98" i="229"/>
  <c r="L98" i="229"/>
  <c r="K98" i="229"/>
  <c r="J98" i="229"/>
  <c r="I98" i="229"/>
  <c r="H98" i="229"/>
  <c r="G98" i="229"/>
  <c r="F98" i="229"/>
  <c r="E98" i="229"/>
  <c r="D98" i="229"/>
  <c r="C98" i="229"/>
  <c r="N97" i="229"/>
  <c r="N108" i="229" s="1"/>
  <c r="M97" i="229"/>
  <c r="M108" i="229" s="1"/>
  <c r="M110" i="229" s="1"/>
  <c r="L97" i="229"/>
  <c r="L108" i="229" s="1"/>
  <c r="L110" i="229" s="1"/>
  <c r="K97" i="229"/>
  <c r="J97" i="229"/>
  <c r="I97" i="229"/>
  <c r="H97" i="229"/>
  <c r="G97" i="229"/>
  <c r="F97" i="229"/>
  <c r="F108" i="229" s="1"/>
  <c r="E97" i="229"/>
  <c r="E108" i="229" s="1"/>
  <c r="E110" i="229" s="1"/>
  <c r="D97" i="229"/>
  <c r="D108" i="229" s="1"/>
  <c r="D110" i="229" s="1"/>
  <c r="C97" i="229"/>
  <c r="Y94" i="229"/>
  <c r="Y121" i="229" s="1"/>
  <c r="X94" i="229"/>
  <c r="X121" i="229" s="1"/>
  <c r="Q94" i="229"/>
  <c r="Q121" i="229" s="1"/>
  <c r="P94" i="229"/>
  <c r="P121" i="229" s="1"/>
  <c r="I94" i="229"/>
  <c r="I121" i="229" s="1"/>
  <c r="H94" i="229"/>
  <c r="H121" i="229" s="1"/>
  <c r="Z93" i="229"/>
  <c r="Z120" i="229" s="1"/>
  <c r="Y93" i="229"/>
  <c r="Y120" i="229" s="1"/>
  <c r="R93" i="229"/>
  <c r="R120" i="229" s="1"/>
  <c r="Q93" i="229"/>
  <c r="Q120" i="229" s="1"/>
  <c r="J93" i="229"/>
  <c r="J120" i="229" s="1"/>
  <c r="I93" i="229"/>
  <c r="I120" i="229" s="1"/>
  <c r="Z92" i="229"/>
  <c r="Z119" i="229" s="1"/>
  <c r="S92" i="229"/>
  <c r="S119" i="229" s="1"/>
  <c r="R92" i="229"/>
  <c r="R119" i="229" s="1"/>
  <c r="K92" i="229"/>
  <c r="K119" i="229" s="1"/>
  <c r="J92" i="229"/>
  <c r="J119" i="229" s="1"/>
  <c r="C92" i="229"/>
  <c r="C119" i="229" s="1"/>
  <c r="T91" i="229"/>
  <c r="T114" i="229" s="1"/>
  <c r="S91" i="229"/>
  <c r="S114" i="229" s="1"/>
  <c r="L91" i="229"/>
  <c r="L114" i="229" s="1"/>
  <c r="K91" i="229"/>
  <c r="K114" i="229" s="1"/>
  <c r="D91" i="229"/>
  <c r="C91" i="229"/>
  <c r="C114" i="229" s="1"/>
  <c r="U90" i="229"/>
  <c r="U109" i="229" s="1"/>
  <c r="T90" i="229"/>
  <c r="T109" i="229" s="1"/>
  <c r="M90" i="229"/>
  <c r="M109" i="229" s="1"/>
  <c r="L90" i="229"/>
  <c r="L109" i="229" s="1"/>
  <c r="E90" i="229"/>
  <c r="E109" i="229" s="1"/>
  <c r="D90" i="229"/>
  <c r="D109" i="229" s="1"/>
  <c r="Z87" i="229"/>
  <c r="Y87" i="229"/>
  <c r="X87" i="229"/>
  <c r="W87" i="229"/>
  <c r="V87" i="229"/>
  <c r="U87" i="229"/>
  <c r="T87" i="229"/>
  <c r="S87" i="229"/>
  <c r="R87" i="229"/>
  <c r="Q87" i="229"/>
  <c r="P87" i="229"/>
  <c r="O87" i="229"/>
  <c r="N87" i="229"/>
  <c r="M87" i="229"/>
  <c r="L87" i="229"/>
  <c r="K87" i="229"/>
  <c r="J87" i="229"/>
  <c r="I87" i="229"/>
  <c r="H87" i="229"/>
  <c r="G87" i="229"/>
  <c r="F87" i="229"/>
  <c r="E87" i="229"/>
  <c r="D87" i="229"/>
  <c r="C87" i="229"/>
  <c r="Z86" i="229"/>
  <c r="Y86" i="229"/>
  <c r="X86" i="229"/>
  <c r="X93" i="229" s="1"/>
  <c r="X120" i="229" s="1"/>
  <c r="W86" i="229"/>
  <c r="V86" i="229"/>
  <c r="U86" i="229"/>
  <c r="T86" i="229"/>
  <c r="S86" i="229"/>
  <c r="R86" i="229"/>
  <c r="Q86" i="229"/>
  <c r="P86" i="229"/>
  <c r="P93" i="229" s="1"/>
  <c r="P120" i="229" s="1"/>
  <c r="O86" i="229"/>
  <c r="N86" i="229"/>
  <c r="M86" i="229"/>
  <c r="L86" i="229"/>
  <c r="K86" i="229"/>
  <c r="J86" i="229"/>
  <c r="I86" i="229"/>
  <c r="H86" i="229"/>
  <c r="H93" i="229" s="1"/>
  <c r="H120" i="229" s="1"/>
  <c r="G86" i="229"/>
  <c r="F86" i="229"/>
  <c r="E86" i="229"/>
  <c r="D86" i="229"/>
  <c r="C86" i="229"/>
  <c r="Z85" i="229"/>
  <c r="Y85" i="229"/>
  <c r="Y92" i="229" s="1"/>
  <c r="Y119" i="229" s="1"/>
  <c r="X85" i="229"/>
  <c r="X92" i="229" s="1"/>
  <c r="X119" i="229" s="1"/>
  <c r="W85" i="229"/>
  <c r="V85" i="229"/>
  <c r="U85" i="229"/>
  <c r="T85" i="229"/>
  <c r="S85" i="229"/>
  <c r="R85" i="229"/>
  <c r="Q85" i="229"/>
  <c r="Q92" i="229" s="1"/>
  <c r="Q119" i="229" s="1"/>
  <c r="P85" i="229"/>
  <c r="P92" i="229" s="1"/>
  <c r="P119" i="229" s="1"/>
  <c r="O85" i="229"/>
  <c r="N85" i="229"/>
  <c r="M85" i="229"/>
  <c r="L85" i="229"/>
  <c r="K85" i="229"/>
  <c r="J85" i="229"/>
  <c r="I85" i="229"/>
  <c r="I92" i="229" s="1"/>
  <c r="I119" i="229" s="1"/>
  <c r="H85" i="229"/>
  <c r="H92" i="229" s="1"/>
  <c r="H119" i="229" s="1"/>
  <c r="G85" i="229"/>
  <c r="F85" i="229"/>
  <c r="E85" i="229"/>
  <c r="D85" i="229"/>
  <c r="C85" i="229"/>
  <c r="Z84" i="229"/>
  <c r="Z91" i="229" s="1"/>
  <c r="Z114" i="229" s="1"/>
  <c r="Y84" i="229"/>
  <c r="Y91" i="229" s="1"/>
  <c r="Y114" i="229" s="1"/>
  <c r="X84" i="229"/>
  <c r="W84" i="229"/>
  <c r="V84" i="229"/>
  <c r="U84" i="229"/>
  <c r="T84" i="229"/>
  <c r="S84" i="229"/>
  <c r="R84" i="229"/>
  <c r="R91" i="229" s="1"/>
  <c r="R114" i="229" s="1"/>
  <c r="Q84" i="229"/>
  <c r="Q91" i="229" s="1"/>
  <c r="Q114" i="229" s="1"/>
  <c r="P84" i="229"/>
  <c r="O84" i="229"/>
  <c r="N84" i="229"/>
  <c r="M84" i="229"/>
  <c r="L84" i="229"/>
  <c r="K84" i="229"/>
  <c r="J84" i="229"/>
  <c r="J91" i="229" s="1"/>
  <c r="J114" i="229" s="1"/>
  <c r="I84" i="229"/>
  <c r="I91" i="229" s="1"/>
  <c r="I114" i="229" s="1"/>
  <c r="H84" i="229"/>
  <c r="G84" i="229"/>
  <c r="F84" i="229"/>
  <c r="E84" i="229"/>
  <c r="D84" i="229"/>
  <c r="C84" i="229"/>
  <c r="Z83" i="229"/>
  <c r="Z90" i="229" s="1"/>
  <c r="Z109" i="229" s="1"/>
  <c r="Y83" i="229"/>
  <c r="X83" i="229"/>
  <c r="W83" i="229"/>
  <c r="V83" i="229"/>
  <c r="U83" i="229"/>
  <c r="T83" i="229"/>
  <c r="S83" i="229"/>
  <c r="S90" i="229" s="1"/>
  <c r="S109" i="229" s="1"/>
  <c r="R83" i="229"/>
  <c r="R90" i="229" s="1"/>
  <c r="R109" i="229" s="1"/>
  <c r="Q83" i="229"/>
  <c r="P83" i="229"/>
  <c r="O83" i="229"/>
  <c r="N83" i="229"/>
  <c r="M83" i="229"/>
  <c r="L83" i="229"/>
  <c r="K83" i="229"/>
  <c r="K90" i="229" s="1"/>
  <c r="K109" i="229" s="1"/>
  <c r="J83" i="229"/>
  <c r="J90" i="229" s="1"/>
  <c r="J109" i="229" s="1"/>
  <c r="I83" i="229"/>
  <c r="H83" i="229"/>
  <c r="G83" i="229"/>
  <c r="F83" i="229"/>
  <c r="E83" i="229"/>
  <c r="D83" i="229"/>
  <c r="C83" i="229"/>
  <c r="C90" i="229" s="1"/>
  <c r="C109" i="229" s="1"/>
  <c r="Z80" i="229"/>
  <c r="Z118" i="229" s="1"/>
  <c r="Y80" i="229"/>
  <c r="Y118" i="229" s="1"/>
  <c r="Y122" i="229" s="1"/>
  <c r="X80" i="229"/>
  <c r="X118" i="229" s="1"/>
  <c r="X122" i="229" s="1"/>
  <c r="W80" i="229"/>
  <c r="W92" i="229" s="1"/>
  <c r="W119" i="229" s="1"/>
  <c r="V80" i="229"/>
  <c r="V93" i="229" s="1"/>
  <c r="V120" i="229" s="1"/>
  <c r="U80" i="229"/>
  <c r="U118" i="229" s="1"/>
  <c r="T80" i="229"/>
  <c r="T118" i="229" s="1"/>
  <c r="S80" i="229"/>
  <c r="S94" i="229" s="1"/>
  <c r="S121" i="229" s="1"/>
  <c r="R80" i="229"/>
  <c r="R118" i="229" s="1"/>
  <c r="Q80" i="229"/>
  <c r="P80" i="229"/>
  <c r="P118" i="229" s="1"/>
  <c r="O80" i="229"/>
  <c r="O92" i="229" s="1"/>
  <c r="O119" i="229" s="1"/>
  <c r="N80" i="229"/>
  <c r="N118" i="229" s="1"/>
  <c r="M80" i="229"/>
  <c r="M118" i="229" s="1"/>
  <c r="L80" i="229"/>
  <c r="L118" i="229" s="1"/>
  <c r="K80" i="229"/>
  <c r="K118" i="229" s="1"/>
  <c r="J80" i="229"/>
  <c r="J94" i="229" s="1"/>
  <c r="J121" i="229" s="1"/>
  <c r="I80" i="229"/>
  <c r="I118" i="229" s="1"/>
  <c r="H80" i="229"/>
  <c r="H118" i="229" s="1"/>
  <c r="H122" i="229" s="1"/>
  <c r="G80" i="229"/>
  <c r="G92" i="229" s="1"/>
  <c r="G119" i="229" s="1"/>
  <c r="F80" i="229"/>
  <c r="F93" i="229" s="1"/>
  <c r="F120" i="229" s="1"/>
  <c r="E80" i="229"/>
  <c r="E118" i="229" s="1"/>
  <c r="D80" i="229"/>
  <c r="D118" i="229" s="1"/>
  <c r="C80" i="229"/>
  <c r="C94" i="229" s="1"/>
  <c r="C121" i="229" s="1"/>
  <c r="Z79" i="229"/>
  <c r="Z113" i="229" s="1"/>
  <c r="Z115" i="229" s="1"/>
  <c r="Y79" i="229"/>
  <c r="Y113" i="229" s="1"/>
  <c r="Y115" i="229" s="1"/>
  <c r="X79" i="229"/>
  <c r="X91" i="229" s="1"/>
  <c r="X114" i="229" s="1"/>
  <c r="W79" i="229"/>
  <c r="W91" i="229" s="1"/>
  <c r="W114" i="229" s="1"/>
  <c r="V79" i="229"/>
  <c r="V91" i="229" s="1"/>
  <c r="V114" i="229" s="1"/>
  <c r="U79" i="229"/>
  <c r="U91" i="229" s="1"/>
  <c r="U114" i="229" s="1"/>
  <c r="T79" i="229"/>
  <c r="T113" i="229" s="1"/>
  <c r="T115" i="229" s="1"/>
  <c r="S79" i="229"/>
  <c r="S113" i="229" s="1"/>
  <c r="R79" i="229"/>
  <c r="R113" i="229" s="1"/>
  <c r="R115" i="229" s="1"/>
  <c r="Q79" i="229"/>
  <c r="Q113" i="229" s="1"/>
  <c r="Q115" i="229" s="1"/>
  <c r="P79" i="229"/>
  <c r="P91" i="229" s="1"/>
  <c r="P114" i="229" s="1"/>
  <c r="O79" i="229"/>
  <c r="O91" i="229" s="1"/>
  <c r="O114" i="229" s="1"/>
  <c r="N79" i="229"/>
  <c r="N91" i="229" s="1"/>
  <c r="N114" i="229" s="1"/>
  <c r="M79" i="229"/>
  <c r="M91" i="229" s="1"/>
  <c r="M114" i="229" s="1"/>
  <c r="L79" i="229"/>
  <c r="L113" i="229" s="1"/>
  <c r="L115" i="229" s="1"/>
  <c r="K79" i="229"/>
  <c r="K113" i="229" s="1"/>
  <c r="K115" i="229" s="1"/>
  <c r="J79" i="229"/>
  <c r="J113" i="229" s="1"/>
  <c r="J115" i="229" s="1"/>
  <c r="I79" i="229"/>
  <c r="I113" i="229" s="1"/>
  <c r="I115" i="229" s="1"/>
  <c r="H79" i="229"/>
  <c r="H91" i="229" s="1"/>
  <c r="H114" i="229" s="1"/>
  <c r="G79" i="229"/>
  <c r="G91" i="229" s="1"/>
  <c r="G114" i="229" s="1"/>
  <c r="F79" i="229"/>
  <c r="F91" i="229" s="1"/>
  <c r="F114" i="229" s="1"/>
  <c r="E79" i="229"/>
  <c r="E91" i="229" s="1"/>
  <c r="E114" i="229" s="1"/>
  <c r="D79" i="229"/>
  <c r="D113" i="229" s="1"/>
  <c r="D115" i="229" s="1"/>
  <c r="C79" i="229"/>
  <c r="C113" i="229" s="1"/>
  <c r="C115" i="229" s="1"/>
  <c r="Z78" i="229"/>
  <c r="Y78" i="229"/>
  <c r="Y90" i="229" s="1"/>
  <c r="Y109" i="229" s="1"/>
  <c r="X78" i="229"/>
  <c r="X90" i="229" s="1"/>
  <c r="X109" i="229" s="1"/>
  <c r="W78" i="229"/>
  <c r="W108" i="229" s="1"/>
  <c r="V78" i="229"/>
  <c r="V108" i="229" s="1"/>
  <c r="U78" i="229"/>
  <c r="U108" i="229" s="1"/>
  <c r="U110" i="229" s="1"/>
  <c r="T78" i="229"/>
  <c r="T108" i="229" s="1"/>
  <c r="T110" i="229" s="1"/>
  <c r="S78" i="229"/>
  <c r="R78" i="229"/>
  <c r="Q78" i="229"/>
  <c r="Q90" i="229" s="1"/>
  <c r="Q109" i="229" s="1"/>
  <c r="P78" i="229"/>
  <c r="P90" i="229" s="1"/>
  <c r="P109" i="229" s="1"/>
  <c r="O78" i="229"/>
  <c r="O108" i="229" s="1"/>
  <c r="N78" i="229"/>
  <c r="N90" i="229" s="1"/>
  <c r="N109" i="229" s="1"/>
  <c r="M78" i="229"/>
  <c r="L78" i="229"/>
  <c r="K78" i="229"/>
  <c r="J78" i="229"/>
  <c r="I78" i="229"/>
  <c r="I90" i="229" s="1"/>
  <c r="I109" i="229" s="1"/>
  <c r="H78" i="229"/>
  <c r="H90" i="229" s="1"/>
  <c r="H109" i="229" s="1"/>
  <c r="G78" i="229"/>
  <c r="G108" i="229" s="1"/>
  <c r="F78" i="229"/>
  <c r="F90" i="229" s="1"/>
  <c r="F109" i="229" s="1"/>
  <c r="E78" i="229"/>
  <c r="D78" i="229"/>
  <c r="C78" i="229"/>
  <c r="C69" i="229"/>
  <c r="E67" i="229"/>
  <c r="C66" i="229"/>
  <c r="E66" i="229" s="1"/>
  <c r="C63" i="229"/>
  <c r="C57" i="229"/>
  <c r="C55" i="229"/>
  <c r="C50" i="229"/>
  <c r="H14" i="229" s="1"/>
  <c r="C47" i="229"/>
  <c r="C39" i="229"/>
  <c r="E37" i="229"/>
  <c r="E36" i="229"/>
  <c r="C36" i="229"/>
  <c r="C33" i="229"/>
  <c r="C27" i="229"/>
  <c r="C25" i="229"/>
  <c r="C20" i="229"/>
  <c r="C17" i="229"/>
  <c r="G14" i="229"/>
  <c r="A12" i="229"/>
  <c r="A11" i="229"/>
  <c r="A4" i="229"/>
  <c r="A3" i="229"/>
  <c r="A2" i="229"/>
  <c r="A1" i="229"/>
  <c r="Z43" i="217"/>
  <c r="Q43" i="217" s="1"/>
  <c r="N43" i="217"/>
  <c r="N42" i="217"/>
  <c r="N41" i="217"/>
  <c r="N40" i="217"/>
  <c r="Z57" i="217"/>
  <c r="Q57" i="217" s="1"/>
  <c r="N57" i="217"/>
  <c r="N56" i="217"/>
  <c r="N55" i="217"/>
  <c r="N54" i="217"/>
  <c r="H14" i="227"/>
  <c r="G14" i="227"/>
  <c r="I259" i="228" a="1"/>
  <c r="I259" i="228" s="1"/>
  <c r="J259" i="228" s="1"/>
  <c r="U259" i="228" s="1"/>
  <c r="I258" i="228" a="1"/>
  <c r="I258" i="228" s="1"/>
  <c r="J258" i="228" s="1"/>
  <c r="U258" i="228" s="1"/>
  <c r="I257" i="228" a="1"/>
  <c r="I257" i="228" s="1"/>
  <c r="J257" i="228" s="1"/>
  <c r="U257" i="228" s="1"/>
  <c r="I256" i="228" a="1"/>
  <c r="I256" i="228" s="1"/>
  <c r="J256" i="228" s="1"/>
  <c r="U256" i="228" s="1"/>
  <c r="I255" i="228" a="1"/>
  <c r="I255" i="228" s="1"/>
  <c r="J255" i="228" s="1"/>
  <c r="U255" i="228" s="1"/>
  <c r="I254" i="228" a="1"/>
  <c r="I254" i="228" s="1"/>
  <c r="J254" i="228" s="1"/>
  <c r="U254" i="228" s="1"/>
  <c r="I253" i="228" a="1"/>
  <c r="I253" i="228" s="1"/>
  <c r="J253" i="228" s="1"/>
  <c r="U253" i="228" s="1"/>
  <c r="I252" i="228" a="1"/>
  <c r="I252" i="228" s="1"/>
  <c r="J252" i="228" s="1"/>
  <c r="U252" i="228" s="1"/>
  <c r="I251" i="228" a="1"/>
  <c r="I251" i="228" s="1"/>
  <c r="J251" i="228" s="1"/>
  <c r="U251" i="228" s="1"/>
  <c r="I250" i="228" a="1"/>
  <c r="I250" i="228" s="1"/>
  <c r="J250" i="228" s="1"/>
  <c r="U250" i="228" s="1"/>
  <c r="I249" i="228" a="1"/>
  <c r="I249" i="228" s="1"/>
  <c r="J249" i="228" s="1"/>
  <c r="U249" i="228" s="1"/>
  <c r="I248" i="228" a="1"/>
  <c r="I248" i="228" s="1"/>
  <c r="J248" i="228" s="1"/>
  <c r="U248" i="228" s="1"/>
  <c r="I247" i="228" a="1"/>
  <c r="I247" i="228" s="1"/>
  <c r="J247" i="228" s="1"/>
  <c r="U247" i="228" s="1"/>
  <c r="I246" i="228" a="1"/>
  <c r="I246" i="228" s="1"/>
  <c r="J246" i="228" s="1"/>
  <c r="U246" i="228" s="1"/>
  <c r="I245" i="228" a="1"/>
  <c r="I245" i="228" s="1"/>
  <c r="J245" i="228" s="1"/>
  <c r="U245" i="228" s="1"/>
  <c r="I244" i="228" a="1"/>
  <c r="I244" i="228" s="1"/>
  <c r="J244" i="228" s="1"/>
  <c r="U244" i="228" s="1"/>
  <c r="I243" i="228" a="1"/>
  <c r="I243" i="228" s="1"/>
  <c r="J243" i="228" s="1"/>
  <c r="U243" i="228" s="1"/>
  <c r="I242" i="228" a="1"/>
  <c r="I242" i="228" s="1"/>
  <c r="J242" i="228" s="1"/>
  <c r="I241" i="228" a="1"/>
  <c r="I241" i="228" s="1"/>
  <c r="I240" i="228" a="1"/>
  <c r="I240" i="228" s="1"/>
  <c r="I239" i="228" a="1"/>
  <c r="I239" i="228" s="1"/>
  <c r="I238" i="228" a="1"/>
  <c r="I238" i="228" s="1"/>
  <c r="J238" i="228" s="1"/>
  <c r="U238" i="228" s="1"/>
  <c r="I237" i="228" a="1"/>
  <c r="I237" i="228" s="1"/>
  <c r="J237" i="228" s="1"/>
  <c r="U237" i="228" s="1"/>
  <c r="I236" i="228" a="1"/>
  <c r="I236" i="228" s="1"/>
  <c r="J236" i="228" s="1"/>
  <c r="U236" i="228" s="1"/>
  <c r="I235" i="228" a="1"/>
  <c r="I235" i="228" s="1"/>
  <c r="J235" i="228" s="1"/>
  <c r="U235" i="228" s="1"/>
  <c r="I234" i="228" a="1"/>
  <c r="I234" i="228" s="1"/>
  <c r="J234" i="228" s="1"/>
  <c r="U234" i="228" s="1"/>
  <c r="I233" i="228" a="1"/>
  <c r="I233" i="228" s="1"/>
  <c r="J233" i="228" s="1"/>
  <c r="U233" i="228" s="1"/>
  <c r="I232" i="228" a="1"/>
  <c r="I232" i="228" s="1"/>
  <c r="J232" i="228" s="1"/>
  <c r="U232" i="228" s="1"/>
  <c r="I231" i="228" a="1"/>
  <c r="I231" i="228" s="1"/>
  <c r="J231" i="228" s="1"/>
  <c r="U231" i="228" s="1"/>
  <c r="I230" i="228" a="1"/>
  <c r="I230" i="228" s="1"/>
  <c r="J230" i="228" s="1"/>
  <c r="U230" i="228" s="1"/>
  <c r="I229" i="228" a="1"/>
  <c r="I229" i="228" s="1"/>
  <c r="J229" i="228" s="1"/>
  <c r="U229" i="228" s="1"/>
  <c r="I228" i="228" a="1"/>
  <c r="I228" i="228" s="1"/>
  <c r="J228" i="228" s="1"/>
  <c r="U228" i="228" s="1"/>
  <c r="I227" i="228" a="1"/>
  <c r="I227" i="228" s="1"/>
  <c r="J227" i="228" s="1"/>
  <c r="U227" i="228" s="1"/>
  <c r="I226" i="228" a="1"/>
  <c r="I226" i="228" s="1"/>
  <c r="J226" i="228" s="1"/>
  <c r="U226" i="228" s="1"/>
  <c r="I225" i="228" a="1"/>
  <c r="I225" i="228" s="1"/>
  <c r="J225" i="228" s="1"/>
  <c r="U225" i="228" s="1"/>
  <c r="I224" i="228" a="1"/>
  <c r="I224" i="228" s="1"/>
  <c r="J224" i="228" s="1"/>
  <c r="U224" i="228" s="1"/>
  <c r="I223" i="228" a="1"/>
  <c r="I223" i="228" s="1"/>
  <c r="J223" i="228" s="1"/>
  <c r="U223" i="228" s="1"/>
  <c r="I222" i="228" a="1"/>
  <c r="I222" i="228" s="1"/>
  <c r="J222" i="228" s="1"/>
  <c r="U222" i="228" s="1"/>
  <c r="I221" i="228" a="1"/>
  <c r="I221" i="228" s="1"/>
  <c r="J221" i="228" s="1"/>
  <c r="U221" i="228" s="1"/>
  <c r="I220" i="228" a="1"/>
  <c r="I220" i="228" s="1"/>
  <c r="J220" i="228" s="1"/>
  <c r="U220" i="228" s="1"/>
  <c r="I219" i="228" a="1"/>
  <c r="I219" i="228" s="1"/>
  <c r="J219" i="228" s="1"/>
  <c r="U219" i="228" s="1"/>
  <c r="I218" i="228" a="1"/>
  <c r="I218" i="228" s="1"/>
  <c r="J218" i="228" s="1"/>
  <c r="U218" i="228" s="1"/>
  <c r="I217" i="228" a="1"/>
  <c r="I217" i="228" s="1"/>
  <c r="J217" i="228" s="1"/>
  <c r="U217" i="228" s="1"/>
  <c r="I216" i="228" a="1"/>
  <c r="I216" i="228" s="1"/>
  <c r="J216" i="228" s="1"/>
  <c r="U216" i="228" s="1"/>
  <c r="I215" i="228" a="1"/>
  <c r="I215" i="228" s="1"/>
  <c r="J215" i="228" s="1"/>
  <c r="U215" i="228" s="1"/>
  <c r="I214" i="228" a="1"/>
  <c r="I214" i="228" s="1"/>
  <c r="J214" i="228" s="1"/>
  <c r="U214" i="228" s="1"/>
  <c r="I213" i="228" a="1"/>
  <c r="I213" i="228" s="1"/>
  <c r="J213" i="228" s="1"/>
  <c r="U213" i="228" s="1"/>
  <c r="I212" i="228" a="1"/>
  <c r="I212" i="228" s="1"/>
  <c r="J212" i="228" s="1"/>
  <c r="U212" i="228" s="1"/>
  <c r="I211" i="228" a="1"/>
  <c r="I211" i="228" s="1"/>
  <c r="J211" i="228" s="1"/>
  <c r="U211" i="228" s="1"/>
  <c r="I210" i="228" a="1"/>
  <c r="I210" i="228" s="1"/>
  <c r="J210" i="228" s="1"/>
  <c r="U210" i="228" s="1"/>
  <c r="I209" i="228" a="1"/>
  <c r="I209" i="228" s="1"/>
  <c r="J209" i="228" s="1"/>
  <c r="U209" i="228" s="1"/>
  <c r="I208" i="228" a="1"/>
  <c r="I208" i="228" s="1"/>
  <c r="J208" i="228" s="1"/>
  <c r="U208" i="228" s="1"/>
  <c r="I207" i="228" a="1"/>
  <c r="I207" i="228" s="1"/>
  <c r="J207" i="228" s="1"/>
  <c r="U207" i="228" s="1"/>
  <c r="I206" i="228" a="1"/>
  <c r="I206" i="228" s="1"/>
  <c r="J206" i="228" s="1"/>
  <c r="U206" i="228" s="1"/>
  <c r="I205" i="228" a="1"/>
  <c r="I205" i="228" s="1"/>
  <c r="J205" i="228" s="1"/>
  <c r="U205" i="228" s="1"/>
  <c r="I204" i="228" a="1"/>
  <c r="I204" i="228" s="1"/>
  <c r="J204" i="228" s="1"/>
  <c r="U204" i="228" s="1"/>
  <c r="I203" i="228" a="1"/>
  <c r="I203" i="228" s="1"/>
  <c r="J203" i="228" s="1"/>
  <c r="U203" i="228" s="1"/>
  <c r="I202" i="228" a="1"/>
  <c r="I202" i="228" s="1"/>
  <c r="J202" i="228" s="1"/>
  <c r="U202" i="228" s="1"/>
  <c r="I201" i="228" a="1"/>
  <c r="I201" i="228" s="1"/>
  <c r="J201" i="228" s="1"/>
  <c r="U201" i="228" s="1"/>
  <c r="I200" i="228" a="1"/>
  <c r="I200" i="228" s="1"/>
  <c r="J200" i="228" s="1"/>
  <c r="U200" i="228" s="1"/>
  <c r="I199" i="228" a="1"/>
  <c r="I199" i="228" s="1"/>
  <c r="J199" i="228" s="1"/>
  <c r="U199" i="228" s="1"/>
  <c r="I198" i="228" a="1"/>
  <c r="I198" i="228" s="1"/>
  <c r="J198" i="228" s="1"/>
  <c r="U198" i="228" s="1"/>
  <c r="I197" i="228" a="1"/>
  <c r="I197" i="228" s="1"/>
  <c r="J197" i="228" s="1"/>
  <c r="U197" i="228" s="1"/>
  <c r="I196" i="228" a="1"/>
  <c r="I196" i="228" s="1"/>
  <c r="J196" i="228" s="1"/>
  <c r="U196" i="228" s="1"/>
  <c r="I195" i="228" a="1"/>
  <c r="I195" i="228" s="1"/>
  <c r="J195" i="228" s="1"/>
  <c r="U195" i="228" s="1"/>
  <c r="I194" i="228" a="1"/>
  <c r="I194" i="228" s="1"/>
  <c r="J194" i="228" s="1"/>
  <c r="I193" i="228" a="1"/>
  <c r="I193" i="228" s="1"/>
  <c r="J193" i="228" s="1"/>
  <c r="I192" i="228" a="1"/>
  <c r="I192" i="228" s="1"/>
  <c r="J192" i="228" s="1"/>
  <c r="I191" i="228" a="1"/>
  <c r="I191" i="228" s="1"/>
  <c r="J191" i="228" s="1"/>
  <c r="U191" i="228" s="1"/>
  <c r="I190" i="228" a="1"/>
  <c r="I190" i="228" s="1"/>
  <c r="J190" i="228" s="1"/>
  <c r="K287" i="228" s="1"/>
  <c r="I189" i="228" a="1"/>
  <c r="I189" i="228" s="1"/>
  <c r="J189" i="228" s="1"/>
  <c r="I188" i="228" a="1"/>
  <c r="I188" i="228" s="1"/>
  <c r="J188" i="228" s="1"/>
  <c r="I187" i="228" a="1"/>
  <c r="I187" i="228" s="1"/>
  <c r="J187" i="228" s="1"/>
  <c r="K289" i="228" s="1"/>
  <c r="M289" i="228" s="1"/>
  <c r="I186" i="228" a="1"/>
  <c r="I186" i="228" s="1"/>
  <c r="J186" i="228" s="1"/>
  <c r="I185" i="228" a="1"/>
  <c r="I185" i="228" s="1"/>
  <c r="I182" i="228" a="1"/>
  <c r="I182" i="228" s="1"/>
  <c r="I181" i="228" a="1"/>
  <c r="I181" i="228" s="1"/>
  <c r="I180" i="228" a="1"/>
  <c r="I180" i="228" s="1"/>
  <c r="I179" i="228" a="1"/>
  <c r="I179" i="228" s="1"/>
  <c r="I178" i="228" a="1"/>
  <c r="I178" i="228" s="1"/>
  <c r="I177" i="228" a="1"/>
  <c r="I177" i="228" s="1"/>
  <c r="I176" i="228" a="1"/>
  <c r="I176" i="228" s="1"/>
  <c r="I175" i="228" a="1"/>
  <c r="I175" i="228" s="1"/>
  <c r="I174" i="228" a="1"/>
  <c r="I174" i="228" s="1"/>
  <c r="I173" i="228" a="1"/>
  <c r="I173" i="228" s="1"/>
  <c r="I172" i="228" a="1"/>
  <c r="I172" i="228" s="1"/>
  <c r="I171" i="228" a="1"/>
  <c r="I171" i="228" s="1"/>
  <c r="I170" i="228" a="1"/>
  <c r="I170" i="228" s="1"/>
  <c r="I169" i="228" a="1"/>
  <c r="I169" i="228" s="1"/>
  <c r="I168" i="228" a="1"/>
  <c r="I168" i="228" s="1"/>
  <c r="I167" i="228" a="1"/>
  <c r="I167" i="228" s="1"/>
  <c r="I166" i="228" a="1"/>
  <c r="I166" i="228" s="1"/>
  <c r="I165" i="228" a="1"/>
  <c r="I165" i="228" s="1"/>
  <c r="I164" i="228" a="1"/>
  <c r="I164" i="228" s="1"/>
  <c r="I163" i="228" a="1"/>
  <c r="I163" i="228" s="1"/>
  <c r="I162" i="228" a="1"/>
  <c r="I162" i="228" s="1"/>
  <c r="I161" i="228" a="1"/>
  <c r="I161" i="228" s="1"/>
  <c r="I160" i="228" a="1"/>
  <c r="I160" i="228" s="1"/>
  <c r="I159" i="228" a="1"/>
  <c r="I159" i="228" s="1"/>
  <c r="I158" i="228" a="1"/>
  <c r="I158" i="228" s="1"/>
  <c r="I157" i="228" a="1"/>
  <c r="I157" i="228" s="1"/>
  <c r="I156" i="228" a="1"/>
  <c r="I156" i="228" s="1"/>
  <c r="J156" i="228" s="1"/>
  <c r="U156" i="228" s="1"/>
  <c r="I155" i="228" a="1"/>
  <c r="I155" i="228" s="1"/>
  <c r="J155" i="228" s="1"/>
  <c r="I154" i="228" a="1"/>
  <c r="I154" i="228" s="1"/>
  <c r="J154" i="228" s="1"/>
  <c r="U154" i="228" s="1"/>
  <c r="I153" i="228" a="1"/>
  <c r="I153" i="228" s="1"/>
  <c r="J153" i="228" s="1"/>
  <c r="U153" i="228" s="1"/>
  <c r="I152" i="228" a="1"/>
  <c r="I152" i="228" s="1"/>
  <c r="J152" i="228" s="1"/>
  <c r="U152" i="228" s="1"/>
  <c r="I151" i="228" a="1"/>
  <c r="I151" i="228" s="1"/>
  <c r="J151" i="228" s="1"/>
  <c r="U151" i="228" s="1"/>
  <c r="I150" i="228" a="1"/>
  <c r="I150" i="228" s="1"/>
  <c r="I149" i="228" a="1"/>
  <c r="I149" i="228" s="1"/>
  <c r="J149" i="228" s="1"/>
  <c r="U149" i="228" s="1"/>
  <c r="I148" i="228" a="1"/>
  <c r="I148" i="228" s="1"/>
  <c r="J148" i="228" s="1"/>
  <c r="I147" i="228" a="1"/>
  <c r="I147" i="228" s="1"/>
  <c r="J147" i="228" s="1"/>
  <c r="U147" i="228" s="1"/>
  <c r="I146" i="228" a="1"/>
  <c r="I146" i="228" s="1"/>
  <c r="J146" i="228" s="1"/>
  <c r="U146" i="228" s="1"/>
  <c r="I145" i="228" a="1"/>
  <c r="I145" i="228" s="1"/>
  <c r="J145" i="228" s="1"/>
  <c r="U145" i="228" s="1"/>
  <c r="I141" i="228" a="1"/>
  <c r="I141" i="228" s="1"/>
  <c r="I140" i="228" a="1"/>
  <c r="I140" i="228" s="1"/>
  <c r="I138" i="228" a="1"/>
  <c r="I138" i="228" s="1"/>
  <c r="J138" i="228" s="1"/>
  <c r="U138" i="228" s="1"/>
  <c r="I137" i="228" a="1"/>
  <c r="I137" i="228" s="1"/>
  <c r="I136" i="228" a="1"/>
  <c r="I136" i="228" s="1"/>
  <c r="I135" i="228" a="1"/>
  <c r="I135" i="228" s="1"/>
  <c r="J135" i="228" s="1"/>
  <c r="U135" i="228" s="1"/>
  <c r="I134" i="228" a="1"/>
  <c r="I134" i="228" s="1"/>
  <c r="I133" i="228" a="1"/>
  <c r="I133" i="228" s="1"/>
  <c r="I132" i="228" a="1"/>
  <c r="I132" i="228" s="1"/>
  <c r="I131" i="228" a="1"/>
  <c r="I131" i="228" s="1"/>
  <c r="I130" i="228" a="1"/>
  <c r="I130" i="228" s="1"/>
  <c r="I129" i="228" a="1"/>
  <c r="I129" i="228" s="1"/>
  <c r="I123" i="228" a="1"/>
  <c r="I123" i="228" s="1"/>
  <c r="J123" i="228" s="1"/>
  <c r="U123" i="228" s="1"/>
  <c r="I122" i="228" a="1"/>
  <c r="I122" i="228" s="1"/>
  <c r="I121" i="228" a="1"/>
  <c r="I121" i="228" s="1"/>
  <c r="J121" i="228" s="1"/>
  <c r="U121" i="228" s="1"/>
  <c r="I120" i="228" a="1"/>
  <c r="I120" i="228" s="1"/>
  <c r="I119" i="228" a="1"/>
  <c r="I119" i="228" s="1"/>
  <c r="J119" i="228" s="1"/>
  <c r="I118" i="228" a="1"/>
  <c r="I118" i="228" s="1"/>
  <c r="J118" i="228" s="1"/>
  <c r="U118" i="228" s="1"/>
  <c r="I117" i="228" a="1"/>
  <c r="I117" i="228" s="1"/>
  <c r="J117" i="228" s="1"/>
  <c r="I116" i="228" a="1"/>
  <c r="I116" i="228" s="1"/>
  <c r="I115" i="228" a="1"/>
  <c r="I115" i="228" s="1"/>
  <c r="J115" i="228" s="1"/>
  <c r="I114" i="228" a="1"/>
  <c r="I114" i="228" s="1"/>
  <c r="J114" i="228" s="1"/>
  <c r="U114" i="228" s="1"/>
  <c r="I113" i="228" a="1"/>
  <c r="I113" i="228" s="1"/>
  <c r="J113" i="228" s="1"/>
  <c r="U113" i="228" s="1"/>
  <c r="I112" i="228" a="1"/>
  <c r="I112" i="228" s="1"/>
  <c r="J112" i="228" s="1"/>
  <c r="U112" i="228" s="1"/>
  <c r="I111" i="228" a="1"/>
  <c r="I111" i="228" s="1"/>
  <c r="J111" i="228" s="1"/>
  <c r="U111" i="228" s="1"/>
  <c r="I110" i="228" a="1"/>
  <c r="I110" i="228" s="1"/>
  <c r="I109" i="228" a="1"/>
  <c r="I109" i="228" s="1"/>
  <c r="J109" i="228" s="1"/>
  <c r="I108" i="228" a="1"/>
  <c r="I108" i="228" s="1"/>
  <c r="I107" i="228" a="1"/>
  <c r="I107" i="228" s="1"/>
  <c r="I106" i="228" a="1"/>
  <c r="I106" i="228" s="1"/>
  <c r="J106" i="228" s="1"/>
  <c r="I105" i="228" a="1"/>
  <c r="I105" i="228" s="1"/>
  <c r="I104" i="228" a="1"/>
  <c r="I104" i="228" s="1"/>
  <c r="I103" i="228" a="1"/>
  <c r="I103" i="228" s="1"/>
  <c r="J103" i="228" s="1"/>
  <c r="U103" i="228" s="1"/>
  <c r="I102" i="228" a="1"/>
  <c r="I102" i="228" s="1"/>
  <c r="J102" i="228" s="1"/>
  <c r="U102" i="228" s="1"/>
  <c r="I101" i="228" a="1"/>
  <c r="I101" i="228" s="1"/>
  <c r="J101" i="228" s="1"/>
  <c r="I100" i="228" a="1"/>
  <c r="I100" i="228" s="1"/>
  <c r="J100" i="228" s="1"/>
  <c r="K277" i="228" s="1"/>
  <c r="M277" i="228" s="1"/>
  <c r="I99" i="228" a="1"/>
  <c r="I99" i="228" s="1"/>
  <c r="J99" i="228" s="1"/>
  <c r="U99" i="228" s="1"/>
  <c r="I98" i="228" a="1"/>
  <c r="I98" i="228" s="1"/>
  <c r="I97" i="228" a="1"/>
  <c r="I97" i="228" s="1"/>
  <c r="J97" i="228" s="1"/>
  <c r="U97" i="228" s="1"/>
  <c r="I96" i="228" a="1"/>
  <c r="I96" i="228" s="1"/>
  <c r="I95" i="228" a="1"/>
  <c r="I95" i="228" s="1"/>
  <c r="J95" i="228" s="1"/>
  <c r="I94" i="228" a="1"/>
  <c r="I94" i="228" s="1"/>
  <c r="J94" i="228" s="1"/>
  <c r="I93" i="228" a="1"/>
  <c r="I93" i="228" s="1"/>
  <c r="J93" i="228" s="1"/>
  <c r="I92" i="228" a="1"/>
  <c r="I92" i="228" s="1"/>
  <c r="J92" i="228" s="1"/>
  <c r="U92" i="228" s="1"/>
  <c r="I91" i="228" a="1"/>
  <c r="I91" i="228" s="1"/>
  <c r="J91" i="228" s="1"/>
  <c r="U91" i="228" s="1"/>
  <c r="I90" i="228" a="1"/>
  <c r="I90" i="228" s="1"/>
  <c r="J90" i="228" s="1"/>
  <c r="I89" i="228" a="1"/>
  <c r="I89" i="228" s="1"/>
  <c r="J89" i="228" s="1"/>
  <c r="I88" i="228" a="1"/>
  <c r="I88" i="228" s="1"/>
  <c r="J88" i="228" s="1"/>
  <c r="U88" i="228" s="1"/>
  <c r="I87" i="228" a="1"/>
  <c r="I87" i="228" s="1"/>
  <c r="J87" i="228" s="1"/>
  <c r="U87" i="228" s="1"/>
  <c r="I86" i="228" a="1"/>
  <c r="I86" i="228" s="1"/>
  <c r="I85" i="228" a="1"/>
  <c r="I85" i="228" s="1"/>
  <c r="J85" i="228" s="1"/>
  <c r="I84" i="228" a="1"/>
  <c r="I84" i="228" s="1"/>
  <c r="J84" i="228" s="1"/>
  <c r="I83" i="228" a="1"/>
  <c r="I83" i="228" s="1"/>
  <c r="J83" i="228" s="1"/>
  <c r="I82" i="228" a="1"/>
  <c r="I82" i="228" s="1"/>
  <c r="J82" i="228" s="1"/>
  <c r="U82" i="228" s="1"/>
  <c r="I81" i="228" a="1"/>
  <c r="I81" i="228" s="1"/>
  <c r="J81" i="228" s="1"/>
  <c r="I80" i="228" a="1"/>
  <c r="I80" i="228" s="1"/>
  <c r="J80" i="228" s="1"/>
  <c r="I79" i="228" a="1"/>
  <c r="I79" i="228" s="1"/>
  <c r="J79" i="228" s="1"/>
  <c r="I78" i="228" a="1"/>
  <c r="I78" i="228" s="1"/>
  <c r="J78" i="228" s="1"/>
  <c r="I77" i="228" a="1"/>
  <c r="I77" i="228" s="1"/>
  <c r="J77" i="228" s="1"/>
  <c r="I76" i="228" a="1"/>
  <c r="I76" i="228" s="1"/>
  <c r="J76" i="228" s="1"/>
  <c r="I75" i="228" a="1"/>
  <c r="I75" i="228" s="1"/>
  <c r="J75" i="228" s="1"/>
  <c r="I74" i="228" a="1"/>
  <c r="I74" i="228" s="1"/>
  <c r="J74" i="228" s="1"/>
  <c r="I73" i="228" a="1"/>
  <c r="I73" i="228" s="1"/>
  <c r="J73" i="228" s="1"/>
  <c r="I72" i="228" a="1"/>
  <c r="I72" i="228" s="1"/>
  <c r="J72" i="228" s="1"/>
  <c r="I71" i="228" a="1"/>
  <c r="I71" i="228" s="1"/>
  <c r="J71" i="228" s="1"/>
  <c r="I70" i="228" a="1"/>
  <c r="I70" i="228" s="1"/>
  <c r="J70" i="228" s="1"/>
  <c r="I69" i="228" a="1"/>
  <c r="I69" i="228" s="1"/>
  <c r="J69" i="228" s="1"/>
  <c r="I68" i="228" a="1"/>
  <c r="I68" i="228" s="1"/>
  <c r="J68" i="228" s="1"/>
  <c r="I67" i="228" a="1"/>
  <c r="I67" i="228" s="1"/>
  <c r="J67" i="228" s="1"/>
  <c r="I66" i="228" a="1"/>
  <c r="I66" i="228" s="1"/>
  <c r="J66" i="228" s="1"/>
  <c r="I65" i="228" a="1"/>
  <c r="I65" i="228" s="1"/>
  <c r="J65" i="228" s="1"/>
  <c r="I64" i="228" a="1"/>
  <c r="I64" i="228" s="1"/>
  <c r="J64" i="228" s="1"/>
  <c r="I63" i="228" a="1"/>
  <c r="I63" i="228" s="1"/>
  <c r="J63" i="228" s="1"/>
  <c r="I62" i="228" a="1"/>
  <c r="I62" i="228" s="1"/>
  <c r="J62" i="228" s="1"/>
  <c r="I61" i="228" a="1"/>
  <c r="I61" i="228" s="1"/>
  <c r="J61" i="228" s="1"/>
  <c r="I60" i="228" a="1"/>
  <c r="I60" i="228" s="1"/>
  <c r="J60" i="228" s="1"/>
  <c r="I59" i="228" a="1"/>
  <c r="I59" i="228" s="1"/>
  <c r="J59" i="228" s="1"/>
  <c r="I58" i="228" a="1"/>
  <c r="I58" i="228" s="1"/>
  <c r="J58" i="228" s="1"/>
  <c r="I57" i="228" a="1"/>
  <c r="I57" i="228" s="1"/>
  <c r="J57" i="228" s="1"/>
  <c r="I56" i="228" a="1"/>
  <c r="I56" i="228" s="1"/>
  <c r="J56" i="228" s="1"/>
  <c r="I55" i="228" a="1"/>
  <c r="I55" i="228" s="1"/>
  <c r="J55" i="228" s="1"/>
  <c r="I54" i="228" a="1"/>
  <c r="I54" i="228" s="1"/>
  <c r="J54" i="228" s="1"/>
  <c r="I53" i="228" a="1"/>
  <c r="I53" i="228" s="1"/>
  <c r="J53" i="228" s="1"/>
  <c r="I52" i="228" a="1"/>
  <c r="I52" i="228" s="1"/>
  <c r="J52" i="228" s="1"/>
  <c r="I51" i="228" a="1"/>
  <c r="I51" i="228" s="1"/>
  <c r="J51" i="228" s="1"/>
  <c r="I50" i="228" a="1"/>
  <c r="I50" i="228" s="1"/>
  <c r="J50" i="228" s="1"/>
  <c r="I49" i="228" a="1"/>
  <c r="I49" i="228" s="1"/>
  <c r="J49" i="228" s="1"/>
  <c r="I48" i="228" a="1"/>
  <c r="I48" i="228" s="1"/>
  <c r="J48" i="228" s="1"/>
  <c r="I47" i="228" a="1"/>
  <c r="I47" i="228" s="1"/>
  <c r="J47" i="228" s="1"/>
  <c r="I46" i="228" a="1"/>
  <c r="I46" i="228" s="1"/>
  <c r="I45" i="228" a="1"/>
  <c r="I45" i="228" s="1"/>
  <c r="J45" i="228" s="1"/>
  <c r="I44" i="228" a="1"/>
  <c r="I44" i="228" s="1"/>
  <c r="J44" i="228" s="1"/>
  <c r="I43" i="228" a="1"/>
  <c r="I43" i="228" s="1"/>
  <c r="I42" i="228" a="1"/>
  <c r="I42" i="228" s="1"/>
  <c r="I41" i="228" a="1"/>
  <c r="I41" i="228" s="1"/>
  <c r="J41" i="228" s="1"/>
  <c r="I40" i="228" a="1"/>
  <c r="I40" i="228" s="1"/>
  <c r="J40" i="228" s="1"/>
  <c r="I39" i="228" a="1"/>
  <c r="I39" i="228" s="1"/>
  <c r="J39" i="228" s="1"/>
  <c r="K281" i="228" s="1"/>
  <c r="M281" i="228" s="1"/>
  <c r="I38" i="228" a="1"/>
  <c r="I38" i="228" s="1"/>
  <c r="J38" i="228" s="1"/>
  <c r="K280" i="228" s="1"/>
  <c r="I37" i="228" a="1"/>
  <c r="I37" i="228" s="1"/>
  <c r="J37" i="228" s="1"/>
  <c r="I36" i="228" a="1"/>
  <c r="I36" i="228" s="1"/>
  <c r="I11" i="228" a="1"/>
  <c r="I11" i="228" s="1"/>
  <c r="J11" i="228" s="1"/>
  <c r="I12" i="228" a="1"/>
  <c r="I12" i="228" s="1"/>
  <c r="J12" i="228" s="1"/>
  <c r="I13" i="228" a="1"/>
  <c r="I13" i="228" s="1"/>
  <c r="J13" i="228" s="1"/>
  <c r="U13" i="228" s="1"/>
  <c r="I14" i="228" a="1"/>
  <c r="I14" i="228" s="1"/>
  <c r="J14" i="228" s="1"/>
  <c r="I15" i="228" a="1"/>
  <c r="I15" i="228" s="1"/>
  <c r="J15" i="228" s="1"/>
  <c r="I16" i="228" a="1"/>
  <c r="I16" i="228" s="1"/>
  <c r="J16" i="228" s="1"/>
  <c r="I17" i="228" a="1"/>
  <c r="I17" i="228" s="1"/>
  <c r="J17" i="228" s="1"/>
  <c r="U17" i="228" s="1"/>
  <c r="I18" i="228" a="1"/>
  <c r="I18" i="228" s="1"/>
  <c r="J18" i="228" s="1"/>
  <c r="U18" i="228" s="1"/>
  <c r="I19" i="228" a="1"/>
  <c r="I19" i="228" s="1"/>
  <c r="J19" i="228" s="1"/>
  <c r="U19" i="228" s="1"/>
  <c r="I20" i="228" a="1"/>
  <c r="I20" i="228" s="1"/>
  <c r="J20" i="228" s="1"/>
  <c r="U20" i="228" s="1"/>
  <c r="I21" i="228" a="1"/>
  <c r="I21" i="228" s="1"/>
  <c r="J21" i="228" s="1"/>
  <c r="U21" i="228" s="1"/>
  <c r="I22" i="228" a="1"/>
  <c r="I22" i="228" s="1"/>
  <c r="J22" i="228" s="1"/>
  <c r="U22" i="228" s="1"/>
  <c r="I23" i="228" a="1"/>
  <c r="I23" i="228" s="1"/>
  <c r="J23" i="228" s="1"/>
  <c r="U23" i="228" s="1"/>
  <c r="I24" i="228" a="1"/>
  <c r="I24" i="228" s="1"/>
  <c r="J24" i="228" s="1"/>
  <c r="U24" i="228" s="1"/>
  <c r="I25" i="228" a="1"/>
  <c r="I25" i="228" s="1"/>
  <c r="J25" i="228" s="1"/>
  <c r="U25" i="228" s="1"/>
  <c r="I26" i="228" a="1"/>
  <c r="I26" i="228" s="1"/>
  <c r="J26" i="228" s="1"/>
  <c r="U26" i="228" s="1"/>
  <c r="I27" i="228" a="1"/>
  <c r="I27" i="228" s="1"/>
  <c r="J27" i="228" s="1"/>
  <c r="U27" i="228" s="1"/>
  <c r="I28" i="228" a="1"/>
  <c r="I28" i="228" s="1"/>
  <c r="J28" i="228" s="1"/>
  <c r="U28" i="228" s="1"/>
  <c r="I29" i="228" a="1"/>
  <c r="I29" i="228" s="1"/>
  <c r="J29" i="228" s="1"/>
  <c r="U29" i="228" s="1"/>
  <c r="I30" i="228" a="1"/>
  <c r="I30" i="228" s="1"/>
  <c r="J30" i="228" s="1"/>
  <c r="U30" i="228" s="1"/>
  <c r="F259" i="228" a="1"/>
  <c r="F259" i="228" s="1"/>
  <c r="F258" i="228" a="1"/>
  <c r="F258" i="228" s="1"/>
  <c r="G258" i="228" s="1"/>
  <c r="T258" i="228" s="1"/>
  <c r="F257" i="228" a="1"/>
  <c r="F257" i="228" s="1"/>
  <c r="G257" i="228" s="1"/>
  <c r="T257" i="228" s="1"/>
  <c r="F256" i="228" a="1"/>
  <c r="F256" i="228" s="1"/>
  <c r="G256" i="228" s="1"/>
  <c r="T256" i="228" s="1"/>
  <c r="F255" i="228" a="1"/>
  <c r="F255" i="228" s="1"/>
  <c r="G255" i="228" s="1"/>
  <c r="T255" i="228" s="1"/>
  <c r="F254" i="228" a="1"/>
  <c r="F254" i="228" s="1"/>
  <c r="G254" i="228" s="1"/>
  <c r="T254" i="228" s="1"/>
  <c r="F253" i="228" a="1"/>
  <c r="F253" i="228" s="1"/>
  <c r="G253" i="228" s="1"/>
  <c r="T253" i="228" s="1"/>
  <c r="F252" i="228" a="1"/>
  <c r="F252" i="228" s="1"/>
  <c r="G252" i="228" s="1"/>
  <c r="T252" i="228" s="1"/>
  <c r="F251" i="228" a="1"/>
  <c r="F251" i="228" s="1"/>
  <c r="G251" i="228" s="1"/>
  <c r="T251" i="228" s="1"/>
  <c r="F250" i="228" a="1"/>
  <c r="F250" i="228" s="1"/>
  <c r="G250" i="228" s="1"/>
  <c r="T250" i="228" s="1"/>
  <c r="F249" i="228" a="1"/>
  <c r="F249" i="228" s="1"/>
  <c r="G249" i="228" s="1"/>
  <c r="T249" i="228" s="1"/>
  <c r="F248" i="228" a="1"/>
  <c r="F248" i="228" s="1"/>
  <c r="G248" i="228" s="1"/>
  <c r="T248" i="228" s="1"/>
  <c r="F247" i="228" a="1"/>
  <c r="F247" i="228" s="1"/>
  <c r="G247" i="228" s="1"/>
  <c r="T247" i="228" s="1"/>
  <c r="F246" i="228" a="1"/>
  <c r="F246" i="228" s="1"/>
  <c r="G246" i="228" s="1"/>
  <c r="T246" i="228" s="1"/>
  <c r="F245" i="228" a="1"/>
  <c r="F245" i="228" s="1"/>
  <c r="G245" i="228" s="1"/>
  <c r="T245" i="228" s="1"/>
  <c r="F244" i="228" a="1"/>
  <c r="F244" i="228" s="1"/>
  <c r="G244" i="228" s="1"/>
  <c r="T244" i="228" s="1"/>
  <c r="F243" i="228" a="1"/>
  <c r="F243" i="228" s="1"/>
  <c r="G243" i="228" s="1"/>
  <c r="T243" i="228" s="1"/>
  <c r="F242" i="228" a="1"/>
  <c r="F242" i="228" s="1"/>
  <c r="G242" i="228" s="1"/>
  <c r="F241" i="228" a="1"/>
  <c r="F241" i="228" s="1"/>
  <c r="G241" i="228" s="1"/>
  <c r="T241" i="228" s="1"/>
  <c r="F240" i="228" a="1"/>
  <c r="F240" i="228" s="1"/>
  <c r="G240" i="228" s="1"/>
  <c r="T240" i="228" s="1"/>
  <c r="F239" i="228" a="1"/>
  <c r="F239" i="228" s="1"/>
  <c r="G239" i="228" s="1"/>
  <c r="T239" i="228" s="1"/>
  <c r="F238" i="228" a="1"/>
  <c r="F238" i="228" s="1"/>
  <c r="G238" i="228" s="1"/>
  <c r="T238" i="228" s="1"/>
  <c r="F237" i="228" a="1"/>
  <c r="F237" i="228" s="1"/>
  <c r="G237" i="228" s="1"/>
  <c r="T237" i="228" s="1"/>
  <c r="F236" i="228" a="1"/>
  <c r="F236" i="228" s="1"/>
  <c r="G236" i="228" s="1"/>
  <c r="T236" i="228" s="1"/>
  <c r="F235" i="228" a="1"/>
  <c r="F235" i="228" s="1"/>
  <c r="G235" i="228" s="1"/>
  <c r="T235" i="228" s="1"/>
  <c r="F234" i="228" a="1"/>
  <c r="F234" i="228" s="1"/>
  <c r="G234" i="228" s="1"/>
  <c r="T234" i="228" s="1"/>
  <c r="F233" i="228" a="1"/>
  <c r="F233" i="228" s="1"/>
  <c r="G233" i="228" s="1"/>
  <c r="T233" i="228" s="1"/>
  <c r="F232" i="228" a="1"/>
  <c r="F232" i="228" s="1"/>
  <c r="G232" i="228" s="1"/>
  <c r="T232" i="228" s="1"/>
  <c r="F231" i="228" a="1"/>
  <c r="F231" i="228" s="1"/>
  <c r="G231" i="228" s="1"/>
  <c r="T231" i="228" s="1"/>
  <c r="F230" i="228" a="1"/>
  <c r="F230" i="228" s="1"/>
  <c r="G230" i="228" s="1"/>
  <c r="T230" i="228" s="1"/>
  <c r="F229" i="228" a="1"/>
  <c r="F229" i="228" s="1"/>
  <c r="G229" i="228" s="1"/>
  <c r="T229" i="228" s="1"/>
  <c r="F228" i="228" a="1"/>
  <c r="F228" i="228" s="1"/>
  <c r="G228" i="228" s="1"/>
  <c r="T228" i="228" s="1"/>
  <c r="F227" i="228" a="1"/>
  <c r="F227" i="228" s="1"/>
  <c r="G227" i="228" s="1"/>
  <c r="T227" i="228" s="1"/>
  <c r="F226" i="228" a="1"/>
  <c r="F226" i="228" s="1"/>
  <c r="G226" i="228" s="1"/>
  <c r="T226" i="228" s="1"/>
  <c r="F225" i="228" a="1"/>
  <c r="F225" i="228" s="1"/>
  <c r="G225" i="228" s="1"/>
  <c r="T225" i="228" s="1"/>
  <c r="F224" i="228" a="1"/>
  <c r="F224" i="228" s="1"/>
  <c r="G224" i="228" s="1"/>
  <c r="T224" i="228" s="1"/>
  <c r="F223" i="228" a="1"/>
  <c r="F223" i="228" s="1"/>
  <c r="G223" i="228" s="1"/>
  <c r="T223" i="228" s="1"/>
  <c r="F222" i="228" a="1"/>
  <c r="F222" i="228" s="1"/>
  <c r="G222" i="228" s="1"/>
  <c r="T222" i="228" s="1"/>
  <c r="F221" i="228" a="1"/>
  <c r="F221" i="228" s="1"/>
  <c r="G221" i="228" s="1"/>
  <c r="T221" i="228" s="1"/>
  <c r="F220" i="228" a="1"/>
  <c r="F220" i="228" s="1"/>
  <c r="G220" i="228" s="1"/>
  <c r="T220" i="228" s="1"/>
  <c r="F219" i="228" a="1"/>
  <c r="F219" i="228" s="1"/>
  <c r="G219" i="228" s="1"/>
  <c r="T219" i="228" s="1"/>
  <c r="F218" i="228" a="1"/>
  <c r="F218" i="228" s="1"/>
  <c r="G218" i="228" s="1"/>
  <c r="T218" i="228" s="1"/>
  <c r="F217" i="228" a="1"/>
  <c r="F217" i="228" s="1"/>
  <c r="G217" i="228" s="1"/>
  <c r="T217" i="228" s="1"/>
  <c r="F216" i="228" a="1"/>
  <c r="F216" i="228" s="1"/>
  <c r="G216" i="228" s="1"/>
  <c r="F215" i="228" a="1"/>
  <c r="F215" i="228" s="1"/>
  <c r="G215" i="228" s="1"/>
  <c r="T215" i="228" s="1"/>
  <c r="F214" i="228" a="1"/>
  <c r="F214" i="228" s="1"/>
  <c r="G214" i="228" s="1"/>
  <c r="T214" i="228" s="1"/>
  <c r="F213" i="228" a="1"/>
  <c r="F213" i="228" s="1"/>
  <c r="G213" i="228" s="1"/>
  <c r="T213" i="228" s="1"/>
  <c r="F212" i="228" a="1"/>
  <c r="F212" i="228" s="1"/>
  <c r="G212" i="228" s="1"/>
  <c r="T212" i="228" s="1"/>
  <c r="F211" i="228" a="1"/>
  <c r="F211" i="228" s="1"/>
  <c r="G211" i="228" s="1"/>
  <c r="T211" i="228" s="1"/>
  <c r="F210" i="228" a="1"/>
  <c r="F210" i="228" s="1"/>
  <c r="G210" i="228" s="1"/>
  <c r="T210" i="228" s="1"/>
  <c r="F209" i="228" a="1"/>
  <c r="F209" i="228" s="1"/>
  <c r="G209" i="228" s="1"/>
  <c r="T209" i="228" s="1"/>
  <c r="F208" i="228" a="1"/>
  <c r="F208" i="228" s="1"/>
  <c r="G208" i="228" s="1"/>
  <c r="T208" i="228" s="1"/>
  <c r="F207" i="228" a="1"/>
  <c r="F207" i="228" s="1"/>
  <c r="G207" i="228" s="1"/>
  <c r="T207" i="228" s="1"/>
  <c r="F206" i="228" a="1"/>
  <c r="F206" i="228" s="1"/>
  <c r="G206" i="228" s="1"/>
  <c r="T206" i="228" s="1"/>
  <c r="F205" i="228" a="1"/>
  <c r="F205" i="228" s="1"/>
  <c r="G205" i="228" s="1"/>
  <c r="T205" i="228" s="1"/>
  <c r="F204" i="228" a="1"/>
  <c r="F204" i="228" s="1"/>
  <c r="G204" i="228" s="1"/>
  <c r="T204" i="228" s="1"/>
  <c r="F203" i="228" a="1"/>
  <c r="F203" i="228" s="1"/>
  <c r="G203" i="228" s="1"/>
  <c r="T203" i="228" s="1"/>
  <c r="F202" i="228" a="1"/>
  <c r="F202" i="228" s="1"/>
  <c r="G202" i="228" s="1"/>
  <c r="T202" i="228" s="1"/>
  <c r="F201" i="228" a="1"/>
  <c r="F201" i="228" s="1"/>
  <c r="G201" i="228" s="1"/>
  <c r="T201" i="228" s="1"/>
  <c r="F200" i="228" a="1"/>
  <c r="F200" i="228" s="1"/>
  <c r="G200" i="228" s="1"/>
  <c r="T200" i="228" s="1"/>
  <c r="F199" i="228" a="1"/>
  <c r="F199" i="228" s="1"/>
  <c r="G199" i="228" s="1"/>
  <c r="T199" i="228" s="1"/>
  <c r="F198" i="228" a="1"/>
  <c r="F198" i="228" s="1"/>
  <c r="G198" i="228" s="1"/>
  <c r="T198" i="228" s="1"/>
  <c r="F197" i="228" a="1"/>
  <c r="F197" i="228" s="1"/>
  <c r="G197" i="228" s="1"/>
  <c r="T197" i="228" s="1"/>
  <c r="F196" i="228" a="1"/>
  <c r="F196" i="228" s="1"/>
  <c r="G196" i="228" s="1"/>
  <c r="T196" i="228" s="1"/>
  <c r="F195" i="228" a="1"/>
  <c r="F195" i="228" s="1"/>
  <c r="G195" i="228" s="1"/>
  <c r="T195" i="228" s="1"/>
  <c r="F194" i="228" a="1"/>
  <c r="F194" i="228" s="1"/>
  <c r="G194" i="228" s="1"/>
  <c r="F193" i="228" a="1"/>
  <c r="F193" i="228" s="1"/>
  <c r="G193" i="228" s="1"/>
  <c r="F192" i="228" a="1"/>
  <c r="F192" i="228" s="1"/>
  <c r="G192" i="228" s="1"/>
  <c r="F191" i="228" a="1"/>
  <c r="F191" i="228" s="1"/>
  <c r="G191" i="228" s="1"/>
  <c r="T191" i="228" s="1"/>
  <c r="F190" i="228" a="1"/>
  <c r="F190" i="228" s="1"/>
  <c r="G190" i="228" s="1"/>
  <c r="F287" i="228" s="1"/>
  <c r="H287" i="228" s="1"/>
  <c r="F189" i="228" a="1"/>
  <c r="F189" i="228" s="1"/>
  <c r="G189" i="228" s="1"/>
  <c r="F188" i="228" a="1"/>
  <c r="F188" i="228" s="1"/>
  <c r="G188" i="228" s="1"/>
  <c r="F187" i="228" a="1"/>
  <c r="F187" i="228" s="1"/>
  <c r="G187" i="228" s="1"/>
  <c r="F289" i="228" s="1"/>
  <c r="H289" i="228" s="1"/>
  <c r="F186" i="228" a="1"/>
  <c r="F186" i="228" s="1"/>
  <c r="G186" i="228" s="1"/>
  <c r="F185" i="228" a="1"/>
  <c r="F185" i="228" s="1"/>
  <c r="F182" i="228" a="1"/>
  <c r="F182" i="228" s="1"/>
  <c r="G182" i="228" s="1"/>
  <c r="T182" i="228" s="1"/>
  <c r="F181" i="228" a="1"/>
  <c r="F181" i="228" s="1"/>
  <c r="G181" i="228" s="1"/>
  <c r="T181" i="228" s="1"/>
  <c r="F180" i="228" a="1"/>
  <c r="F180" i="228" s="1"/>
  <c r="G180" i="228" s="1"/>
  <c r="T180" i="228" s="1"/>
  <c r="F179" i="228" a="1"/>
  <c r="F179" i="228" s="1"/>
  <c r="G179" i="228" s="1"/>
  <c r="T179" i="228" s="1"/>
  <c r="F178" i="228" a="1"/>
  <c r="F178" i="228" s="1"/>
  <c r="G178" i="228" s="1"/>
  <c r="T178" i="228" s="1"/>
  <c r="F177" i="228" a="1"/>
  <c r="F177" i="228" s="1"/>
  <c r="G177" i="228" s="1"/>
  <c r="T177" i="228" s="1"/>
  <c r="F176" i="228" a="1"/>
  <c r="F176" i="228" s="1"/>
  <c r="G176" i="228" s="1"/>
  <c r="T176" i="228" s="1"/>
  <c r="F175" i="228" a="1"/>
  <c r="F175" i="228" s="1"/>
  <c r="G175" i="228" s="1"/>
  <c r="T175" i="228" s="1"/>
  <c r="F174" i="228" a="1"/>
  <c r="F174" i="228" s="1"/>
  <c r="G174" i="228" s="1"/>
  <c r="T174" i="228" s="1"/>
  <c r="F173" i="228" a="1"/>
  <c r="F173" i="228" s="1"/>
  <c r="G173" i="228" s="1"/>
  <c r="T173" i="228" s="1"/>
  <c r="F172" i="228" a="1"/>
  <c r="F172" i="228" s="1"/>
  <c r="G172" i="228" s="1"/>
  <c r="T172" i="228" s="1"/>
  <c r="F171" i="228" a="1"/>
  <c r="F171" i="228" s="1"/>
  <c r="G171" i="228" s="1"/>
  <c r="F170" i="228" a="1"/>
  <c r="F170" i="228" s="1"/>
  <c r="G170" i="228" s="1"/>
  <c r="T170" i="228" s="1"/>
  <c r="F169" i="228" a="1"/>
  <c r="F169" i="228" s="1"/>
  <c r="G169" i="228" s="1"/>
  <c r="T169" i="228" s="1"/>
  <c r="F168" i="228" a="1"/>
  <c r="F168" i="228" s="1"/>
  <c r="G168" i="228" s="1"/>
  <c r="T168" i="228" s="1"/>
  <c r="F167" i="228" a="1"/>
  <c r="F167" i="228" s="1"/>
  <c r="G167" i="228" s="1"/>
  <c r="T167" i="228" s="1"/>
  <c r="F166" i="228" a="1"/>
  <c r="F166" i="228" s="1"/>
  <c r="G166" i="228" s="1"/>
  <c r="T166" i="228" s="1"/>
  <c r="F165" i="228" a="1"/>
  <c r="F165" i="228" s="1"/>
  <c r="G165" i="228" s="1"/>
  <c r="T165" i="228" s="1"/>
  <c r="F164" i="228" a="1"/>
  <c r="F164" i="228" s="1"/>
  <c r="G164" i="228" s="1"/>
  <c r="T164" i="228" s="1"/>
  <c r="F163" i="228" a="1"/>
  <c r="F163" i="228" s="1"/>
  <c r="G163" i="228" s="1"/>
  <c r="T163" i="228" s="1"/>
  <c r="F162" i="228" a="1"/>
  <c r="F162" i="228" s="1"/>
  <c r="G162" i="228" s="1"/>
  <c r="T162" i="228" s="1"/>
  <c r="F161" i="228" a="1"/>
  <c r="F161" i="228" s="1"/>
  <c r="G161" i="228" s="1"/>
  <c r="T161" i="228" s="1"/>
  <c r="F160" i="228" a="1"/>
  <c r="F160" i="228" s="1"/>
  <c r="G160" i="228" s="1"/>
  <c r="T160" i="228" s="1"/>
  <c r="F159" i="228" a="1"/>
  <c r="F159" i="228" s="1"/>
  <c r="G159" i="228" s="1"/>
  <c r="T159" i="228" s="1"/>
  <c r="F158" i="228" a="1"/>
  <c r="F158" i="228" s="1"/>
  <c r="G158" i="228" s="1"/>
  <c r="F157" i="228" a="1"/>
  <c r="F157" i="228" s="1"/>
  <c r="G157" i="228" s="1"/>
  <c r="T157" i="228" s="1"/>
  <c r="F156" i="228" a="1"/>
  <c r="F156" i="228" s="1"/>
  <c r="G156" i="228" s="1"/>
  <c r="T156" i="228" s="1"/>
  <c r="F155" i="228" a="1"/>
  <c r="F155" i="228" s="1"/>
  <c r="G155" i="228" s="1"/>
  <c r="F154" i="228" a="1"/>
  <c r="F154" i="228" s="1"/>
  <c r="G154" i="228" s="1"/>
  <c r="T154" i="228" s="1"/>
  <c r="F153" i="228" a="1"/>
  <c r="F153" i="228" s="1"/>
  <c r="G153" i="228" s="1"/>
  <c r="T153" i="228" s="1"/>
  <c r="F152" i="228" a="1"/>
  <c r="F152" i="228" s="1"/>
  <c r="G152" i="228" s="1"/>
  <c r="T152" i="228" s="1"/>
  <c r="F151" i="228" a="1"/>
  <c r="F151" i="228" s="1"/>
  <c r="G151" i="228" s="1"/>
  <c r="T151" i="228" s="1"/>
  <c r="F150" i="228" a="1"/>
  <c r="F150" i="228" s="1"/>
  <c r="G150" i="228" s="1"/>
  <c r="T150" i="228" s="1"/>
  <c r="F149" i="228" a="1"/>
  <c r="F149" i="228" s="1"/>
  <c r="F148" i="228" a="1"/>
  <c r="F148" i="228" s="1"/>
  <c r="G148" i="228" s="1"/>
  <c r="F147" i="228" a="1"/>
  <c r="F147" i="228" s="1"/>
  <c r="G147" i="228" s="1"/>
  <c r="T147" i="228" s="1"/>
  <c r="F146" i="228" a="1"/>
  <c r="F146" i="228" s="1"/>
  <c r="G146" i="228" s="1"/>
  <c r="T146" i="228" s="1"/>
  <c r="F145" i="228" a="1"/>
  <c r="F145" i="228" s="1"/>
  <c r="G145" i="228" s="1"/>
  <c r="T145" i="228" s="1"/>
  <c r="F141" i="228" a="1"/>
  <c r="F141" i="228" s="1"/>
  <c r="G141" i="228" s="1"/>
  <c r="T141" i="228" s="1"/>
  <c r="F140" i="228" a="1"/>
  <c r="F140" i="228" s="1"/>
  <c r="G140" i="228" s="1"/>
  <c r="T140" i="228" s="1"/>
  <c r="F138" i="228" a="1"/>
  <c r="F138" i="228" s="1"/>
  <c r="G138" i="228" s="1"/>
  <c r="T138" i="228" s="1"/>
  <c r="F137" i="228" a="1"/>
  <c r="F137" i="228" s="1"/>
  <c r="G137" i="228" s="1"/>
  <c r="T137" i="228" s="1"/>
  <c r="F136" i="228" a="1"/>
  <c r="F136" i="228" s="1"/>
  <c r="G136" i="228" s="1"/>
  <c r="T136" i="228" s="1"/>
  <c r="F135" i="228" a="1"/>
  <c r="F135" i="228" s="1"/>
  <c r="G135" i="228" s="1"/>
  <c r="T135" i="228" s="1"/>
  <c r="F134" i="228" a="1"/>
  <c r="F134" i="228" s="1"/>
  <c r="G134" i="228" s="1"/>
  <c r="T134" i="228" s="1"/>
  <c r="F123" i="228" a="1"/>
  <c r="F123" i="228" s="1"/>
  <c r="G123" i="228" s="1"/>
  <c r="T123" i="228" s="1"/>
  <c r="F122" i="228" a="1"/>
  <c r="F122" i="228" s="1"/>
  <c r="G122" i="228" s="1"/>
  <c r="T122" i="228" s="1"/>
  <c r="F121" i="228" a="1"/>
  <c r="F121" i="228" s="1"/>
  <c r="G121" i="228" s="1"/>
  <c r="T121" i="228" s="1"/>
  <c r="F120" i="228" a="1"/>
  <c r="F120" i="228" s="1"/>
  <c r="G120" i="228" s="1"/>
  <c r="T120" i="228" s="1"/>
  <c r="F119" i="228" a="1"/>
  <c r="F119" i="228" s="1"/>
  <c r="G119" i="228" s="1"/>
  <c r="F118" i="228" a="1"/>
  <c r="F118" i="228" s="1"/>
  <c r="G118" i="228" s="1"/>
  <c r="T118" i="228" s="1"/>
  <c r="F117" i="228" a="1"/>
  <c r="F117" i="228" s="1"/>
  <c r="G117" i="228" s="1"/>
  <c r="F116" i="228" a="1"/>
  <c r="F116" i="228" s="1"/>
  <c r="G116" i="228" s="1"/>
  <c r="T116" i="228" s="1"/>
  <c r="F115" i="228" a="1"/>
  <c r="F115" i="228" s="1"/>
  <c r="G115" i="228" s="1"/>
  <c r="F114" i="228" a="1"/>
  <c r="F114" i="228" s="1"/>
  <c r="G114" i="228" s="1"/>
  <c r="T114" i="228" s="1"/>
  <c r="F113" i="228" a="1"/>
  <c r="F113" i="228" s="1"/>
  <c r="G113" i="228" s="1"/>
  <c r="T113" i="228" s="1"/>
  <c r="F112" i="228" a="1"/>
  <c r="F112" i="228" s="1"/>
  <c r="G112" i="228" s="1"/>
  <c r="T112" i="228" s="1"/>
  <c r="F111" i="228" a="1"/>
  <c r="F111" i="228" s="1"/>
  <c r="G111" i="228" s="1"/>
  <c r="T111" i="228" s="1"/>
  <c r="F110" i="228" a="1"/>
  <c r="F110" i="228" s="1"/>
  <c r="G110" i="228" s="1"/>
  <c r="T110" i="228" s="1"/>
  <c r="F109" i="228" a="1"/>
  <c r="F109" i="228" s="1"/>
  <c r="G109" i="228" s="1"/>
  <c r="F108" i="228" a="1"/>
  <c r="F108" i="228" s="1"/>
  <c r="G108" i="228" s="1"/>
  <c r="T108" i="228" s="1"/>
  <c r="F107" i="228" a="1"/>
  <c r="F107" i="228" s="1"/>
  <c r="G107" i="228" s="1"/>
  <c r="T107" i="228" s="1"/>
  <c r="F106" i="228" a="1"/>
  <c r="F106" i="228" s="1"/>
  <c r="G106" i="228" s="1"/>
  <c r="F105" i="228" a="1"/>
  <c r="F105" i="228" s="1"/>
  <c r="G105" i="228" s="1"/>
  <c r="F104" i="228" a="1"/>
  <c r="F104" i="228" s="1"/>
  <c r="G104" i="228" s="1"/>
  <c r="F103" i="228" a="1"/>
  <c r="F103" i="228" s="1"/>
  <c r="G103" i="228" s="1"/>
  <c r="T103" i="228" s="1"/>
  <c r="F102" i="228" a="1"/>
  <c r="F102" i="228" s="1"/>
  <c r="G102" i="228" s="1"/>
  <c r="T102" i="228" s="1"/>
  <c r="F101" i="228" a="1"/>
  <c r="F101" i="228" s="1"/>
  <c r="F100" i="228" a="1"/>
  <c r="F100" i="228" s="1"/>
  <c r="F99" i="228" a="1"/>
  <c r="F99" i="228" s="1"/>
  <c r="G99" i="228" s="1"/>
  <c r="T99" i="228" s="1"/>
  <c r="F98" i="228" a="1"/>
  <c r="F98" i="228" s="1"/>
  <c r="G98" i="228" s="1"/>
  <c r="F97" i="228" a="1"/>
  <c r="F97" i="228" s="1"/>
  <c r="G97" i="228" s="1"/>
  <c r="T97" i="228" s="1"/>
  <c r="F96" i="228" a="1"/>
  <c r="F96" i="228" s="1"/>
  <c r="G96" i="228" s="1"/>
  <c r="F95" i="228" a="1"/>
  <c r="F95" i="228" s="1"/>
  <c r="G95" i="228" s="1"/>
  <c r="F94" i="228" a="1"/>
  <c r="F94" i="228" s="1"/>
  <c r="G94" i="228" s="1"/>
  <c r="F93" i="228" a="1"/>
  <c r="F93" i="228" s="1"/>
  <c r="G93" i="228" s="1"/>
  <c r="F92" i="228" a="1"/>
  <c r="F92" i="228" s="1"/>
  <c r="F91" i="228" a="1"/>
  <c r="F91" i="228" s="1"/>
  <c r="F90" i="228" a="1"/>
  <c r="F90" i="228" s="1"/>
  <c r="G90" i="228" s="1"/>
  <c r="F89" i="228" a="1"/>
  <c r="F89" i="228" s="1"/>
  <c r="G89" i="228" s="1"/>
  <c r="F88" i="228" a="1"/>
  <c r="F88" i="228" s="1"/>
  <c r="G88" i="228" s="1"/>
  <c r="T88" i="228" s="1"/>
  <c r="F87" i="228" a="1"/>
  <c r="F87" i="228" s="1"/>
  <c r="F86" i="228" a="1"/>
  <c r="F86" i="228" s="1"/>
  <c r="G86" i="228" s="1"/>
  <c r="F85" i="228" a="1"/>
  <c r="F85" i="228" s="1"/>
  <c r="G85" i="228" s="1"/>
  <c r="F84" i="228" a="1"/>
  <c r="F84" i="228" s="1"/>
  <c r="G84" i="228" s="1"/>
  <c r="F83" i="228" a="1"/>
  <c r="F83" i="228" s="1"/>
  <c r="G83" i="228" s="1"/>
  <c r="F82" i="228" a="1"/>
  <c r="F82" i="228" s="1"/>
  <c r="G82" i="228" s="1"/>
  <c r="T82" i="228" s="1"/>
  <c r="F81" i="228" a="1"/>
  <c r="F81" i="228" s="1"/>
  <c r="G81" i="228" s="1"/>
  <c r="F80" i="228" a="1"/>
  <c r="F80" i="228" s="1"/>
  <c r="G80" i="228" s="1"/>
  <c r="F79" i="228" a="1"/>
  <c r="F79" i="228" s="1"/>
  <c r="G79" i="228" s="1"/>
  <c r="F78" i="228" a="1"/>
  <c r="F78" i="228" s="1"/>
  <c r="G78" i="228" s="1"/>
  <c r="F77" i="228" a="1"/>
  <c r="F77" i="228" s="1"/>
  <c r="G77" i="228" s="1"/>
  <c r="F76" i="228" a="1"/>
  <c r="F76" i="228" s="1"/>
  <c r="G76" i="228" s="1"/>
  <c r="F75" i="228" a="1"/>
  <c r="F75" i="228" s="1"/>
  <c r="G75" i="228" s="1"/>
  <c r="F74" i="228" a="1"/>
  <c r="F74" i="228" s="1"/>
  <c r="G74" i="228" s="1"/>
  <c r="F73" i="228" a="1"/>
  <c r="F73" i="228" s="1"/>
  <c r="G73" i="228" s="1"/>
  <c r="F72" i="228" a="1"/>
  <c r="F72" i="228" s="1"/>
  <c r="G72" i="228" s="1"/>
  <c r="F71" i="228" a="1"/>
  <c r="F71" i="228" s="1"/>
  <c r="G71" i="228" s="1"/>
  <c r="F70" i="228" a="1"/>
  <c r="F70" i="228" s="1"/>
  <c r="G70" i="228" s="1"/>
  <c r="F69" i="228" a="1"/>
  <c r="F69" i="228" s="1"/>
  <c r="G69" i="228" s="1"/>
  <c r="F68" i="228" a="1"/>
  <c r="F68" i="228" s="1"/>
  <c r="G68" i="228" s="1"/>
  <c r="F67" i="228" a="1"/>
  <c r="F67" i="228" s="1"/>
  <c r="G67" i="228" s="1"/>
  <c r="F66" i="228" a="1"/>
  <c r="F66" i="228" s="1"/>
  <c r="G66" i="228" s="1"/>
  <c r="F65" i="228" a="1"/>
  <c r="F65" i="228" s="1"/>
  <c r="G65" i="228" s="1"/>
  <c r="F64" i="228" a="1"/>
  <c r="F64" i="228" s="1"/>
  <c r="G64" i="228" s="1"/>
  <c r="F63" i="228" a="1"/>
  <c r="F63" i="228" s="1"/>
  <c r="G63" i="228" s="1"/>
  <c r="F62" i="228" a="1"/>
  <c r="F62" i="228" s="1"/>
  <c r="G62" i="228" s="1"/>
  <c r="F61" i="228" a="1"/>
  <c r="F61" i="228" s="1"/>
  <c r="G61" i="228" s="1"/>
  <c r="F60" i="228" a="1"/>
  <c r="F60" i="228" s="1"/>
  <c r="G60" i="228" s="1"/>
  <c r="F59" i="228" a="1"/>
  <c r="F59" i="228" s="1"/>
  <c r="G59" i="228" s="1"/>
  <c r="F58" i="228" a="1"/>
  <c r="F58" i="228" s="1"/>
  <c r="G58" i="228" s="1"/>
  <c r="F57" i="228" a="1"/>
  <c r="F57" i="228" s="1"/>
  <c r="G57" i="228" s="1"/>
  <c r="F56" i="228" a="1"/>
  <c r="F56" i="228" s="1"/>
  <c r="G56" i="228" s="1"/>
  <c r="F55" i="228" a="1"/>
  <c r="F55" i="228" s="1"/>
  <c r="G55" i="228" s="1"/>
  <c r="F54" i="228" a="1"/>
  <c r="F54" i="228" s="1"/>
  <c r="G54" i="228" s="1"/>
  <c r="F53" i="228" a="1"/>
  <c r="F53" i="228" s="1"/>
  <c r="G53" i="228" s="1"/>
  <c r="F52" i="228" a="1"/>
  <c r="F52" i="228" s="1"/>
  <c r="G52" i="228" s="1"/>
  <c r="F51" i="228" a="1"/>
  <c r="F51" i="228" s="1"/>
  <c r="G51" i="228" s="1"/>
  <c r="F50" i="228" a="1"/>
  <c r="F50" i="228" s="1"/>
  <c r="G50" i="228" s="1"/>
  <c r="F49" i="228" a="1"/>
  <c r="F49" i="228" s="1"/>
  <c r="G49" i="228" s="1"/>
  <c r="F48" i="228" a="1"/>
  <c r="F48" i="228" s="1"/>
  <c r="G48" i="228" s="1"/>
  <c r="F47" i="228" a="1"/>
  <c r="F47" i="228" s="1"/>
  <c r="G47" i="228" s="1"/>
  <c r="F46" i="228" a="1"/>
  <c r="F46" i="228" s="1"/>
  <c r="G46" i="228" s="1"/>
  <c r="T46" i="228" s="1"/>
  <c r="F45" i="228" a="1"/>
  <c r="F45" i="228" s="1"/>
  <c r="G45" i="228" s="1"/>
  <c r="F44" i="228" a="1"/>
  <c r="F44" i="228" s="1"/>
  <c r="G44" i="228" s="1"/>
  <c r="F43" i="228" a="1"/>
  <c r="F43" i="228" s="1"/>
  <c r="G43" i="228" s="1"/>
  <c r="T43" i="228" s="1"/>
  <c r="F42" i="228" a="1"/>
  <c r="F42" i="228" s="1"/>
  <c r="G42" i="228" s="1"/>
  <c r="F41" i="228" a="1"/>
  <c r="F41" i="228" s="1"/>
  <c r="G41" i="228" s="1"/>
  <c r="F40" i="228" a="1"/>
  <c r="F40" i="228" s="1"/>
  <c r="G40" i="228" s="1"/>
  <c r="F39" i="228" a="1"/>
  <c r="F39" i="228" s="1"/>
  <c r="G39" i="228" s="1"/>
  <c r="F281" i="228" s="1"/>
  <c r="H281" i="228" s="1"/>
  <c r="F38" i="228" a="1"/>
  <c r="F38" i="228" s="1"/>
  <c r="G38" i="228" s="1"/>
  <c r="F280" i="228" s="1"/>
  <c r="H280" i="228" s="1"/>
  <c r="F37" i="228" a="1"/>
  <c r="F37" i="228" s="1"/>
  <c r="G37" i="228" s="1"/>
  <c r="F36" i="228" a="1"/>
  <c r="F36" i="228" s="1"/>
  <c r="F11" i="228" a="1"/>
  <c r="F11" i="228" s="1"/>
  <c r="G11" i="228" s="1"/>
  <c r="F12" i="228" a="1"/>
  <c r="F12" i="228" s="1"/>
  <c r="F13" i="228" a="1"/>
  <c r="F13" i="228" s="1"/>
  <c r="F14" i="228" a="1"/>
  <c r="F14" i="228" s="1"/>
  <c r="G14" i="228" s="1"/>
  <c r="F15" i="228" a="1"/>
  <c r="F15" i="228" s="1"/>
  <c r="F16" i="228" a="1"/>
  <c r="F16" i="228" s="1"/>
  <c r="G16" i="228" s="1"/>
  <c r="F17" i="228" a="1"/>
  <c r="F17" i="228" s="1"/>
  <c r="F18" i="228" a="1"/>
  <c r="F18" i="228" s="1"/>
  <c r="F19" i="228" a="1"/>
  <c r="F19" i="228" s="1"/>
  <c r="F20" i="228" a="1"/>
  <c r="F20" i="228" s="1"/>
  <c r="F21" i="228" a="1"/>
  <c r="F21" i="228" s="1"/>
  <c r="F22" i="228" a="1"/>
  <c r="F22" i="228" s="1"/>
  <c r="F23" i="228" a="1"/>
  <c r="F23" i="228" s="1"/>
  <c r="F24" i="228" a="1"/>
  <c r="F24" i="228" s="1"/>
  <c r="F25" i="228" a="1"/>
  <c r="F25" i="228" s="1"/>
  <c r="F26" i="228" a="1"/>
  <c r="F26" i="228" s="1"/>
  <c r="F27" i="228" a="1"/>
  <c r="F27" i="228" s="1"/>
  <c r="F28" i="228" a="1"/>
  <c r="F28" i="228" s="1"/>
  <c r="F29" i="228" a="1"/>
  <c r="F29" i="228" s="1"/>
  <c r="F30" i="228" a="1"/>
  <c r="F30" i="228" s="1"/>
  <c r="I144" i="228" a="1"/>
  <c r="I144" i="228" s="1"/>
  <c r="J144" i="228" s="1"/>
  <c r="F144" i="228" a="1"/>
  <c r="F144" i="228" s="1"/>
  <c r="G144" i="228" s="1"/>
  <c r="I143" i="228" a="1"/>
  <c r="I143" i="228" s="1"/>
  <c r="J143" i="228" s="1"/>
  <c r="F143" i="228" a="1"/>
  <c r="F143" i="228" s="1"/>
  <c r="G143" i="228" s="1"/>
  <c r="I142" i="228" a="1"/>
  <c r="I142" i="228" s="1"/>
  <c r="J142" i="228" s="1"/>
  <c r="I139" i="228" a="1"/>
  <c r="I139" i="228" s="1"/>
  <c r="J139" i="228" s="1"/>
  <c r="F139" i="228" a="1"/>
  <c r="F139" i="228" s="1"/>
  <c r="G139" i="228" s="1"/>
  <c r="F133" i="228" a="1"/>
  <c r="F133" i="228" s="1"/>
  <c r="G133" i="228" s="1"/>
  <c r="F132" i="228" a="1"/>
  <c r="F132" i="228" s="1"/>
  <c r="G132" i="228" s="1"/>
  <c r="F131" i="228" a="1"/>
  <c r="F131" i="228" s="1"/>
  <c r="G131" i="228" s="1"/>
  <c r="F130" i="228" a="1"/>
  <c r="F130" i="228" s="1"/>
  <c r="G130" i="228" s="1"/>
  <c r="F129" i="228" a="1"/>
  <c r="F129" i="228" s="1"/>
  <c r="G129" i="228" s="1"/>
  <c r="I128" i="228" a="1"/>
  <c r="I128" i="228" s="1"/>
  <c r="J128" i="228" s="1"/>
  <c r="F128" i="228" a="1"/>
  <c r="F128" i="228" s="1"/>
  <c r="G128" i="228" s="1"/>
  <c r="I127" i="228" a="1"/>
  <c r="I127" i="228" s="1"/>
  <c r="J127" i="228" s="1"/>
  <c r="F127" i="228" a="1"/>
  <c r="F127" i="228" s="1"/>
  <c r="G127" i="228" s="1"/>
  <c r="I126" i="228" a="1"/>
  <c r="I126" i="228" s="1"/>
  <c r="J126" i="228" s="1"/>
  <c r="F126" i="228" a="1"/>
  <c r="F126" i="228" s="1"/>
  <c r="G126" i="228" s="1"/>
  <c r="I125" i="228" a="1"/>
  <c r="I125" i="228" s="1"/>
  <c r="J125" i="228" s="1"/>
  <c r="F125" i="228" a="1"/>
  <c r="F125" i="228" s="1"/>
  <c r="G125" i="228" s="1"/>
  <c r="I124" i="228" a="1"/>
  <c r="I124" i="228" s="1"/>
  <c r="J124" i="228" s="1"/>
  <c r="F124" i="228" a="1"/>
  <c r="F124" i="228" s="1"/>
  <c r="G124" i="228" s="1"/>
  <c r="I33" i="228" a="1"/>
  <c r="I33" i="228" s="1"/>
  <c r="I10" i="228" a="1"/>
  <c r="I10" i="228" s="1"/>
  <c r="L301" i="228"/>
  <c r="G301" i="228"/>
  <c r="L300" i="228"/>
  <c r="G300" i="228"/>
  <c r="L298" i="228"/>
  <c r="G298" i="228"/>
  <c r="L297" i="228"/>
  <c r="G297" i="228"/>
  <c r="L296" i="228"/>
  <c r="G296" i="228"/>
  <c r="L295" i="228"/>
  <c r="G295" i="228"/>
  <c r="L294" i="228"/>
  <c r="K294" i="228"/>
  <c r="G294" i="228"/>
  <c r="F294" i="228"/>
  <c r="H294" i="228" s="1"/>
  <c r="K293" i="228"/>
  <c r="M293" i="228" s="1"/>
  <c r="G293" i="228"/>
  <c r="L293" i="228" s="1"/>
  <c r="F293" i="228"/>
  <c r="H293" i="228" s="1"/>
  <c r="K292" i="228"/>
  <c r="G292" i="228"/>
  <c r="F292" i="228"/>
  <c r="G291" i="228"/>
  <c r="L291" i="228" s="1"/>
  <c r="L290" i="228"/>
  <c r="K290" i="228"/>
  <c r="M290" i="228" s="1"/>
  <c r="G290" i="228"/>
  <c r="F290" i="228"/>
  <c r="H290" i="228" s="1"/>
  <c r="L289" i="228"/>
  <c r="G289" i="228"/>
  <c r="L288" i="228"/>
  <c r="K288" i="228"/>
  <c r="M288" i="228" s="1"/>
  <c r="G288" i="228"/>
  <c r="F288" i="228"/>
  <c r="H288" i="228" s="1"/>
  <c r="L287" i="228"/>
  <c r="G287" i="228"/>
  <c r="L286" i="228"/>
  <c r="K286" i="228"/>
  <c r="M286" i="228" s="1"/>
  <c r="G286" i="228"/>
  <c r="F286" i="228"/>
  <c r="H286" i="228" s="1"/>
  <c r="G285" i="228"/>
  <c r="L285" i="228" s="1"/>
  <c r="L284" i="228"/>
  <c r="K284" i="228"/>
  <c r="M284" i="228" s="1"/>
  <c r="F284" i="228"/>
  <c r="H284" i="228" s="1"/>
  <c r="L283" i="228"/>
  <c r="G283" i="228"/>
  <c r="L282" i="228"/>
  <c r="G282" i="228"/>
  <c r="L281" i="228"/>
  <c r="G281" i="228"/>
  <c r="L280" i="228"/>
  <c r="G280" i="228"/>
  <c r="L279" i="228"/>
  <c r="G279" i="228"/>
  <c r="K278" i="228"/>
  <c r="M278" i="228" s="1"/>
  <c r="G278" i="228"/>
  <c r="L278" i="228" s="1"/>
  <c r="F278" i="228"/>
  <c r="H278" i="228" s="1"/>
  <c r="L277" i="228"/>
  <c r="L276" i="228"/>
  <c r="G276" i="228"/>
  <c r="L275" i="228"/>
  <c r="G275" i="228"/>
  <c r="L274" i="228"/>
  <c r="G274" i="228"/>
  <c r="L273" i="228"/>
  <c r="G273" i="228"/>
  <c r="L272" i="228"/>
  <c r="G272" i="228"/>
  <c r="K271" i="228"/>
  <c r="M271" i="228" s="1"/>
  <c r="G271" i="228"/>
  <c r="L271" i="228" s="1"/>
  <c r="F271" i="228"/>
  <c r="H271" i="228" s="1"/>
  <c r="K270" i="228"/>
  <c r="G270" i="228"/>
  <c r="L270" i="228" s="1"/>
  <c r="F270" i="228"/>
  <c r="L269" i="228"/>
  <c r="K269" i="228"/>
  <c r="M269" i="228" s="1"/>
  <c r="L268" i="228"/>
  <c r="G268" i="228"/>
  <c r="L267" i="228"/>
  <c r="F267" i="228"/>
  <c r="H267" i="228" s="1"/>
  <c r="L260" i="228"/>
  <c r="L183" i="228"/>
  <c r="L34" i="228"/>
  <c r="G34" i="228"/>
  <c r="F34" i="228"/>
  <c r="L31" i="228"/>
  <c r="A11" i="228"/>
  <c r="A4" i="228"/>
  <c r="A3" i="228"/>
  <c r="A2" i="228"/>
  <c r="A1" i="228"/>
  <c r="U121" i="227"/>
  <c r="K121" i="227"/>
  <c r="V119" i="227"/>
  <c r="K119" i="227"/>
  <c r="V118" i="227"/>
  <c r="U118" i="227"/>
  <c r="H118" i="227"/>
  <c r="W115" i="227"/>
  <c r="E114" i="227"/>
  <c r="W113" i="227"/>
  <c r="U113" i="227"/>
  <c r="U115" i="227" s="1"/>
  <c r="T113" i="227"/>
  <c r="N113" i="227"/>
  <c r="U109" i="227"/>
  <c r="U110" i="227" s="1"/>
  <c r="S109" i="227"/>
  <c r="V108" i="227"/>
  <c r="V110" i="227" s="1"/>
  <c r="S108" i="227"/>
  <c r="K108" i="227"/>
  <c r="D108" i="227"/>
  <c r="D110" i="227" s="1"/>
  <c r="C108" i="227"/>
  <c r="N104" i="227"/>
  <c r="M104" i="227"/>
  <c r="L104" i="227"/>
  <c r="K104" i="227"/>
  <c r="J104" i="227"/>
  <c r="I104" i="227"/>
  <c r="H104" i="227"/>
  <c r="G104" i="227"/>
  <c r="F104" i="227"/>
  <c r="E104" i="227"/>
  <c r="D104" i="227"/>
  <c r="C104" i="227"/>
  <c r="N103" i="227"/>
  <c r="M103" i="227"/>
  <c r="L103" i="227"/>
  <c r="K103" i="227"/>
  <c r="J103" i="227"/>
  <c r="I103" i="227"/>
  <c r="H103" i="227"/>
  <c r="G103" i="227"/>
  <c r="F103" i="227"/>
  <c r="E103" i="227"/>
  <c r="D103" i="227"/>
  <c r="C103" i="227"/>
  <c r="N102" i="227"/>
  <c r="M102" i="227"/>
  <c r="L102" i="227"/>
  <c r="K102" i="227"/>
  <c r="J102" i="227"/>
  <c r="I102" i="227"/>
  <c r="H102" i="227"/>
  <c r="G102" i="227"/>
  <c r="F102" i="227"/>
  <c r="E102" i="227"/>
  <c r="D102" i="227"/>
  <c r="C102" i="227"/>
  <c r="N101" i="227"/>
  <c r="M101" i="227"/>
  <c r="M118" i="227" s="1"/>
  <c r="L101" i="227"/>
  <c r="K101" i="227"/>
  <c r="J101" i="227"/>
  <c r="I101" i="227"/>
  <c r="H101" i="227"/>
  <c r="G101" i="227"/>
  <c r="F101" i="227"/>
  <c r="E101" i="227"/>
  <c r="D101" i="227"/>
  <c r="C101" i="227"/>
  <c r="N100" i="227"/>
  <c r="M100" i="227"/>
  <c r="L100" i="227"/>
  <c r="K100" i="227"/>
  <c r="J100" i="227"/>
  <c r="I100" i="227"/>
  <c r="H100" i="227"/>
  <c r="G100" i="227"/>
  <c r="F100" i="227"/>
  <c r="E100" i="227"/>
  <c r="D100" i="227"/>
  <c r="C100" i="227"/>
  <c r="N99" i="227"/>
  <c r="M99" i="227"/>
  <c r="L99" i="227"/>
  <c r="L113" i="227" s="1"/>
  <c r="L115" i="227" s="1"/>
  <c r="K99" i="227"/>
  <c r="J99" i="227"/>
  <c r="I99" i="227"/>
  <c r="H99" i="227"/>
  <c r="G99" i="227"/>
  <c r="F99" i="227"/>
  <c r="E99" i="227"/>
  <c r="E113" i="227" s="1"/>
  <c r="E115" i="227" s="1"/>
  <c r="D99" i="227"/>
  <c r="C99" i="227"/>
  <c r="N98" i="227"/>
  <c r="M98" i="227"/>
  <c r="L98" i="227"/>
  <c r="K98" i="227"/>
  <c r="J98" i="227"/>
  <c r="I98" i="227"/>
  <c r="H98" i="227"/>
  <c r="G98" i="227"/>
  <c r="F98" i="227"/>
  <c r="E98" i="227"/>
  <c r="D98" i="227"/>
  <c r="C98" i="227"/>
  <c r="N97" i="227"/>
  <c r="N108" i="227" s="1"/>
  <c r="N110" i="227" s="1"/>
  <c r="M97" i="227"/>
  <c r="M108" i="227" s="1"/>
  <c r="L97" i="227"/>
  <c r="K97" i="227"/>
  <c r="J97" i="227"/>
  <c r="I97" i="227"/>
  <c r="I108" i="227" s="1"/>
  <c r="H97" i="227"/>
  <c r="G97" i="227"/>
  <c r="G108" i="227" s="1"/>
  <c r="F97" i="227"/>
  <c r="F108" i="227" s="1"/>
  <c r="F110" i="227" s="1"/>
  <c r="E97" i="227"/>
  <c r="E108" i="227" s="1"/>
  <c r="D97" i="227"/>
  <c r="C97" i="227"/>
  <c r="T94" i="227"/>
  <c r="T121" i="227" s="1"/>
  <c r="R94" i="227"/>
  <c r="R121" i="227" s="1"/>
  <c r="L94" i="227"/>
  <c r="L121" i="227" s="1"/>
  <c r="D94" i="227"/>
  <c r="D121" i="227" s="1"/>
  <c r="U93" i="227"/>
  <c r="U120" i="227" s="1"/>
  <c r="S93" i="227"/>
  <c r="S120" i="227" s="1"/>
  <c r="M93" i="227"/>
  <c r="M120" i="227" s="1"/>
  <c r="K93" i="227"/>
  <c r="K120" i="227" s="1"/>
  <c r="E93" i="227"/>
  <c r="E120" i="227" s="1"/>
  <c r="C93" i="227"/>
  <c r="V92" i="227"/>
  <c r="T92" i="227"/>
  <c r="T119" i="227" s="1"/>
  <c r="N92" i="227"/>
  <c r="N119" i="227" s="1"/>
  <c r="L92" i="227"/>
  <c r="L119" i="227" s="1"/>
  <c r="K92" i="227"/>
  <c r="F92" i="227"/>
  <c r="F119" i="227" s="1"/>
  <c r="D92" i="227"/>
  <c r="D119" i="227" s="1"/>
  <c r="W91" i="227"/>
  <c r="W114" i="227" s="1"/>
  <c r="U91" i="227"/>
  <c r="U114" i="227" s="1"/>
  <c r="O91" i="227"/>
  <c r="O114" i="227" s="1"/>
  <c r="M91" i="227"/>
  <c r="M114" i="227" s="1"/>
  <c r="L91" i="227"/>
  <c r="L114" i="227" s="1"/>
  <c r="G91" i="227"/>
  <c r="G114" i="227" s="1"/>
  <c r="E91" i="227"/>
  <c r="D91" i="227"/>
  <c r="D114" i="227" s="1"/>
  <c r="X90" i="227"/>
  <c r="X109" i="227" s="1"/>
  <c r="V90" i="227"/>
  <c r="V109" i="227" s="1"/>
  <c r="U90" i="227"/>
  <c r="P90" i="227"/>
  <c r="P109" i="227" s="1"/>
  <c r="N90" i="227"/>
  <c r="N109" i="227" s="1"/>
  <c r="M90" i="227"/>
  <c r="M109" i="227" s="1"/>
  <c r="H90" i="227"/>
  <c r="H109" i="227" s="1"/>
  <c r="F90" i="227"/>
  <c r="F109" i="227" s="1"/>
  <c r="E90" i="227"/>
  <c r="E109" i="227" s="1"/>
  <c r="E110" i="227" s="1"/>
  <c r="Z87" i="227"/>
  <c r="Y87" i="227"/>
  <c r="Y94" i="227" s="1"/>
  <c r="Y121" i="227" s="1"/>
  <c r="X87" i="227"/>
  <c r="W87" i="227"/>
  <c r="V87" i="227"/>
  <c r="U87" i="227"/>
  <c r="T87" i="227"/>
  <c r="S87" i="227"/>
  <c r="R87" i="227"/>
  <c r="Q87" i="227"/>
  <c r="Q94" i="227" s="1"/>
  <c r="Q121" i="227" s="1"/>
  <c r="P87" i="227"/>
  <c r="O87" i="227"/>
  <c r="N87" i="227"/>
  <c r="M87" i="227"/>
  <c r="L87" i="227"/>
  <c r="K87" i="227"/>
  <c r="J87" i="227"/>
  <c r="I87" i="227"/>
  <c r="I94" i="227" s="1"/>
  <c r="I121" i="227" s="1"/>
  <c r="H87" i="227"/>
  <c r="G87" i="227"/>
  <c r="F87" i="227"/>
  <c r="E87" i="227"/>
  <c r="D87" i="227"/>
  <c r="C87" i="227"/>
  <c r="Z86" i="227"/>
  <c r="Y86" i="227"/>
  <c r="X86" i="227"/>
  <c r="W86" i="227"/>
  <c r="V86" i="227"/>
  <c r="U86" i="227"/>
  <c r="T86" i="227"/>
  <c r="S86" i="227"/>
  <c r="R86" i="227"/>
  <c r="Q86" i="227"/>
  <c r="P86" i="227"/>
  <c r="O86" i="227"/>
  <c r="N86" i="227"/>
  <c r="M86" i="227"/>
  <c r="L86" i="227"/>
  <c r="K86" i="227"/>
  <c r="J86" i="227"/>
  <c r="I86" i="227"/>
  <c r="H86" i="227"/>
  <c r="G86" i="227"/>
  <c r="F86" i="227"/>
  <c r="E86" i="227"/>
  <c r="D86" i="227"/>
  <c r="C86" i="227"/>
  <c r="Z85" i="227"/>
  <c r="Y85" i="227"/>
  <c r="X85" i="227"/>
  <c r="W85" i="227"/>
  <c r="V85" i="227"/>
  <c r="U85" i="227"/>
  <c r="T85" i="227"/>
  <c r="S85" i="227"/>
  <c r="S92" i="227" s="1"/>
  <c r="S119" i="227" s="1"/>
  <c r="R85" i="227"/>
  <c r="Q85" i="227"/>
  <c r="P85" i="227"/>
  <c r="O85" i="227"/>
  <c r="N85" i="227"/>
  <c r="M85" i="227"/>
  <c r="L85" i="227"/>
  <c r="K85" i="227"/>
  <c r="J85" i="227"/>
  <c r="I85" i="227"/>
  <c r="H85" i="227"/>
  <c r="G85" i="227"/>
  <c r="F85" i="227"/>
  <c r="E85" i="227"/>
  <c r="D85" i="227"/>
  <c r="C85" i="227"/>
  <c r="C92" i="227" s="1"/>
  <c r="C119" i="227" s="1"/>
  <c r="Z84" i="227"/>
  <c r="Y84" i="227"/>
  <c r="X84" i="227"/>
  <c r="W84" i="227"/>
  <c r="V84" i="227"/>
  <c r="U84" i="227"/>
  <c r="T84" i="227"/>
  <c r="T91" i="227" s="1"/>
  <c r="T114" i="227" s="1"/>
  <c r="S84" i="227"/>
  <c r="R84" i="227"/>
  <c r="Q84" i="227"/>
  <c r="P84" i="227"/>
  <c r="O84" i="227"/>
  <c r="N84" i="227"/>
  <c r="M84" i="227"/>
  <c r="L84" i="227"/>
  <c r="K84" i="227"/>
  <c r="J84" i="227"/>
  <c r="I84" i="227"/>
  <c r="H84" i="227"/>
  <c r="G84" i="227"/>
  <c r="F84" i="227"/>
  <c r="E84" i="227"/>
  <c r="D84" i="227"/>
  <c r="C84" i="227"/>
  <c r="Z83" i="227"/>
  <c r="Y83" i="227"/>
  <c r="X83" i="227"/>
  <c r="W83" i="227"/>
  <c r="V83" i="227"/>
  <c r="U83" i="227"/>
  <c r="T83" i="227"/>
  <c r="S83" i="227"/>
  <c r="R83" i="227"/>
  <c r="Q83" i="227"/>
  <c r="P83" i="227"/>
  <c r="O83" i="227"/>
  <c r="N83" i="227"/>
  <c r="M83" i="227"/>
  <c r="L83" i="227"/>
  <c r="K83" i="227"/>
  <c r="J83" i="227"/>
  <c r="I83" i="227"/>
  <c r="H83" i="227"/>
  <c r="G83" i="227"/>
  <c r="F83" i="227"/>
  <c r="E83" i="227"/>
  <c r="D83" i="227"/>
  <c r="C83" i="227"/>
  <c r="Z80" i="227"/>
  <c r="Y80" i="227"/>
  <c r="Y118" i="227" s="1"/>
  <c r="X80" i="227"/>
  <c r="W80" i="227"/>
  <c r="V80" i="227"/>
  <c r="V94" i="227" s="1"/>
  <c r="V121" i="227" s="1"/>
  <c r="U80" i="227"/>
  <c r="U94" i="227" s="1"/>
  <c r="T80" i="227"/>
  <c r="T118" i="227" s="1"/>
  <c r="S80" i="227"/>
  <c r="S118" i="227" s="1"/>
  <c r="R80" i="227"/>
  <c r="Q80" i="227"/>
  <c r="Q118" i="227" s="1"/>
  <c r="P80" i="227"/>
  <c r="O80" i="227"/>
  <c r="N80" i="227"/>
  <c r="N94" i="227" s="1"/>
  <c r="N121" i="227" s="1"/>
  <c r="M80" i="227"/>
  <c r="M94" i="227" s="1"/>
  <c r="M121" i="227" s="1"/>
  <c r="L80" i="227"/>
  <c r="L118" i="227" s="1"/>
  <c r="K80" i="227"/>
  <c r="K94" i="227" s="1"/>
  <c r="J80" i="227"/>
  <c r="I80" i="227"/>
  <c r="I118" i="227" s="1"/>
  <c r="H80" i="227"/>
  <c r="G80" i="227"/>
  <c r="G118" i="227" s="1"/>
  <c r="F80" i="227"/>
  <c r="F118" i="227" s="1"/>
  <c r="E80" i="227"/>
  <c r="D80" i="227"/>
  <c r="D118" i="227" s="1"/>
  <c r="C80" i="227"/>
  <c r="C94" i="227" s="1"/>
  <c r="C121" i="227" s="1"/>
  <c r="Z79" i="227"/>
  <c r="Z91" i="227" s="1"/>
  <c r="Z114" i="227" s="1"/>
  <c r="Y79" i="227"/>
  <c r="X79" i="227"/>
  <c r="W79" i="227"/>
  <c r="V79" i="227"/>
  <c r="V113" i="227" s="1"/>
  <c r="U79" i="227"/>
  <c r="T79" i="227"/>
  <c r="S79" i="227"/>
  <c r="R79" i="227"/>
  <c r="R113" i="227" s="1"/>
  <c r="Q79" i="227"/>
  <c r="P79" i="227"/>
  <c r="O79" i="227"/>
  <c r="O113" i="227" s="1"/>
  <c r="O115" i="227" s="1"/>
  <c r="N79" i="227"/>
  <c r="M79" i="227"/>
  <c r="L79" i="227"/>
  <c r="K79" i="227"/>
  <c r="K91" i="227" s="1"/>
  <c r="K114" i="227" s="1"/>
  <c r="J79" i="227"/>
  <c r="J113" i="227" s="1"/>
  <c r="I79" i="227"/>
  <c r="H79" i="227"/>
  <c r="G79" i="227"/>
  <c r="F79" i="227"/>
  <c r="F113" i="227" s="1"/>
  <c r="E79" i="227"/>
  <c r="D79" i="227"/>
  <c r="D113" i="227" s="1"/>
  <c r="C79" i="227"/>
  <c r="C91" i="227" s="1"/>
  <c r="C114" i="227" s="1"/>
  <c r="Z78" i="227"/>
  <c r="Y78" i="227"/>
  <c r="X78" i="227"/>
  <c r="X108" i="227" s="1"/>
  <c r="X110" i="227" s="1"/>
  <c r="W78" i="227"/>
  <c r="W108" i="227" s="1"/>
  <c r="V78" i="227"/>
  <c r="U78" i="227"/>
  <c r="U108" i="227" s="1"/>
  <c r="T78" i="227"/>
  <c r="T90" i="227" s="1"/>
  <c r="T109" i="227" s="1"/>
  <c r="S78" i="227"/>
  <c r="S90" i="227" s="1"/>
  <c r="R78" i="227"/>
  <c r="Q78" i="227"/>
  <c r="P78" i="227"/>
  <c r="P108" i="227" s="1"/>
  <c r="P110" i="227" s="1"/>
  <c r="O78" i="227"/>
  <c r="O108" i="227" s="1"/>
  <c r="N78" i="227"/>
  <c r="M78" i="227"/>
  <c r="L78" i="227"/>
  <c r="L90" i="227" s="1"/>
  <c r="L109" i="227" s="1"/>
  <c r="K78" i="227"/>
  <c r="K90" i="227" s="1"/>
  <c r="K109" i="227" s="1"/>
  <c r="J78" i="227"/>
  <c r="J90" i="227" s="1"/>
  <c r="J109" i="227" s="1"/>
  <c r="I78" i="227"/>
  <c r="I90" i="227" s="1"/>
  <c r="H78" i="227"/>
  <c r="H108" i="227" s="1"/>
  <c r="H110" i="227" s="1"/>
  <c r="G78" i="227"/>
  <c r="F78" i="227"/>
  <c r="E78" i="227"/>
  <c r="D78" i="227"/>
  <c r="D90" i="227" s="1"/>
  <c r="D109" i="227" s="1"/>
  <c r="C78" i="227"/>
  <c r="C90" i="227" s="1"/>
  <c r="C109" i="227" s="1"/>
  <c r="C69" i="227"/>
  <c r="E67" i="227"/>
  <c r="C66" i="227"/>
  <c r="E66" i="227" s="1"/>
  <c r="C63" i="227"/>
  <c r="C57" i="227"/>
  <c r="C55" i="227"/>
  <c r="C50" i="227"/>
  <c r="C47" i="227"/>
  <c r="C39" i="227"/>
  <c r="E37" i="227"/>
  <c r="C36" i="227"/>
  <c r="C33" i="227"/>
  <c r="C27" i="227"/>
  <c r="C25" i="227"/>
  <c r="C20" i="227"/>
  <c r="C17" i="227"/>
  <c r="A12" i="227"/>
  <c r="A11" i="227"/>
  <c r="A4" i="227"/>
  <c r="A3" i="227"/>
  <c r="A2" i="227"/>
  <c r="A1" i="227"/>
  <c r="AL22" i="235" l="1"/>
  <c r="AL21" i="235"/>
  <c r="AL23" i="235"/>
  <c r="R23" i="235"/>
  <c r="K40" i="235"/>
  <c r="K54" i="235" s="1"/>
  <c r="AL16" i="235"/>
  <c r="AA38" i="235"/>
  <c r="AA40" i="235" s="1"/>
  <c r="AO50" i="235"/>
  <c r="M49" i="235"/>
  <c r="M44" i="235"/>
  <c r="M32" i="235"/>
  <c r="M11" i="235"/>
  <c r="M36" i="235"/>
  <c r="M20" i="235"/>
  <c r="M18" i="235"/>
  <c r="M43" i="235"/>
  <c r="M12" i="235"/>
  <c r="M10" i="235"/>
  <c r="M21" i="235"/>
  <c r="AR17" i="235"/>
  <c r="M14" i="235"/>
  <c r="M35" i="235"/>
  <c r="M15" i="235"/>
  <c r="M13" i="235"/>
  <c r="AP33" i="235"/>
  <c r="AP50" i="235"/>
  <c r="AR50" i="235"/>
  <c r="P7" i="235"/>
  <c r="AO17" i="235"/>
  <c r="M7" i="235"/>
  <c r="R7" i="235"/>
  <c r="AO33" i="235"/>
  <c r="B11" i="235"/>
  <c r="B12" i="235" s="1"/>
  <c r="AQ23" i="235"/>
  <c r="I40" i="235"/>
  <c r="I54" i="235" s="1"/>
  <c r="F268" i="232"/>
  <c r="H268" i="232" s="1"/>
  <c r="T88" i="232"/>
  <c r="F297" i="232"/>
  <c r="H297" i="232" s="1"/>
  <c r="F282" i="232"/>
  <c r="H282" i="232" s="1"/>
  <c r="F272" i="232"/>
  <c r="H272" i="232" s="1"/>
  <c r="K272" i="232"/>
  <c r="M272" i="232" s="1"/>
  <c r="T120" i="232"/>
  <c r="F296" i="230"/>
  <c r="H296" i="230" s="1"/>
  <c r="T203" i="230"/>
  <c r="K285" i="232"/>
  <c r="M285" i="232" s="1"/>
  <c r="K298" i="232"/>
  <c r="M298" i="232" s="1"/>
  <c r="U223" i="232"/>
  <c r="W108" i="233"/>
  <c r="W110" i="233" s="1"/>
  <c r="W90" i="233"/>
  <c r="W109" i="233" s="1"/>
  <c r="O93" i="233"/>
  <c r="O120" i="233" s="1"/>
  <c r="O92" i="233"/>
  <c r="O119" i="233" s="1"/>
  <c r="O118" i="233"/>
  <c r="O122" i="233" s="1"/>
  <c r="E118" i="233"/>
  <c r="E94" i="233"/>
  <c r="E121" i="233" s="1"/>
  <c r="E93" i="233"/>
  <c r="E120" i="233" s="1"/>
  <c r="E92" i="233"/>
  <c r="E119" i="233" s="1"/>
  <c r="M118" i="233"/>
  <c r="M94" i="233"/>
  <c r="M121" i="233" s="1"/>
  <c r="M93" i="233"/>
  <c r="M120" i="233" s="1"/>
  <c r="M92" i="233"/>
  <c r="M119" i="233" s="1"/>
  <c r="U118" i="233"/>
  <c r="U94" i="233"/>
  <c r="U121" i="233" s="1"/>
  <c r="U93" i="233"/>
  <c r="U120" i="233" s="1"/>
  <c r="U92" i="233"/>
  <c r="U119" i="233" s="1"/>
  <c r="L110" i="233"/>
  <c r="F113" i="233"/>
  <c r="F91" i="233"/>
  <c r="F114" i="233" s="1"/>
  <c r="N91" i="233"/>
  <c r="N114" i="233" s="1"/>
  <c r="N113" i="233"/>
  <c r="N115" i="233" s="1"/>
  <c r="V113" i="233"/>
  <c r="V115" i="233" s="1"/>
  <c r="V91" i="233"/>
  <c r="V114" i="233" s="1"/>
  <c r="F122" i="233"/>
  <c r="E110" i="233"/>
  <c r="M110" i="233"/>
  <c r="C110" i="233"/>
  <c r="O108" i="233"/>
  <c r="O110" i="233" s="1"/>
  <c r="O90" i="233"/>
  <c r="O109" i="233" s="1"/>
  <c r="W93" i="233"/>
  <c r="W120" i="233" s="1"/>
  <c r="W92" i="233"/>
  <c r="W119" i="233" s="1"/>
  <c r="W118" i="233"/>
  <c r="H91" i="233"/>
  <c r="H114" i="233" s="1"/>
  <c r="H113" i="233"/>
  <c r="H115" i="233" s="1"/>
  <c r="P91" i="233"/>
  <c r="P114" i="233" s="1"/>
  <c r="P113" i="233"/>
  <c r="P115" i="233" s="1"/>
  <c r="X91" i="233"/>
  <c r="X114" i="233" s="1"/>
  <c r="X113" i="233"/>
  <c r="X115" i="233" s="1"/>
  <c r="O94" i="233"/>
  <c r="O121" i="233" s="1"/>
  <c r="G108" i="233"/>
  <c r="G110" i="233" s="1"/>
  <c r="H110" i="233"/>
  <c r="Q108" i="233"/>
  <c r="Q110" i="233" s="1"/>
  <c r="G93" i="233"/>
  <c r="G120" i="233" s="1"/>
  <c r="G92" i="233"/>
  <c r="G119" i="233" s="1"/>
  <c r="G118" i="233"/>
  <c r="G122" i="233" s="1"/>
  <c r="R115" i="233"/>
  <c r="J122" i="233"/>
  <c r="Z122" i="233"/>
  <c r="W94" i="233"/>
  <c r="W121" i="233" s="1"/>
  <c r="S110" i="233"/>
  <c r="D115" i="233"/>
  <c r="I122" i="233"/>
  <c r="C115" i="233"/>
  <c r="S115" i="233"/>
  <c r="J110" i="233"/>
  <c r="Y108" i="233"/>
  <c r="Y110" i="233" s="1"/>
  <c r="L115" i="233"/>
  <c r="Q122" i="233"/>
  <c r="K110" i="233"/>
  <c r="D90" i="233"/>
  <c r="D109" i="233" s="1"/>
  <c r="D110" i="233" s="1"/>
  <c r="L90" i="233"/>
  <c r="L109" i="233" s="1"/>
  <c r="T115" i="233"/>
  <c r="Y122" i="233"/>
  <c r="T90" i="233"/>
  <c r="T109" i="233" s="1"/>
  <c r="T110" i="233" s="1"/>
  <c r="C91" i="233"/>
  <c r="C114" i="233" s="1"/>
  <c r="K91" i="233"/>
  <c r="K114" i="233" s="1"/>
  <c r="K115" i="233" s="1"/>
  <c r="S91" i="233"/>
  <c r="S114" i="233" s="1"/>
  <c r="J92" i="233"/>
  <c r="J119" i="233" s="1"/>
  <c r="R92" i="233"/>
  <c r="R119" i="233" s="1"/>
  <c r="R122" i="233" s="1"/>
  <c r="Z92" i="233"/>
  <c r="Z119" i="233" s="1"/>
  <c r="H94" i="233"/>
  <c r="H121" i="233" s="1"/>
  <c r="P94" i="233"/>
  <c r="P121" i="233" s="1"/>
  <c r="X94" i="233"/>
  <c r="X121" i="233" s="1"/>
  <c r="R108" i="233"/>
  <c r="R110" i="233" s="1"/>
  <c r="Z108" i="233"/>
  <c r="Z110" i="233" s="1"/>
  <c r="E113" i="233"/>
  <c r="E115" i="233" s="1"/>
  <c r="M113" i="233"/>
  <c r="M115" i="233" s="1"/>
  <c r="U113" i="233"/>
  <c r="U115" i="233" s="1"/>
  <c r="H118" i="233"/>
  <c r="P118" i="233"/>
  <c r="P122" i="233" s="1"/>
  <c r="X118" i="233"/>
  <c r="V90" i="233"/>
  <c r="V109" i="233" s="1"/>
  <c r="V110" i="233" s="1"/>
  <c r="D92" i="233"/>
  <c r="D119" i="233" s="1"/>
  <c r="D122" i="233" s="1"/>
  <c r="L92" i="233"/>
  <c r="L119" i="233" s="1"/>
  <c r="L122" i="233" s="1"/>
  <c r="T92" i="233"/>
  <c r="T119" i="233" s="1"/>
  <c r="T122" i="233" s="1"/>
  <c r="C93" i="233"/>
  <c r="C120" i="233" s="1"/>
  <c r="C122" i="233" s="1"/>
  <c r="K93" i="233"/>
  <c r="K120" i="233" s="1"/>
  <c r="K122" i="233" s="1"/>
  <c r="S93" i="233"/>
  <c r="S120" i="233" s="1"/>
  <c r="J94" i="233"/>
  <c r="J121" i="233" s="1"/>
  <c r="R94" i="233"/>
  <c r="R121" i="233" s="1"/>
  <c r="Z94" i="233"/>
  <c r="Z121" i="233" s="1"/>
  <c r="G113" i="233"/>
  <c r="G115" i="233" s="1"/>
  <c r="O113" i="233"/>
  <c r="O115" i="233" s="1"/>
  <c r="W113" i="233"/>
  <c r="W115" i="233" s="1"/>
  <c r="D93" i="233"/>
  <c r="D120" i="233" s="1"/>
  <c r="L93" i="233"/>
  <c r="L120" i="233" s="1"/>
  <c r="T93" i="233"/>
  <c r="T120" i="233" s="1"/>
  <c r="C94" i="233"/>
  <c r="C121" i="233" s="1"/>
  <c r="K94" i="233"/>
  <c r="K121" i="233" s="1"/>
  <c r="S94" i="233"/>
  <c r="S121" i="233" s="1"/>
  <c r="S122" i="233" s="1"/>
  <c r="P90" i="233"/>
  <c r="P109" i="233" s="1"/>
  <c r="P110" i="233" s="1"/>
  <c r="X90" i="233"/>
  <c r="X109" i="233" s="1"/>
  <c r="X110" i="233" s="1"/>
  <c r="F92" i="233"/>
  <c r="F119" i="233" s="1"/>
  <c r="N92" i="233"/>
  <c r="N119" i="233" s="1"/>
  <c r="N122" i="233" s="1"/>
  <c r="V92" i="233"/>
  <c r="V119" i="233" s="1"/>
  <c r="V122" i="233" s="1"/>
  <c r="D94" i="233"/>
  <c r="D121" i="233" s="1"/>
  <c r="L94" i="233"/>
  <c r="L121" i="233" s="1"/>
  <c r="T94" i="233"/>
  <c r="T121" i="233" s="1"/>
  <c r="I113" i="233"/>
  <c r="I115" i="233" s="1"/>
  <c r="Q113" i="233"/>
  <c r="Q115" i="233" s="1"/>
  <c r="Y113" i="233"/>
  <c r="Y115" i="233" s="1"/>
  <c r="A13" i="233"/>
  <c r="F93" i="233"/>
  <c r="F120" i="233" s="1"/>
  <c r="N93" i="233"/>
  <c r="N120" i="233" s="1"/>
  <c r="V93" i="233"/>
  <c r="V120" i="233" s="1"/>
  <c r="F94" i="233"/>
  <c r="F121" i="233" s="1"/>
  <c r="N94" i="233"/>
  <c r="N121" i="233" s="1"/>
  <c r="V94" i="233"/>
  <c r="V121" i="233" s="1"/>
  <c r="K297" i="232"/>
  <c r="M297" i="232" s="1"/>
  <c r="F285" i="232"/>
  <c r="H285" i="232" s="1"/>
  <c r="M293" i="232"/>
  <c r="G115" i="231"/>
  <c r="E122" i="231"/>
  <c r="L122" i="231"/>
  <c r="M122" i="231"/>
  <c r="C110" i="231"/>
  <c r="F115" i="231"/>
  <c r="N115" i="231"/>
  <c r="V115" i="231"/>
  <c r="I110" i="231"/>
  <c r="L108" i="231"/>
  <c r="L110" i="231" s="1"/>
  <c r="R115" i="231"/>
  <c r="K274" i="232"/>
  <c r="M274" i="232" s="1"/>
  <c r="K282" i="232"/>
  <c r="M282" i="232" s="1"/>
  <c r="K275" i="232"/>
  <c r="M275" i="232" s="1"/>
  <c r="F266" i="232"/>
  <c r="G31" i="232"/>
  <c r="K276" i="232"/>
  <c r="M276" i="232" s="1"/>
  <c r="J183" i="232"/>
  <c r="Y110" i="231"/>
  <c r="H118" i="231"/>
  <c r="H122" i="231" s="1"/>
  <c r="H94" i="231"/>
  <c r="H121" i="231" s="1"/>
  <c r="H93" i="231"/>
  <c r="H120" i="231" s="1"/>
  <c r="H92" i="231"/>
  <c r="H119" i="231" s="1"/>
  <c r="P118" i="231"/>
  <c r="P94" i="231"/>
  <c r="P121" i="231" s="1"/>
  <c r="P93" i="231"/>
  <c r="P120" i="231" s="1"/>
  <c r="P92" i="231"/>
  <c r="P119" i="231" s="1"/>
  <c r="X118" i="231"/>
  <c r="X122" i="231" s="1"/>
  <c r="X94" i="231"/>
  <c r="X121" i="231" s="1"/>
  <c r="X93" i="231"/>
  <c r="X120" i="231" s="1"/>
  <c r="X92" i="231"/>
  <c r="X119" i="231" s="1"/>
  <c r="F31" i="232"/>
  <c r="Y115" i="231"/>
  <c r="J10" i="232"/>
  <c r="I31" i="232"/>
  <c r="R108" i="231"/>
  <c r="R110" i="231" s="1"/>
  <c r="R90" i="231"/>
  <c r="R109" i="231" s="1"/>
  <c r="Z108" i="231"/>
  <c r="Z110" i="231" s="1"/>
  <c r="Z90" i="231"/>
  <c r="Z109" i="231" s="1"/>
  <c r="R94" i="231"/>
  <c r="R121" i="231" s="1"/>
  <c r="V110" i="231"/>
  <c r="I113" i="231"/>
  <c r="I115" i="231" s="1"/>
  <c r="K273" i="232"/>
  <c r="M273" i="232" s="1"/>
  <c r="C91" i="231"/>
  <c r="C114" i="231" s="1"/>
  <c r="C113" i="231"/>
  <c r="K91" i="231"/>
  <c r="K114" i="231" s="1"/>
  <c r="K113" i="231"/>
  <c r="K115" i="231" s="1"/>
  <c r="S91" i="231"/>
  <c r="S114" i="231" s="1"/>
  <c r="S113" i="231"/>
  <c r="J93" i="231"/>
  <c r="J120" i="231" s="1"/>
  <c r="J92" i="231"/>
  <c r="J119" i="231" s="1"/>
  <c r="J122" i="231" s="1"/>
  <c r="R93" i="231"/>
  <c r="R120" i="231" s="1"/>
  <c r="R92" i="231"/>
  <c r="R119" i="231" s="1"/>
  <c r="R122" i="231" s="1"/>
  <c r="Z93" i="231"/>
  <c r="Z120" i="231" s="1"/>
  <c r="Z92" i="231"/>
  <c r="Z119" i="231" s="1"/>
  <c r="D108" i="231"/>
  <c r="D110" i="231" s="1"/>
  <c r="W110" i="231"/>
  <c r="J115" i="231"/>
  <c r="T122" i="231"/>
  <c r="D91" i="231"/>
  <c r="D114" i="231" s="1"/>
  <c r="D113" i="231"/>
  <c r="L91" i="231"/>
  <c r="L114" i="231" s="1"/>
  <c r="L113" i="231"/>
  <c r="T91" i="231"/>
  <c r="T114" i="231" s="1"/>
  <c r="T113" i="231"/>
  <c r="C92" i="231"/>
  <c r="C119" i="231" s="1"/>
  <c r="C118" i="231"/>
  <c r="C94" i="231"/>
  <c r="C121" i="231" s="1"/>
  <c r="K92" i="231"/>
  <c r="K119" i="231" s="1"/>
  <c r="K118" i="231"/>
  <c r="K94" i="231"/>
  <c r="K121" i="231" s="1"/>
  <c r="S92" i="231"/>
  <c r="S119" i="231" s="1"/>
  <c r="S118" i="231"/>
  <c r="S94" i="231"/>
  <c r="S121" i="231" s="1"/>
  <c r="F110" i="231"/>
  <c r="U122" i="231"/>
  <c r="F274" i="232"/>
  <c r="H274" i="232" s="1"/>
  <c r="K268" i="232"/>
  <c r="M268" i="232" s="1"/>
  <c r="P110" i="231"/>
  <c r="A12" i="231"/>
  <c r="E90" i="231"/>
  <c r="E109" i="231" s="1"/>
  <c r="E108" i="231"/>
  <c r="M90" i="231"/>
  <c r="M109" i="231" s="1"/>
  <c r="M108" i="231"/>
  <c r="U90" i="231"/>
  <c r="U109" i="231" s="1"/>
  <c r="U108" i="231"/>
  <c r="Z94" i="231"/>
  <c r="Z121" i="231" s="1"/>
  <c r="H110" i="231"/>
  <c r="Q113" i="231"/>
  <c r="Q115" i="231" s="1"/>
  <c r="D122" i="231"/>
  <c r="Z118" i="231"/>
  <c r="F279" i="232"/>
  <c r="H279" i="232" s="1"/>
  <c r="K291" i="232"/>
  <c r="M291" i="232" s="1"/>
  <c r="G93" i="231"/>
  <c r="G120" i="231" s="1"/>
  <c r="G122" i="231" s="1"/>
  <c r="O93" i="231"/>
  <c r="O120" i="231" s="1"/>
  <c r="O122" i="231" s="1"/>
  <c r="W93" i="231"/>
  <c r="W120" i="231" s="1"/>
  <c r="W122" i="231" s="1"/>
  <c r="F94" i="231"/>
  <c r="F121" i="231" s="1"/>
  <c r="F122" i="231" s="1"/>
  <c r="N94" i="231"/>
  <c r="N121" i="231" s="1"/>
  <c r="N122" i="231" s="1"/>
  <c r="V94" i="231"/>
  <c r="V121" i="231" s="1"/>
  <c r="V122" i="231" s="1"/>
  <c r="S90" i="231"/>
  <c r="S109" i="231" s="1"/>
  <c r="S110" i="231" s="1"/>
  <c r="I92" i="231"/>
  <c r="I119" i="231" s="1"/>
  <c r="I122" i="231" s="1"/>
  <c r="Q92" i="231"/>
  <c r="Q119" i="231" s="1"/>
  <c r="Q122" i="231" s="1"/>
  <c r="Y92" i="231"/>
  <c r="Y119" i="231" s="1"/>
  <c r="Y122" i="231" s="1"/>
  <c r="G94" i="231"/>
  <c r="G121" i="231" s="1"/>
  <c r="O94" i="231"/>
  <c r="O121" i="231" s="1"/>
  <c r="W94" i="231"/>
  <c r="W121" i="231" s="1"/>
  <c r="J33" i="232"/>
  <c r="F183" i="232"/>
  <c r="G36" i="232"/>
  <c r="F273" i="232"/>
  <c r="H273" i="232" s="1"/>
  <c r="I93" i="231"/>
  <c r="I120" i="231" s="1"/>
  <c r="Q93" i="231"/>
  <c r="Q120" i="231" s="1"/>
  <c r="Y93" i="231"/>
  <c r="Y120" i="231" s="1"/>
  <c r="K279" i="232"/>
  <c r="M279" i="232" s="1"/>
  <c r="I94" i="231"/>
  <c r="I121" i="231" s="1"/>
  <c r="Q94" i="231"/>
  <c r="Q121" i="231" s="1"/>
  <c r="Y94" i="231"/>
  <c r="Y121" i="231" s="1"/>
  <c r="I183" i="232"/>
  <c r="J260" i="232"/>
  <c r="K295" i="232"/>
  <c r="M295" i="232" s="1"/>
  <c r="F275" i="232"/>
  <c r="H275" i="232" s="1"/>
  <c r="F260" i="232"/>
  <c r="G185" i="232"/>
  <c r="A12" i="232"/>
  <c r="A13" i="232"/>
  <c r="I260" i="232"/>
  <c r="M286" i="232"/>
  <c r="F296" i="232"/>
  <c r="H296" i="232" s="1"/>
  <c r="F283" i="232"/>
  <c r="H283" i="232" s="1"/>
  <c r="K296" i="232"/>
  <c r="M296" i="232" s="1"/>
  <c r="F277" i="232"/>
  <c r="H277" i="232" s="1"/>
  <c r="F291" i="232"/>
  <c r="H291" i="232" s="1"/>
  <c r="F298" i="232"/>
  <c r="H298" i="232" s="1"/>
  <c r="H286" i="232"/>
  <c r="G259" i="232"/>
  <c r="T259" i="232" s="1"/>
  <c r="F299" i="232"/>
  <c r="K283" i="232"/>
  <c r="M283" i="232" s="1"/>
  <c r="U7" i="232"/>
  <c r="F301" i="232"/>
  <c r="H301" i="232" s="1"/>
  <c r="K299" i="232"/>
  <c r="K300" i="232" s="1"/>
  <c r="M300" i="232" s="1"/>
  <c r="K301" i="232"/>
  <c r="M301" i="232" s="1"/>
  <c r="K285" i="230"/>
  <c r="M285" i="230" s="1"/>
  <c r="F268" i="230"/>
  <c r="H268" i="230" s="1"/>
  <c r="F273" i="230"/>
  <c r="H273" i="230" s="1"/>
  <c r="F279" i="230"/>
  <c r="H279" i="230" s="1"/>
  <c r="F272" i="230"/>
  <c r="H272" i="230" s="1"/>
  <c r="J110" i="229"/>
  <c r="P122" i="229"/>
  <c r="F115" i="229"/>
  <c r="I122" i="229"/>
  <c r="C110" i="229"/>
  <c r="M115" i="229"/>
  <c r="S115" i="229"/>
  <c r="K110" i="229"/>
  <c r="U115" i="229"/>
  <c r="F110" i="229"/>
  <c r="N110" i="229"/>
  <c r="R110" i="229"/>
  <c r="V115" i="229"/>
  <c r="V110" i="229"/>
  <c r="Z110" i="229"/>
  <c r="E115" i="229"/>
  <c r="S122" i="229"/>
  <c r="F118" i="229"/>
  <c r="K274" i="230"/>
  <c r="M274" i="230" s="1"/>
  <c r="G93" i="229"/>
  <c r="G120" i="229" s="1"/>
  <c r="O93" i="229"/>
  <c r="O120" i="229" s="1"/>
  <c r="W93" i="229"/>
  <c r="W120" i="229" s="1"/>
  <c r="F94" i="229"/>
  <c r="F121" i="229" s="1"/>
  <c r="N94" i="229"/>
  <c r="N121" i="229" s="1"/>
  <c r="V94" i="229"/>
  <c r="V121" i="229" s="1"/>
  <c r="H108" i="229"/>
  <c r="H110" i="229" s="1"/>
  <c r="P108" i="229"/>
  <c r="P110" i="229" s="1"/>
  <c r="X108" i="229"/>
  <c r="X110" i="229" s="1"/>
  <c r="O118" i="229"/>
  <c r="F274" i="230"/>
  <c r="H274" i="230" s="1"/>
  <c r="G94" i="229"/>
  <c r="G121" i="229" s="1"/>
  <c r="O94" i="229"/>
  <c r="O121" i="229" s="1"/>
  <c r="W94" i="229"/>
  <c r="W121" i="229" s="1"/>
  <c r="I108" i="229"/>
  <c r="I110" i="229" s="1"/>
  <c r="Q108" i="229"/>
  <c r="Q110" i="229" s="1"/>
  <c r="Y108" i="229"/>
  <c r="Y110" i="229" s="1"/>
  <c r="C118" i="229"/>
  <c r="C122" i="229" s="1"/>
  <c r="F31" i="230"/>
  <c r="Q122" i="229"/>
  <c r="F266" i="230"/>
  <c r="G31" i="230"/>
  <c r="G118" i="229"/>
  <c r="K268" i="230"/>
  <c r="M268" i="230" s="1"/>
  <c r="V90" i="229"/>
  <c r="V109" i="229" s="1"/>
  <c r="D92" i="229"/>
  <c r="D119" i="229" s="1"/>
  <c r="D122" i="229" s="1"/>
  <c r="L92" i="229"/>
  <c r="L119" i="229" s="1"/>
  <c r="L122" i="229" s="1"/>
  <c r="T92" i="229"/>
  <c r="T119" i="229" s="1"/>
  <c r="T122" i="229" s="1"/>
  <c r="C93" i="229"/>
  <c r="C120" i="229" s="1"/>
  <c r="K93" i="229"/>
  <c r="K120" i="229" s="1"/>
  <c r="K122" i="229" s="1"/>
  <c r="S93" i="229"/>
  <c r="S120" i="229" s="1"/>
  <c r="R94" i="229"/>
  <c r="R121" i="229" s="1"/>
  <c r="R122" i="229" s="1"/>
  <c r="Z94" i="229"/>
  <c r="Z121" i="229" s="1"/>
  <c r="Z122" i="229" s="1"/>
  <c r="G113" i="229"/>
  <c r="G115" i="229" s="1"/>
  <c r="O113" i="229"/>
  <c r="O115" i="229" s="1"/>
  <c r="W113" i="229"/>
  <c r="W115" i="229" s="1"/>
  <c r="V118" i="229"/>
  <c r="K266" i="230"/>
  <c r="J31" i="230"/>
  <c r="I31" i="230"/>
  <c r="K279" i="230"/>
  <c r="M279" i="230" s="1"/>
  <c r="G90" i="229"/>
  <c r="G109" i="229" s="1"/>
  <c r="G110" i="229" s="1"/>
  <c r="O90" i="229"/>
  <c r="O109" i="229" s="1"/>
  <c r="O110" i="229" s="1"/>
  <c r="W90" i="229"/>
  <c r="W109" i="229" s="1"/>
  <c r="W110" i="229" s="1"/>
  <c r="E92" i="229"/>
  <c r="E119" i="229" s="1"/>
  <c r="E122" i="229" s="1"/>
  <c r="M92" i="229"/>
  <c r="M119" i="229" s="1"/>
  <c r="U92" i="229"/>
  <c r="U119" i="229" s="1"/>
  <c r="U122" i="229" s="1"/>
  <c r="D93" i="229"/>
  <c r="D120" i="229" s="1"/>
  <c r="L93" i="229"/>
  <c r="L120" i="229" s="1"/>
  <c r="T93" i="229"/>
  <c r="T120" i="229" s="1"/>
  <c r="K94" i="229"/>
  <c r="K121" i="229" s="1"/>
  <c r="H113" i="229"/>
  <c r="H115" i="229" s="1"/>
  <c r="P113" i="229"/>
  <c r="P115" i="229" s="1"/>
  <c r="X113" i="229"/>
  <c r="X115" i="229" s="1"/>
  <c r="W118" i="229"/>
  <c r="K273" i="230"/>
  <c r="M273" i="230" s="1"/>
  <c r="J118" i="229"/>
  <c r="J122" i="229" s="1"/>
  <c r="F92" i="229"/>
  <c r="F119" i="229" s="1"/>
  <c r="N92" i="229"/>
  <c r="N119" i="229" s="1"/>
  <c r="N122" i="229" s="1"/>
  <c r="V92" i="229"/>
  <c r="V119" i="229" s="1"/>
  <c r="E93" i="229"/>
  <c r="E120" i="229" s="1"/>
  <c r="M93" i="229"/>
  <c r="M120" i="229" s="1"/>
  <c r="U93" i="229"/>
  <c r="U120" i="229" s="1"/>
  <c r="D94" i="229"/>
  <c r="D121" i="229" s="1"/>
  <c r="L94" i="229"/>
  <c r="L121" i="229" s="1"/>
  <c r="T94" i="229"/>
  <c r="T121" i="229" s="1"/>
  <c r="A13" i="229"/>
  <c r="N93" i="229"/>
  <c r="N120" i="229" s="1"/>
  <c r="E94" i="229"/>
  <c r="E121" i="229" s="1"/>
  <c r="M94" i="229"/>
  <c r="M121" i="229" s="1"/>
  <c r="U94" i="229"/>
  <c r="U121" i="229" s="1"/>
  <c r="A12" i="230"/>
  <c r="I183" i="230"/>
  <c r="J33" i="230"/>
  <c r="J36" i="230"/>
  <c r="K275" i="230"/>
  <c r="M275" i="230" s="1"/>
  <c r="F277" i="230"/>
  <c r="H277" i="230" s="1"/>
  <c r="F183" i="230"/>
  <c r="K272" i="230"/>
  <c r="M272" i="230" s="1"/>
  <c r="F269" i="230"/>
  <c r="H269" i="230" s="1"/>
  <c r="G36" i="230"/>
  <c r="F282" i="230"/>
  <c r="H282" i="230" s="1"/>
  <c r="K282" i="230"/>
  <c r="M282" i="230" s="1"/>
  <c r="F275" i="230"/>
  <c r="H275" i="230" s="1"/>
  <c r="I260" i="230"/>
  <c r="F291" i="230"/>
  <c r="H291" i="230" s="1"/>
  <c r="K283" i="230"/>
  <c r="M283" i="230" s="1"/>
  <c r="K298" i="230"/>
  <c r="M298" i="230" s="1"/>
  <c r="J185" i="230"/>
  <c r="K291" i="230"/>
  <c r="M291" i="230" s="1"/>
  <c r="M270" i="230"/>
  <c r="M293" i="230"/>
  <c r="F260" i="230"/>
  <c r="F283" i="230"/>
  <c r="H283" i="230" s="1"/>
  <c r="F295" i="230"/>
  <c r="H295" i="230" s="1"/>
  <c r="G260" i="230"/>
  <c r="F285" i="230"/>
  <c r="H285" i="230" s="1"/>
  <c r="K299" i="230"/>
  <c r="K300" i="230" s="1"/>
  <c r="M300" i="230" s="1"/>
  <c r="K296" i="230"/>
  <c r="M296" i="230" s="1"/>
  <c r="F301" i="230"/>
  <c r="H301" i="230" s="1"/>
  <c r="F298" i="230"/>
  <c r="H298" i="230" s="1"/>
  <c r="K301" i="230"/>
  <c r="M301" i="230" s="1"/>
  <c r="F299" i="230"/>
  <c r="J33" i="228"/>
  <c r="I34" i="228"/>
  <c r="K285" i="228"/>
  <c r="M285" i="228" s="1"/>
  <c r="K301" i="228"/>
  <c r="M301" i="228" s="1"/>
  <c r="K298" i="228"/>
  <c r="M298" i="228" s="1"/>
  <c r="I260" i="228"/>
  <c r="J185" i="228"/>
  <c r="K295" i="228" s="1"/>
  <c r="M295" i="228" s="1"/>
  <c r="K283" i="228"/>
  <c r="M283" i="228" s="1"/>
  <c r="K296" i="228"/>
  <c r="M296" i="228" s="1"/>
  <c r="K299" i="228"/>
  <c r="K300" i="228" s="1"/>
  <c r="M300" i="228" s="1"/>
  <c r="K275" i="228"/>
  <c r="M275" i="228" s="1"/>
  <c r="J36" i="228"/>
  <c r="I183" i="228"/>
  <c r="K272" i="228"/>
  <c r="M272" i="228" s="1"/>
  <c r="F285" i="228"/>
  <c r="H285" i="228" s="1"/>
  <c r="F283" i="228"/>
  <c r="H283" i="228" s="1"/>
  <c r="F298" i="228"/>
  <c r="H298" i="228" s="1"/>
  <c r="F291" i="228"/>
  <c r="H291" i="228" s="1"/>
  <c r="G185" i="228"/>
  <c r="F295" i="228" s="1"/>
  <c r="H295" i="228" s="1"/>
  <c r="F260" i="228"/>
  <c r="F296" i="228"/>
  <c r="H296" i="228" s="1"/>
  <c r="G259" i="228"/>
  <c r="T259" i="228" s="1"/>
  <c r="F299" i="228"/>
  <c r="F268" i="228"/>
  <c r="H268" i="228" s="1"/>
  <c r="F269" i="228"/>
  <c r="H269" i="228" s="1"/>
  <c r="F277" i="228"/>
  <c r="H277" i="228" s="1"/>
  <c r="F275" i="228"/>
  <c r="H275" i="228" s="1"/>
  <c r="F183" i="228"/>
  <c r="G36" i="228"/>
  <c r="F276" i="228" s="1"/>
  <c r="H276" i="228" s="1"/>
  <c r="M287" i="228"/>
  <c r="J10" i="228"/>
  <c r="J31" i="228" s="1"/>
  <c r="I31" i="228"/>
  <c r="S7" i="228"/>
  <c r="F10" i="228" a="1"/>
  <c r="F10" i="228" s="1"/>
  <c r="U7" i="228"/>
  <c r="E36" i="227"/>
  <c r="K274" i="228"/>
  <c r="M274" i="228" s="1"/>
  <c r="Z118" i="227"/>
  <c r="Z122" i="227" s="1"/>
  <c r="Z92" i="227"/>
  <c r="Z119" i="227" s="1"/>
  <c r="D115" i="227"/>
  <c r="M280" i="228"/>
  <c r="J118" i="227"/>
  <c r="J92" i="227"/>
  <c r="J119" i="227" s="1"/>
  <c r="C120" i="227"/>
  <c r="M113" i="227"/>
  <c r="M115" i="227" s="1"/>
  <c r="J93" i="227"/>
  <c r="J120" i="227" s="1"/>
  <c r="Z94" i="227"/>
  <c r="Z121" i="227" s="1"/>
  <c r="K110" i="227"/>
  <c r="Z93" i="227"/>
  <c r="Z120" i="227" s="1"/>
  <c r="T115" i="227"/>
  <c r="A13" i="227"/>
  <c r="T122" i="227"/>
  <c r="A14" i="227"/>
  <c r="N91" i="227"/>
  <c r="N114" i="227" s="1"/>
  <c r="E118" i="227"/>
  <c r="J108" i="227"/>
  <c r="J110" i="227" s="1"/>
  <c r="L108" i="227"/>
  <c r="L110" i="227" s="1"/>
  <c r="C113" i="227"/>
  <c r="C115" i="227" s="1"/>
  <c r="K273" i="228"/>
  <c r="M273" i="228" s="1"/>
  <c r="L292" i="228"/>
  <c r="M292" i="228" s="1"/>
  <c r="H292" i="228"/>
  <c r="R108" i="227"/>
  <c r="R110" i="227" s="1"/>
  <c r="R90" i="227"/>
  <c r="R109" i="227" s="1"/>
  <c r="C110" i="227"/>
  <c r="N115" i="227"/>
  <c r="S113" i="227"/>
  <c r="S91" i="227"/>
  <c r="S114" i="227" s="1"/>
  <c r="A15" i="227"/>
  <c r="G90" i="227"/>
  <c r="G109" i="227" s="1"/>
  <c r="G113" i="227"/>
  <c r="G115" i="227" s="1"/>
  <c r="J94" i="227"/>
  <c r="J121" i="227" s="1"/>
  <c r="U122" i="227"/>
  <c r="L262" i="228"/>
  <c r="K279" i="228"/>
  <c r="M279" i="228" s="1"/>
  <c r="R118" i="227"/>
  <c r="R92" i="227"/>
  <c r="R119" i="227" s="1"/>
  <c r="P113" i="227"/>
  <c r="P115" i="227" s="1"/>
  <c r="P91" i="227"/>
  <c r="P114" i="227" s="1"/>
  <c r="G94" i="227"/>
  <c r="G121" i="227" s="1"/>
  <c r="G93" i="227"/>
  <c r="G120" i="227" s="1"/>
  <c r="G92" i="227"/>
  <c r="G119" i="227" s="1"/>
  <c r="G122" i="227" s="1"/>
  <c r="W94" i="227"/>
  <c r="W121" i="227" s="1"/>
  <c r="W93" i="227"/>
  <c r="W120" i="227" s="1"/>
  <c r="W92" i="227"/>
  <c r="W119" i="227" s="1"/>
  <c r="W118" i="227"/>
  <c r="W122" i="227" s="1"/>
  <c r="S110" i="227"/>
  <c r="Z108" i="227"/>
  <c r="Z110" i="227" s="1"/>
  <c r="Z90" i="227"/>
  <c r="Z109" i="227" s="1"/>
  <c r="G110" i="227"/>
  <c r="H113" i="227"/>
  <c r="H91" i="227"/>
  <c r="H114" i="227" s="1"/>
  <c r="X113" i="227"/>
  <c r="X115" i="227" s="1"/>
  <c r="X91" i="227"/>
  <c r="X114" i="227" s="1"/>
  <c r="O94" i="227"/>
  <c r="O121" i="227" s="1"/>
  <c r="O118" i="227"/>
  <c r="O122" i="227" s="1"/>
  <c r="O93" i="227"/>
  <c r="O120" i="227" s="1"/>
  <c r="O92" i="227"/>
  <c r="O119" i="227" s="1"/>
  <c r="R93" i="227"/>
  <c r="R120" i="227" s="1"/>
  <c r="K113" i="227"/>
  <c r="K115" i="227" s="1"/>
  <c r="A16" i="227"/>
  <c r="I109" i="227"/>
  <c r="I110" i="227" s="1"/>
  <c r="Q108" i="227"/>
  <c r="Q90" i="227"/>
  <c r="Q109" i="227" s="1"/>
  <c r="Y108" i="227"/>
  <c r="Y110" i="227" s="1"/>
  <c r="Y90" i="227"/>
  <c r="Y109" i="227" s="1"/>
  <c r="I113" i="227"/>
  <c r="I91" i="227"/>
  <c r="I114" i="227" s="1"/>
  <c r="Q113" i="227"/>
  <c r="Q115" i="227" s="1"/>
  <c r="Q91" i="227"/>
  <c r="Q114" i="227" s="1"/>
  <c r="Y91" i="227"/>
  <c r="Y114" i="227" s="1"/>
  <c r="Y113" i="227"/>
  <c r="Y115" i="227" s="1"/>
  <c r="H94" i="227"/>
  <c r="H121" i="227" s="1"/>
  <c r="H93" i="227"/>
  <c r="H120" i="227" s="1"/>
  <c r="H92" i="227"/>
  <c r="H119" i="227" s="1"/>
  <c r="H122" i="227" s="1"/>
  <c r="P94" i="227"/>
  <c r="P121" i="227" s="1"/>
  <c r="P118" i="227"/>
  <c r="P93" i="227"/>
  <c r="P120" i="227" s="1"/>
  <c r="P92" i="227"/>
  <c r="P119" i="227" s="1"/>
  <c r="X94" i="227"/>
  <c r="X121" i="227" s="1"/>
  <c r="X93" i="227"/>
  <c r="X120" i="227" s="1"/>
  <c r="X92" i="227"/>
  <c r="X119" i="227" s="1"/>
  <c r="X118" i="227"/>
  <c r="M110" i="227"/>
  <c r="T108" i="227"/>
  <c r="T110" i="227" s="1"/>
  <c r="F273" i="228"/>
  <c r="H273" i="228" s="1"/>
  <c r="K268" i="228"/>
  <c r="M268" i="228" s="1"/>
  <c r="O90" i="227"/>
  <c r="O109" i="227" s="1"/>
  <c r="O110" i="227" s="1"/>
  <c r="W90" i="227"/>
  <c r="W109" i="227" s="1"/>
  <c r="W110" i="227" s="1"/>
  <c r="F91" i="227"/>
  <c r="F114" i="227" s="1"/>
  <c r="F115" i="227" s="1"/>
  <c r="V91" i="227"/>
  <c r="V114" i="227" s="1"/>
  <c r="V115" i="227" s="1"/>
  <c r="E92" i="227"/>
  <c r="E119" i="227" s="1"/>
  <c r="M92" i="227"/>
  <c r="M119" i="227" s="1"/>
  <c r="M122" i="227" s="1"/>
  <c r="U92" i="227"/>
  <c r="U119" i="227" s="1"/>
  <c r="D93" i="227"/>
  <c r="D120" i="227" s="1"/>
  <c r="D122" i="227" s="1"/>
  <c r="L93" i="227"/>
  <c r="L120" i="227" s="1"/>
  <c r="L122" i="227" s="1"/>
  <c r="T93" i="227"/>
  <c r="T120" i="227" s="1"/>
  <c r="S94" i="227"/>
  <c r="S121" i="227" s="1"/>
  <c r="S122" i="227" s="1"/>
  <c r="F301" i="228"/>
  <c r="H301" i="228" s="1"/>
  <c r="M294" i="228"/>
  <c r="F274" i="228"/>
  <c r="H274" i="228" s="1"/>
  <c r="C118" i="227"/>
  <c r="C122" i="227" s="1"/>
  <c r="K118" i="227"/>
  <c r="K122" i="227" s="1"/>
  <c r="F93" i="227"/>
  <c r="F120" i="227" s="1"/>
  <c r="F122" i="227" s="1"/>
  <c r="N93" i="227"/>
  <c r="N120" i="227" s="1"/>
  <c r="V93" i="227"/>
  <c r="V120" i="227" s="1"/>
  <c r="V122" i="227" s="1"/>
  <c r="E94" i="227"/>
  <c r="E121" i="227" s="1"/>
  <c r="N118" i="227"/>
  <c r="G183" i="228"/>
  <c r="F282" i="228"/>
  <c r="H282" i="228" s="1"/>
  <c r="F297" i="228"/>
  <c r="H297" i="228" s="1"/>
  <c r="K291" i="228"/>
  <c r="M291" i="228" s="1"/>
  <c r="F94" i="227"/>
  <c r="F121" i="227" s="1"/>
  <c r="Z113" i="227"/>
  <c r="Z115" i="227" s="1"/>
  <c r="J183" i="228"/>
  <c r="F272" i="228"/>
  <c r="H272" i="228" s="1"/>
  <c r="K282" i="228"/>
  <c r="M282" i="228" s="1"/>
  <c r="K297" i="228"/>
  <c r="M297" i="228" s="1"/>
  <c r="J91" i="227"/>
  <c r="J114" i="227" s="1"/>
  <c r="J115" i="227" s="1"/>
  <c r="R91" i="227"/>
  <c r="R114" i="227" s="1"/>
  <c r="R115" i="227" s="1"/>
  <c r="I92" i="227"/>
  <c r="I119" i="227" s="1"/>
  <c r="I122" i="227" s="1"/>
  <c r="Q92" i="227"/>
  <c r="Q119" i="227" s="1"/>
  <c r="Y92" i="227"/>
  <c r="Y119" i="227" s="1"/>
  <c r="Y122" i="227" s="1"/>
  <c r="H270" i="228"/>
  <c r="I93" i="227"/>
  <c r="I120" i="227" s="1"/>
  <c r="Q93" i="227"/>
  <c r="Q120" i="227" s="1"/>
  <c r="Y93" i="227"/>
  <c r="Y120" i="227" s="1"/>
  <c r="A12" i="228"/>
  <c r="F279" i="228"/>
  <c r="H279" i="228" s="1"/>
  <c r="M270" i="228"/>
  <c r="G260" i="228"/>
  <c r="K276" i="228"/>
  <c r="M276" i="228" s="1"/>
  <c r="M33" i="235" l="1"/>
  <c r="M50" i="235"/>
  <c r="AL24" i="235"/>
  <c r="AQ41" i="235"/>
  <c r="R43" i="235"/>
  <c r="M45" i="235"/>
  <c r="M34" i="235"/>
  <c r="M48" i="235"/>
  <c r="AA54" i="235"/>
  <c r="M26" i="235"/>
  <c r="M19" i="235"/>
  <c r="M17" i="235"/>
  <c r="M28" i="235"/>
  <c r="M30" i="235"/>
  <c r="M29" i="235"/>
  <c r="M27" i="235"/>
  <c r="M31" i="235"/>
  <c r="M16" i="235"/>
  <c r="M51" i="235"/>
  <c r="M46" i="235"/>
  <c r="M47" i="235"/>
  <c r="B13" i="235"/>
  <c r="AP45" i="235"/>
  <c r="AP27" i="235"/>
  <c r="AR33" i="235"/>
  <c r="T7" i="235"/>
  <c r="AR29" i="235"/>
  <c r="AP29" i="235"/>
  <c r="R38" i="235"/>
  <c r="R40" i="235" s="1"/>
  <c r="R54" i="235" s="1"/>
  <c r="K266" i="228"/>
  <c r="J260" i="228"/>
  <c r="M122" i="233"/>
  <c r="A14" i="233"/>
  <c r="X122" i="233"/>
  <c r="W122" i="233"/>
  <c r="F115" i="233"/>
  <c r="C23" i="233" s="1"/>
  <c r="H122" i="233"/>
  <c r="U122" i="233"/>
  <c r="C53" i="233" s="1"/>
  <c r="E122" i="233"/>
  <c r="T7" i="232"/>
  <c r="S115" i="231"/>
  <c r="K267" i="232"/>
  <c r="M267" i="232" s="1"/>
  <c r="M302" i="232" s="1"/>
  <c r="J34" i="232"/>
  <c r="Z122" i="231"/>
  <c r="U110" i="231"/>
  <c r="C53" i="231" s="1"/>
  <c r="S122" i="231"/>
  <c r="T115" i="231"/>
  <c r="I262" i="232"/>
  <c r="F300" i="232"/>
  <c r="H300" i="232" s="1"/>
  <c r="H299" i="232"/>
  <c r="K266" i="232"/>
  <c r="J31" i="232"/>
  <c r="A15" i="232"/>
  <c r="A16" i="232"/>
  <c r="A14" i="232"/>
  <c r="M110" i="231"/>
  <c r="L115" i="231"/>
  <c r="F295" i="232"/>
  <c r="H295" i="232" s="1"/>
  <c r="G260" i="232"/>
  <c r="A13" i="231"/>
  <c r="K122" i="231"/>
  <c r="C115" i="231"/>
  <c r="F262" i="232"/>
  <c r="E110" i="231"/>
  <c r="D115" i="231"/>
  <c r="P122" i="231"/>
  <c r="C23" i="231"/>
  <c r="F276" i="232"/>
  <c r="H276" i="232" s="1"/>
  <c r="G183" i="232"/>
  <c r="C122" i="231"/>
  <c r="T7" i="230"/>
  <c r="U7" i="230"/>
  <c r="W122" i="229"/>
  <c r="I262" i="230"/>
  <c r="F262" i="230"/>
  <c r="F122" i="229"/>
  <c r="F300" i="230"/>
  <c r="H300" i="230" s="1"/>
  <c r="H299" i="230"/>
  <c r="F276" i="230"/>
  <c r="H276" i="230" s="1"/>
  <c r="G183" i="230"/>
  <c r="G262" i="230" s="1"/>
  <c r="C11" i="229" s="1"/>
  <c r="K276" i="230"/>
  <c r="M276" i="230" s="1"/>
  <c r="J183" i="230"/>
  <c r="K267" i="230"/>
  <c r="M267" i="230" s="1"/>
  <c r="J34" i="230"/>
  <c r="A13" i="230"/>
  <c r="V122" i="229"/>
  <c r="A14" i="229"/>
  <c r="O122" i="229"/>
  <c r="C53" i="229" s="1"/>
  <c r="M122" i="229"/>
  <c r="J260" i="230"/>
  <c r="K295" i="230"/>
  <c r="M295" i="230" s="1"/>
  <c r="G122" i="229"/>
  <c r="C23" i="229" s="1"/>
  <c r="K267" i="228"/>
  <c r="M267" i="228" s="1"/>
  <c r="M302" i="228" s="1"/>
  <c r="C59" i="227" s="1"/>
  <c r="J34" i="228"/>
  <c r="I262" i="228"/>
  <c r="F300" i="228"/>
  <c r="H300" i="228" s="1"/>
  <c r="H302" i="228" s="1"/>
  <c r="C29" i="227" s="1"/>
  <c r="H299" i="228"/>
  <c r="G10" i="228"/>
  <c r="E122" i="227"/>
  <c r="J122" i="227"/>
  <c r="Q110" i="227"/>
  <c r="C53" i="227" s="1"/>
  <c r="H115" i="227"/>
  <c r="C23" i="227" s="1"/>
  <c r="R122" i="227"/>
  <c r="P122" i="227"/>
  <c r="A13" i="228"/>
  <c r="A17" i="227"/>
  <c r="A18" i="227"/>
  <c r="J262" i="228"/>
  <c r="C41" i="227" s="1"/>
  <c r="Q122" i="227"/>
  <c r="N122" i="227"/>
  <c r="X122" i="227"/>
  <c r="I115" i="227"/>
  <c r="S115" i="227"/>
  <c r="A19" i="227"/>
  <c r="M38" i="235" l="1"/>
  <c r="M23" i="235"/>
  <c r="M40" i="235" s="1"/>
  <c r="K59" i="235" s="1"/>
  <c r="AR45" i="235"/>
  <c r="B14" i="235"/>
  <c r="C59" i="231"/>
  <c r="C59" i="233"/>
  <c r="G262" i="232"/>
  <c r="J262" i="230"/>
  <c r="C41" i="229" s="1"/>
  <c r="C42" i="229" s="1"/>
  <c r="H302" i="232"/>
  <c r="C29" i="231"/>
  <c r="C29" i="233"/>
  <c r="C11" i="231"/>
  <c r="C12" i="231" s="1"/>
  <c r="C11" i="233"/>
  <c r="C12" i="233" s="1"/>
  <c r="A15" i="233"/>
  <c r="A17" i="232"/>
  <c r="K302" i="232"/>
  <c r="F302" i="232"/>
  <c r="A14" i="231"/>
  <c r="J262" i="232"/>
  <c r="F302" i="230"/>
  <c r="A15" i="229"/>
  <c r="C12" i="229"/>
  <c r="C13" i="229" s="1"/>
  <c r="A14" i="230"/>
  <c r="A16" i="230"/>
  <c r="A15" i="230"/>
  <c r="M302" i="230"/>
  <c r="C59" i="229" s="1"/>
  <c r="H302" i="230"/>
  <c r="C29" i="229" s="1"/>
  <c r="K302" i="230"/>
  <c r="K302" i="228"/>
  <c r="A20" i="227"/>
  <c r="A14" i="228"/>
  <c r="C42" i="227"/>
  <c r="M54" i="235" l="1"/>
  <c r="K60" i="235" s="1"/>
  <c r="B15" i="235"/>
  <c r="B16" i="235" s="1"/>
  <c r="B17" i="235" s="1"/>
  <c r="C41" i="231"/>
  <c r="C41" i="233"/>
  <c r="C13" i="233"/>
  <c r="C30" i="233"/>
  <c r="C31" i="233" s="1"/>
  <c r="C16" i="233"/>
  <c r="A17" i="233"/>
  <c r="A16" i="233"/>
  <c r="C42" i="231"/>
  <c r="C16" i="231"/>
  <c r="C30" i="231"/>
  <c r="C31" i="231" s="1"/>
  <c r="A18" i="232"/>
  <c r="C13" i="231"/>
  <c r="A15" i="231"/>
  <c r="C34" i="229"/>
  <c r="G12" i="229"/>
  <c r="K12" i="231" s="1"/>
  <c r="A18" i="230"/>
  <c r="C30" i="229"/>
  <c r="C31" i="229" s="1"/>
  <c r="C16" i="229"/>
  <c r="A17" i="230"/>
  <c r="A16" i="229"/>
  <c r="C46" i="229"/>
  <c r="C60" i="229"/>
  <c r="C61" i="229" s="1"/>
  <c r="C43" i="229"/>
  <c r="A15" i="228"/>
  <c r="A16" i="228"/>
  <c r="C60" i="227"/>
  <c r="C61" i="227" s="1"/>
  <c r="C46" i="227"/>
  <c r="A21" i="227"/>
  <c r="A22" i="227"/>
  <c r="C43" i="227"/>
  <c r="AR27" i="235" l="1"/>
  <c r="B18" i="235"/>
  <c r="C42" i="233"/>
  <c r="C43" i="233"/>
  <c r="C34" i="233"/>
  <c r="C38" i="233" s="1"/>
  <c r="G12" i="233"/>
  <c r="C15" i="233"/>
  <c r="C18" i="233" s="1"/>
  <c r="G13" i="233" s="1"/>
  <c r="G15" i="233" s="1"/>
  <c r="A19" i="233"/>
  <c r="A18" i="233"/>
  <c r="G12" i="231"/>
  <c r="K12" i="233" s="1"/>
  <c r="C34" i="231"/>
  <c r="C38" i="231" s="1"/>
  <c r="A19" i="232"/>
  <c r="A20" i="232"/>
  <c r="A21" i="232"/>
  <c r="C15" i="231"/>
  <c r="C18" i="231" s="1"/>
  <c r="G13" i="231" s="1"/>
  <c r="K13" i="233" s="1"/>
  <c r="C60" i="231"/>
  <c r="C61" i="231" s="1"/>
  <c r="C46" i="231"/>
  <c r="A16" i="231"/>
  <c r="C43" i="231"/>
  <c r="C15" i="229"/>
  <c r="C18" i="229" s="1"/>
  <c r="G13" i="229" s="1"/>
  <c r="G17" i="229"/>
  <c r="C45" i="229"/>
  <c r="C48" i="229" s="1"/>
  <c r="H13" i="229" s="1"/>
  <c r="L13" i="231" s="1"/>
  <c r="A19" i="230"/>
  <c r="H12" i="229"/>
  <c r="C64" i="229"/>
  <c r="C68" i="229" s="1"/>
  <c r="A20" i="230"/>
  <c r="A21" i="230" s="1"/>
  <c r="A17" i="229"/>
  <c r="C38" i="229"/>
  <c r="A22" i="230"/>
  <c r="C64" i="227"/>
  <c r="H17" i="227" s="1"/>
  <c r="L17" i="229" s="1"/>
  <c r="H12" i="227"/>
  <c r="L12" i="229" s="1"/>
  <c r="A23" i="227"/>
  <c r="C68" i="227"/>
  <c r="A17" i="228"/>
  <c r="B19" i="235" l="1"/>
  <c r="B20" i="235" s="1"/>
  <c r="H15" i="229"/>
  <c r="L12" i="231"/>
  <c r="K17" i="231"/>
  <c r="H12" i="233"/>
  <c r="C64" i="233"/>
  <c r="G15" i="229"/>
  <c r="K13" i="231"/>
  <c r="C46" i="233"/>
  <c r="C60" i="233"/>
  <c r="C61" i="233" s="1"/>
  <c r="G17" i="231"/>
  <c r="G17" i="233"/>
  <c r="A20" i="233"/>
  <c r="C45" i="231"/>
  <c r="C48" i="231" s="1"/>
  <c r="H13" i="231" s="1"/>
  <c r="L13" i="233" s="1"/>
  <c r="A17" i="231"/>
  <c r="A18" i="231"/>
  <c r="G15" i="231"/>
  <c r="C64" i="231"/>
  <c r="C68" i="231" s="1"/>
  <c r="H12" i="231"/>
  <c r="L12" i="233" s="1"/>
  <c r="A22" i="232"/>
  <c r="H17" i="229"/>
  <c r="A18" i="229"/>
  <c r="A24" i="230"/>
  <c r="A25" i="230" s="1"/>
  <c r="A26" i="230" s="1"/>
  <c r="A27" i="230" s="1"/>
  <c r="A28" i="230" s="1"/>
  <c r="A29" i="230" s="1"/>
  <c r="A30" i="230" s="1"/>
  <c r="A23" i="230"/>
  <c r="H24" i="227"/>
  <c r="X54" i="217" s="1"/>
  <c r="Z54" i="217" s="1"/>
  <c r="Q54" i="217" s="1"/>
  <c r="A18" i="228"/>
  <c r="A19" i="228"/>
  <c r="A24" i="227"/>
  <c r="B21" i="235" l="1"/>
  <c r="B26" i="235" s="1"/>
  <c r="B27" i="235" s="1"/>
  <c r="B28" i="235" s="1"/>
  <c r="K15" i="231"/>
  <c r="H24" i="229"/>
  <c r="X55" i="217" s="1"/>
  <c r="Z55" i="217" s="1"/>
  <c r="Q55" i="217" s="1"/>
  <c r="L17" i="231"/>
  <c r="C68" i="233"/>
  <c r="H17" i="233"/>
  <c r="C45" i="233"/>
  <c r="C48" i="233" s="1"/>
  <c r="H13" i="233" s="1"/>
  <c r="H15" i="233" s="1"/>
  <c r="L15" i="231"/>
  <c r="H15" i="231"/>
  <c r="G24" i="231"/>
  <c r="X42" i="217" s="1"/>
  <c r="Z42" i="217" s="1"/>
  <c r="Q42" i="217" s="1"/>
  <c r="K17" i="233"/>
  <c r="G24" i="233" s="1"/>
  <c r="G23" i="231"/>
  <c r="AB42" i="217" s="1"/>
  <c r="S42" i="217" s="1"/>
  <c r="U42" i="217" s="1"/>
  <c r="AD42" i="217" s="1"/>
  <c r="I13" i="234" s="1"/>
  <c r="O13" i="234" s="1"/>
  <c r="K15" i="233"/>
  <c r="G23" i="233" s="1"/>
  <c r="AB43" i="217" s="1"/>
  <c r="S43" i="217" s="1"/>
  <c r="U43" i="217" s="1"/>
  <c r="AD43" i="217" s="1"/>
  <c r="I14" i="234" s="1"/>
  <c r="O14" i="234" s="1"/>
  <c r="A21" i="233"/>
  <c r="A22" i="233"/>
  <c r="A23" i="233" s="1"/>
  <c r="H17" i="231"/>
  <c r="A19" i="231"/>
  <c r="A20" i="231"/>
  <c r="A23" i="232"/>
  <c r="A24" i="232" s="1"/>
  <c r="A19" i="229"/>
  <c r="A31" i="230"/>
  <c r="A32" i="230" s="1"/>
  <c r="A33" i="230" s="1"/>
  <c r="A34" i="230" s="1"/>
  <c r="A35" i="230" s="1"/>
  <c r="A36" i="230" s="1"/>
  <c r="A37" i="230" s="1"/>
  <c r="A38" i="230" s="1"/>
  <c r="A39" i="230" s="1"/>
  <c r="A40" i="230" s="1"/>
  <c r="A41" i="230" s="1"/>
  <c r="A42" i="230" s="1"/>
  <c r="A43" i="230" s="1"/>
  <c r="A44" i="230" s="1"/>
  <c r="A45" i="230" s="1"/>
  <c r="A20" i="229"/>
  <c r="A21" i="229" s="1"/>
  <c r="A22" i="229"/>
  <c r="A23" i="229" s="1"/>
  <c r="A20" i="228"/>
  <c r="A25" i="227"/>
  <c r="A26" i="227" s="1"/>
  <c r="A27" i="227" s="1"/>
  <c r="A28" i="227" s="1"/>
  <c r="A29" i="227" s="1"/>
  <c r="A30" i="227" s="1"/>
  <c r="A31" i="227" s="1"/>
  <c r="A32" i="227" s="1"/>
  <c r="A33" i="227" s="1"/>
  <c r="A34" i="227" s="1"/>
  <c r="A35" i="227" s="1"/>
  <c r="A36" i="227" s="1"/>
  <c r="A37" i="227" s="1"/>
  <c r="A38" i="227" s="1"/>
  <c r="A39" i="227" s="1"/>
  <c r="A40" i="227" s="1"/>
  <c r="A41" i="227" s="1"/>
  <c r="A42" i="227" s="1"/>
  <c r="A43" i="227" s="1"/>
  <c r="A44" i="227" s="1"/>
  <c r="A45" i="227" s="1"/>
  <c r="A46" i="227" s="1"/>
  <c r="A47" i="227" s="1"/>
  <c r="A48" i="227" s="1"/>
  <c r="A49" i="227" s="1"/>
  <c r="A50" i="227" s="1"/>
  <c r="A51" i="227" s="1"/>
  <c r="A52" i="227" s="1"/>
  <c r="A53" i="227" s="1"/>
  <c r="A54" i="227" s="1"/>
  <c r="A55" i="227" s="1"/>
  <c r="A56" i="227" s="1"/>
  <c r="A57" i="227" s="1"/>
  <c r="A58" i="227" s="1"/>
  <c r="A59" i="227" s="1"/>
  <c r="A60" i="227" s="1"/>
  <c r="A61" i="227" s="1"/>
  <c r="A62" i="227" s="1"/>
  <c r="A63" i="227" s="1"/>
  <c r="A64" i="227" s="1"/>
  <c r="A65" i="227" s="1"/>
  <c r="A66" i="227" s="1"/>
  <c r="A67" i="227" s="1"/>
  <c r="A68" i="227" s="1"/>
  <c r="A69" i="227" s="1"/>
  <c r="A70" i="227" s="1"/>
  <c r="A71" i="227" s="1"/>
  <c r="A72" i="227" s="1"/>
  <c r="A73" i="227" s="1"/>
  <c r="A74" i="227" s="1"/>
  <c r="A75" i="227" s="1"/>
  <c r="A76" i="227" s="1"/>
  <c r="A77" i="227" s="1"/>
  <c r="A78" i="227" s="1"/>
  <c r="A79" i="227" s="1"/>
  <c r="A80" i="227" s="1"/>
  <c r="A81" i="227" s="1"/>
  <c r="A82" i="227" s="1"/>
  <c r="A83" i="227" s="1"/>
  <c r="A84" i="227" s="1"/>
  <c r="A85" i="227" s="1"/>
  <c r="A86" i="227" s="1"/>
  <c r="A87" i="227" s="1"/>
  <c r="A88" i="227" s="1"/>
  <c r="A89" i="227" s="1"/>
  <c r="A90" i="227" s="1"/>
  <c r="A91" i="227" s="1"/>
  <c r="A92" i="227" s="1"/>
  <c r="A93" i="227" s="1"/>
  <c r="A94" i="227" s="1"/>
  <c r="A95" i="227" s="1"/>
  <c r="A96" i="227" s="1"/>
  <c r="A97" i="227" s="1"/>
  <c r="A98" i="227" s="1"/>
  <c r="A99" i="227" s="1"/>
  <c r="A100" i="227" s="1"/>
  <c r="A101" i="227" s="1"/>
  <c r="A102" i="227" s="1"/>
  <c r="A103" i="227" s="1"/>
  <c r="A104" i="227" s="1"/>
  <c r="A105" i="227" s="1"/>
  <c r="A106" i="227" s="1"/>
  <c r="A107" i="227" s="1"/>
  <c r="A108" i="227" s="1"/>
  <c r="A109" i="227" s="1"/>
  <c r="A110" i="227" s="1"/>
  <c r="A111" i="227" s="1"/>
  <c r="A112" i="227" s="1"/>
  <c r="A113" i="227" s="1"/>
  <c r="A114" i="227" s="1"/>
  <c r="A115" i="227" s="1"/>
  <c r="A116" i="227" s="1"/>
  <c r="A117" i="227" s="1"/>
  <c r="A118" i="227" s="1"/>
  <c r="A119" i="227" s="1"/>
  <c r="A120" i="227" s="1"/>
  <c r="A121" i="227" s="1"/>
  <c r="A122" i="227" s="1"/>
  <c r="B29" i="235" l="1"/>
  <c r="H24" i="231"/>
  <c r="X56" i="217" s="1"/>
  <c r="Z56" i="217" s="1"/>
  <c r="Q56" i="217" s="1"/>
  <c r="L17" i="233"/>
  <c r="H24" i="233" s="1"/>
  <c r="H23" i="231"/>
  <c r="AB56" i="217" s="1"/>
  <c r="S56" i="217" s="1"/>
  <c r="L15" i="233"/>
  <c r="H23" i="233" s="1"/>
  <c r="AB57" i="217" s="1"/>
  <c r="S57" i="217" s="1"/>
  <c r="U57" i="217" s="1"/>
  <c r="AD57" i="217" s="1"/>
  <c r="K14" i="234" s="1"/>
  <c r="P14" i="234" s="1"/>
  <c r="A24" i="233"/>
  <c r="A25" i="233" s="1"/>
  <c r="A26" i="233" s="1"/>
  <c r="A27" i="233" s="1"/>
  <c r="A28" i="233" s="1"/>
  <c r="A29" i="233" s="1"/>
  <c r="A30" i="233" s="1"/>
  <c r="A31" i="233" s="1"/>
  <c r="A32" i="233" s="1"/>
  <c r="A33" i="233" s="1"/>
  <c r="A34" i="233" s="1"/>
  <c r="A35" i="233" s="1"/>
  <c r="A36" i="233" s="1"/>
  <c r="A37" i="233" s="1"/>
  <c r="A38" i="233" s="1"/>
  <c r="A39" i="233" s="1"/>
  <c r="A40" i="233" s="1"/>
  <c r="A41" i="233" s="1"/>
  <c r="A42" i="233" s="1"/>
  <c r="A43" i="233" s="1"/>
  <c r="A44" i="233" s="1"/>
  <c r="A45" i="233" s="1"/>
  <c r="A46" i="233" s="1"/>
  <c r="A47" i="233" s="1"/>
  <c r="A48" i="233" s="1"/>
  <c r="A49" i="233" s="1"/>
  <c r="A50" i="233" s="1"/>
  <c r="A51" i="233" s="1"/>
  <c r="A52" i="233" s="1"/>
  <c r="A53" i="233" s="1"/>
  <c r="A54" i="233" s="1"/>
  <c r="A55" i="233" s="1"/>
  <c r="A56" i="233" s="1"/>
  <c r="A57" i="233" s="1"/>
  <c r="A58" i="233" s="1"/>
  <c r="A59" i="233" s="1"/>
  <c r="A60" i="233" s="1"/>
  <c r="A61" i="233" s="1"/>
  <c r="A62" i="233" s="1"/>
  <c r="A63" i="233" s="1"/>
  <c r="A64" i="233" s="1"/>
  <c r="A65" i="233" s="1"/>
  <c r="A66" i="233" s="1"/>
  <c r="A67" i="233" s="1"/>
  <c r="A68" i="233" s="1"/>
  <c r="A69" i="233" s="1"/>
  <c r="A70" i="233" s="1"/>
  <c r="A71" i="233" s="1"/>
  <c r="A72" i="233" s="1"/>
  <c r="A73" i="233" s="1"/>
  <c r="A74" i="233" s="1"/>
  <c r="A75" i="233" s="1"/>
  <c r="A76" i="233" s="1"/>
  <c r="A77" i="233" s="1"/>
  <c r="A78" i="233" s="1"/>
  <c r="A79" i="233" s="1"/>
  <c r="A80" i="233" s="1"/>
  <c r="A81" i="233" s="1"/>
  <c r="A82" i="233" s="1"/>
  <c r="A83" i="233" s="1"/>
  <c r="A84" i="233" s="1"/>
  <c r="A85" i="233" s="1"/>
  <c r="A86" i="233" s="1"/>
  <c r="A87" i="233" s="1"/>
  <c r="A88" i="233" s="1"/>
  <c r="A89" i="233" s="1"/>
  <c r="A90" i="233" s="1"/>
  <c r="A91" i="233" s="1"/>
  <c r="A92" i="233" s="1"/>
  <c r="A93" i="233" s="1"/>
  <c r="A94" i="233" s="1"/>
  <c r="A95" i="233" s="1"/>
  <c r="A96" i="233" s="1"/>
  <c r="A97" i="233" s="1"/>
  <c r="A98" i="233" s="1"/>
  <c r="A99" i="233" s="1"/>
  <c r="A100" i="233" s="1"/>
  <c r="A101" i="233" s="1"/>
  <c r="A102" i="233" s="1"/>
  <c r="A103" i="233" s="1"/>
  <c r="A104" i="233" s="1"/>
  <c r="A105" i="233" s="1"/>
  <c r="A106" i="233" s="1"/>
  <c r="A107" i="233" s="1"/>
  <c r="A108" i="233" s="1"/>
  <c r="A109" i="233" s="1"/>
  <c r="A110" i="233" s="1"/>
  <c r="A111" i="233" s="1"/>
  <c r="A112" i="233" s="1"/>
  <c r="A113" i="233" s="1"/>
  <c r="A114" i="233" s="1"/>
  <c r="A115" i="233" s="1"/>
  <c r="A116" i="233" s="1"/>
  <c r="A117" i="233" s="1"/>
  <c r="A118" i="233" s="1"/>
  <c r="A119" i="233" s="1"/>
  <c r="A120" i="233" s="1"/>
  <c r="A121" i="233" s="1"/>
  <c r="A122" i="233" s="1"/>
  <c r="A21" i="231"/>
  <c r="A22" i="231"/>
  <c r="A23" i="231" s="1"/>
  <c r="A24" i="231" s="1"/>
  <c r="A25" i="231" s="1"/>
  <c r="A26" i="231" s="1"/>
  <c r="A27" i="231" s="1"/>
  <c r="A28" i="231" s="1"/>
  <c r="A29" i="231" s="1"/>
  <c r="A30" i="231" s="1"/>
  <c r="A31" i="231" s="1"/>
  <c r="A32" i="231" s="1"/>
  <c r="A33" i="231" s="1"/>
  <c r="A34" i="231" s="1"/>
  <c r="A25" i="232"/>
  <c r="A26" i="232" s="1"/>
  <c r="A27" i="232" s="1"/>
  <c r="A28" i="232" s="1"/>
  <c r="A29" i="232" s="1"/>
  <c r="A30" i="232" s="1"/>
  <c r="A31" i="232" s="1"/>
  <c r="A32" i="232" s="1"/>
  <c r="A33" i="232" s="1"/>
  <c r="A34" i="232" s="1"/>
  <c r="A35" i="232" s="1"/>
  <c r="A36" i="232" s="1"/>
  <c r="A37" i="232" s="1"/>
  <c r="A38" i="232" s="1"/>
  <c r="A39" i="232" s="1"/>
  <c r="A40" i="232" s="1"/>
  <c r="A41" i="232" s="1"/>
  <c r="A42" i="232" s="1"/>
  <c r="A43" i="232" s="1"/>
  <c r="A44" i="232" s="1"/>
  <c r="A45" i="232" s="1"/>
  <c r="A46" i="232" s="1"/>
  <c r="A47" i="232" s="1"/>
  <c r="A48" i="232" s="1"/>
  <c r="A49" i="232" s="1"/>
  <c r="A50" i="232" s="1"/>
  <c r="A51" i="232" s="1"/>
  <c r="A52" i="232" s="1"/>
  <c r="A53" i="232" s="1"/>
  <c r="A54" i="232" s="1"/>
  <c r="A55" i="232" s="1"/>
  <c r="A56" i="232" s="1"/>
  <c r="A57" i="232" s="1"/>
  <c r="A58" i="232" s="1"/>
  <c r="A59" i="232" s="1"/>
  <c r="A60" i="232" s="1"/>
  <c r="A61" i="232" s="1"/>
  <c r="A62" i="232" s="1"/>
  <c r="A63" i="232" s="1"/>
  <c r="A64" i="232" s="1"/>
  <c r="A65" i="232" s="1"/>
  <c r="A66" i="232" s="1"/>
  <c r="A67" i="232" s="1"/>
  <c r="A68" i="232" s="1"/>
  <c r="A69" i="232" s="1"/>
  <c r="A70" i="232" s="1"/>
  <c r="A71" i="232" s="1"/>
  <c r="A72" i="232" s="1"/>
  <c r="A73" i="232" s="1"/>
  <c r="A74" i="232" s="1"/>
  <c r="A75" i="232" s="1"/>
  <c r="A76" i="232" s="1"/>
  <c r="A77" i="232" s="1"/>
  <c r="A78" i="232" s="1"/>
  <c r="A79" i="232" s="1"/>
  <c r="A80" i="232" s="1"/>
  <c r="A81" i="232" s="1"/>
  <c r="A82" i="232" s="1"/>
  <c r="A83" i="232" s="1"/>
  <c r="A84" i="232" s="1"/>
  <c r="A85" i="232" s="1"/>
  <c r="A86" i="232" s="1"/>
  <c r="A87" i="232" s="1"/>
  <c r="A88" i="232" s="1"/>
  <c r="A89" i="232" s="1"/>
  <c r="A90" i="232" s="1"/>
  <c r="A91" i="232" s="1"/>
  <c r="A92" i="232" s="1"/>
  <c r="A93" i="232" s="1"/>
  <c r="A94" i="232" s="1"/>
  <c r="A95" i="232" s="1"/>
  <c r="A96" i="232" s="1"/>
  <c r="A97" i="232" s="1"/>
  <c r="A98" i="232" s="1"/>
  <c r="A99" i="232" s="1"/>
  <c r="A100" i="232" s="1"/>
  <c r="A101" i="232" s="1"/>
  <c r="A102" i="232" s="1"/>
  <c r="A103" i="232" s="1"/>
  <c r="A104" i="232" s="1"/>
  <c r="A105" i="232" s="1"/>
  <c r="A106" i="232" s="1"/>
  <c r="A107" i="232" s="1"/>
  <c r="A108" i="232" s="1"/>
  <c r="A109" i="232" s="1"/>
  <c r="A110" i="232" s="1"/>
  <c r="A111" i="232" s="1"/>
  <c r="A112" i="232" s="1"/>
  <c r="A113" i="232" s="1"/>
  <c r="A114" i="232" s="1"/>
  <c r="A115" i="232" s="1"/>
  <c r="A116" i="232" s="1"/>
  <c r="A117" i="232" s="1"/>
  <c r="A118" i="232" s="1"/>
  <c r="A119" i="232" s="1"/>
  <c r="A120" i="232" s="1"/>
  <c r="A121" i="232" s="1"/>
  <c r="A122" i="232" s="1"/>
  <c r="A123" i="232" s="1"/>
  <c r="A124" i="232" s="1"/>
  <c r="A125" i="232" s="1"/>
  <c r="A126" i="232" s="1"/>
  <c r="A127" i="232" s="1"/>
  <c r="A128" i="232" s="1"/>
  <c r="A129" i="232" s="1"/>
  <c r="A130" i="232" s="1"/>
  <c r="A131" i="232" s="1"/>
  <c r="A132" i="232" s="1"/>
  <c r="A133" i="232" s="1"/>
  <c r="A134" i="232" s="1"/>
  <c r="A135" i="232" s="1"/>
  <c r="A136" i="232" s="1"/>
  <c r="A137" i="232" s="1"/>
  <c r="A138" i="232" s="1"/>
  <c r="A139" i="232" s="1"/>
  <c r="A140" i="232" s="1"/>
  <c r="A141" i="232" s="1"/>
  <c r="A142" i="232" s="1"/>
  <c r="A143" i="232" s="1"/>
  <c r="A144" i="232" s="1"/>
  <c r="A145" i="232" s="1"/>
  <c r="A146" i="232" s="1"/>
  <c r="A147" i="232" s="1"/>
  <c r="A148" i="232" s="1"/>
  <c r="A149" i="232" s="1"/>
  <c r="A150" i="232" s="1"/>
  <c r="A151" i="232" s="1"/>
  <c r="A152" i="232" s="1"/>
  <c r="A153" i="232" s="1"/>
  <c r="A154" i="232" s="1"/>
  <c r="A155" i="232" s="1"/>
  <c r="A156" i="232" s="1"/>
  <c r="A157" i="232" s="1"/>
  <c r="A158" i="232" s="1"/>
  <c r="A159" i="232" s="1"/>
  <c r="A160" i="232" s="1"/>
  <c r="A161" i="232" s="1"/>
  <c r="A162" i="232" s="1"/>
  <c r="A163" i="232" s="1"/>
  <c r="A164" i="232" s="1"/>
  <c r="A165" i="232" s="1"/>
  <c r="A166" i="232" s="1"/>
  <c r="A167" i="232" s="1"/>
  <c r="A168" i="232" s="1"/>
  <c r="A169" i="232" s="1"/>
  <c r="A170" i="232" s="1"/>
  <c r="A171" i="232" s="1"/>
  <c r="A172" i="232" s="1"/>
  <c r="A173" i="232" s="1"/>
  <c r="A174" i="232" s="1"/>
  <c r="A175" i="232" s="1"/>
  <c r="A176" i="232" s="1"/>
  <c r="A177" i="232" s="1"/>
  <c r="A178" i="232" s="1"/>
  <c r="A179" i="232" s="1"/>
  <c r="A180" i="232" s="1"/>
  <c r="A181" i="232" s="1"/>
  <c r="A182" i="232" s="1"/>
  <c r="A183" i="232" s="1"/>
  <c r="A184" i="232" s="1"/>
  <c r="A185" i="232" s="1"/>
  <c r="A186" i="232" s="1"/>
  <c r="A187" i="232" s="1"/>
  <c r="A188" i="232" s="1"/>
  <c r="A189" i="232" s="1"/>
  <c r="A190" i="232" s="1"/>
  <c r="A191" i="232" s="1"/>
  <c r="A192" i="232" s="1"/>
  <c r="A193" i="232" s="1"/>
  <c r="A194" i="232" s="1"/>
  <c r="A195" i="232" s="1"/>
  <c r="A196" i="232" s="1"/>
  <c r="A197" i="232" s="1"/>
  <c r="A198" i="232" s="1"/>
  <c r="A199" i="232" s="1"/>
  <c r="A200" i="232" s="1"/>
  <c r="A201" i="232" s="1"/>
  <c r="A202" i="232" s="1"/>
  <c r="A203" i="232" s="1"/>
  <c r="A204" i="232" s="1"/>
  <c r="A205" i="232" s="1"/>
  <c r="A206" i="232" s="1"/>
  <c r="A207" i="232" s="1"/>
  <c r="A208" i="232" s="1"/>
  <c r="A209" i="232" s="1"/>
  <c r="A210" i="232" s="1"/>
  <c r="A211" i="232" s="1"/>
  <c r="A212" i="232" s="1"/>
  <c r="A213" i="232" s="1"/>
  <c r="A214" i="232" s="1"/>
  <c r="A215" i="232" s="1"/>
  <c r="A216" i="232" s="1"/>
  <c r="A217" i="232" s="1"/>
  <c r="A218" i="232" s="1"/>
  <c r="A219" i="232" s="1"/>
  <c r="A220" i="232" s="1"/>
  <c r="A221" i="232" s="1"/>
  <c r="A222" i="232" s="1"/>
  <c r="A223" i="232" s="1"/>
  <c r="A224" i="232" s="1"/>
  <c r="A225" i="232" s="1"/>
  <c r="A226" i="232" s="1"/>
  <c r="A227" i="232" s="1"/>
  <c r="A228" i="232" s="1"/>
  <c r="A229" i="232" s="1"/>
  <c r="A230" i="232" s="1"/>
  <c r="A231" i="232" s="1"/>
  <c r="A232" i="232" s="1"/>
  <c r="A233" i="232" s="1"/>
  <c r="A234" i="232" s="1"/>
  <c r="A235" i="232" s="1"/>
  <c r="A236" i="232" s="1"/>
  <c r="A237" i="232" s="1"/>
  <c r="A238" i="232" s="1"/>
  <c r="A239" i="232" s="1"/>
  <c r="A240" i="232" s="1"/>
  <c r="A241" i="232" s="1"/>
  <c r="A242" i="232" s="1"/>
  <c r="A243" i="232" s="1"/>
  <c r="A244" i="232" s="1"/>
  <c r="A245" i="232" s="1"/>
  <c r="A246" i="232" s="1"/>
  <c r="A247" i="232" s="1"/>
  <c r="A248" i="232" s="1"/>
  <c r="A249" i="232" s="1"/>
  <c r="A250" i="232" s="1"/>
  <c r="A251" i="232" s="1"/>
  <c r="A252" i="232" s="1"/>
  <c r="A253" i="232" s="1"/>
  <c r="A254" i="232" s="1"/>
  <c r="A255" i="232" s="1"/>
  <c r="A256" i="232" s="1"/>
  <c r="A257" i="232" s="1"/>
  <c r="A258" i="232" s="1"/>
  <c r="A259" i="232" s="1"/>
  <c r="A260" i="232" s="1"/>
  <c r="A261" i="232" s="1"/>
  <c r="A262" i="232" s="1"/>
  <c r="A263" i="232" s="1"/>
  <c r="A264" i="232" s="1"/>
  <c r="A265" i="232" s="1"/>
  <c r="A266" i="232" s="1"/>
  <c r="A267" i="232" s="1"/>
  <c r="A268" i="232" s="1"/>
  <c r="A269" i="232" s="1"/>
  <c r="A270" i="232" s="1"/>
  <c r="A271" i="232" s="1"/>
  <c r="A272" i="232" s="1"/>
  <c r="A273" i="232" s="1"/>
  <c r="A274" i="232" s="1"/>
  <c r="A275" i="232" s="1"/>
  <c r="A276" i="232" s="1"/>
  <c r="A277" i="232" s="1"/>
  <c r="A278" i="232" s="1"/>
  <c r="A279" i="232" s="1"/>
  <c r="A280" i="232" s="1"/>
  <c r="A281" i="232" s="1"/>
  <c r="A282" i="232" s="1"/>
  <c r="A283" i="232" s="1"/>
  <c r="A284" i="232" s="1"/>
  <c r="A285" i="232" s="1"/>
  <c r="A286" i="232" s="1"/>
  <c r="A287" i="232" s="1"/>
  <c r="A288" i="232" s="1"/>
  <c r="A289" i="232" s="1"/>
  <c r="A290" i="232" s="1"/>
  <c r="A291" i="232" s="1"/>
  <c r="A292" i="232" s="1"/>
  <c r="A293" i="232" s="1"/>
  <c r="A294" i="232" s="1"/>
  <c r="A295" i="232" s="1"/>
  <c r="A296" i="232" s="1"/>
  <c r="A297" i="232" s="1"/>
  <c r="A298" i="232" s="1"/>
  <c r="A299" i="232" s="1"/>
  <c r="A300" i="232" s="1"/>
  <c r="A301" i="232" s="1"/>
  <c r="A302" i="232" s="1"/>
  <c r="A24" i="229"/>
  <c r="A25" i="229" s="1"/>
  <c r="A26" i="229" s="1"/>
  <c r="A27" i="229" s="1"/>
  <c r="A28" i="229" s="1"/>
  <c r="A29" i="229" s="1"/>
  <c r="A30" i="229" s="1"/>
  <c r="A31" i="229" s="1"/>
  <c r="A46" i="230"/>
  <c r="A47" i="230" s="1"/>
  <c r="A48" i="230" s="1"/>
  <c r="A49" i="230" s="1"/>
  <c r="A50" i="230" s="1"/>
  <c r="A51" i="230" s="1"/>
  <c r="A52" i="230" s="1"/>
  <c r="A53" i="230" s="1"/>
  <c r="A54" i="230" s="1"/>
  <c r="A55" i="230" s="1"/>
  <c r="A56" i="230" s="1"/>
  <c r="A57" i="230" s="1"/>
  <c r="A58" i="230" s="1"/>
  <c r="A59" i="230" s="1"/>
  <c r="A60" i="230" s="1"/>
  <c r="A61" i="230" s="1"/>
  <c r="A62" i="230" s="1"/>
  <c r="A63" i="230" s="1"/>
  <c r="A64" i="230" s="1"/>
  <c r="A65" i="230" s="1"/>
  <c r="A66" i="230" s="1"/>
  <c r="A67" i="230" s="1"/>
  <c r="A68" i="230" s="1"/>
  <c r="A69" i="230" s="1"/>
  <c r="A70" i="230" s="1"/>
  <c r="A71" i="230" s="1"/>
  <c r="A72" i="230" s="1"/>
  <c r="A73" i="230" s="1"/>
  <c r="A74" i="230" s="1"/>
  <c r="A75" i="230" s="1"/>
  <c r="A76" i="230" s="1"/>
  <c r="A77" i="230" s="1"/>
  <c r="A78" i="230" s="1"/>
  <c r="A79" i="230" s="1"/>
  <c r="A80" i="230" s="1"/>
  <c r="A81" i="230" s="1"/>
  <c r="A82" i="230" s="1"/>
  <c r="A83" i="230" s="1"/>
  <c r="A84" i="230" s="1"/>
  <c r="A85" i="230" s="1"/>
  <c r="A86" i="230" s="1"/>
  <c r="A87" i="230" s="1"/>
  <c r="A88" i="230" s="1"/>
  <c r="A89" i="230" s="1"/>
  <c r="A90" i="230" s="1"/>
  <c r="A91" i="230" s="1"/>
  <c r="A92" i="230" s="1"/>
  <c r="A93" i="230" s="1"/>
  <c r="A94" i="230" s="1"/>
  <c r="A95" i="230" s="1"/>
  <c r="A96" i="230" s="1"/>
  <c r="A97" i="230" s="1"/>
  <c r="A98" i="230" s="1"/>
  <c r="A99" i="230" s="1"/>
  <c r="A100" i="230" s="1"/>
  <c r="A101" i="230" s="1"/>
  <c r="A102" i="230" s="1"/>
  <c r="A103" i="230" s="1"/>
  <c r="A104" i="230" s="1"/>
  <c r="A105" i="230" s="1"/>
  <c r="A106" i="230" s="1"/>
  <c r="A107" i="230" s="1"/>
  <c r="A108" i="230" s="1"/>
  <c r="A109" i="230" s="1"/>
  <c r="A110" i="230" s="1"/>
  <c r="A111" i="230" s="1"/>
  <c r="A112" i="230" s="1"/>
  <c r="A113" i="230" s="1"/>
  <c r="A114" i="230" s="1"/>
  <c r="A115" i="230" s="1"/>
  <c r="A116" i="230" s="1"/>
  <c r="A117" i="230" s="1"/>
  <c r="A118" i="230" s="1"/>
  <c r="A119" i="230" s="1"/>
  <c r="A120" i="230" s="1"/>
  <c r="A121" i="230" s="1"/>
  <c r="A122" i="230" s="1"/>
  <c r="A123" i="230" s="1"/>
  <c r="A124" i="230" s="1"/>
  <c r="A125" i="230" s="1"/>
  <c r="A126" i="230" s="1"/>
  <c r="A127" i="230" s="1"/>
  <c r="A128" i="230" s="1"/>
  <c r="A129" i="230" s="1"/>
  <c r="A130" i="230" s="1"/>
  <c r="A131" i="230" s="1"/>
  <c r="A132" i="230" s="1"/>
  <c r="A133" i="230" s="1"/>
  <c r="A134" i="230" s="1"/>
  <c r="A135" i="230" s="1"/>
  <c r="A136" i="230" s="1"/>
  <c r="A137" i="230" s="1"/>
  <c r="A138" i="230" s="1"/>
  <c r="A139" i="230" s="1"/>
  <c r="A140" i="230" s="1"/>
  <c r="A141" i="230" s="1"/>
  <c r="A142" i="230" s="1"/>
  <c r="A143" i="230" s="1"/>
  <c r="A144" i="230" s="1"/>
  <c r="A145" i="230" s="1"/>
  <c r="A146" i="230" s="1"/>
  <c r="A147" i="230" s="1"/>
  <c r="A148" i="230" s="1"/>
  <c r="A149" i="230" s="1"/>
  <c r="A150" i="230" s="1"/>
  <c r="A151" i="230" s="1"/>
  <c r="A152" i="230" s="1"/>
  <c r="A153" i="230" s="1"/>
  <c r="A154" i="230" s="1"/>
  <c r="A155" i="230" s="1"/>
  <c r="A156" i="230" s="1"/>
  <c r="A157" i="230" s="1"/>
  <c r="A158" i="230" s="1"/>
  <c r="A159" i="230" s="1"/>
  <c r="A160" i="230" s="1"/>
  <c r="A161" i="230" s="1"/>
  <c r="A162" i="230" s="1"/>
  <c r="A163" i="230" s="1"/>
  <c r="A164" i="230" s="1"/>
  <c r="A165" i="230" s="1"/>
  <c r="A166" i="230" s="1"/>
  <c r="A167" i="230" s="1"/>
  <c r="A168" i="230" s="1"/>
  <c r="A169" i="230" s="1"/>
  <c r="A170" i="230" s="1"/>
  <c r="A171" i="230" s="1"/>
  <c r="A172" i="230" s="1"/>
  <c r="A173" i="230" s="1"/>
  <c r="A174" i="230" s="1"/>
  <c r="A175" i="230" s="1"/>
  <c r="A176" i="230" s="1"/>
  <c r="A177" i="230" s="1"/>
  <c r="A178" i="230" s="1"/>
  <c r="A179" i="230" s="1"/>
  <c r="A180" i="230" s="1"/>
  <c r="A181" i="230" s="1"/>
  <c r="A182" i="230" s="1"/>
  <c r="A183" i="230" s="1"/>
  <c r="A184" i="230" s="1"/>
  <c r="A185" i="230" s="1"/>
  <c r="A186" i="230" s="1"/>
  <c r="A187" i="230" s="1"/>
  <c r="A188" i="230" s="1"/>
  <c r="A189" i="230" s="1"/>
  <c r="A190" i="230" s="1"/>
  <c r="A191" i="230" s="1"/>
  <c r="A192" i="230" s="1"/>
  <c r="A193" i="230" s="1"/>
  <c r="A194" i="230" s="1"/>
  <c r="A195" i="230" s="1"/>
  <c r="A196" i="230" s="1"/>
  <c r="A197" i="230" s="1"/>
  <c r="A198" i="230" s="1"/>
  <c r="A199" i="230" s="1"/>
  <c r="A200" i="230" s="1"/>
  <c r="A201" i="230" s="1"/>
  <c r="A202" i="230" s="1"/>
  <c r="A203" i="230" s="1"/>
  <c r="A204" i="230" s="1"/>
  <c r="A205" i="230" s="1"/>
  <c r="A206" i="230" s="1"/>
  <c r="A207" i="230" s="1"/>
  <c r="A208" i="230" s="1"/>
  <c r="A209" i="230" s="1"/>
  <c r="A210" i="230" s="1"/>
  <c r="A211" i="230" s="1"/>
  <c r="A212" i="230" s="1"/>
  <c r="A213" i="230" s="1"/>
  <c r="A214" i="230" s="1"/>
  <c r="A215" i="230" s="1"/>
  <c r="A216" i="230" s="1"/>
  <c r="A217" i="230" s="1"/>
  <c r="A218" i="230" s="1"/>
  <c r="A219" i="230" s="1"/>
  <c r="A220" i="230" s="1"/>
  <c r="A221" i="230" s="1"/>
  <c r="A222" i="230" s="1"/>
  <c r="A223" i="230" s="1"/>
  <c r="A224" i="230" s="1"/>
  <c r="A225" i="230" s="1"/>
  <c r="A226" i="230" s="1"/>
  <c r="A227" i="230" s="1"/>
  <c r="A228" i="230" s="1"/>
  <c r="A229" i="230" s="1"/>
  <c r="A230" i="230" s="1"/>
  <c r="A231" i="230" s="1"/>
  <c r="A232" i="230" s="1"/>
  <c r="A233" i="230" s="1"/>
  <c r="A234" i="230" s="1"/>
  <c r="A235" i="230" s="1"/>
  <c r="A236" i="230" s="1"/>
  <c r="A237" i="230" s="1"/>
  <c r="A238" i="230" s="1"/>
  <c r="A239" i="230" s="1"/>
  <c r="A240" i="230" s="1"/>
  <c r="A241" i="230" s="1"/>
  <c r="A242" i="230" s="1"/>
  <c r="A243" i="230" s="1"/>
  <c r="A244" i="230" s="1"/>
  <c r="A245" i="230" s="1"/>
  <c r="A246" i="230" s="1"/>
  <c r="A247" i="230" s="1"/>
  <c r="A248" i="230" s="1"/>
  <c r="A249" i="230" s="1"/>
  <c r="A250" i="230" s="1"/>
  <c r="A251" i="230" s="1"/>
  <c r="A252" i="230" s="1"/>
  <c r="A253" i="230" s="1"/>
  <c r="A254" i="230" s="1"/>
  <c r="A255" i="230" s="1"/>
  <c r="A256" i="230" s="1"/>
  <c r="A257" i="230" s="1"/>
  <c r="A258" i="230" s="1"/>
  <c r="A259" i="230" s="1"/>
  <c r="A260" i="230" s="1"/>
  <c r="A261" i="230" s="1"/>
  <c r="A262" i="230" s="1"/>
  <c r="A263" i="230" s="1"/>
  <c r="A264" i="230" s="1"/>
  <c r="A265" i="230" s="1"/>
  <c r="A266" i="230" s="1"/>
  <c r="A267" i="230" s="1"/>
  <c r="A268" i="230" s="1"/>
  <c r="A269" i="230" s="1"/>
  <c r="A270" i="230" s="1"/>
  <c r="A271" i="230" s="1"/>
  <c r="A272" i="230" s="1"/>
  <c r="A273" i="230" s="1"/>
  <c r="A274" i="230" s="1"/>
  <c r="A275" i="230" s="1"/>
  <c r="A276" i="230" s="1"/>
  <c r="A277" i="230" s="1"/>
  <c r="A278" i="230" s="1"/>
  <c r="A279" i="230" s="1"/>
  <c r="A280" i="230" s="1"/>
  <c r="A281" i="230" s="1"/>
  <c r="A282" i="230" s="1"/>
  <c r="A283" i="230" s="1"/>
  <c r="A284" i="230" s="1"/>
  <c r="A285" i="230" s="1"/>
  <c r="A286" i="230" s="1"/>
  <c r="A287" i="230" s="1"/>
  <c r="A288" i="230" s="1"/>
  <c r="A289" i="230" s="1"/>
  <c r="A290" i="230" s="1"/>
  <c r="A291" i="230" s="1"/>
  <c r="A292" i="230" s="1"/>
  <c r="A293" i="230" s="1"/>
  <c r="A294" i="230" s="1"/>
  <c r="A295" i="230" s="1"/>
  <c r="A296" i="230" s="1"/>
  <c r="A297" i="230" s="1"/>
  <c r="A298" i="230" s="1"/>
  <c r="A299" i="230" s="1"/>
  <c r="A300" i="230" s="1"/>
  <c r="A301" i="230" s="1"/>
  <c r="A302" i="230" s="1"/>
  <c r="A32" i="229"/>
  <c r="A33" i="229" s="1"/>
  <c r="A34" i="229" s="1"/>
  <c r="A35" i="229" s="1"/>
  <c r="A36" i="229" s="1"/>
  <c r="A37" i="229" s="1"/>
  <c r="A38" i="229" s="1"/>
  <c r="A39" i="229" s="1"/>
  <c r="A40" i="229" s="1"/>
  <c r="A41" i="229" s="1"/>
  <c r="A42" i="229" s="1"/>
  <c r="A43" i="229" s="1"/>
  <c r="A44" i="229" s="1"/>
  <c r="A45" i="229" s="1"/>
  <c r="A46" i="229" s="1"/>
  <c r="A47" i="229" s="1"/>
  <c r="A48" i="229" s="1"/>
  <c r="A49" i="229" s="1"/>
  <c r="A50" i="229" s="1"/>
  <c r="A51" i="229" s="1"/>
  <c r="A52" i="229" s="1"/>
  <c r="A53" i="229" s="1"/>
  <c r="A54" i="229" s="1"/>
  <c r="A55" i="229" s="1"/>
  <c r="A56" i="229" s="1"/>
  <c r="A57" i="229" s="1"/>
  <c r="A58" i="229" s="1"/>
  <c r="A59" i="229" s="1"/>
  <c r="A60" i="229" s="1"/>
  <c r="A61" i="229" s="1"/>
  <c r="A62" i="229" s="1"/>
  <c r="A63" i="229" s="1"/>
  <c r="A64" i="229" s="1"/>
  <c r="A65" i="229" s="1"/>
  <c r="A66" i="229" s="1"/>
  <c r="A67" i="229" s="1"/>
  <c r="A68" i="229" s="1"/>
  <c r="A69" i="229" s="1"/>
  <c r="A70" i="229" s="1"/>
  <c r="A71" i="229" s="1"/>
  <c r="A72" i="229" s="1"/>
  <c r="A73" i="229" s="1"/>
  <c r="A74" i="229" s="1"/>
  <c r="A75" i="229" s="1"/>
  <c r="A76" i="229" s="1"/>
  <c r="A77" i="229" s="1"/>
  <c r="A78" i="229" s="1"/>
  <c r="A79" i="229" s="1"/>
  <c r="A80" i="229" s="1"/>
  <c r="A81" i="229" s="1"/>
  <c r="A82" i="229" s="1"/>
  <c r="A83" i="229" s="1"/>
  <c r="A84" i="229" s="1"/>
  <c r="A85" i="229" s="1"/>
  <c r="A86" i="229" s="1"/>
  <c r="A87" i="229" s="1"/>
  <c r="A88" i="229" s="1"/>
  <c r="A89" i="229" s="1"/>
  <c r="A90" i="229" s="1"/>
  <c r="A91" i="229" s="1"/>
  <c r="A92" i="229" s="1"/>
  <c r="A93" i="229" s="1"/>
  <c r="A94" i="229" s="1"/>
  <c r="A95" i="229" s="1"/>
  <c r="A96" i="229" s="1"/>
  <c r="A97" i="229" s="1"/>
  <c r="A98" i="229" s="1"/>
  <c r="A99" i="229" s="1"/>
  <c r="A100" i="229" s="1"/>
  <c r="A101" i="229" s="1"/>
  <c r="A102" i="229" s="1"/>
  <c r="A103" i="229" s="1"/>
  <c r="A104" i="229" s="1"/>
  <c r="A105" i="229" s="1"/>
  <c r="A106" i="229" s="1"/>
  <c r="A107" i="229" s="1"/>
  <c r="A108" i="229" s="1"/>
  <c r="A109" i="229" s="1"/>
  <c r="A110" i="229" s="1"/>
  <c r="A111" i="229" s="1"/>
  <c r="A112" i="229" s="1"/>
  <c r="A113" i="229" s="1"/>
  <c r="A114" i="229" s="1"/>
  <c r="A115" i="229" s="1"/>
  <c r="A116" i="229" s="1"/>
  <c r="A117" i="229" s="1"/>
  <c r="A118" i="229" s="1"/>
  <c r="A119" i="229" s="1"/>
  <c r="A120" i="229" s="1"/>
  <c r="A121" i="229" s="1"/>
  <c r="A122" i="229" s="1"/>
  <c r="A21" i="228"/>
  <c r="B30" i="235" l="1"/>
  <c r="B31" i="235" s="1"/>
  <c r="B32" i="235" s="1"/>
  <c r="B33" i="235" s="1"/>
  <c r="B34" i="235" s="1"/>
  <c r="B35" i="235" s="1"/>
  <c r="B36" i="235" s="1"/>
  <c r="B43" i="235" s="1"/>
  <c r="B44" i="235" s="1"/>
  <c r="B45" i="235" s="1"/>
  <c r="B46" i="235" s="1"/>
  <c r="B47" i="235" s="1"/>
  <c r="B48" i="235" s="1"/>
  <c r="B49" i="235" s="1"/>
  <c r="B50" i="235" s="1"/>
  <c r="B51" i="235" s="1"/>
  <c r="B54" i="235" s="1"/>
  <c r="U56" i="217"/>
  <c r="AD56" i="217" s="1"/>
  <c r="K13" i="234" s="1"/>
  <c r="P13" i="234" s="1"/>
  <c r="A35" i="231"/>
  <c r="A36" i="231" s="1"/>
  <c r="A37" i="231" s="1"/>
  <c r="A38" i="231" s="1"/>
  <c r="A39" i="231" s="1"/>
  <c r="A40" i="231" s="1"/>
  <c r="A41" i="231" s="1"/>
  <c r="A42" i="231" s="1"/>
  <c r="A43" i="231" s="1"/>
  <c r="A44" i="231" s="1"/>
  <c r="A45" i="231" s="1"/>
  <c r="A46" i="231" s="1"/>
  <c r="A47" i="231" s="1"/>
  <c r="A48" i="231" s="1"/>
  <c r="A49" i="231" s="1"/>
  <c r="A50" i="231" s="1"/>
  <c r="A51" i="231" s="1"/>
  <c r="A52" i="231" s="1"/>
  <c r="A53" i="231" s="1"/>
  <c r="A54" i="231" s="1"/>
  <c r="A55" i="231" s="1"/>
  <c r="A56" i="231" s="1"/>
  <c r="A57" i="231" s="1"/>
  <c r="A58" i="231" s="1"/>
  <c r="A59" i="231" s="1"/>
  <c r="A60" i="231" s="1"/>
  <c r="A61" i="231" s="1"/>
  <c r="A62" i="231" s="1"/>
  <c r="A63" i="231" s="1"/>
  <c r="A64" i="231" s="1"/>
  <c r="A65" i="231" s="1"/>
  <c r="A66" i="231" s="1"/>
  <c r="A67" i="231" s="1"/>
  <c r="A68" i="231" s="1"/>
  <c r="A69" i="231" s="1"/>
  <c r="A70" i="231" s="1"/>
  <c r="A71" i="231" s="1"/>
  <c r="A72" i="231" s="1"/>
  <c r="A73" i="231" s="1"/>
  <c r="A74" i="231" s="1"/>
  <c r="A75" i="231" s="1"/>
  <c r="A76" i="231" s="1"/>
  <c r="A77" i="231" s="1"/>
  <c r="A78" i="231" s="1"/>
  <c r="A79" i="231" s="1"/>
  <c r="A80" i="231" s="1"/>
  <c r="A81" i="231" s="1"/>
  <c r="A82" i="231" s="1"/>
  <c r="A83" i="231" s="1"/>
  <c r="A84" i="231" s="1"/>
  <c r="A85" i="231" s="1"/>
  <c r="A86" i="231" s="1"/>
  <c r="A87" i="231" s="1"/>
  <c r="A88" i="231" s="1"/>
  <c r="A89" i="231" s="1"/>
  <c r="A90" i="231" s="1"/>
  <c r="A91" i="231" s="1"/>
  <c r="A92" i="231" s="1"/>
  <c r="A93" i="231" s="1"/>
  <c r="A94" i="231" s="1"/>
  <c r="A95" i="231" s="1"/>
  <c r="A96" i="231" s="1"/>
  <c r="A97" i="231" s="1"/>
  <c r="A98" i="231" s="1"/>
  <c r="A99" i="231" s="1"/>
  <c r="A100" i="231" s="1"/>
  <c r="A101" i="231" s="1"/>
  <c r="A102" i="231" s="1"/>
  <c r="A103" i="231" s="1"/>
  <c r="A104" i="231" s="1"/>
  <c r="A105" i="231" s="1"/>
  <c r="A106" i="231" s="1"/>
  <c r="A107" i="231" s="1"/>
  <c r="A108" i="231" s="1"/>
  <c r="A109" i="231" s="1"/>
  <c r="A110" i="231" s="1"/>
  <c r="A111" i="231" s="1"/>
  <c r="A112" i="231" s="1"/>
  <c r="A113" i="231" s="1"/>
  <c r="A114" i="231" s="1"/>
  <c r="A115" i="231" s="1"/>
  <c r="A116" i="231" s="1"/>
  <c r="A117" i="231" s="1"/>
  <c r="A118" i="231" s="1"/>
  <c r="A119" i="231" s="1"/>
  <c r="A120" i="231" s="1"/>
  <c r="A121" i="231" s="1"/>
  <c r="A122" i="231" s="1"/>
  <c r="A22" i="228"/>
  <c r="A23" i="228" s="1"/>
  <c r="A24" i="228" s="1"/>
  <c r="A25" i="228" s="1"/>
  <c r="A26" i="228" s="1"/>
  <c r="A27" i="228" s="1"/>
  <c r="A28" i="228" s="1"/>
  <c r="A29" i="228" s="1"/>
  <c r="A30" i="228" s="1"/>
  <c r="A31" i="228" s="1"/>
  <c r="A32" i="228" s="1"/>
  <c r="A33" i="228" s="1"/>
  <c r="A34" i="228" s="1"/>
  <c r="A35" i="228" s="1"/>
  <c r="A36" i="228" s="1"/>
  <c r="A37" i="228" s="1"/>
  <c r="A38" i="228" s="1"/>
  <c r="A39" i="228" s="1"/>
  <c r="A40" i="228" s="1"/>
  <c r="A41" i="228" s="1"/>
  <c r="A42" i="228" s="1"/>
  <c r="A43" i="228" s="1"/>
  <c r="A44" i="228" s="1"/>
  <c r="A45" i="228" s="1"/>
  <c r="A46" i="228" s="1"/>
  <c r="A47" i="228" s="1"/>
  <c r="A48" i="228" s="1"/>
  <c r="A49" i="228" s="1"/>
  <c r="A50" i="228" s="1"/>
  <c r="A51" i="228" s="1"/>
  <c r="A52" i="228" s="1"/>
  <c r="A53" i="228" s="1"/>
  <c r="A54" i="228" s="1"/>
  <c r="A55" i="228" s="1"/>
  <c r="A56" i="228" s="1"/>
  <c r="A57" i="228" s="1"/>
  <c r="A58" i="228" s="1"/>
  <c r="A59" i="228" s="1"/>
  <c r="A60" i="228" s="1"/>
  <c r="A61" i="228" s="1"/>
  <c r="A62" i="228" s="1"/>
  <c r="A63" i="228" s="1"/>
  <c r="A64" i="228" s="1"/>
  <c r="A65" i="228" s="1"/>
  <c r="A66" i="228" s="1"/>
  <c r="A67" i="228" s="1"/>
  <c r="A68" i="228" s="1"/>
  <c r="A69" i="228" s="1"/>
  <c r="A70" i="228" s="1"/>
  <c r="A71" i="228" s="1"/>
  <c r="A72" i="228" s="1"/>
  <c r="A73" i="228" s="1"/>
  <c r="A74" i="228" s="1"/>
  <c r="A75" i="228" s="1"/>
  <c r="A76" i="228" s="1"/>
  <c r="A77" i="228" s="1"/>
  <c r="A78" i="228" s="1"/>
  <c r="A79" i="228" s="1"/>
  <c r="A80" i="228" s="1"/>
  <c r="A81" i="228" s="1"/>
  <c r="A82" i="228" s="1"/>
  <c r="A83" i="228" s="1"/>
  <c r="A84" i="228" s="1"/>
  <c r="A85" i="228" s="1"/>
  <c r="A86" i="228" s="1"/>
  <c r="A87" i="228" s="1"/>
  <c r="A88" i="228" s="1"/>
  <c r="A89" i="228" s="1"/>
  <c r="A90" i="228" s="1"/>
  <c r="A91" i="228" s="1"/>
  <c r="A92" i="228" s="1"/>
  <c r="A93" i="228" s="1"/>
  <c r="A94" i="228" s="1"/>
  <c r="A95" i="228" s="1"/>
  <c r="A96" i="228" s="1"/>
  <c r="A97" i="228" s="1"/>
  <c r="A98" i="228" s="1"/>
  <c r="A99" i="228" s="1"/>
  <c r="A100" i="228" s="1"/>
  <c r="A101" i="228" s="1"/>
  <c r="A102" i="228" s="1"/>
  <c r="A103" i="228" s="1"/>
  <c r="A104" i="228" s="1"/>
  <c r="A105" i="228" s="1"/>
  <c r="A106" i="228" s="1"/>
  <c r="A107" i="228" s="1"/>
  <c r="A108" i="228" s="1"/>
  <c r="A109" i="228" s="1"/>
  <c r="A110" i="228" s="1"/>
  <c r="A111" i="228" s="1"/>
  <c r="A112" i="228" s="1"/>
  <c r="A113" i="228" s="1"/>
  <c r="A114" i="228" s="1"/>
  <c r="A115" i="228" s="1"/>
  <c r="A116" i="228" s="1"/>
  <c r="A117" i="228" s="1"/>
  <c r="A118" i="228" s="1"/>
  <c r="A119" i="228" s="1"/>
  <c r="A120" i="228" s="1"/>
  <c r="A121" i="228" s="1"/>
  <c r="A122" i="228" s="1"/>
  <c r="A123" i="228" s="1"/>
  <c r="A124" i="228" s="1"/>
  <c r="A125" i="228" s="1"/>
  <c r="A126" i="228" s="1"/>
  <c r="A127" i="228" s="1"/>
  <c r="A128" i="228" s="1"/>
  <c r="A129" i="228" s="1"/>
  <c r="A130" i="228" s="1"/>
  <c r="A131" i="228" s="1"/>
  <c r="A132" i="228" s="1"/>
  <c r="A133" i="228" s="1"/>
  <c r="A134" i="228" s="1"/>
  <c r="A135" i="228" s="1"/>
  <c r="A136" i="228" s="1"/>
  <c r="A137" i="228" s="1"/>
  <c r="A138" i="228" s="1"/>
  <c r="A139" i="228" s="1"/>
  <c r="A140" i="228" s="1"/>
  <c r="A141" i="228" s="1"/>
  <c r="A142" i="228" s="1"/>
  <c r="A143" i="228" s="1"/>
  <c r="A144" i="228" s="1"/>
  <c r="A145" i="228" s="1"/>
  <c r="A146" i="228" s="1"/>
  <c r="A147" i="228" s="1"/>
  <c r="A148" i="228" s="1"/>
  <c r="A149" i="228" s="1"/>
  <c r="A150" i="228" s="1"/>
  <c r="A151" i="228" s="1"/>
  <c r="A152" i="228" s="1"/>
  <c r="A153" i="228" s="1"/>
  <c r="A154" i="228" s="1"/>
  <c r="A155" i="228" s="1"/>
  <c r="A156" i="228" s="1"/>
  <c r="A157" i="228" s="1"/>
  <c r="A158" i="228" s="1"/>
  <c r="A159" i="228" s="1"/>
  <c r="A160" i="228" s="1"/>
  <c r="A161" i="228" s="1"/>
  <c r="A162" i="228" s="1"/>
  <c r="A163" i="228" s="1"/>
  <c r="A164" i="228" s="1"/>
  <c r="A165" i="228" s="1"/>
  <c r="A166" i="228" s="1"/>
  <c r="A167" i="228" s="1"/>
  <c r="A168" i="228" s="1"/>
  <c r="A169" i="228" s="1"/>
  <c r="A170" i="228" s="1"/>
  <c r="A171" i="228" s="1"/>
  <c r="A172" i="228" s="1"/>
  <c r="A173" i="228" s="1"/>
  <c r="A174" i="228" s="1"/>
  <c r="A175" i="228" s="1"/>
  <c r="A176" i="228" s="1"/>
  <c r="A177" i="228" s="1"/>
  <c r="A178" i="228" s="1"/>
  <c r="A179" i="228" s="1"/>
  <c r="A180" i="228" s="1"/>
  <c r="A181" i="228" s="1"/>
  <c r="A182" i="228" s="1"/>
  <c r="A183" i="228" s="1"/>
  <c r="A184" i="228" s="1"/>
  <c r="A185" i="228" s="1"/>
  <c r="A186" i="228" s="1"/>
  <c r="A187" i="228" s="1"/>
  <c r="A188" i="228" s="1"/>
  <c r="A189" i="228" s="1"/>
  <c r="A190" i="228" s="1"/>
  <c r="A191" i="228" s="1"/>
  <c r="A192" i="228" s="1"/>
  <c r="A193" i="228" s="1"/>
  <c r="A194" i="228" s="1"/>
  <c r="A195" i="228" s="1"/>
  <c r="A196" i="228" s="1"/>
  <c r="A197" i="228" s="1"/>
  <c r="A198" i="228" s="1"/>
  <c r="A199" i="228" s="1"/>
  <c r="A200" i="228" s="1"/>
  <c r="A201" i="228" s="1"/>
  <c r="A202" i="228" s="1"/>
  <c r="A203" i="228" s="1"/>
  <c r="A204" i="228" s="1"/>
  <c r="A205" i="228" s="1"/>
  <c r="A206" i="228" s="1"/>
  <c r="A207" i="228" s="1"/>
  <c r="A208" i="228" s="1"/>
  <c r="A209" i="228" s="1"/>
  <c r="A210" i="228" s="1"/>
  <c r="A211" i="228" s="1"/>
  <c r="A212" i="228" s="1"/>
  <c r="A213" i="228" s="1"/>
  <c r="A214" i="228" s="1"/>
  <c r="A215" i="228" s="1"/>
  <c r="A216" i="228" s="1"/>
  <c r="A217" i="228" s="1"/>
  <c r="A218" i="228" s="1"/>
  <c r="A219" i="228" s="1"/>
  <c r="A220" i="228" s="1"/>
  <c r="A221" i="228" s="1"/>
  <c r="A222" i="228" s="1"/>
  <c r="A223" i="228" s="1"/>
  <c r="A224" i="228" s="1"/>
  <c r="A225" i="228" s="1"/>
  <c r="A226" i="228" s="1"/>
  <c r="A227" i="228" s="1"/>
  <c r="A228" i="228" s="1"/>
  <c r="A229" i="228" s="1"/>
  <c r="A230" i="228" s="1"/>
  <c r="A231" i="228" s="1"/>
  <c r="A232" i="228" s="1"/>
  <c r="A233" i="228" s="1"/>
  <c r="A234" i="228" s="1"/>
  <c r="A235" i="228" s="1"/>
  <c r="A236" i="228" s="1"/>
  <c r="A237" i="228" s="1"/>
  <c r="A238" i="228" s="1"/>
  <c r="A239" i="228" s="1"/>
  <c r="A240" i="228" s="1"/>
  <c r="A241" i="228" s="1"/>
  <c r="A242" i="228" s="1"/>
  <c r="A243" i="228" s="1"/>
  <c r="A244" i="228" s="1"/>
  <c r="A245" i="228" s="1"/>
  <c r="A246" i="228" s="1"/>
  <c r="A247" i="228" s="1"/>
  <c r="A248" i="228" s="1"/>
  <c r="A249" i="228" s="1"/>
  <c r="A250" i="228" s="1"/>
  <c r="A251" i="228" s="1"/>
  <c r="A252" i="228" s="1"/>
  <c r="A253" i="228" s="1"/>
  <c r="A254" i="228" s="1"/>
  <c r="A255" i="228" s="1"/>
  <c r="A256" i="228" s="1"/>
  <c r="A257" i="228" s="1"/>
  <c r="A258" i="228" s="1"/>
  <c r="A259" i="228" s="1"/>
  <c r="A260" i="228" s="1"/>
  <c r="A261" i="228" s="1"/>
  <c r="A262" i="228" s="1"/>
  <c r="A263" i="228" s="1"/>
  <c r="A264" i="228" s="1"/>
  <c r="A265" i="228" s="1"/>
  <c r="A266" i="228" s="1"/>
  <c r="A267" i="228" s="1"/>
  <c r="A268" i="228" s="1"/>
  <c r="A269" i="228" s="1"/>
  <c r="A270" i="228" s="1"/>
  <c r="A271" i="228" s="1"/>
  <c r="A272" i="228" s="1"/>
  <c r="A273" i="228" s="1"/>
  <c r="A274" i="228" s="1"/>
  <c r="A275" i="228" s="1"/>
  <c r="A276" i="228" s="1"/>
  <c r="A277" i="228" s="1"/>
  <c r="A278" i="228" s="1"/>
  <c r="A279" i="228" s="1"/>
  <c r="A280" i="228" s="1"/>
  <c r="A281" i="228" s="1"/>
  <c r="A282" i="228" s="1"/>
  <c r="A283" i="228" s="1"/>
  <c r="A284" i="228" s="1"/>
  <c r="A285" i="228" s="1"/>
  <c r="A286" i="228" s="1"/>
  <c r="A287" i="228" s="1"/>
  <c r="A288" i="228" s="1"/>
  <c r="A289" i="228" s="1"/>
  <c r="A290" i="228" s="1"/>
  <c r="A291" i="228" s="1"/>
  <c r="A292" i="228" s="1"/>
  <c r="A293" i="228" s="1"/>
  <c r="A294" i="228" s="1"/>
  <c r="A295" i="228" s="1"/>
  <c r="A296" i="228" s="1"/>
  <c r="A297" i="228" s="1"/>
  <c r="A298" i="228" s="1"/>
  <c r="A299" i="228" s="1"/>
  <c r="A300" i="228" s="1"/>
  <c r="A301" i="228" s="1"/>
  <c r="A302" i="228" s="1"/>
  <c r="H10" i="226" l="1"/>
  <c r="I10" i="226"/>
  <c r="D9" i="226"/>
  <c r="E10" i="226"/>
  <c r="F10" i="226"/>
  <c r="G10" i="226"/>
  <c r="Q27" i="226" a="1"/>
  <c r="Q27" i="226" s="1"/>
  <c r="D7" i="226" l="1"/>
  <c r="S34" i="226" s="1"/>
  <c r="K10" i="226"/>
  <c r="K13" i="226" s="1"/>
  <c r="K16" i="226" s="1"/>
  <c r="J10" i="226"/>
  <c r="D10" i="226" l="1"/>
  <c r="E12" i="226"/>
  <c r="S27" i="226" s="1"/>
  <c r="G15" i="226"/>
  <c r="F12" i="226"/>
  <c r="S28" i="226" s="1"/>
  <c r="H15" i="226"/>
  <c r="G12" i="226"/>
  <c r="S29" i="226" s="1"/>
  <c r="I15" i="226"/>
  <c r="H12" i="226"/>
  <c r="S30" i="226" s="1"/>
  <c r="J15" i="226"/>
  <c r="E15" i="226"/>
  <c r="F15" i="226"/>
  <c r="I12" i="226"/>
  <c r="S31" i="226" s="1"/>
  <c r="J12" i="226"/>
  <c r="S32" i="226" s="1"/>
  <c r="H13" i="226" l="1"/>
  <c r="H16" i="226" s="1"/>
  <c r="G13" i="226"/>
  <c r="T29" i="226" s="1"/>
  <c r="J13" i="226"/>
  <c r="J16" i="226" s="1"/>
  <c r="F13" i="226"/>
  <c r="F16" i="226" s="1"/>
  <c r="E13" i="226"/>
  <c r="E16" i="226" s="1"/>
  <c r="I13" i="226"/>
  <c r="I16" i="226" s="1"/>
  <c r="T32" i="226" l="1"/>
  <c r="T28" i="226"/>
  <c r="T27" i="226"/>
  <c r="G16" i="226"/>
  <c r="T30" i="226"/>
  <c r="T31" i="226"/>
  <c r="D16" i="226"/>
  <c r="D13" i="226"/>
  <c r="T34" i="226" s="1"/>
  <c r="C45" i="223" l="1"/>
  <c r="F46" i="215" l="1"/>
  <c r="I43" i="215"/>
  <c r="I42" i="215"/>
  <c r="I41" i="215"/>
  <c r="I40" i="215"/>
  <c r="I39" i="215"/>
  <c r="I38" i="215"/>
  <c r="I37" i="215"/>
  <c r="I36" i="215"/>
  <c r="I35" i="215"/>
  <c r="I35" i="215" a="1"/>
  <c r="E43" i="215"/>
  <c r="E42" i="215"/>
  <c r="E41" i="215"/>
  <c r="E40" i="215"/>
  <c r="E39" i="215"/>
  <c r="E38" i="215"/>
  <c r="E37" i="215"/>
  <c r="E36" i="215"/>
  <c r="E35" i="215"/>
  <c r="E35" i="215" a="1"/>
  <c r="C43" i="215"/>
  <c r="C42" i="215"/>
  <c r="C41" i="215"/>
  <c r="C40" i="215"/>
  <c r="C39" i="215"/>
  <c r="C38" i="215"/>
  <c r="C37" i="215"/>
  <c r="C36" i="215"/>
  <c r="C35" i="215"/>
  <c r="C35" i="215" a="1"/>
  <c r="G29" i="215"/>
  <c r="E27" i="215"/>
  <c r="E26" i="215"/>
  <c r="E25" i="215"/>
  <c r="E24" i="215"/>
  <c r="E23" i="215"/>
  <c r="E22" i="215"/>
  <c r="E21" i="215"/>
  <c r="E20" i="215"/>
  <c r="E19" i="215"/>
  <c r="E18" i="215"/>
  <c r="E17" i="215"/>
  <c r="E17" i="215" a="1"/>
  <c r="C27" i="215"/>
  <c r="C26" i="215"/>
  <c r="C25" i="215"/>
  <c r="C24" i="215"/>
  <c r="C23" i="215"/>
  <c r="C22" i="215"/>
  <c r="C21" i="215"/>
  <c r="C20" i="215"/>
  <c r="C19" i="215"/>
  <c r="C18" i="215"/>
  <c r="C17" i="215"/>
  <c r="C17" i="215" a="1"/>
  <c r="I27" i="215"/>
  <c r="I26" i="215"/>
  <c r="I25" i="215"/>
  <c r="I24" i="215"/>
  <c r="I23" i="215"/>
  <c r="I22" i="215"/>
  <c r="I21" i="215"/>
  <c r="I20" i="215"/>
  <c r="I19" i="215"/>
  <c r="I18" i="215"/>
  <c r="I17" i="215"/>
  <c r="I16" i="215"/>
  <c r="I16" i="215" a="1"/>
  <c r="G27" i="215"/>
  <c r="G26" i="215"/>
  <c r="G25" i="215"/>
  <c r="G24" i="215"/>
  <c r="G23" i="215"/>
  <c r="G22" i="215"/>
  <c r="G21" i="215"/>
  <c r="G20" i="215"/>
  <c r="G19" i="215"/>
  <c r="G18" i="215"/>
  <c r="G17" i="215"/>
  <c r="G16" i="215"/>
  <c r="G16" i="215" a="1"/>
  <c r="A4" i="215"/>
  <c r="A3" i="215"/>
  <c r="A2" i="215"/>
  <c r="A1" i="215"/>
  <c r="E370" i="214"/>
  <c r="Z369" i="214"/>
  <c r="Y369" i="214"/>
  <c r="W369" i="214"/>
  <c r="V369" i="214"/>
  <c r="U369" i="214"/>
  <c r="T369" i="214"/>
  <c r="S369" i="214"/>
  <c r="R369" i="214"/>
  <c r="Q369" i="214"/>
  <c r="P369" i="214"/>
  <c r="O369" i="214"/>
  <c r="N369" i="214"/>
  <c r="M369" i="214"/>
  <c r="L369" i="214"/>
  <c r="K369" i="214"/>
  <c r="J369" i="214"/>
  <c r="I369" i="214"/>
  <c r="H369" i="214"/>
  <c r="G369" i="214"/>
  <c r="F369" i="214"/>
  <c r="Z368" i="214"/>
  <c r="Y368" i="214"/>
  <c r="W368" i="214"/>
  <c r="V368" i="214"/>
  <c r="U368" i="214"/>
  <c r="T368" i="214"/>
  <c r="S368" i="214"/>
  <c r="O368" i="214"/>
  <c r="N368" i="214"/>
  <c r="M368" i="214"/>
  <c r="L368" i="214"/>
  <c r="K368" i="214"/>
  <c r="J368" i="214"/>
  <c r="AD366" i="214"/>
  <c r="Z366" i="214"/>
  <c r="Y366" i="214"/>
  <c r="W366" i="214"/>
  <c r="V366" i="214"/>
  <c r="U366" i="214"/>
  <c r="T366" i="214"/>
  <c r="S366" i="214"/>
  <c r="R366" i="214"/>
  <c r="Q366" i="214"/>
  <c r="P366" i="214"/>
  <c r="O366" i="214"/>
  <c r="N366" i="214"/>
  <c r="M366" i="214"/>
  <c r="L366" i="214"/>
  <c r="K366" i="214"/>
  <c r="J366" i="214"/>
  <c r="I366" i="214"/>
  <c r="H366" i="214"/>
  <c r="G366" i="214"/>
  <c r="F366" i="214"/>
  <c r="E366" i="214"/>
  <c r="AD365" i="214"/>
  <c r="Z365" i="214"/>
  <c r="Y365" i="214"/>
  <c r="W365" i="214"/>
  <c r="V365" i="214"/>
  <c r="U365" i="214"/>
  <c r="T365" i="214"/>
  <c r="S365" i="214"/>
  <c r="R365" i="214"/>
  <c r="Q365" i="214"/>
  <c r="P365" i="214"/>
  <c r="O365" i="214"/>
  <c r="N365" i="214"/>
  <c r="M365" i="214"/>
  <c r="L365" i="214"/>
  <c r="K365" i="214"/>
  <c r="J365" i="214"/>
  <c r="I365" i="214"/>
  <c r="H365" i="214"/>
  <c r="G365" i="214"/>
  <c r="F365" i="214"/>
  <c r="E365" i="214"/>
  <c r="Q364" i="214"/>
  <c r="E364" i="214"/>
  <c r="AE363" i="214"/>
  <c r="AD363" i="214"/>
  <c r="AC363" i="214"/>
  <c r="AB363" i="214"/>
  <c r="AA363" i="214"/>
  <c r="Z363" i="214"/>
  <c r="Y363" i="214"/>
  <c r="X363" i="214"/>
  <c r="W363" i="214"/>
  <c r="V363" i="214"/>
  <c r="U363" i="214"/>
  <c r="T363" i="214"/>
  <c r="S363" i="214"/>
  <c r="R363" i="214"/>
  <c r="Q363" i="214"/>
  <c r="P363" i="214"/>
  <c r="O363" i="214"/>
  <c r="N363" i="214"/>
  <c r="M363" i="214"/>
  <c r="L363" i="214"/>
  <c r="K363" i="214"/>
  <c r="J363" i="214"/>
  <c r="I363" i="214"/>
  <c r="H363" i="214"/>
  <c r="G363" i="214"/>
  <c r="F363" i="214"/>
  <c r="E363" i="214"/>
  <c r="AE361" i="214"/>
  <c r="AC361" i="214"/>
  <c r="AB361" i="214"/>
  <c r="AA361" i="214"/>
  <c r="Q361" i="214"/>
  <c r="H361" i="214"/>
  <c r="E361" i="214"/>
  <c r="AE359" i="214"/>
  <c r="AC359" i="214"/>
  <c r="AB359" i="214"/>
  <c r="AA359" i="214"/>
  <c r="Q359" i="214"/>
  <c r="H359" i="214"/>
  <c r="E359" i="214"/>
  <c r="AE358" i="214"/>
  <c r="AC358" i="214"/>
  <c r="AB358" i="214"/>
  <c r="AA358" i="214"/>
  <c r="Q358" i="214"/>
  <c r="H358" i="214"/>
  <c r="E358" i="214"/>
  <c r="AE355" i="214"/>
  <c r="AD355" i="214"/>
  <c r="AC355" i="214"/>
  <c r="AB355" i="214"/>
  <c r="AA355" i="214"/>
  <c r="Z355" i="214"/>
  <c r="Y355" i="214"/>
  <c r="X355" i="214"/>
  <c r="W355" i="214"/>
  <c r="V355" i="214"/>
  <c r="U355" i="214"/>
  <c r="T355" i="214"/>
  <c r="S355" i="214"/>
  <c r="R355" i="214"/>
  <c r="Q355" i="214"/>
  <c r="P355" i="214"/>
  <c r="O355" i="214"/>
  <c r="N355" i="214"/>
  <c r="M355" i="214"/>
  <c r="L355" i="214"/>
  <c r="K355" i="214"/>
  <c r="J355" i="214"/>
  <c r="I355" i="214"/>
  <c r="H355" i="214"/>
  <c r="G355" i="214"/>
  <c r="F355" i="214"/>
  <c r="E355" i="214"/>
  <c r="AE353" i="214"/>
  <c r="AD353" i="214"/>
  <c r="AC353" i="214"/>
  <c r="AB353" i="214"/>
  <c r="AA353" i="214"/>
  <c r="Z353" i="214"/>
  <c r="Y353" i="214"/>
  <c r="X353" i="214"/>
  <c r="W353" i="214"/>
  <c r="V353" i="214"/>
  <c r="U353" i="214"/>
  <c r="T353" i="214"/>
  <c r="S353" i="214"/>
  <c r="R353" i="214"/>
  <c r="Q353" i="214"/>
  <c r="P353" i="214"/>
  <c r="O353" i="214"/>
  <c r="N353" i="214"/>
  <c r="M353" i="214"/>
  <c r="L353" i="214"/>
  <c r="K353" i="214"/>
  <c r="J353" i="214"/>
  <c r="I353" i="214"/>
  <c r="H353" i="214"/>
  <c r="G353" i="214"/>
  <c r="F353" i="214"/>
  <c r="E353" i="214"/>
  <c r="AE347" i="214"/>
  <c r="AD347" i="214"/>
  <c r="AC347" i="214"/>
  <c r="AB347" i="214"/>
  <c r="AA347" i="214"/>
  <c r="Z347" i="214"/>
  <c r="Y347" i="214"/>
  <c r="X347" i="214"/>
  <c r="W347" i="214"/>
  <c r="V347" i="214"/>
  <c r="U347" i="214"/>
  <c r="T347" i="214"/>
  <c r="S347" i="214"/>
  <c r="R347" i="214"/>
  <c r="Q347" i="214"/>
  <c r="P347" i="214"/>
  <c r="O347" i="214"/>
  <c r="N347" i="214"/>
  <c r="M347" i="214"/>
  <c r="L347" i="214"/>
  <c r="K347" i="214"/>
  <c r="J347" i="214"/>
  <c r="I347" i="214"/>
  <c r="H347" i="214"/>
  <c r="G347" i="214"/>
  <c r="F347" i="214"/>
  <c r="E347" i="214"/>
  <c r="AE346" i="214"/>
  <c r="AC346" i="214"/>
  <c r="AB346" i="214"/>
  <c r="AA346" i="214"/>
  <c r="Q346" i="214"/>
  <c r="H346" i="214"/>
  <c r="E346" i="214"/>
  <c r="AE343" i="214"/>
  <c r="AD343" i="214"/>
  <c r="AC343" i="214"/>
  <c r="AB343" i="214"/>
  <c r="AA343" i="214"/>
  <c r="Z343" i="214"/>
  <c r="Y343" i="214"/>
  <c r="X343" i="214"/>
  <c r="W343" i="214"/>
  <c r="V343" i="214"/>
  <c r="U343" i="214"/>
  <c r="T343" i="214"/>
  <c r="S343" i="214"/>
  <c r="R343" i="214"/>
  <c r="Q343" i="214"/>
  <c r="P343" i="214"/>
  <c r="O343" i="214"/>
  <c r="N343" i="214"/>
  <c r="M343" i="214"/>
  <c r="L343" i="214"/>
  <c r="K343" i="214"/>
  <c r="J343" i="214"/>
  <c r="I343" i="214"/>
  <c r="H343" i="214"/>
  <c r="G343" i="214"/>
  <c r="F343" i="214"/>
  <c r="E343" i="214"/>
  <c r="AE342" i="214"/>
  <c r="AD342" i="214"/>
  <c r="AC342" i="214"/>
  <c r="AB342" i="214"/>
  <c r="AA342" i="214"/>
  <c r="Z342" i="214"/>
  <c r="Y342" i="214"/>
  <c r="X342" i="214"/>
  <c r="W342" i="214"/>
  <c r="V342" i="214"/>
  <c r="U342" i="214"/>
  <c r="T342" i="214"/>
  <c r="S342" i="214"/>
  <c r="R342" i="214"/>
  <c r="Q342" i="214"/>
  <c r="P342" i="214"/>
  <c r="O342" i="214"/>
  <c r="N342" i="214"/>
  <c r="M342" i="214"/>
  <c r="L342" i="214"/>
  <c r="K342" i="214"/>
  <c r="J342" i="214"/>
  <c r="I342" i="214"/>
  <c r="H342" i="214"/>
  <c r="G342" i="214"/>
  <c r="F342" i="214"/>
  <c r="E342" i="214"/>
  <c r="AE340" i="214"/>
  <c r="AD340" i="214"/>
  <c r="AC340" i="214"/>
  <c r="AB340" i="214"/>
  <c r="AA340" i="214"/>
  <c r="Z340" i="214"/>
  <c r="Y340" i="214"/>
  <c r="X340" i="214"/>
  <c r="W340" i="214"/>
  <c r="V340" i="214"/>
  <c r="U340" i="214"/>
  <c r="T340" i="214"/>
  <c r="S340" i="214"/>
  <c r="R340" i="214"/>
  <c r="Q340" i="214"/>
  <c r="P340" i="214"/>
  <c r="O340" i="214"/>
  <c r="N340" i="214"/>
  <c r="M340" i="214"/>
  <c r="L340" i="214"/>
  <c r="K340" i="214"/>
  <c r="J340" i="214"/>
  <c r="I340" i="214"/>
  <c r="H340" i="214"/>
  <c r="G340" i="214"/>
  <c r="F340" i="214"/>
  <c r="E340" i="214"/>
  <c r="AE339" i="214"/>
  <c r="AD339" i="214"/>
  <c r="AC339" i="214"/>
  <c r="AB339" i="214"/>
  <c r="AA339" i="214"/>
  <c r="Z339" i="214"/>
  <c r="Y339" i="214"/>
  <c r="X339" i="214"/>
  <c r="W339" i="214"/>
  <c r="V339" i="214"/>
  <c r="U339" i="214"/>
  <c r="T339" i="214"/>
  <c r="S339" i="214"/>
  <c r="R339" i="214"/>
  <c r="Q339" i="214"/>
  <c r="P339" i="214"/>
  <c r="O339" i="214"/>
  <c r="N339" i="214"/>
  <c r="M339" i="214"/>
  <c r="L339" i="214"/>
  <c r="K339" i="214"/>
  <c r="J339" i="214"/>
  <c r="I339" i="214"/>
  <c r="H339" i="214"/>
  <c r="G339" i="214"/>
  <c r="F339" i="214"/>
  <c r="E339" i="214"/>
  <c r="AE334" i="214"/>
  <c r="AD334" i="214"/>
  <c r="AC334" i="214"/>
  <c r="AB334" i="214"/>
  <c r="AA334" i="214"/>
  <c r="Z334" i="214"/>
  <c r="Y334" i="214"/>
  <c r="X334" i="214"/>
  <c r="W334" i="214"/>
  <c r="V334" i="214"/>
  <c r="U334" i="214"/>
  <c r="T334" i="214"/>
  <c r="S334" i="214"/>
  <c r="R334" i="214"/>
  <c r="Q334" i="214"/>
  <c r="P334" i="214"/>
  <c r="O334" i="214"/>
  <c r="N334" i="214"/>
  <c r="M334" i="214"/>
  <c r="L334" i="214"/>
  <c r="K334" i="214"/>
  <c r="J334" i="214"/>
  <c r="I334" i="214"/>
  <c r="H334" i="214"/>
  <c r="G334" i="214"/>
  <c r="F334" i="214"/>
  <c r="E334" i="214"/>
  <c r="AE332" i="214"/>
  <c r="AD332" i="214"/>
  <c r="AC332" i="214"/>
  <c r="AB332" i="214"/>
  <c r="AA332" i="214"/>
  <c r="Z332" i="214"/>
  <c r="Y332" i="214"/>
  <c r="X332" i="214"/>
  <c r="W332" i="214"/>
  <c r="V332" i="214"/>
  <c r="U332" i="214"/>
  <c r="T332" i="214"/>
  <c r="S332" i="214"/>
  <c r="R332" i="214"/>
  <c r="Q332" i="214"/>
  <c r="P332" i="214"/>
  <c r="O332" i="214"/>
  <c r="N332" i="214"/>
  <c r="M332" i="214"/>
  <c r="L332" i="214"/>
  <c r="K332" i="214"/>
  <c r="J332" i="214"/>
  <c r="I332" i="214"/>
  <c r="H332" i="214"/>
  <c r="G332" i="214"/>
  <c r="F332" i="214"/>
  <c r="E332" i="214"/>
  <c r="AE330" i="214"/>
  <c r="AD330" i="214"/>
  <c r="AC330" i="214"/>
  <c r="AB330" i="214"/>
  <c r="AA330" i="214"/>
  <c r="Z330" i="214"/>
  <c r="Y330" i="214"/>
  <c r="X330" i="214"/>
  <c r="W330" i="214"/>
  <c r="V330" i="214"/>
  <c r="U330" i="214"/>
  <c r="T330" i="214"/>
  <c r="S330" i="214"/>
  <c r="R330" i="214"/>
  <c r="Q330" i="214"/>
  <c r="P330" i="214"/>
  <c r="O330" i="214"/>
  <c r="N330" i="214"/>
  <c r="M330" i="214"/>
  <c r="L330" i="214"/>
  <c r="K330" i="214"/>
  <c r="J330" i="214"/>
  <c r="I330" i="214"/>
  <c r="H330" i="214"/>
  <c r="G330" i="214"/>
  <c r="F330" i="214"/>
  <c r="E330" i="214"/>
  <c r="AE325" i="214"/>
  <c r="AC325" i="214"/>
  <c r="AB325" i="214"/>
  <c r="AA325" i="214"/>
  <c r="Q325" i="214"/>
  <c r="H325" i="214"/>
  <c r="E325" i="214"/>
  <c r="AE324" i="214"/>
  <c r="AD324" i="214"/>
  <c r="AC324" i="214"/>
  <c r="AB324" i="214"/>
  <c r="AA324" i="214"/>
  <c r="Z324" i="214"/>
  <c r="Y324" i="214"/>
  <c r="X324" i="214"/>
  <c r="W324" i="214"/>
  <c r="V324" i="214"/>
  <c r="U324" i="214"/>
  <c r="T324" i="214"/>
  <c r="S324" i="214"/>
  <c r="R324" i="214"/>
  <c r="Q324" i="214"/>
  <c r="P324" i="214"/>
  <c r="O324" i="214"/>
  <c r="N324" i="214"/>
  <c r="M324" i="214"/>
  <c r="L324" i="214"/>
  <c r="K324" i="214"/>
  <c r="J324" i="214"/>
  <c r="I324" i="214"/>
  <c r="H324" i="214"/>
  <c r="G324" i="214"/>
  <c r="F324" i="214"/>
  <c r="E324" i="214"/>
  <c r="AE323" i="214"/>
  <c r="AC323" i="214"/>
  <c r="AB323" i="214"/>
  <c r="AA323" i="214"/>
  <c r="Q323" i="214"/>
  <c r="H323" i="214"/>
  <c r="E323" i="214"/>
  <c r="AE322" i="214"/>
  <c r="AC322" i="214"/>
  <c r="AB322" i="214"/>
  <c r="AA322" i="214"/>
  <c r="Q322" i="214"/>
  <c r="H322" i="214"/>
  <c r="E322" i="214"/>
  <c r="AE321" i="214"/>
  <c r="AC321" i="214"/>
  <c r="AB321" i="214"/>
  <c r="AA321" i="214"/>
  <c r="Q321" i="214"/>
  <c r="H321" i="214"/>
  <c r="E321" i="214"/>
  <c r="AE319" i="214"/>
  <c r="AC319" i="214"/>
  <c r="AB319" i="214"/>
  <c r="AA319" i="214"/>
  <c r="Q319" i="214"/>
  <c r="H319" i="214"/>
  <c r="E319" i="214"/>
  <c r="AE318" i="214"/>
  <c r="AD318" i="214"/>
  <c r="AC318" i="214"/>
  <c r="AB318" i="214"/>
  <c r="AA318" i="214"/>
  <c r="Z318" i="214"/>
  <c r="Y318" i="214"/>
  <c r="X318" i="214"/>
  <c r="W318" i="214"/>
  <c r="V318" i="214"/>
  <c r="U318" i="214"/>
  <c r="T318" i="214"/>
  <c r="S318" i="214"/>
  <c r="R318" i="214"/>
  <c r="Q318" i="214"/>
  <c r="P318" i="214"/>
  <c r="O318" i="214"/>
  <c r="N318" i="214"/>
  <c r="M318" i="214"/>
  <c r="L318" i="214"/>
  <c r="K318" i="214"/>
  <c r="J318" i="214"/>
  <c r="I318" i="214"/>
  <c r="H318" i="214"/>
  <c r="G318" i="214"/>
  <c r="F318" i="214"/>
  <c r="E318" i="214"/>
  <c r="AE312" i="214"/>
  <c r="AD312" i="214"/>
  <c r="AC312" i="214"/>
  <c r="AB312" i="214"/>
  <c r="AA312" i="214"/>
  <c r="Z312" i="214"/>
  <c r="Y312" i="214"/>
  <c r="X312" i="214"/>
  <c r="W312" i="214"/>
  <c r="V312" i="214"/>
  <c r="U312" i="214"/>
  <c r="T312" i="214"/>
  <c r="S312" i="214"/>
  <c r="R312" i="214"/>
  <c r="Q312" i="214"/>
  <c r="P312" i="214"/>
  <c r="O312" i="214"/>
  <c r="N312" i="214"/>
  <c r="M312" i="214"/>
  <c r="L312" i="214"/>
  <c r="K312" i="214"/>
  <c r="J312" i="214"/>
  <c r="I312" i="214"/>
  <c r="H312" i="214"/>
  <c r="G312" i="214"/>
  <c r="F312" i="214"/>
  <c r="E312" i="214"/>
  <c r="AE310" i="214"/>
  <c r="AD310" i="214"/>
  <c r="AC310" i="214"/>
  <c r="AB310" i="214"/>
  <c r="AA310" i="214"/>
  <c r="Z310" i="214"/>
  <c r="Y310" i="214"/>
  <c r="X310" i="214"/>
  <c r="W310" i="214"/>
  <c r="V310" i="214"/>
  <c r="U310" i="214"/>
  <c r="T310" i="214"/>
  <c r="S310" i="214"/>
  <c r="R310" i="214"/>
  <c r="Q310" i="214"/>
  <c r="P310" i="214"/>
  <c r="O310" i="214"/>
  <c r="N310" i="214"/>
  <c r="M310" i="214"/>
  <c r="L310" i="214"/>
  <c r="K310" i="214"/>
  <c r="J310" i="214"/>
  <c r="I310" i="214"/>
  <c r="H310" i="214"/>
  <c r="G310" i="214"/>
  <c r="F310" i="214"/>
  <c r="E310" i="214"/>
  <c r="AE304" i="214"/>
  <c r="AD304" i="214"/>
  <c r="AC304" i="214"/>
  <c r="AB304" i="214"/>
  <c r="AA304" i="214"/>
  <c r="Z304" i="214"/>
  <c r="Y304" i="214"/>
  <c r="X304" i="214"/>
  <c r="W304" i="214"/>
  <c r="V304" i="214"/>
  <c r="U304" i="214"/>
  <c r="T304" i="214"/>
  <c r="S304" i="214"/>
  <c r="R304" i="214"/>
  <c r="Q304" i="214"/>
  <c r="P304" i="214"/>
  <c r="O304" i="214"/>
  <c r="N304" i="214"/>
  <c r="M304" i="214"/>
  <c r="L304" i="214"/>
  <c r="K304" i="214"/>
  <c r="J304" i="214"/>
  <c r="I304" i="214"/>
  <c r="H304" i="214"/>
  <c r="G304" i="214"/>
  <c r="F304" i="214"/>
  <c r="E304" i="214"/>
  <c r="AE298" i="214"/>
  <c r="AD298" i="214"/>
  <c r="AC298" i="214"/>
  <c r="AB298" i="214"/>
  <c r="AA298" i="214"/>
  <c r="Z298" i="214"/>
  <c r="Y298" i="214"/>
  <c r="X298" i="214"/>
  <c r="W298" i="214"/>
  <c r="V298" i="214"/>
  <c r="U298" i="214"/>
  <c r="T298" i="214"/>
  <c r="S298" i="214"/>
  <c r="R298" i="214"/>
  <c r="Q298" i="214"/>
  <c r="P298" i="214"/>
  <c r="O298" i="214"/>
  <c r="N298" i="214"/>
  <c r="M298" i="214"/>
  <c r="L298" i="214"/>
  <c r="K298" i="214"/>
  <c r="J298" i="214"/>
  <c r="I298" i="214"/>
  <c r="H298" i="214"/>
  <c r="G298" i="214"/>
  <c r="F298" i="214"/>
  <c r="E298" i="214"/>
  <c r="AE296" i="214"/>
  <c r="AD296" i="214"/>
  <c r="AC296" i="214"/>
  <c r="AB296" i="214"/>
  <c r="AA296" i="214"/>
  <c r="Z296" i="214"/>
  <c r="Y296" i="214"/>
  <c r="X296" i="214"/>
  <c r="W296" i="214"/>
  <c r="V296" i="214"/>
  <c r="U296" i="214"/>
  <c r="T296" i="214"/>
  <c r="S296" i="214"/>
  <c r="R296" i="214"/>
  <c r="Q296" i="214"/>
  <c r="P296" i="214"/>
  <c r="O296" i="214"/>
  <c r="N296" i="214"/>
  <c r="M296" i="214"/>
  <c r="L296" i="214"/>
  <c r="K296" i="214"/>
  <c r="J296" i="214"/>
  <c r="I296" i="214"/>
  <c r="H296" i="214"/>
  <c r="G296" i="214"/>
  <c r="F296" i="214"/>
  <c r="E296" i="214"/>
  <c r="AE290" i="214"/>
  <c r="AD290" i="214"/>
  <c r="AC290" i="214"/>
  <c r="AB290" i="214"/>
  <c r="AA290" i="214"/>
  <c r="Z290" i="214"/>
  <c r="Y290" i="214"/>
  <c r="X290" i="214"/>
  <c r="W290" i="214"/>
  <c r="V290" i="214"/>
  <c r="U290" i="214"/>
  <c r="T290" i="214"/>
  <c r="S290" i="214"/>
  <c r="R290" i="214"/>
  <c r="Q290" i="214"/>
  <c r="P290" i="214"/>
  <c r="O290" i="214"/>
  <c r="N290" i="214"/>
  <c r="M290" i="214"/>
  <c r="L290" i="214"/>
  <c r="K290" i="214"/>
  <c r="J290" i="214"/>
  <c r="I290" i="214"/>
  <c r="H290" i="214"/>
  <c r="G290" i="214"/>
  <c r="F290" i="214"/>
  <c r="E290" i="214"/>
  <c r="AE289" i="214"/>
  <c r="AD289" i="214"/>
  <c r="AC289" i="214"/>
  <c r="AB289" i="214"/>
  <c r="AA289" i="214"/>
  <c r="Z289" i="214"/>
  <c r="Y289" i="214"/>
  <c r="X289" i="214"/>
  <c r="W289" i="214"/>
  <c r="V289" i="214"/>
  <c r="U289" i="214"/>
  <c r="T289" i="214"/>
  <c r="S289" i="214"/>
  <c r="R289" i="214"/>
  <c r="Q289" i="214"/>
  <c r="P289" i="214"/>
  <c r="O289" i="214"/>
  <c r="N289" i="214"/>
  <c r="M289" i="214"/>
  <c r="L289" i="214"/>
  <c r="K289" i="214"/>
  <c r="J289" i="214"/>
  <c r="I289" i="214"/>
  <c r="H289" i="214"/>
  <c r="G289" i="214"/>
  <c r="F289" i="214"/>
  <c r="E289" i="214"/>
  <c r="AE287" i="214"/>
  <c r="AC287" i="214"/>
  <c r="AB287" i="214"/>
  <c r="AA287" i="214"/>
  <c r="Q287" i="214"/>
  <c r="H287" i="214"/>
  <c r="E287" i="214"/>
  <c r="AE286" i="214"/>
  <c r="AC286" i="214"/>
  <c r="AB286" i="214"/>
  <c r="AA286" i="214"/>
  <c r="Q286" i="214"/>
  <c r="H286" i="214"/>
  <c r="E286" i="214"/>
  <c r="AE285" i="214"/>
  <c r="AC285" i="214"/>
  <c r="AB285" i="214"/>
  <c r="AA285" i="214"/>
  <c r="Q285" i="214"/>
  <c r="H285" i="214"/>
  <c r="E285" i="214"/>
  <c r="AE284" i="214"/>
  <c r="AC284" i="214"/>
  <c r="AB284" i="214"/>
  <c r="AA284" i="214"/>
  <c r="Q284" i="214"/>
  <c r="H284" i="214"/>
  <c r="E284" i="214"/>
  <c r="AE283" i="214"/>
  <c r="AC283" i="214"/>
  <c r="AB283" i="214"/>
  <c r="AA283" i="214"/>
  <c r="Q283" i="214"/>
  <c r="H283" i="214"/>
  <c r="E283" i="214"/>
  <c r="AE282" i="214"/>
  <c r="AC282" i="214"/>
  <c r="AB282" i="214"/>
  <c r="AA282" i="214"/>
  <c r="Q282" i="214"/>
  <c r="H282" i="214"/>
  <c r="E282" i="214"/>
  <c r="AE281" i="214"/>
  <c r="AC281" i="214"/>
  <c r="AB281" i="214"/>
  <c r="AA281" i="214"/>
  <c r="Q281" i="214"/>
  <c r="H281" i="214"/>
  <c r="E281" i="214"/>
  <c r="AE280" i="214"/>
  <c r="AC280" i="214"/>
  <c r="AB280" i="214"/>
  <c r="AA280" i="214"/>
  <c r="Q280" i="214"/>
  <c r="H280" i="214"/>
  <c r="E280" i="214"/>
  <c r="AE279" i="214"/>
  <c r="AC279" i="214"/>
  <c r="AB279" i="214"/>
  <c r="AA279" i="214"/>
  <c r="Q279" i="214"/>
  <c r="H279" i="214"/>
  <c r="E279" i="214"/>
  <c r="AE278" i="214"/>
  <c r="AC278" i="214"/>
  <c r="AB278" i="214"/>
  <c r="AA278" i="214"/>
  <c r="Q278" i="214"/>
  <c r="H278" i="214"/>
  <c r="E278" i="214"/>
  <c r="AE277" i="214"/>
  <c r="AD277" i="214"/>
  <c r="AC277" i="214"/>
  <c r="AB277" i="214"/>
  <c r="AA277" i="214"/>
  <c r="Z277" i="214"/>
  <c r="Y277" i="214"/>
  <c r="X277" i="214"/>
  <c r="W277" i="214"/>
  <c r="V277" i="214"/>
  <c r="U277" i="214"/>
  <c r="T277" i="214"/>
  <c r="S277" i="214"/>
  <c r="R277" i="214"/>
  <c r="Q277" i="214"/>
  <c r="P277" i="214"/>
  <c r="O277" i="214"/>
  <c r="N277" i="214"/>
  <c r="M277" i="214"/>
  <c r="L277" i="214"/>
  <c r="K277" i="214"/>
  <c r="J277" i="214"/>
  <c r="I277" i="214"/>
  <c r="H277" i="214"/>
  <c r="G277" i="214"/>
  <c r="F277" i="214"/>
  <c r="E277" i="214"/>
  <c r="AE274" i="214"/>
  <c r="AC274" i="214"/>
  <c r="AB274" i="214"/>
  <c r="AA274" i="214"/>
  <c r="Q274" i="214"/>
  <c r="H274" i="214"/>
  <c r="E274" i="214"/>
  <c r="AE272" i="214"/>
  <c r="AC272" i="214"/>
  <c r="AB272" i="214"/>
  <c r="AA272" i="214"/>
  <c r="Q272" i="214"/>
  <c r="H272" i="214"/>
  <c r="E272" i="214"/>
  <c r="AE270" i="214"/>
  <c r="AC270" i="214"/>
  <c r="AB270" i="214"/>
  <c r="AA270" i="214"/>
  <c r="Q270" i="214"/>
  <c r="H270" i="214"/>
  <c r="E270" i="214"/>
  <c r="AE269" i="214"/>
  <c r="AC269" i="214"/>
  <c r="AB269" i="214"/>
  <c r="AA269" i="214"/>
  <c r="Q269" i="214"/>
  <c r="H269" i="214"/>
  <c r="E269" i="214"/>
  <c r="AE268" i="214"/>
  <c r="AC268" i="214"/>
  <c r="AB268" i="214"/>
  <c r="AA268" i="214"/>
  <c r="Q268" i="214"/>
  <c r="H268" i="214"/>
  <c r="E268" i="214"/>
  <c r="AE267" i="214"/>
  <c r="AC267" i="214"/>
  <c r="AB267" i="214"/>
  <c r="AA267" i="214"/>
  <c r="Q267" i="214"/>
  <c r="H267" i="214"/>
  <c r="E267" i="214"/>
  <c r="AE266" i="214"/>
  <c r="AC266" i="214"/>
  <c r="AB266" i="214"/>
  <c r="AA266" i="214"/>
  <c r="Q266" i="214"/>
  <c r="H266" i="214"/>
  <c r="E266" i="214"/>
  <c r="AE265" i="214"/>
  <c r="AC265" i="214"/>
  <c r="AB265" i="214"/>
  <c r="AA265" i="214"/>
  <c r="Q265" i="214"/>
  <c r="H265" i="214"/>
  <c r="E265" i="214"/>
  <c r="AE264" i="214"/>
  <c r="AC264" i="214"/>
  <c r="AB264" i="214"/>
  <c r="AA264" i="214"/>
  <c r="Q264" i="214"/>
  <c r="H264" i="214"/>
  <c r="E264" i="214"/>
  <c r="AE263" i="214"/>
  <c r="AC263" i="214"/>
  <c r="AB263" i="214"/>
  <c r="AA263" i="214"/>
  <c r="Q263" i="214"/>
  <c r="H263" i="214"/>
  <c r="E263" i="214"/>
  <c r="AE262" i="214"/>
  <c r="AD262" i="214"/>
  <c r="AC262" i="214"/>
  <c r="AB262" i="214"/>
  <c r="AA262" i="214"/>
  <c r="Z262" i="214"/>
  <c r="Y262" i="214"/>
  <c r="X262" i="214"/>
  <c r="W262" i="214"/>
  <c r="V262" i="214"/>
  <c r="U262" i="214"/>
  <c r="T262" i="214"/>
  <c r="S262" i="214"/>
  <c r="R262" i="214"/>
  <c r="Q262" i="214"/>
  <c r="P262" i="214"/>
  <c r="O262" i="214"/>
  <c r="N262" i="214"/>
  <c r="M262" i="214"/>
  <c r="L262" i="214"/>
  <c r="K262" i="214"/>
  <c r="J262" i="214"/>
  <c r="I262" i="214"/>
  <c r="H262" i="214"/>
  <c r="G262" i="214"/>
  <c r="F262" i="214"/>
  <c r="E262" i="214"/>
  <c r="AE259" i="214"/>
  <c r="AC259" i="214"/>
  <c r="AB259" i="214"/>
  <c r="AA259" i="214"/>
  <c r="Q259" i="214"/>
  <c r="H259" i="214"/>
  <c r="E259" i="214"/>
  <c r="AE257" i="214"/>
  <c r="AC257" i="214"/>
  <c r="AB257" i="214"/>
  <c r="AA257" i="214"/>
  <c r="Q257" i="214"/>
  <c r="H257" i="214"/>
  <c r="E257" i="214"/>
  <c r="AE256" i="214"/>
  <c r="AC256" i="214"/>
  <c r="AB256" i="214"/>
  <c r="AA256" i="214"/>
  <c r="Q256" i="214"/>
  <c r="H256" i="214"/>
  <c r="E256" i="214"/>
  <c r="AE255" i="214"/>
  <c r="AC255" i="214"/>
  <c r="AB255" i="214"/>
  <c r="AA255" i="214"/>
  <c r="Q255" i="214"/>
  <c r="H255" i="214"/>
  <c r="E255" i="214"/>
  <c r="AE254" i="214"/>
  <c r="AC254" i="214"/>
  <c r="AB254" i="214"/>
  <c r="AA254" i="214"/>
  <c r="Q254" i="214"/>
  <c r="H254" i="214"/>
  <c r="E254" i="214"/>
  <c r="AE253" i="214"/>
  <c r="AD253" i="214"/>
  <c r="AC253" i="214"/>
  <c r="AB253" i="214"/>
  <c r="AA253" i="214"/>
  <c r="Z253" i="214"/>
  <c r="Y253" i="214"/>
  <c r="X253" i="214"/>
  <c r="W253" i="214"/>
  <c r="V253" i="214"/>
  <c r="U253" i="214"/>
  <c r="T253" i="214"/>
  <c r="S253" i="214"/>
  <c r="R253" i="214"/>
  <c r="Q253" i="214"/>
  <c r="P253" i="214"/>
  <c r="O253" i="214"/>
  <c r="N253" i="214"/>
  <c r="M253" i="214"/>
  <c r="L253" i="214"/>
  <c r="K253" i="214"/>
  <c r="J253" i="214"/>
  <c r="I253" i="214"/>
  <c r="H253" i="214"/>
  <c r="G253" i="214"/>
  <c r="F253" i="214"/>
  <c r="E253" i="214"/>
  <c r="AE240" i="214"/>
  <c r="AD240" i="214"/>
  <c r="AC240" i="214"/>
  <c r="AB240" i="214"/>
  <c r="AA240" i="214"/>
  <c r="Z240" i="214"/>
  <c r="Y240" i="214"/>
  <c r="X240" i="214"/>
  <c r="W240" i="214"/>
  <c r="V240" i="214"/>
  <c r="U240" i="214"/>
  <c r="T240" i="214"/>
  <c r="S240" i="214"/>
  <c r="R240" i="214"/>
  <c r="Q240" i="214"/>
  <c r="P240" i="214"/>
  <c r="O240" i="214"/>
  <c r="N240" i="214"/>
  <c r="M240" i="214"/>
  <c r="L240" i="214"/>
  <c r="K240" i="214"/>
  <c r="J240" i="214"/>
  <c r="I240" i="214"/>
  <c r="H240" i="214"/>
  <c r="G240" i="214"/>
  <c r="F240" i="214"/>
  <c r="E240" i="214"/>
  <c r="AE239" i="214"/>
  <c r="AC239" i="214"/>
  <c r="AB239" i="214"/>
  <c r="AA239" i="214"/>
  <c r="Q239" i="214"/>
  <c r="H239" i="214"/>
  <c r="E239" i="214"/>
  <c r="AE238" i="214"/>
  <c r="AC238" i="214"/>
  <c r="AB238" i="214"/>
  <c r="AA238" i="214"/>
  <c r="Q238" i="214"/>
  <c r="H238" i="214"/>
  <c r="E238" i="214"/>
  <c r="AE237" i="214"/>
  <c r="AC237" i="214"/>
  <c r="AB237" i="214"/>
  <c r="AA237" i="214"/>
  <c r="Q237" i="214"/>
  <c r="H237" i="214"/>
  <c r="E237" i="214"/>
  <c r="Z234" i="214"/>
  <c r="Y234" i="214"/>
  <c r="W234" i="214"/>
  <c r="V234" i="214"/>
  <c r="U234" i="214"/>
  <c r="T234" i="214"/>
  <c r="S234" i="214"/>
  <c r="O234" i="214"/>
  <c r="N234" i="214"/>
  <c r="M234" i="214"/>
  <c r="L234" i="214"/>
  <c r="K234" i="214"/>
  <c r="J234" i="214"/>
  <c r="E234" i="214"/>
  <c r="Z233" i="214"/>
  <c r="Y233" i="214"/>
  <c r="W233" i="214"/>
  <c r="V233" i="214"/>
  <c r="U233" i="214"/>
  <c r="T233" i="214"/>
  <c r="S233" i="214"/>
  <c r="O233" i="214"/>
  <c r="N233" i="214"/>
  <c r="M233" i="214"/>
  <c r="L233" i="214"/>
  <c r="K233" i="214"/>
  <c r="J233" i="214"/>
  <c r="E233" i="214"/>
  <c r="AE232" i="214"/>
  <c r="AD232" i="214"/>
  <c r="AC232" i="214"/>
  <c r="AB232" i="214"/>
  <c r="AA232" i="214"/>
  <c r="Z232" i="214"/>
  <c r="Y232" i="214"/>
  <c r="X232" i="214"/>
  <c r="W232" i="214"/>
  <c r="V232" i="214"/>
  <c r="U232" i="214"/>
  <c r="T232" i="214"/>
  <c r="S232" i="214"/>
  <c r="R232" i="214"/>
  <c r="Q232" i="214"/>
  <c r="P232" i="214"/>
  <c r="O232" i="214"/>
  <c r="N232" i="214"/>
  <c r="M232" i="214"/>
  <c r="L232" i="214"/>
  <c r="K232" i="214"/>
  <c r="J232" i="214"/>
  <c r="I232" i="214"/>
  <c r="H232" i="214"/>
  <c r="G232" i="214"/>
  <c r="F232" i="214"/>
  <c r="E232" i="214"/>
  <c r="Z226" i="214"/>
  <c r="Y226" i="214"/>
  <c r="W226" i="214"/>
  <c r="V226" i="214"/>
  <c r="U226" i="214"/>
  <c r="T226" i="214"/>
  <c r="S226" i="214"/>
  <c r="O226" i="214"/>
  <c r="N226" i="214"/>
  <c r="M226" i="214"/>
  <c r="L226" i="214"/>
  <c r="K226" i="214"/>
  <c r="J226" i="214"/>
  <c r="E226" i="214"/>
  <c r="AE225" i="214"/>
  <c r="AC225" i="214"/>
  <c r="AB225" i="214"/>
  <c r="AA225" i="214"/>
  <c r="Z225" i="214"/>
  <c r="Y225" i="214"/>
  <c r="X225" i="214"/>
  <c r="W225" i="214"/>
  <c r="V225" i="214"/>
  <c r="U225" i="214"/>
  <c r="T225" i="214"/>
  <c r="S225" i="214"/>
  <c r="R225" i="214"/>
  <c r="Q225" i="214"/>
  <c r="P225" i="214"/>
  <c r="O225" i="214"/>
  <c r="N225" i="214"/>
  <c r="M225" i="214"/>
  <c r="L225" i="214"/>
  <c r="K225" i="214"/>
  <c r="J225" i="214"/>
  <c r="I225" i="214"/>
  <c r="H225" i="214"/>
  <c r="G225" i="214"/>
  <c r="F225" i="214"/>
  <c r="E225" i="214"/>
  <c r="AE224" i="214"/>
  <c r="AC224" i="214"/>
  <c r="AB224" i="214"/>
  <c r="AA224" i="214"/>
  <c r="Z224" i="214"/>
  <c r="Y224" i="214"/>
  <c r="X224" i="214"/>
  <c r="W224" i="214"/>
  <c r="V224" i="214"/>
  <c r="U224" i="214"/>
  <c r="T224" i="214"/>
  <c r="S224" i="214"/>
  <c r="R224" i="214"/>
  <c r="Q224" i="214"/>
  <c r="P224" i="214"/>
  <c r="O224" i="214"/>
  <c r="N224" i="214"/>
  <c r="M224" i="214"/>
  <c r="L224" i="214"/>
  <c r="K224" i="214"/>
  <c r="J224" i="214"/>
  <c r="I224" i="214"/>
  <c r="H224" i="214"/>
  <c r="G224" i="214"/>
  <c r="F224" i="214"/>
  <c r="E224" i="214"/>
  <c r="AE223" i="214"/>
  <c r="AC223" i="214"/>
  <c r="AB223" i="214"/>
  <c r="AA223" i="214"/>
  <c r="Z223" i="214"/>
  <c r="Y223" i="214"/>
  <c r="X223" i="214"/>
  <c r="W223" i="214"/>
  <c r="V223" i="214"/>
  <c r="U223" i="214"/>
  <c r="T223" i="214"/>
  <c r="S223" i="214"/>
  <c r="R223" i="214"/>
  <c r="Q223" i="214"/>
  <c r="P223" i="214"/>
  <c r="O223" i="214"/>
  <c r="N223" i="214"/>
  <c r="M223" i="214"/>
  <c r="L223" i="214"/>
  <c r="K223" i="214"/>
  <c r="J223" i="214"/>
  <c r="I223" i="214"/>
  <c r="H223" i="214"/>
  <c r="G223" i="214"/>
  <c r="F223" i="214"/>
  <c r="E223" i="214"/>
  <c r="Q222" i="214"/>
  <c r="Z221" i="214"/>
  <c r="Y221" i="214"/>
  <c r="W221" i="214"/>
  <c r="V221" i="214"/>
  <c r="U221" i="214"/>
  <c r="T221" i="214"/>
  <c r="S221" i="214"/>
  <c r="O221" i="214"/>
  <c r="N221" i="214"/>
  <c r="M221" i="214"/>
  <c r="L221" i="214"/>
  <c r="K221" i="214"/>
  <c r="J221" i="214"/>
  <c r="E221" i="214"/>
  <c r="AA220" i="214"/>
  <c r="Z220" i="214"/>
  <c r="Y220" i="214"/>
  <c r="X220" i="214"/>
  <c r="W220" i="214"/>
  <c r="V220" i="214"/>
  <c r="U220" i="214"/>
  <c r="T220" i="214"/>
  <c r="S220" i="214"/>
  <c r="R220" i="214"/>
  <c r="O220" i="214"/>
  <c r="N220" i="214"/>
  <c r="M220" i="214"/>
  <c r="L220" i="214"/>
  <c r="K220" i="214"/>
  <c r="J220" i="214"/>
  <c r="E220" i="214"/>
  <c r="AE219" i="214"/>
  <c r="AD219" i="214"/>
  <c r="AC219" i="214"/>
  <c r="AB219" i="214"/>
  <c r="AA219" i="214"/>
  <c r="Z219" i="214"/>
  <c r="Y219" i="214"/>
  <c r="X219" i="214"/>
  <c r="W219" i="214"/>
  <c r="V219" i="214"/>
  <c r="U219" i="214"/>
  <c r="T219" i="214"/>
  <c r="S219" i="214"/>
  <c r="R219" i="214"/>
  <c r="Q219" i="214"/>
  <c r="P219" i="214"/>
  <c r="O219" i="214"/>
  <c r="N219" i="214"/>
  <c r="M219" i="214"/>
  <c r="L219" i="214"/>
  <c r="K219" i="214"/>
  <c r="J219" i="214"/>
  <c r="I219" i="214"/>
  <c r="H219" i="214"/>
  <c r="G219" i="214"/>
  <c r="F219" i="214"/>
  <c r="E219" i="214"/>
  <c r="AE218" i="214"/>
  <c r="AC218" i="214"/>
  <c r="AB218" i="214"/>
  <c r="AA218" i="214"/>
  <c r="Z218" i="214"/>
  <c r="Y218" i="214"/>
  <c r="X218" i="214"/>
  <c r="W218" i="214"/>
  <c r="V218" i="214"/>
  <c r="U218" i="214"/>
  <c r="T218" i="214"/>
  <c r="S218" i="214"/>
  <c r="R218" i="214"/>
  <c r="Q218" i="214"/>
  <c r="P218" i="214"/>
  <c r="O218" i="214"/>
  <c r="N218" i="214"/>
  <c r="M218" i="214"/>
  <c r="L218" i="214"/>
  <c r="K218" i="214"/>
  <c r="J218" i="214"/>
  <c r="I218" i="214"/>
  <c r="H218" i="214"/>
  <c r="G218" i="214"/>
  <c r="F218" i="214"/>
  <c r="E218" i="214"/>
  <c r="AE217" i="214"/>
  <c r="AD217" i="214"/>
  <c r="AC217" i="214"/>
  <c r="AB217" i="214"/>
  <c r="AA217" i="214"/>
  <c r="Z217" i="214"/>
  <c r="Y217" i="214"/>
  <c r="X217" i="214"/>
  <c r="W217" i="214"/>
  <c r="V217" i="214"/>
  <c r="U217" i="214"/>
  <c r="T217" i="214"/>
  <c r="S217" i="214"/>
  <c r="R217" i="214"/>
  <c r="Q217" i="214"/>
  <c r="P217" i="214"/>
  <c r="O217" i="214"/>
  <c r="N217" i="214"/>
  <c r="M217" i="214"/>
  <c r="L217" i="214"/>
  <c r="K217" i="214"/>
  <c r="J217" i="214"/>
  <c r="I217" i="214"/>
  <c r="H217" i="214"/>
  <c r="G217" i="214"/>
  <c r="F217" i="214"/>
  <c r="E217" i="214"/>
  <c r="AE209" i="214"/>
  <c r="AC209" i="214"/>
  <c r="AB209" i="214"/>
  <c r="AA209" i="214"/>
  <c r="Q209" i="214"/>
  <c r="H209" i="214"/>
  <c r="E209" i="214"/>
  <c r="AE208" i="214"/>
  <c r="AD208" i="214"/>
  <c r="AC208" i="214"/>
  <c r="AB208" i="214"/>
  <c r="AA208" i="214"/>
  <c r="Z208" i="214"/>
  <c r="Y208" i="214"/>
  <c r="X208" i="214"/>
  <c r="W208" i="214"/>
  <c r="V208" i="214"/>
  <c r="U208" i="214"/>
  <c r="T208" i="214"/>
  <c r="S208" i="214"/>
  <c r="R208" i="214"/>
  <c r="Q208" i="214"/>
  <c r="P208" i="214"/>
  <c r="O208" i="214"/>
  <c r="N208" i="214"/>
  <c r="M208" i="214"/>
  <c r="L208" i="214"/>
  <c r="K208" i="214"/>
  <c r="J208" i="214"/>
  <c r="I208" i="214"/>
  <c r="H208" i="214"/>
  <c r="G208" i="214"/>
  <c r="F208" i="214"/>
  <c r="E208" i="214"/>
  <c r="AE206" i="214"/>
  <c r="AC206" i="214"/>
  <c r="AB206" i="214"/>
  <c r="AA206" i="214"/>
  <c r="Q206" i="214"/>
  <c r="H206" i="214"/>
  <c r="E206" i="214"/>
  <c r="AE205" i="214"/>
  <c r="AC205" i="214"/>
  <c r="AB205" i="214"/>
  <c r="AA205" i="214"/>
  <c r="Q205" i="214"/>
  <c r="H205" i="214"/>
  <c r="E205" i="214"/>
  <c r="AE204" i="214"/>
  <c r="AC204" i="214"/>
  <c r="AB204" i="214"/>
  <c r="AA204" i="214"/>
  <c r="Q204" i="214"/>
  <c r="H204" i="214"/>
  <c r="E204" i="214"/>
  <c r="AD201" i="214"/>
  <c r="Z201" i="214"/>
  <c r="Y201" i="214"/>
  <c r="W201" i="214"/>
  <c r="V201" i="214"/>
  <c r="U201" i="214"/>
  <c r="T201" i="214"/>
  <c r="S201" i="214"/>
  <c r="R201" i="214"/>
  <c r="Q201" i="214"/>
  <c r="P201" i="214"/>
  <c r="O201" i="214"/>
  <c r="N201" i="214"/>
  <c r="M201" i="214"/>
  <c r="L201" i="214"/>
  <c r="K201" i="214"/>
  <c r="J201" i="214"/>
  <c r="I201" i="214"/>
  <c r="H201" i="214"/>
  <c r="G201" i="214"/>
  <c r="F201" i="214"/>
  <c r="E201" i="214"/>
  <c r="AE200" i="214"/>
  <c r="AC200" i="214"/>
  <c r="AB200" i="214"/>
  <c r="AA200" i="214"/>
  <c r="Z200" i="214"/>
  <c r="Y200" i="214"/>
  <c r="X200" i="214"/>
  <c r="W200" i="214"/>
  <c r="V200" i="214"/>
  <c r="U200" i="214"/>
  <c r="T200" i="214"/>
  <c r="S200" i="214"/>
  <c r="R200" i="214"/>
  <c r="Q200" i="214"/>
  <c r="P200" i="214"/>
  <c r="O200" i="214"/>
  <c r="N200" i="214"/>
  <c r="M200" i="214"/>
  <c r="L200" i="214"/>
  <c r="K200" i="214"/>
  <c r="J200" i="214"/>
  <c r="I200" i="214"/>
  <c r="H200" i="214"/>
  <c r="G200" i="214"/>
  <c r="F200" i="214"/>
  <c r="E200" i="214"/>
  <c r="AE199" i="214"/>
  <c r="AC199" i="214"/>
  <c r="AB199" i="214"/>
  <c r="AA199" i="214"/>
  <c r="Z199" i="214"/>
  <c r="Y199" i="214"/>
  <c r="X199" i="214"/>
  <c r="W199" i="214"/>
  <c r="V199" i="214"/>
  <c r="U199" i="214"/>
  <c r="T199" i="214"/>
  <c r="S199" i="214"/>
  <c r="R199" i="214"/>
  <c r="Q199" i="214"/>
  <c r="P199" i="214"/>
  <c r="O199" i="214"/>
  <c r="N199" i="214"/>
  <c r="M199" i="214"/>
  <c r="L199" i="214"/>
  <c r="K199" i="214"/>
  <c r="J199" i="214"/>
  <c r="I199" i="214"/>
  <c r="H199" i="214"/>
  <c r="G199" i="214"/>
  <c r="F199" i="214"/>
  <c r="E199" i="214"/>
  <c r="AE198" i="214"/>
  <c r="AC198" i="214"/>
  <c r="AB198" i="214"/>
  <c r="AA198" i="214"/>
  <c r="Z198" i="214"/>
  <c r="Y198" i="214"/>
  <c r="X198" i="214"/>
  <c r="W198" i="214"/>
  <c r="V198" i="214"/>
  <c r="U198" i="214"/>
  <c r="T198" i="214"/>
  <c r="S198" i="214"/>
  <c r="R198" i="214"/>
  <c r="Q198" i="214"/>
  <c r="P198" i="214"/>
  <c r="O198" i="214"/>
  <c r="N198" i="214"/>
  <c r="M198" i="214"/>
  <c r="L198" i="214"/>
  <c r="K198" i="214"/>
  <c r="J198" i="214"/>
  <c r="I198" i="214"/>
  <c r="H198" i="214"/>
  <c r="G198" i="214"/>
  <c r="F198" i="214"/>
  <c r="E198" i="214"/>
  <c r="AE197" i="214"/>
  <c r="AC197" i="214"/>
  <c r="AB197" i="214"/>
  <c r="AA197" i="214"/>
  <c r="Z197" i="214"/>
  <c r="Y197" i="214"/>
  <c r="X197" i="214"/>
  <c r="W197" i="214"/>
  <c r="V197" i="214"/>
  <c r="U197" i="214"/>
  <c r="T197" i="214"/>
  <c r="S197" i="214"/>
  <c r="R197" i="214"/>
  <c r="Q197" i="214"/>
  <c r="P197" i="214"/>
  <c r="O197" i="214"/>
  <c r="N197" i="214"/>
  <c r="M197" i="214"/>
  <c r="L197" i="214"/>
  <c r="K197" i="214"/>
  <c r="J197" i="214"/>
  <c r="I197" i="214"/>
  <c r="H197" i="214"/>
  <c r="G197" i="214"/>
  <c r="F197" i="214"/>
  <c r="E197" i="214"/>
  <c r="AE195" i="214"/>
  <c r="AC195" i="214"/>
  <c r="AB195" i="214"/>
  <c r="AA195" i="214"/>
  <c r="Z195" i="214"/>
  <c r="Y195" i="214"/>
  <c r="X195" i="214"/>
  <c r="W195" i="214"/>
  <c r="V195" i="214"/>
  <c r="U195" i="214"/>
  <c r="T195" i="214"/>
  <c r="S195" i="214"/>
  <c r="R195" i="214"/>
  <c r="Q195" i="214"/>
  <c r="P195" i="214"/>
  <c r="O195" i="214"/>
  <c r="N195" i="214"/>
  <c r="M195" i="214"/>
  <c r="L195" i="214"/>
  <c r="K195" i="214"/>
  <c r="J195" i="214"/>
  <c r="I195" i="214"/>
  <c r="H195" i="214"/>
  <c r="G195" i="214"/>
  <c r="F195" i="214"/>
  <c r="E195" i="214"/>
  <c r="Z193" i="214"/>
  <c r="Y193" i="214"/>
  <c r="W193" i="214"/>
  <c r="V193" i="214"/>
  <c r="U193" i="214"/>
  <c r="T193" i="214"/>
  <c r="S193" i="214"/>
  <c r="R193" i="214"/>
  <c r="Q193" i="214"/>
  <c r="P193" i="214"/>
  <c r="O193" i="214"/>
  <c r="N193" i="214"/>
  <c r="M193" i="214"/>
  <c r="L193" i="214"/>
  <c r="K193" i="214"/>
  <c r="J193" i="214"/>
  <c r="I193" i="214"/>
  <c r="H193" i="214"/>
  <c r="G193" i="214"/>
  <c r="F193" i="214"/>
  <c r="E193" i="214"/>
  <c r="AE192" i="214"/>
  <c r="AC192" i="214"/>
  <c r="AB192" i="214"/>
  <c r="AA192" i="214"/>
  <c r="Z192" i="214"/>
  <c r="Y192" i="214"/>
  <c r="X192" i="214"/>
  <c r="W192" i="214"/>
  <c r="V192" i="214"/>
  <c r="U192" i="214"/>
  <c r="T192" i="214"/>
  <c r="S192" i="214"/>
  <c r="R192" i="214"/>
  <c r="Q192" i="214"/>
  <c r="P192" i="214"/>
  <c r="O192" i="214"/>
  <c r="N192" i="214"/>
  <c r="M192" i="214"/>
  <c r="L192" i="214"/>
  <c r="K192" i="214"/>
  <c r="J192" i="214"/>
  <c r="I192" i="214"/>
  <c r="H192" i="214"/>
  <c r="G192" i="214"/>
  <c r="F192" i="214"/>
  <c r="E192" i="214"/>
  <c r="AE191" i="214"/>
  <c r="AC191" i="214"/>
  <c r="AB191" i="214"/>
  <c r="AA191" i="214"/>
  <c r="Z191" i="214"/>
  <c r="Y191" i="214"/>
  <c r="X191" i="214"/>
  <c r="W191" i="214"/>
  <c r="V191" i="214"/>
  <c r="U191" i="214"/>
  <c r="T191" i="214"/>
  <c r="S191" i="214"/>
  <c r="R191" i="214"/>
  <c r="Q191" i="214"/>
  <c r="P191" i="214"/>
  <c r="O191" i="214"/>
  <c r="N191" i="214"/>
  <c r="M191" i="214"/>
  <c r="L191" i="214"/>
  <c r="K191" i="214"/>
  <c r="J191" i="214"/>
  <c r="I191" i="214"/>
  <c r="H191" i="214"/>
  <c r="G191" i="214"/>
  <c r="F191" i="214"/>
  <c r="E191" i="214"/>
  <c r="AE190" i="214"/>
  <c r="AC190" i="214"/>
  <c r="AB190" i="214"/>
  <c r="AA190" i="214"/>
  <c r="Z190" i="214"/>
  <c r="Y190" i="214"/>
  <c r="X190" i="214"/>
  <c r="W190" i="214"/>
  <c r="V190" i="214"/>
  <c r="U190" i="214"/>
  <c r="T190" i="214"/>
  <c r="S190" i="214"/>
  <c r="R190" i="214"/>
  <c r="Q190" i="214"/>
  <c r="P190" i="214"/>
  <c r="O190" i="214"/>
  <c r="N190" i="214"/>
  <c r="M190" i="214"/>
  <c r="L190" i="214"/>
  <c r="K190" i="214"/>
  <c r="J190" i="214"/>
  <c r="I190" i="214"/>
  <c r="H190" i="214"/>
  <c r="G190" i="214"/>
  <c r="F190" i="214"/>
  <c r="E190" i="214"/>
  <c r="AE188" i="214"/>
  <c r="AC188" i="214"/>
  <c r="AB188" i="214"/>
  <c r="AA188" i="214"/>
  <c r="Z188" i="214"/>
  <c r="Y188" i="214"/>
  <c r="X188" i="214"/>
  <c r="W188" i="214"/>
  <c r="V188" i="214"/>
  <c r="U188" i="214"/>
  <c r="T188" i="214"/>
  <c r="S188" i="214"/>
  <c r="R188" i="214"/>
  <c r="Q188" i="214"/>
  <c r="P188" i="214"/>
  <c r="O188" i="214"/>
  <c r="N188" i="214"/>
  <c r="M188" i="214"/>
  <c r="L188" i="214"/>
  <c r="K188" i="214"/>
  <c r="J188" i="214"/>
  <c r="I188" i="214"/>
  <c r="H188" i="214"/>
  <c r="G188" i="214"/>
  <c r="F188" i="214"/>
  <c r="E188" i="214"/>
  <c r="AE187" i="214"/>
  <c r="AC187" i="214"/>
  <c r="AB187" i="214"/>
  <c r="AA187" i="214"/>
  <c r="Z187" i="214"/>
  <c r="Y187" i="214"/>
  <c r="X187" i="214"/>
  <c r="W187" i="214"/>
  <c r="V187" i="214"/>
  <c r="U187" i="214"/>
  <c r="T187" i="214"/>
  <c r="S187" i="214"/>
  <c r="R187" i="214"/>
  <c r="Q187" i="214"/>
  <c r="P187" i="214"/>
  <c r="O187" i="214"/>
  <c r="N187" i="214"/>
  <c r="M187" i="214"/>
  <c r="L187" i="214"/>
  <c r="K187" i="214"/>
  <c r="J187" i="214"/>
  <c r="I187" i="214"/>
  <c r="H187" i="214"/>
  <c r="G187" i="214"/>
  <c r="F187" i="214"/>
  <c r="E187" i="214"/>
  <c r="AE186" i="214"/>
  <c r="AD186" i="214"/>
  <c r="AC186" i="214"/>
  <c r="AB186" i="214"/>
  <c r="AA186" i="214"/>
  <c r="Z186" i="214"/>
  <c r="Y186" i="214"/>
  <c r="X186" i="214"/>
  <c r="W186" i="214"/>
  <c r="V186" i="214"/>
  <c r="U186" i="214"/>
  <c r="T186" i="214"/>
  <c r="S186" i="214"/>
  <c r="R186" i="214"/>
  <c r="Q186" i="214"/>
  <c r="P186" i="214"/>
  <c r="O186" i="214"/>
  <c r="N186" i="214"/>
  <c r="M186" i="214"/>
  <c r="L186" i="214"/>
  <c r="K186" i="214"/>
  <c r="J186" i="214"/>
  <c r="I186" i="214"/>
  <c r="H186" i="214"/>
  <c r="G186" i="214"/>
  <c r="F186" i="214"/>
  <c r="E186" i="214"/>
  <c r="AE185" i="214"/>
  <c r="AC185" i="214"/>
  <c r="AB185" i="214"/>
  <c r="AA185" i="214"/>
  <c r="Z185" i="214"/>
  <c r="Y185" i="214"/>
  <c r="X185" i="214"/>
  <c r="W185" i="214"/>
  <c r="V185" i="214"/>
  <c r="U185" i="214"/>
  <c r="T185" i="214"/>
  <c r="S185" i="214"/>
  <c r="R185" i="214"/>
  <c r="Q185" i="214"/>
  <c r="P185" i="214"/>
  <c r="O185" i="214"/>
  <c r="N185" i="214"/>
  <c r="M185" i="214"/>
  <c r="L185" i="214"/>
  <c r="K185" i="214"/>
  <c r="J185" i="214"/>
  <c r="I185" i="214"/>
  <c r="H185" i="214"/>
  <c r="G185" i="214"/>
  <c r="F185" i="214"/>
  <c r="E185" i="214"/>
  <c r="AE184" i="214"/>
  <c r="AC184" i="214"/>
  <c r="AB184" i="214"/>
  <c r="AA184" i="214"/>
  <c r="Z184" i="214"/>
  <c r="Y184" i="214"/>
  <c r="X184" i="214"/>
  <c r="W184" i="214"/>
  <c r="V184" i="214"/>
  <c r="U184" i="214"/>
  <c r="T184" i="214"/>
  <c r="S184" i="214"/>
  <c r="R184" i="214"/>
  <c r="Q184" i="214"/>
  <c r="P184" i="214"/>
  <c r="O184" i="214"/>
  <c r="N184" i="214"/>
  <c r="M184" i="214"/>
  <c r="L184" i="214"/>
  <c r="K184" i="214"/>
  <c r="J184" i="214"/>
  <c r="I184" i="214"/>
  <c r="H184" i="214"/>
  <c r="G184" i="214"/>
  <c r="F184" i="214"/>
  <c r="E184" i="214"/>
  <c r="AE183" i="214"/>
  <c r="AC183" i="214"/>
  <c r="AB183" i="214"/>
  <c r="AA183" i="214"/>
  <c r="Z183" i="214"/>
  <c r="Y183" i="214"/>
  <c r="X183" i="214"/>
  <c r="W183" i="214"/>
  <c r="V183" i="214"/>
  <c r="U183" i="214"/>
  <c r="T183" i="214"/>
  <c r="S183" i="214"/>
  <c r="R183" i="214"/>
  <c r="Q183" i="214"/>
  <c r="P183" i="214"/>
  <c r="O183" i="214"/>
  <c r="N183" i="214"/>
  <c r="M183" i="214"/>
  <c r="L183" i="214"/>
  <c r="K183" i="214"/>
  <c r="J183" i="214"/>
  <c r="I183" i="214"/>
  <c r="H183" i="214"/>
  <c r="G183" i="214"/>
  <c r="F183" i="214"/>
  <c r="E183" i="214"/>
  <c r="AE182" i="214"/>
  <c r="AC182" i="214"/>
  <c r="AB182" i="214"/>
  <c r="AA182" i="214"/>
  <c r="Z182" i="214"/>
  <c r="Y182" i="214"/>
  <c r="X182" i="214"/>
  <c r="W182" i="214"/>
  <c r="V182" i="214"/>
  <c r="U182" i="214"/>
  <c r="T182" i="214"/>
  <c r="S182" i="214"/>
  <c r="R182" i="214"/>
  <c r="Q182" i="214"/>
  <c r="P182" i="214"/>
  <c r="O182" i="214"/>
  <c r="N182" i="214"/>
  <c r="M182" i="214"/>
  <c r="L182" i="214"/>
  <c r="K182" i="214"/>
  <c r="J182" i="214"/>
  <c r="I182" i="214"/>
  <c r="H182" i="214"/>
  <c r="G182" i="214"/>
  <c r="F182" i="214"/>
  <c r="E182" i="214"/>
  <c r="AA181" i="214"/>
  <c r="Z181" i="214"/>
  <c r="Y181" i="214"/>
  <c r="X181" i="214"/>
  <c r="W181" i="214"/>
  <c r="V181" i="214"/>
  <c r="U181" i="214"/>
  <c r="T181" i="214"/>
  <c r="S181" i="214"/>
  <c r="R181" i="214"/>
  <c r="P181" i="214"/>
  <c r="O181" i="214"/>
  <c r="N181" i="214"/>
  <c r="M181" i="214"/>
  <c r="L181" i="214"/>
  <c r="K181" i="214"/>
  <c r="J181" i="214"/>
  <c r="E181" i="214"/>
  <c r="AE180" i="214"/>
  <c r="AC180" i="214"/>
  <c r="AB180" i="214"/>
  <c r="AA180" i="214"/>
  <c r="Z180" i="214"/>
  <c r="Y180" i="214"/>
  <c r="X180" i="214"/>
  <c r="W180" i="214"/>
  <c r="V180" i="214"/>
  <c r="U180" i="214"/>
  <c r="T180" i="214"/>
  <c r="S180" i="214"/>
  <c r="R180" i="214"/>
  <c r="Q180" i="214"/>
  <c r="P180" i="214"/>
  <c r="O180" i="214"/>
  <c r="N180" i="214"/>
  <c r="M180" i="214"/>
  <c r="L180" i="214"/>
  <c r="K180" i="214"/>
  <c r="J180" i="214"/>
  <c r="I180" i="214"/>
  <c r="H180" i="214"/>
  <c r="G180" i="214"/>
  <c r="F180" i="214"/>
  <c r="E180" i="214"/>
  <c r="AA179" i="214"/>
  <c r="Z179" i="214"/>
  <c r="Y179" i="214"/>
  <c r="X179" i="214"/>
  <c r="W179" i="214"/>
  <c r="V179" i="214"/>
  <c r="U179" i="214"/>
  <c r="T179" i="214"/>
  <c r="S179" i="214"/>
  <c r="R179" i="214"/>
  <c r="P179" i="214"/>
  <c r="O179" i="214"/>
  <c r="N179" i="214"/>
  <c r="M179" i="214"/>
  <c r="L179" i="214"/>
  <c r="K179" i="214"/>
  <c r="J179" i="214"/>
  <c r="E179" i="214"/>
  <c r="AE178" i="214"/>
  <c r="AC178" i="214"/>
  <c r="AB178" i="214"/>
  <c r="AA178" i="214"/>
  <c r="Z178" i="214"/>
  <c r="Y178" i="214"/>
  <c r="X178" i="214"/>
  <c r="W178" i="214"/>
  <c r="V178" i="214"/>
  <c r="U178" i="214"/>
  <c r="T178" i="214"/>
  <c r="S178" i="214"/>
  <c r="R178" i="214"/>
  <c r="Q178" i="214"/>
  <c r="P178" i="214"/>
  <c r="O178" i="214"/>
  <c r="N178" i="214"/>
  <c r="M178" i="214"/>
  <c r="L178" i="214"/>
  <c r="K178" i="214"/>
  <c r="J178" i="214"/>
  <c r="I178" i="214"/>
  <c r="H178" i="214"/>
  <c r="G178" i="214"/>
  <c r="F178" i="214"/>
  <c r="E178" i="214"/>
  <c r="AE177" i="214"/>
  <c r="AC177" i="214"/>
  <c r="AB177" i="214"/>
  <c r="AA177" i="214"/>
  <c r="Z177" i="214"/>
  <c r="Y177" i="214"/>
  <c r="X177" i="214"/>
  <c r="W177" i="214"/>
  <c r="V177" i="214"/>
  <c r="U177" i="214"/>
  <c r="T177" i="214"/>
  <c r="S177" i="214"/>
  <c r="R177" i="214"/>
  <c r="Q177" i="214"/>
  <c r="P177" i="214"/>
  <c r="O177" i="214"/>
  <c r="N177" i="214"/>
  <c r="M177" i="214"/>
  <c r="L177" i="214"/>
  <c r="K177" i="214"/>
  <c r="J177" i="214"/>
  <c r="I177" i="214"/>
  <c r="H177" i="214"/>
  <c r="G177" i="214"/>
  <c r="F177" i="214"/>
  <c r="E177" i="214"/>
  <c r="AE176" i="214"/>
  <c r="AC176" i="214"/>
  <c r="AB176" i="214"/>
  <c r="AA176" i="214"/>
  <c r="Z176" i="214"/>
  <c r="Y176" i="214"/>
  <c r="X176" i="214"/>
  <c r="W176" i="214"/>
  <c r="V176" i="214"/>
  <c r="U176" i="214"/>
  <c r="T176" i="214"/>
  <c r="S176" i="214"/>
  <c r="R176" i="214"/>
  <c r="Q176" i="214"/>
  <c r="P176" i="214"/>
  <c r="O176" i="214"/>
  <c r="N176" i="214"/>
  <c r="M176" i="214"/>
  <c r="L176" i="214"/>
  <c r="K176" i="214"/>
  <c r="J176" i="214"/>
  <c r="I176" i="214"/>
  <c r="H176" i="214"/>
  <c r="G176" i="214"/>
  <c r="F176" i="214"/>
  <c r="E176" i="214"/>
  <c r="AE175" i="214"/>
  <c r="AD175" i="214"/>
  <c r="AC175" i="214"/>
  <c r="AB175" i="214"/>
  <c r="AA175" i="214"/>
  <c r="Z175" i="214"/>
  <c r="Y175" i="214"/>
  <c r="X175" i="214"/>
  <c r="W175" i="214"/>
  <c r="V175" i="214"/>
  <c r="U175" i="214"/>
  <c r="T175" i="214"/>
  <c r="S175" i="214"/>
  <c r="R175" i="214"/>
  <c r="Q175" i="214"/>
  <c r="P175" i="214"/>
  <c r="O175" i="214"/>
  <c r="N175" i="214"/>
  <c r="M175" i="214"/>
  <c r="L175" i="214"/>
  <c r="K175" i="214"/>
  <c r="J175" i="214"/>
  <c r="I175" i="214"/>
  <c r="H175" i="214"/>
  <c r="G175" i="214"/>
  <c r="F175" i="214"/>
  <c r="E175" i="214"/>
  <c r="AE174" i="214"/>
  <c r="AD174" i="214"/>
  <c r="AC174" i="214"/>
  <c r="AB174" i="214"/>
  <c r="AA174" i="214"/>
  <c r="Z174" i="214"/>
  <c r="Y174" i="214"/>
  <c r="X174" i="214"/>
  <c r="W174" i="214"/>
  <c r="V174" i="214"/>
  <c r="U174" i="214"/>
  <c r="T174" i="214"/>
  <c r="S174" i="214"/>
  <c r="R174" i="214"/>
  <c r="Q174" i="214"/>
  <c r="P174" i="214"/>
  <c r="O174" i="214"/>
  <c r="N174" i="214"/>
  <c r="M174" i="214"/>
  <c r="L174" i="214"/>
  <c r="K174" i="214"/>
  <c r="J174" i="214"/>
  <c r="I174" i="214"/>
  <c r="H174" i="214"/>
  <c r="G174" i="214"/>
  <c r="F174" i="214"/>
  <c r="E174" i="214"/>
  <c r="AE173" i="214"/>
  <c r="AD173" i="214"/>
  <c r="AC173" i="214"/>
  <c r="AB173" i="214"/>
  <c r="AA173" i="214"/>
  <c r="Z173" i="214"/>
  <c r="Y173" i="214"/>
  <c r="X173" i="214"/>
  <c r="W173" i="214"/>
  <c r="V173" i="214"/>
  <c r="U173" i="214"/>
  <c r="T173" i="214"/>
  <c r="S173" i="214"/>
  <c r="R173" i="214"/>
  <c r="Q173" i="214"/>
  <c r="P173" i="214"/>
  <c r="O173" i="214"/>
  <c r="N173" i="214"/>
  <c r="M173" i="214"/>
  <c r="L173" i="214"/>
  <c r="K173" i="214"/>
  <c r="J173" i="214"/>
  <c r="I173" i="214"/>
  <c r="H173" i="214"/>
  <c r="G173" i="214"/>
  <c r="F173" i="214"/>
  <c r="E173" i="214"/>
  <c r="AE172" i="214"/>
  <c r="AC172" i="214"/>
  <c r="AB172" i="214"/>
  <c r="AA172" i="214"/>
  <c r="Z172" i="214"/>
  <c r="Y172" i="214"/>
  <c r="X172" i="214"/>
  <c r="W172" i="214"/>
  <c r="V172" i="214"/>
  <c r="U172" i="214"/>
  <c r="T172" i="214"/>
  <c r="S172" i="214"/>
  <c r="R172" i="214"/>
  <c r="Q172" i="214"/>
  <c r="P172" i="214"/>
  <c r="O172" i="214"/>
  <c r="N172" i="214"/>
  <c r="M172" i="214"/>
  <c r="L172" i="214"/>
  <c r="K172" i="214"/>
  <c r="J172" i="214"/>
  <c r="I172" i="214"/>
  <c r="H172" i="214"/>
  <c r="G172" i="214"/>
  <c r="F172" i="214"/>
  <c r="E172" i="214"/>
  <c r="AE171" i="214"/>
  <c r="AC171" i="214"/>
  <c r="AB171" i="214"/>
  <c r="AA171" i="214"/>
  <c r="Z171" i="214"/>
  <c r="Y171" i="214"/>
  <c r="X171" i="214"/>
  <c r="W171" i="214"/>
  <c r="V171" i="214"/>
  <c r="U171" i="214"/>
  <c r="T171" i="214"/>
  <c r="S171" i="214"/>
  <c r="R171" i="214"/>
  <c r="Q171" i="214"/>
  <c r="P171" i="214"/>
  <c r="O171" i="214"/>
  <c r="N171" i="214"/>
  <c r="M171" i="214"/>
  <c r="L171" i="214"/>
  <c r="K171" i="214"/>
  <c r="J171" i="214"/>
  <c r="I171" i="214"/>
  <c r="H171" i="214"/>
  <c r="G171" i="214"/>
  <c r="F171" i="214"/>
  <c r="E171" i="214"/>
  <c r="AE170" i="214"/>
  <c r="AC170" i="214"/>
  <c r="AB170" i="214"/>
  <c r="AA170" i="214"/>
  <c r="Z170" i="214"/>
  <c r="Y170" i="214"/>
  <c r="X170" i="214"/>
  <c r="W170" i="214"/>
  <c r="V170" i="214"/>
  <c r="U170" i="214"/>
  <c r="T170" i="214"/>
  <c r="S170" i="214"/>
  <c r="R170" i="214"/>
  <c r="Q170" i="214"/>
  <c r="P170" i="214"/>
  <c r="O170" i="214"/>
  <c r="N170" i="214"/>
  <c r="M170" i="214"/>
  <c r="L170" i="214"/>
  <c r="K170" i="214"/>
  <c r="J170" i="214"/>
  <c r="I170" i="214"/>
  <c r="H170" i="214"/>
  <c r="G170" i="214"/>
  <c r="F170" i="214"/>
  <c r="E170" i="214"/>
  <c r="AE169" i="214"/>
  <c r="AC169" i="214"/>
  <c r="AB169" i="214"/>
  <c r="AA169" i="214"/>
  <c r="Z169" i="214"/>
  <c r="Y169" i="214"/>
  <c r="X169" i="214"/>
  <c r="W169" i="214"/>
  <c r="V169" i="214"/>
  <c r="U169" i="214"/>
  <c r="T169" i="214"/>
  <c r="S169" i="214"/>
  <c r="R169" i="214"/>
  <c r="Q169" i="214"/>
  <c r="P169" i="214"/>
  <c r="O169" i="214"/>
  <c r="N169" i="214"/>
  <c r="M169" i="214"/>
  <c r="L169" i="214"/>
  <c r="K169" i="214"/>
  <c r="J169" i="214"/>
  <c r="I169" i="214"/>
  <c r="H169" i="214"/>
  <c r="G169" i="214"/>
  <c r="F169" i="214"/>
  <c r="E169" i="214"/>
  <c r="AE168" i="214"/>
  <c r="AC168" i="214"/>
  <c r="AB168" i="214"/>
  <c r="AA168" i="214"/>
  <c r="Z168" i="214"/>
  <c r="Y168" i="214"/>
  <c r="X168" i="214"/>
  <c r="W168" i="214"/>
  <c r="V168" i="214"/>
  <c r="U168" i="214"/>
  <c r="T168" i="214"/>
  <c r="S168" i="214"/>
  <c r="R168" i="214"/>
  <c r="Q168" i="214"/>
  <c r="P168" i="214"/>
  <c r="O168" i="214"/>
  <c r="N168" i="214"/>
  <c r="M168" i="214"/>
  <c r="L168" i="214"/>
  <c r="K168" i="214"/>
  <c r="J168" i="214"/>
  <c r="I168" i="214"/>
  <c r="H168" i="214"/>
  <c r="G168" i="214"/>
  <c r="F168" i="214"/>
  <c r="E168" i="214"/>
  <c r="AE167" i="214"/>
  <c r="AC167" i="214"/>
  <c r="AB167" i="214"/>
  <c r="AA167" i="214"/>
  <c r="Z167" i="214"/>
  <c r="Y167" i="214"/>
  <c r="X167" i="214"/>
  <c r="W167" i="214"/>
  <c r="V167" i="214"/>
  <c r="U167" i="214"/>
  <c r="T167" i="214"/>
  <c r="S167" i="214"/>
  <c r="R167" i="214"/>
  <c r="Q167" i="214"/>
  <c r="P167" i="214"/>
  <c r="O167" i="214"/>
  <c r="N167" i="214"/>
  <c r="M167" i="214"/>
  <c r="L167" i="214"/>
  <c r="K167" i="214"/>
  <c r="J167" i="214"/>
  <c r="I167" i="214"/>
  <c r="H167" i="214"/>
  <c r="G167" i="214"/>
  <c r="F167" i="214"/>
  <c r="E167" i="214"/>
  <c r="AE166" i="214"/>
  <c r="AC166" i="214"/>
  <c r="AB166" i="214"/>
  <c r="AA166" i="214"/>
  <c r="Z166" i="214"/>
  <c r="Y166" i="214"/>
  <c r="X166" i="214"/>
  <c r="W166" i="214"/>
  <c r="V166" i="214"/>
  <c r="U166" i="214"/>
  <c r="T166" i="214"/>
  <c r="S166" i="214"/>
  <c r="R166" i="214"/>
  <c r="Q166" i="214"/>
  <c r="P166" i="214"/>
  <c r="O166" i="214"/>
  <c r="N166" i="214"/>
  <c r="M166" i="214"/>
  <c r="L166" i="214"/>
  <c r="K166" i="214"/>
  <c r="J166" i="214"/>
  <c r="I166" i="214"/>
  <c r="H166" i="214"/>
  <c r="G166" i="214"/>
  <c r="F166" i="214"/>
  <c r="E166" i="214"/>
  <c r="AE165" i="214"/>
  <c r="AC165" i="214"/>
  <c r="AB165" i="214"/>
  <c r="AA165" i="214"/>
  <c r="Z165" i="214"/>
  <c r="Y165" i="214"/>
  <c r="X165" i="214"/>
  <c r="W165" i="214"/>
  <c r="V165" i="214"/>
  <c r="U165" i="214"/>
  <c r="T165" i="214"/>
  <c r="S165" i="214"/>
  <c r="R165" i="214"/>
  <c r="Q165" i="214"/>
  <c r="P165" i="214"/>
  <c r="O165" i="214"/>
  <c r="N165" i="214"/>
  <c r="M165" i="214"/>
  <c r="L165" i="214"/>
  <c r="K165" i="214"/>
  <c r="J165" i="214"/>
  <c r="I165" i="214"/>
  <c r="H165" i="214"/>
  <c r="G165" i="214"/>
  <c r="F165" i="214"/>
  <c r="E165" i="214"/>
  <c r="AE164" i="214"/>
  <c r="AC164" i="214"/>
  <c r="AB164" i="214"/>
  <c r="AA164" i="214"/>
  <c r="Z164" i="214"/>
  <c r="Y164" i="214"/>
  <c r="X164" i="214"/>
  <c r="W164" i="214"/>
  <c r="V164" i="214"/>
  <c r="U164" i="214"/>
  <c r="T164" i="214"/>
  <c r="S164" i="214"/>
  <c r="R164" i="214"/>
  <c r="Q164" i="214"/>
  <c r="P164" i="214"/>
  <c r="O164" i="214"/>
  <c r="N164" i="214"/>
  <c r="M164" i="214"/>
  <c r="L164" i="214"/>
  <c r="K164" i="214"/>
  <c r="J164" i="214"/>
  <c r="I164" i="214"/>
  <c r="H164" i="214"/>
  <c r="G164" i="214"/>
  <c r="F164" i="214"/>
  <c r="E164" i="214"/>
  <c r="AE163" i="214"/>
  <c r="AC163" i="214"/>
  <c r="AB163" i="214"/>
  <c r="AA163" i="214"/>
  <c r="Z163" i="214"/>
  <c r="Y163" i="214"/>
  <c r="X163" i="214"/>
  <c r="W163" i="214"/>
  <c r="V163" i="214"/>
  <c r="U163" i="214"/>
  <c r="T163" i="214"/>
  <c r="S163" i="214"/>
  <c r="R163" i="214"/>
  <c r="Q163" i="214"/>
  <c r="P163" i="214"/>
  <c r="O163" i="214"/>
  <c r="N163" i="214"/>
  <c r="M163" i="214"/>
  <c r="L163" i="214"/>
  <c r="K163" i="214"/>
  <c r="J163" i="214"/>
  <c r="I163" i="214"/>
  <c r="H163" i="214"/>
  <c r="G163" i="214"/>
  <c r="F163" i="214"/>
  <c r="E163" i="214"/>
  <c r="AE162" i="214"/>
  <c r="AD162" i="214"/>
  <c r="AC162" i="214"/>
  <c r="AB162" i="214"/>
  <c r="AA162" i="214"/>
  <c r="Z162" i="214"/>
  <c r="Y162" i="214"/>
  <c r="X162" i="214"/>
  <c r="W162" i="214"/>
  <c r="V162" i="214"/>
  <c r="U162" i="214"/>
  <c r="T162" i="214"/>
  <c r="S162" i="214"/>
  <c r="R162" i="214"/>
  <c r="Q162" i="214"/>
  <c r="P162" i="214"/>
  <c r="O162" i="214"/>
  <c r="N162" i="214"/>
  <c r="M162" i="214"/>
  <c r="L162" i="214"/>
  <c r="K162" i="214"/>
  <c r="J162" i="214"/>
  <c r="I162" i="214"/>
  <c r="H162" i="214"/>
  <c r="G162" i="214"/>
  <c r="F162" i="214"/>
  <c r="E162" i="214"/>
  <c r="AE161" i="214"/>
  <c r="AC161" i="214"/>
  <c r="AB161" i="214"/>
  <c r="AA161" i="214"/>
  <c r="Z161" i="214"/>
  <c r="Y161" i="214"/>
  <c r="X161" i="214"/>
  <c r="W161" i="214"/>
  <c r="V161" i="214"/>
  <c r="U161" i="214"/>
  <c r="T161" i="214"/>
  <c r="S161" i="214"/>
  <c r="R161" i="214"/>
  <c r="Q161" i="214"/>
  <c r="P161" i="214"/>
  <c r="O161" i="214"/>
  <c r="N161" i="214"/>
  <c r="M161" i="214"/>
  <c r="L161" i="214"/>
  <c r="K161" i="214"/>
  <c r="J161" i="214"/>
  <c r="I161" i="214"/>
  <c r="H161" i="214"/>
  <c r="G161" i="214"/>
  <c r="F161" i="214"/>
  <c r="E161" i="214"/>
  <c r="AE160" i="214"/>
  <c r="AC160" i="214"/>
  <c r="AB160" i="214"/>
  <c r="AA160" i="214"/>
  <c r="Z160" i="214"/>
  <c r="Y160" i="214"/>
  <c r="X160" i="214"/>
  <c r="W160" i="214"/>
  <c r="V160" i="214"/>
  <c r="U160" i="214"/>
  <c r="T160" i="214"/>
  <c r="S160" i="214"/>
  <c r="R160" i="214"/>
  <c r="Q160" i="214"/>
  <c r="P160" i="214"/>
  <c r="O160" i="214"/>
  <c r="N160" i="214"/>
  <c r="M160" i="214"/>
  <c r="L160" i="214"/>
  <c r="K160" i="214"/>
  <c r="J160" i="214"/>
  <c r="I160" i="214"/>
  <c r="H160" i="214"/>
  <c r="G160" i="214"/>
  <c r="F160" i="214"/>
  <c r="E160" i="214"/>
  <c r="AE159" i="214"/>
  <c r="AC159" i="214"/>
  <c r="AB159" i="214"/>
  <c r="AA159" i="214"/>
  <c r="Z159" i="214"/>
  <c r="Y159" i="214"/>
  <c r="X159" i="214"/>
  <c r="W159" i="214"/>
  <c r="V159" i="214"/>
  <c r="U159" i="214"/>
  <c r="T159" i="214"/>
  <c r="S159" i="214"/>
  <c r="R159" i="214"/>
  <c r="Q159" i="214"/>
  <c r="P159" i="214"/>
  <c r="O159" i="214"/>
  <c r="N159" i="214"/>
  <c r="M159" i="214"/>
  <c r="L159" i="214"/>
  <c r="K159" i="214"/>
  <c r="J159" i="214"/>
  <c r="I159" i="214"/>
  <c r="H159" i="214"/>
  <c r="G159" i="214"/>
  <c r="F159" i="214"/>
  <c r="E159" i="214"/>
  <c r="AE158" i="214"/>
  <c r="AC158" i="214"/>
  <c r="AB158" i="214"/>
  <c r="AA158" i="214"/>
  <c r="Z158" i="214"/>
  <c r="Y158" i="214"/>
  <c r="X158" i="214"/>
  <c r="W158" i="214"/>
  <c r="V158" i="214"/>
  <c r="U158" i="214"/>
  <c r="T158" i="214"/>
  <c r="S158" i="214"/>
  <c r="R158" i="214"/>
  <c r="Q158" i="214"/>
  <c r="P158" i="214"/>
  <c r="O158" i="214"/>
  <c r="N158" i="214"/>
  <c r="M158" i="214"/>
  <c r="L158" i="214"/>
  <c r="K158" i="214"/>
  <c r="J158" i="214"/>
  <c r="I158" i="214"/>
  <c r="H158" i="214"/>
  <c r="G158" i="214"/>
  <c r="F158" i="214"/>
  <c r="E158" i="214"/>
  <c r="AE157" i="214"/>
  <c r="AC157" i="214"/>
  <c r="AB157" i="214"/>
  <c r="AA157" i="214"/>
  <c r="Z157" i="214"/>
  <c r="Y157" i="214"/>
  <c r="X157" i="214"/>
  <c r="W157" i="214"/>
  <c r="V157" i="214"/>
  <c r="U157" i="214"/>
  <c r="T157" i="214"/>
  <c r="S157" i="214"/>
  <c r="R157" i="214"/>
  <c r="Q157" i="214"/>
  <c r="P157" i="214"/>
  <c r="O157" i="214"/>
  <c r="N157" i="214"/>
  <c r="M157" i="214"/>
  <c r="L157" i="214"/>
  <c r="K157" i="214"/>
  <c r="J157" i="214"/>
  <c r="I157" i="214"/>
  <c r="H157" i="214"/>
  <c r="G157" i="214"/>
  <c r="F157" i="214"/>
  <c r="E157" i="214"/>
  <c r="AE156" i="214"/>
  <c r="AC156" i="214"/>
  <c r="AB156" i="214"/>
  <c r="AA156" i="214"/>
  <c r="Z156" i="214"/>
  <c r="Y156" i="214"/>
  <c r="X156" i="214"/>
  <c r="W156" i="214"/>
  <c r="V156" i="214"/>
  <c r="U156" i="214"/>
  <c r="T156" i="214"/>
  <c r="S156" i="214"/>
  <c r="R156" i="214"/>
  <c r="Q156" i="214"/>
  <c r="P156" i="214"/>
  <c r="O156" i="214"/>
  <c r="N156" i="214"/>
  <c r="M156" i="214"/>
  <c r="L156" i="214"/>
  <c r="K156" i="214"/>
  <c r="J156" i="214"/>
  <c r="I156" i="214"/>
  <c r="H156" i="214"/>
  <c r="G156" i="214"/>
  <c r="F156" i="214"/>
  <c r="E156" i="214"/>
  <c r="AE155" i="214"/>
  <c r="AC155" i="214"/>
  <c r="AB155" i="214"/>
  <c r="AA155" i="214"/>
  <c r="Z155" i="214"/>
  <c r="Y155" i="214"/>
  <c r="X155" i="214"/>
  <c r="W155" i="214"/>
  <c r="V155" i="214"/>
  <c r="U155" i="214"/>
  <c r="T155" i="214"/>
  <c r="S155" i="214"/>
  <c r="R155" i="214"/>
  <c r="Q155" i="214"/>
  <c r="P155" i="214"/>
  <c r="O155" i="214"/>
  <c r="N155" i="214"/>
  <c r="M155" i="214"/>
  <c r="L155" i="214"/>
  <c r="K155" i="214"/>
  <c r="J155" i="214"/>
  <c r="I155" i="214"/>
  <c r="H155" i="214"/>
  <c r="G155" i="214"/>
  <c r="F155" i="214"/>
  <c r="E155" i="214"/>
  <c r="AE154" i="214"/>
  <c r="AC154" i="214"/>
  <c r="AB154" i="214"/>
  <c r="AA154" i="214"/>
  <c r="Z154" i="214"/>
  <c r="Y154" i="214"/>
  <c r="X154" i="214"/>
  <c r="W154" i="214"/>
  <c r="V154" i="214"/>
  <c r="U154" i="214"/>
  <c r="T154" i="214"/>
  <c r="S154" i="214"/>
  <c r="R154" i="214"/>
  <c r="Q154" i="214"/>
  <c r="P154" i="214"/>
  <c r="O154" i="214"/>
  <c r="N154" i="214"/>
  <c r="M154" i="214"/>
  <c r="L154" i="214"/>
  <c r="K154" i="214"/>
  <c r="J154" i="214"/>
  <c r="I154" i="214"/>
  <c r="H154" i="214"/>
  <c r="G154" i="214"/>
  <c r="F154" i="214"/>
  <c r="E154" i="214"/>
  <c r="AE152" i="214"/>
  <c r="AC152" i="214"/>
  <c r="AB152" i="214"/>
  <c r="AA152" i="214"/>
  <c r="Z152" i="214"/>
  <c r="Y152" i="214"/>
  <c r="X152" i="214"/>
  <c r="W152" i="214"/>
  <c r="V152" i="214"/>
  <c r="U152" i="214"/>
  <c r="T152" i="214"/>
  <c r="S152" i="214"/>
  <c r="R152" i="214"/>
  <c r="Q152" i="214"/>
  <c r="P152" i="214"/>
  <c r="O152" i="214"/>
  <c r="N152" i="214"/>
  <c r="M152" i="214"/>
  <c r="L152" i="214"/>
  <c r="K152" i="214"/>
  <c r="J152" i="214"/>
  <c r="I152" i="214"/>
  <c r="H152" i="214"/>
  <c r="G152" i="214"/>
  <c r="F152" i="214"/>
  <c r="E152" i="214"/>
  <c r="AE151" i="214"/>
  <c r="AC151" i="214"/>
  <c r="AB151" i="214"/>
  <c r="AA151" i="214"/>
  <c r="Z151" i="214"/>
  <c r="Y151" i="214"/>
  <c r="X151" i="214"/>
  <c r="W151" i="214"/>
  <c r="V151" i="214"/>
  <c r="U151" i="214"/>
  <c r="T151" i="214"/>
  <c r="S151" i="214"/>
  <c r="R151" i="214"/>
  <c r="Q151" i="214"/>
  <c r="P151" i="214"/>
  <c r="O151" i="214"/>
  <c r="N151" i="214"/>
  <c r="M151" i="214"/>
  <c r="L151" i="214"/>
  <c r="K151" i="214"/>
  <c r="J151" i="214"/>
  <c r="I151" i="214"/>
  <c r="H151" i="214"/>
  <c r="G151" i="214"/>
  <c r="F151" i="214"/>
  <c r="E151" i="214"/>
  <c r="AE150" i="214"/>
  <c r="AD150" i="214"/>
  <c r="AC150" i="214"/>
  <c r="AB150" i="214"/>
  <c r="AA150" i="214"/>
  <c r="Z150" i="214"/>
  <c r="Y150" i="214"/>
  <c r="X150" i="214"/>
  <c r="W150" i="214"/>
  <c r="V150" i="214"/>
  <c r="U150" i="214"/>
  <c r="T150" i="214"/>
  <c r="S150" i="214"/>
  <c r="R150" i="214"/>
  <c r="Q150" i="214"/>
  <c r="P150" i="214"/>
  <c r="O150" i="214"/>
  <c r="N150" i="214"/>
  <c r="M150" i="214"/>
  <c r="L150" i="214"/>
  <c r="K150" i="214"/>
  <c r="J150" i="214"/>
  <c r="I150" i="214"/>
  <c r="H150" i="214"/>
  <c r="G150" i="214"/>
  <c r="F150" i="214"/>
  <c r="E150" i="214"/>
  <c r="AE149" i="214"/>
  <c r="AD149" i="214"/>
  <c r="AC149" i="214"/>
  <c r="AB149" i="214"/>
  <c r="AA149" i="214"/>
  <c r="Z149" i="214"/>
  <c r="Y149" i="214"/>
  <c r="X149" i="214"/>
  <c r="W149" i="214"/>
  <c r="V149" i="214"/>
  <c r="U149" i="214"/>
  <c r="T149" i="214"/>
  <c r="S149" i="214"/>
  <c r="R149" i="214"/>
  <c r="Q149" i="214"/>
  <c r="P149" i="214"/>
  <c r="O149" i="214"/>
  <c r="N149" i="214"/>
  <c r="M149" i="214"/>
  <c r="L149" i="214"/>
  <c r="K149" i="214"/>
  <c r="J149" i="214"/>
  <c r="I149" i="214"/>
  <c r="H149" i="214"/>
  <c r="G149" i="214"/>
  <c r="F149" i="214"/>
  <c r="E149" i="214"/>
  <c r="AE148" i="214"/>
  <c r="AC148" i="214"/>
  <c r="AB148" i="214"/>
  <c r="AA148" i="214"/>
  <c r="Z148" i="214"/>
  <c r="Y148" i="214"/>
  <c r="X148" i="214"/>
  <c r="W148" i="214"/>
  <c r="V148" i="214"/>
  <c r="U148" i="214"/>
  <c r="T148" i="214"/>
  <c r="S148" i="214"/>
  <c r="R148" i="214"/>
  <c r="Q148" i="214"/>
  <c r="P148" i="214"/>
  <c r="O148" i="214"/>
  <c r="N148" i="214"/>
  <c r="M148" i="214"/>
  <c r="L148" i="214"/>
  <c r="K148" i="214"/>
  <c r="J148" i="214"/>
  <c r="I148" i="214"/>
  <c r="H148" i="214"/>
  <c r="G148" i="214"/>
  <c r="F148" i="214"/>
  <c r="E148" i="214"/>
  <c r="AE140" i="214"/>
  <c r="AD140" i="214"/>
  <c r="AC140" i="214"/>
  <c r="AB140" i="214"/>
  <c r="AA140" i="214"/>
  <c r="Z140" i="214"/>
  <c r="Y140" i="214"/>
  <c r="X140" i="214"/>
  <c r="W140" i="214"/>
  <c r="V140" i="214"/>
  <c r="U140" i="214"/>
  <c r="T140" i="214"/>
  <c r="S140" i="214"/>
  <c r="R140" i="214"/>
  <c r="Q140" i="214"/>
  <c r="P140" i="214"/>
  <c r="O140" i="214"/>
  <c r="N140" i="214"/>
  <c r="M140" i="214"/>
  <c r="L140" i="214"/>
  <c r="K140" i="214"/>
  <c r="J140" i="214"/>
  <c r="I140" i="214"/>
  <c r="H140" i="214"/>
  <c r="G140" i="214"/>
  <c r="F140" i="214"/>
  <c r="E140" i="214"/>
  <c r="AE128" i="214"/>
  <c r="AD128" i="214"/>
  <c r="AC128" i="214"/>
  <c r="AB128" i="214"/>
  <c r="AA128" i="214"/>
  <c r="Z128" i="214"/>
  <c r="Y128" i="214"/>
  <c r="X128" i="214"/>
  <c r="W128" i="214"/>
  <c r="V128" i="214"/>
  <c r="U128" i="214"/>
  <c r="T128" i="214"/>
  <c r="S128" i="214"/>
  <c r="R128" i="214"/>
  <c r="Q128" i="214"/>
  <c r="P128" i="214"/>
  <c r="O128" i="214"/>
  <c r="N128" i="214"/>
  <c r="M128" i="214"/>
  <c r="L128" i="214"/>
  <c r="K128" i="214"/>
  <c r="J128" i="214"/>
  <c r="I128" i="214"/>
  <c r="H128" i="214"/>
  <c r="G128" i="214"/>
  <c r="F128" i="214"/>
  <c r="E128" i="214"/>
  <c r="AE127" i="214"/>
  <c r="AD127" i="214"/>
  <c r="AC127" i="214"/>
  <c r="AB127" i="214"/>
  <c r="AA127" i="214"/>
  <c r="Z127" i="214"/>
  <c r="Y127" i="214"/>
  <c r="X127" i="214"/>
  <c r="W127" i="214"/>
  <c r="V127" i="214"/>
  <c r="U127" i="214"/>
  <c r="T127" i="214"/>
  <c r="S127" i="214"/>
  <c r="R127" i="214"/>
  <c r="Q127" i="214"/>
  <c r="P127" i="214"/>
  <c r="O127" i="214"/>
  <c r="N127" i="214"/>
  <c r="M127" i="214"/>
  <c r="L127" i="214"/>
  <c r="K127" i="214"/>
  <c r="J127" i="214"/>
  <c r="I127" i="214"/>
  <c r="H127" i="214"/>
  <c r="G127" i="214"/>
  <c r="F127" i="214"/>
  <c r="E127" i="214"/>
  <c r="AE117" i="214"/>
  <c r="AD117" i="214"/>
  <c r="AC117" i="214"/>
  <c r="AB117" i="214"/>
  <c r="AA117" i="214"/>
  <c r="Z117" i="214"/>
  <c r="Y117" i="214"/>
  <c r="X117" i="214"/>
  <c r="W117" i="214"/>
  <c r="V117" i="214"/>
  <c r="U117" i="214"/>
  <c r="T117" i="214"/>
  <c r="S117" i="214"/>
  <c r="R117" i="214"/>
  <c r="Q117" i="214"/>
  <c r="P117" i="214"/>
  <c r="O117" i="214"/>
  <c r="N117" i="214"/>
  <c r="M117" i="214"/>
  <c r="L117" i="214"/>
  <c r="K117" i="214"/>
  <c r="J117" i="214"/>
  <c r="I117" i="214"/>
  <c r="H117" i="214"/>
  <c r="G117" i="214"/>
  <c r="F117" i="214"/>
  <c r="E117" i="214"/>
  <c r="AE110" i="214"/>
  <c r="AD110" i="214"/>
  <c r="AC110" i="214"/>
  <c r="AB110" i="214"/>
  <c r="AA110" i="214"/>
  <c r="Z110" i="214"/>
  <c r="Y110" i="214"/>
  <c r="X110" i="214"/>
  <c r="W110" i="214"/>
  <c r="V110" i="214"/>
  <c r="U110" i="214"/>
  <c r="T110" i="214"/>
  <c r="S110" i="214"/>
  <c r="R110" i="214"/>
  <c r="Q110" i="214"/>
  <c r="P110" i="214"/>
  <c r="O110" i="214"/>
  <c r="N110" i="214"/>
  <c r="M110" i="214"/>
  <c r="L110" i="214"/>
  <c r="K110" i="214"/>
  <c r="J110" i="214"/>
  <c r="I110" i="214"/>
  <c r="H110" i="214"/>
  <c r="G110" i="214"/>
  <c r="F110" i="214"/>
  <c r="E110" i="214"/>
  <c r="AE101" i="214"/>
  <c r="AD101" i="214"/>
  <c r="AC101" i="214"/>
  <c r="AB101" i="214"/>
  <c r="AA101" i="214"/>
  <c r="Z101" i="214"/>
  <c r="Y101" i="214"/>
  <c r="X101" i="214"/>
  <c r="W101" i="214"/>
  <c r="V101" i="214"/>
  <c r="U101" i="214"/>
  <c r="T101" i="214"/>
  <c r="S101" i="214"/>
  <c r="R101" i="214"/>
  <c r="Q101" i="214"/>
  <c r="P101" i="214"/>
  <c r="O101" i="214"/>
  <c r="N101" i="214"/>
  <c r="M101" i="214"/>
  <c r="L101" i="214"/>
  <c r="K101" i="214"/>
  <c r="J101" i="214"/>
  <c r="I101" i="214"/>
  <c r="H101" i="214"/>
  <c r="G101" i="214"/>
  <c r="F101" i="214"/>
  <c r="E101" i="214"/>
  <c r="AE87" i="214"/>
  <c r="AD87" i="214"/>
  <c r="AC87" i="214"/>
  <c r="AB87" i="214"/>
  <c r="AA87" i="214"/>
  <c r="Z87" i="214"/>
  <c r="Y87" i="214"/>
  <c r="X87" i="214"/>
  <c r="W87" i="214"/>
  <c r="V87" i="214"/>
  <c r="U87" i="214"/>
  <c r="T87" i="214"/>
  <c r="S87" i="214"/>
  <c r="R87" i="214"/>
  <c r="Q87" i="214"/>
  <c r="P87" i="214"/>
  <c r="O87" i="214"/>
  <c r="N87" i="214"/>
  <c r="M87" i="214"/>
  <c r="L87" i="214"/>
  <c r="K87" i="214"/>
  <c r="J87" i="214"/>
  <c r="I87" i="214"/>
  <c r="H87" i="214"/>
  <c r="G87" i="214"/>
  <c r="F87" i="214"/>
  <c r="E87" i="214"/>
  <c r="AE86" i="214"/>
  <c r="AD86" i="214"/>
  <c r="AC86" i="214"/>
  <c r="AB86" i="214"/>
  <c r="AA86" i="214"/>
  <c r="Z86" i="214"/>
  <c r="Y86" i="214"/>
  <c r="X86" i="214"/>
  <c r="W86" i="214"/>
  <c r="V86" i="214"/>
  <c r="U86" i="214"/>
  <c r="T86" i="214"/>
  <c r="S86" i="214"/>
  <c r="R86" i="214"/>
  <c r="Q86" i="214"/>
  <c r="P86" i="214"/>
  <c r="O86" i="214"/>
  <c r="N86" i="214"/>
  <c r="M86" i="214"/>
  <c r="L86" i="214"/>
  <c r="K86" i="214"/>
  <c r="J86" i="214"/>
  <c r="I86" i="214"/>
  <c r="H86" i="214"/>
  <c r="G86" i="214"/>
  <c r="F86" i="214"/>
  <c r="E86" i="214"/>
  <c r="AE85" i="214"/>
  <c r="AC85" i="214"/>
  <c r="AB85" i="214"/>
  <c r="AA85" i="214"/>
  <c r="Z85" i="214"/>
  <c r="Y85" i="214"/>
  <c r="X85" i="214"/>
  <c r="W85" i="214"/>
  <c r="V85" i="214"/>
  <c r="U85" i="214"/>
  <c r="T85" i="214"/>
  <c r="S85" i="214"/>
  <c r="R85" i="214"/>
  <c r="Q85" i="214"/>
  <c r="P85" i="214"/>
  <c r="O85" i="214"/>
  <c r="N85" i="214"/>
  <c r="M85" i="214"/>
  <c r="L85" i="214"/>
  <c r="K85" i="214"/>
  <c r="J85" i="214"/>
  <c r="I85" i="214"/>
  <c r="H85" i="214"/>
  <c r="G85" i="214"/>
  <c r="F85" i="214"/>
  <c r="E85" i="214"/>
  <c r="AE84" i="214"/>
  <c r="AC84" i="214"/>
  <c r="AB84" i="214"/>
  <c r="AA84" i="214"/>
  <c r="Z84" i="214"/>
  <c r="Y84" i="214"/>
  <c r="X84" i="214"/>
  <c r="W84" i="214"/>
  <c r="V84" i="214"/>
  <c r="U84" i="214"/>
  <c r="T84" i="214"/>
  <c r="S84" i="214"/>
  <c r="R84" i="214"/>
  <c r="Q84" i="214"/>
  <c r="P84" i="214"/>
  <c r="O84" i="214"/>
  <c r="N84" i="214"/>
  <c r="M84" i="214"/>
  <c r="L84" i="214"/>
  <c r="K84" i="214"/>
  <c r="J84" i="214"/>
  <c r="I84" i="214"/>
  <c r="H84" i="214"/>
  <c r="G84" i="214"/>
  <c r="F84" i="214"/>
  <c r="E84" i="214"/>
  <c r="AE79" i="214"/>
  <c r="AC79" i="214"/>
  <c r="AB79" i="214"/>
  <c r="AA79" i="214"/>
  <c r="Z79" i="214"/>
  <c r="Y79" i="214"/>
  <c r="X79" i="214"/>
  <c r="W79" i="214"/>
  <c r="V79" i="214"/>
  <c r="U79" i="214"/>
  <c r="T79" i="214"/>
  <c r="S79" i="214"/>
  <c r="R79" i="214"/>
  <c r="Q79" i="214"/>
  <c r="P79" i="214"/>
  <c r="O79" i="214"/>
  <c r="N79" i="214"/>
  <c r="M79" i="214"/>
  <c r="L79" i="214"/>
  <c r="K79" i="214"/>
  <c r="J79" i="214"/>
  <c r="I79" i="214"/>
  <c r="H79" i="214"/>
  <c r="G79" i="214"/>
  <c r="F79" i="214"/>
  <c r="E79" i="214"/>
  <c r="AE78" i="214"/>
  <c r="AC78" i="214"/>
  <c r="AB78" i="214"/>
  <c r="AA78" i="214"/>
  <c r="Z78" i="214"/>
  <c r="Y78" i="214"/>
  <c r="X78" i="214"/>
  <c r="W78" i="214"/>
  <c r="V78" i="214"/>
  <c r="U78" i="214"/>
  <c r="T78" i="214"/>
  <c r="S78" i="214"/>
  <c r="R78" i="214"/>
  <c r="Q78" i="214"/>
  <c r="P78" i="214"/>
  <c r="O78" i="214"/>
  <c r="N78" i="214"/>
  <c r="M78" i="214"/>
  <c r="L78" i="214"/>
  <c r="K78" i="214"/>
  <c r="J78" i="214"/>
  <c r="I78" i="214"/>
  <c r="H78" i="214"/>
  <c r="G78" i="214"/>
  <c r="F78" i="214"/>
  <c r="E78" i="214"/>
  <c r="AE75" i="214"/>
  <c r="AC75" i="214"/>
  <c r="AB75" i="214"/>
  <c r="AA75" i="214"/>
  <c r="Z75" i="214"/>
  <c r="Y75" i="214"/>
  <c r="X75" i="214"/>
  <c r="W75" i="214"/>
  <c r="V75" i="214"/>
  <c r="U75" i="214"/>
  <c r="T75" i="214"/>
  <c r="S75" i="214"/>
  <c r="R75" i="214"/>
  <c r="Q75" i="214"/>
  <c r="P75" i="214"/>
  <c r="O75" i="214"/>
  <c r="N75" i="214"/>
  <c r="M75" i="214"/>
  <c r="L75" i="214"/>
  <c r="K75" i="214"/>
  <c r="J75" i="214"/>
  <c r="I75" i="214"/>
  <c r="H75" i="214"/>
  <c r="G75" i="214"/>
  <c r="F75" i="214"/>
  <c r="E75" i="214"/>
  <c r="AE74" i="214"/>
  <c r="AC74" i="214"/>
  <c r="AB74" i="214"/>
  <c r="AA74" i="214"/>
  <c r="Z74" i="214"/>
  <c r="Y74" i="214"/>
  <c r="X74" i="214"/>
  <c r="W74" i="214"/>
  <c r="V74" i="214"/>
  <c r="U74" i="214"/>
  <c r="T74" i="214"/>
  <c r="S74" i="214"/>
  <c r="R74" i="214"/>
  <c r="Q74" i="214"/>
  <c r="P74" i="214"/>
  <c r="O74" i="214"/>
  <c r="N74" i="214"/>
  <c r="M74" i="214"/>
  <c r="L74" i="214"/>
  <c r="K74" i="214"/>
  <c r="J74" i="214"/>
  <c r="I74" i="214"/>
  <c r="H74" i="214"/>
  <c r="G74" i="214"/>
  <c r="F74" i="214"/>
  <c r="E74" i="214"/>
  <c r="AE72" i="214"/>
  <c r="AC72" i="214"/>
  <c r="AB72" i="214"/>
  <c r="AA72" i="214"/>
  <c r="Z72" i="214"/>
  <c r="Y72" i="214"/>
  <c r="X72" i="214"/>
  <c r="W72" i="214"/>
  <c r="V72" i="214"/>
  <c r="U72" i="214"/>
  <c r="T72" i="214"/>
  <c r="S72" i="214"/>
  <c r="R72" i="214"/>
  <c r="Q72" i="214"/>
  <c r="P72" i="214"/>
  <c r="O72" i="214"/>
  <c r="N72" i="214"/>
  <c r="M72" i="214"/>
  <c r="L72" i="214"/>
  <c r="K72" i="214"/>
  <c r="J72" i="214"/>
  <c r="I72" i="214"/>
  <c r="H72" i="214"/>
  <c r="G72" i="214"/>
  <c r="F72" i="214"/>
  <c r="E72" i="214"/>
  <c r="AE66" i="214"/>
  <c r="AD66" i="214"/>
  <c r="AC66" i="214"/>
  <c r="AB66" i="214"/>
  <c r="AA66" i="214"/>
  <c r="Z66" i="214"/>
  <c r="Y66" i="214"/>
  <c r="X66" i="214"/>
  <c r="W66" i="214"/>
  <c r="V66" i="214"/>
  <c r="U66" i="214"/>
  <c r="T66" i="214"/>
  <c r="S66" i="214"/>
  <c r="R66" i="214"/>
  <c r="Q66" i="214"/>
  <c r="P66" i="214"/>
  <c r="O66" i="214"/>
  <c r="N66" i="214"/>
  <c r="M66" i="214"/>
  <c r="L66" i="214"/>
  <c r="K66" i="214"/>
  <c r="J66" i="214"/>
  <c r="I66" i="214"/>
  <c r="H66" i="214"/>
  <c r="G66" i="214"/>
  <c r="F66" i="214"/>
  <c r="E66" i="214"/>
  <c r="AE65" i="214"/>
  <c r="AC65" i="214"/>
  <c r="AB65" i="214"/>
  <c r="AA65" i="214"/>
  <c r="Z65" i="214"/>
  <c r="Y65" i="214"/>
  <c r="X65" i="214"/>
  <c r="W65" i="214"/>
  <c r="V65" i="214"/>
  <c r="U65" i="214"/>
  <c r="T65" i="214"/>
  <c r="S65" i="214"/>
  <c r="R65" i="214"/>
  <c r="Q65" i="214"/>
  <c r="P65" i="214"/>
  <c r="O65" i="214"/>
  <c r="N65" i="214"/>
  <c r="M65" i="214"/>
  <c r="L65" i="214"/>
  <c r="K65" i="214"/>
  <c r="J65" i="214"/>
  <c r="I65" i="214"/>
  <c r="H65" i="214"/>
  <c r="G65" i="214"/>
  <c r="F65" i="214"/>
  <c r="E65" i="214"/>
  <c r="AE64" i="214"/>
  <c r="AC64" i="214"/>
  <c r="AB64" i="214"/>
  <c r="AA64" i="214"/>
  <c r="Z64" i="214"/>
  <c r="Y64" i="214"/>
  <c r="X64" i="214"/>
  <c r="W64" i="214"/>
  <c r="V64" i="214"/>
  <c r="U64" i="214"/>
  <c r="T64" i="214"/>
  <c r="S64" i="214"/>
  <c r="R64" i="214"/>
  <c r="Q64" i="214"/>
  <c r="P64" i="214"/>
  <c r="O64" i="214"/>
  <c r="N64" i="214"/>
  <c r="M64" i="214"/>
  <c r="L64" i="214"/>
  <c r="K64" i="214"/>
  <c r="J64" i="214"/>
  <c r="I64" i="214"/>
  <c r="H64" i="214"/>
  <c r="G64" i="214"/>
  <c r="F64" i="214"/>
  <c r="E64" i="214"/>
  <c r="AE63" i="214"/>
  <c r="AC63" i="214"/>
  <c r="AB63" i="214"/>
  <c r="AA63" i="214"/>
  <c r="Z63" i="214"/>
  <c r="Y63" i="214"/>
  <c r="X63" i="214"/>
  <c r="W63" i="214"/>
  <c r="V63" i="214"/>
  <c r="U63" i="214"/>
  <c r="T63" i="214"/>
  <c r="S63" i="214"/>
  <c r="R63" i="214"/>
  <c r="Q63" i="214"/>
  <c r="P63" i="214"/>
  <c r="O63" i="214"/>
  <c r="N63" i="214"/>
  <c r="M63" i="214"/>
  <c r="L63" i="214"/>
  <c r="K63" i="214"/>
  <c r="J63" i="214"/>
  <c r="I63" i="214"/>
  <c r="H63" i="214"/>
  <c r="G63" i="214"/>
  <c r="F63" i="214"/>
  <c r="E63" i="214"/>
  <c r="AE59" i="214"/>
  <c r="AC59" i="214"/>
  <c r="AB59" i="214"/>
  <c r="AA59" i="214"/>
  <c r="Z59" i="214"/>
  <c r="Y59" i="214"/>
  <c r="X59" i="214"/>
  <c r="W59" i="214"/>
  <c r="V59" i="214"/>
  <c r="U59" i="214"/>
  <c r="T59" i="214"/>
  <c r="S59" i="214"/>
  <c r="R59" i="214"/>
  <c r="Q59" i="214"/>
  <c r="P59" i="214"/>
  <c r="O59" i="214"/>
  <c r="N59" i="214"/>
  <c r="M59" i="214"/>
  <c r="L59" i="214"/>
  <c r="K59" i="214"/>
  <c r="J59" i="214"/>
  <c r="I59" i="214"/>
  <c r="H59" i="214"/>
  <c r="G59" i="214"/>
  <c r="F59" i="214"/>
  <c r="E59" i="214"/>
  <c r="AE54" i="214"/>
  <c r="AC54" i="214"/>
  <c r="AB54" i="214"/>
  <c r="AA54" i="214"/>
  <c r="Z54" i="214"/>
  <c r="Y54" i="214"/>
  <c r="X54" i="214"/>
  <c r="W54" i="214"/>
  <c r="V54" i="214"/>
  <c r="U54" i="214"/>
  <c r="T54" i="214"/>
  <c r="S54" i="214"/>
  <c r="R54" i="214"/>
  <c r="Q54" i="214"/>
  <c r="P54" i="214"/>
  <c r="O54" i="214"/>
  <c r="N54" i="214"/>
  <c r="M54" i="214"/>
  <c r="L54" i="214"/>
  <c r="K54" i="214"/>
  <c r="J54" i="214"/>
  <c r="I54" i="214"/>
  <c r="H54" i="214"/>
  <c r="G54" i="214"/>
  <c r="F54" i="214"/>
  <c r="E54" i="214"/>
  <c r="AE49" i="214"/>
  <c r="AC49" i="214"/>
  <c r="AB49" i="214"/>
  <c r="AA49" i="214"/>
  <c r="Z49" i="214"/>
  <c r="Y49" i="214"/>
  <c r="X49" i="214"/>
  <c r="W49" i="214"/>
  <c r="V49" i="214"/>
  <c r="U49" i="214"/>
  <c r="T49" i="214"/>
  <c r="S49" i="214"/>
  <c r="R49" i="214"/>
  <c r="Q49" i="214"/>
  <c r="P49" i="214"/>
  <c r="O49" i="214"/>
  <c r="N49" i="214"/>
  <c r="M49" i="214"/>
  <c r="L49" i="214"/>
  <c r="K49" i="214"/>
  <c r="J49" i="214"/>
  <c r="I49" i="214"/>
  <c r="H49" i="214"/>
  <c r="G49" i="214"/>
  <c r="F49" i="214"/>
  <c r="E49" i="214"/>
  <c r="AE44" i="214"/>
  <c r="AC44" i="214"/>
  <c r="AB44" i="214"/>
  <c r="AA44" i="214"/>
  <c r="Z44" i="214"/>
  <c r="Y44" i="214"/>
  <c r="X44" i="214"/>
  <c r="W44" i="214"/>
  <c r="V44" i="214"/>
  <c r="U44" i="214"/>
  <c r="T44" i="214"/>
  <c r="S44" i="214"/>
  <c r="R44" i="214"/>
  <c r="Q44" i="214"/>
  <c r="P44" i="214"/>
  <c r="O44" i="214"/>
  <c r="N44" i="214"/>
  <c r="M44" i="214"/>
  <c r="L44" i="214"/>
  <c r="K44" i="214"/>
  <c r="J44" i="214"/>
  <c r="I44" i="214"/>
  <c r="H44" i="214"/>
  <c r="G44" i="214"/>
  <c r="F44" i="214"/>
  <c r="E44" i="214"/>
  <c r="AE43" i="214"/>
  <c r="AC43" i="214"/>
  <c r="AB43" i="214"/>
  <c r="AA43" i="214"/>
  <c r="Z43" i="214"/>
  <c r="Y43" i="214"/>
  <c r="X43" i="214"/>
  <c r="W43" i="214"/>
  <c r="V43" i="214"/>
  <c r="U43" i="214"/>
  <c r="T43" i="214"/>
  <c r="S43" i="214"/>
  <c r="R43" i="214"/>
  <c r="Q43" i="214"/>
  <c r="P43" i="214"/>
  <c r="O43" i="214"/>
  <c r="N43" i="214"/>
  <c r="M43" i="214"/>
  <c r="L43" i="214"/>
  <c r="K43" i="214"/>
  <c r="J43" i="214"/>
  <c r="I43" i="214"/>
  <c r="H43" i="214"/>
  <c r="G43" i="214"/>
  <c r="F43" i="214"/>
  <c r="E43" i="214"/>
  <c r="AE38" i="214"/>
  <c r="AC38" i="214"/>
  <c r="AB38" i="214"/>
  <c r="AA38" i="214"/>
  <c r="Z38" i="214"/>
  <c r="Y38" i="214"/>
  <c r="X38" i="214"/>
  <c r="W38" i="214"/>
  <c r="V38" i="214"/>
  <c r="U38" i="214"/>
  <c r="T38" i="214"/>
  <c r="S38" i="214"/>
  <c r="R38" i="214"/>
  <c r="Q38" i="214"/>
  <c r="P38" i="214"/>
  <c r="O38" i="214"/>
  <c r="N38" i="214"/>
  <c r="M38" i="214"/>
  <c r="L38" i="214"/>
  <c r="K38" i="214"/>
  <c r="J38" i="214"/>
  <c r="I38" i="214"/>
  <c r="H38" i="214"/>
  <c r="G38" i="214"/>
  <c r="F38" i="214"/>
  <c r="E38" i="214"/>
  <c r="AA35" i="214"/>
  <c r="Z35" i="214"/>
  <c r="Y35" i="214"/>
  <c r="X35" i="214"/>
  <c r="W35" i="214"/>
  <c r="V35" i="214"/>
  <c r="U35" i="214"/>
  <c r="T35" i="214"/>
  <c r="S35" i="214"/>
  <c r="R35" i="214"/>
  <c r="P35" i="214"/>
  <c r="O35" i="214"/>
  <c r="N35" i="214"/>
  <c r="M35" i="214"/>
  <c r="L35" i="214"/>
  <c r="K35" i="214"/>
  <c r="J35" i="214"/>
  <c r="E35" i="214"/>
  <c r="AE34" i="214"/>
  <c r="AD34" i="214"/>
  <c r="AC34" i="214"/>
  <c r="AB34" i="214"/>
  <c r="AA34" i="214"/>
  <c r="Z34" i="214"/>
  <c r="Y34" i="214"/>
  <c r="X34" i="214"/>
  <c r="W34" i="214"/>
  <c r="V34" i="214"/>
  <c r="U34" i="214"/>
  <c r="T34" i="214"/>
  <c r="S34" i="214"/>
  <c r="R34" i="214"/>
  <c r="Q34" i="214"/>
  <c r="P34" i="214"/>
  <c r="O34" i="214"/>
  <c r="N34" i="214"/>
  <c r="M34" i="214"/>
  <c r="L34" i="214"/>
  <c r="K34" i="214"/>
  <c r="J34" i="214"/>
  <c r="I34" i="214"/>
  <c r="H34" i="214"/>
  <c r="G34" i="214"/>
  <c r="F34" i="214"/>
  <c r="E34" i="214"/>
  <c r="AE33" i="214"/>
  <c r="AC33" i="214"/>
  <c r="AB33" i="214"/>
  <c r="AA33" i="214"/>
  <c r="Z33" i="214"/>
  <c r="Y33" i="214"/>
  <c r="X33" i="214"/>
  <c r="W33" i="214"/>
  <c r="V33" i="214"/>
  <c r="U33" i="214"/>
  <c r="T33" i="214"/>
  <c r="S33" i="214"/>
  <c r="R33" i="214"/>
  <c r="Q33" i="214"/>
  <c r="P33" i="214"/>
  <c r="O33" i="214"/>
  <c r="N33" i="214"/>
  <c r="M33" i="214"/>
  <c r="L33" i="214"/>
  <c r="K33" i="214"/>
  <c r="J33" i="214"/>
  <c r="I33" i="214"/>
  <c r="H33" i="214"/>
  <c r="G33" i="214"/>
  <c r="F33" i="214"/>
  <c r="E33" i="214"/>
  <c r="AE32" i="214"/>
  <c r="AC32" i="214"/>
  <c r="AB32" i="214"/>
  <c r="AA32" i="214"/>
  <c r="Z32" i="214"/>
  <c r="Y32" i="214"/>
  <c r="X32" i="214"/>
  <c r="W32" i="214"/>
  <c r="V32" i="214"/>
  <c r="U32" i="214"/>
  <c r="T32" i="214"/>
  <c r="S32" i="214"/>
  <c r="R32" i="214"/>
  <c r="Q32" i="214"/>
  <c r="P32" i="214"/>
  <c r="O32" i="214"/>
  <c r="N32" i="214"/>
  <c r="M32" i="214"/>
  <c r="L32" i="214"/>
  <c r="K32" i="214"/>
  <c r="J32" i="214"/>
  <c r="I32" i="214"/>
  <c r="H32" i="214"/>
  <c r="G32" i="214"/>
  <c r="F32" i="214"/>
  <c r="E32" i="214"/>
  <c r="AE31" i="214"/>
  <c r="AC31" i="214"/>
  <c r="AB31" i="214"/>
  <c r="AA31" i="214"/>
  <c r="Z31" i="214"/>
  <c r="Y31" i="214"/>
  <c r="X31" i="214"/>
  <c r="W31" i="214"/>
  <c r="V31" i="214"/>
  <c r="U31" i="214"/>
  <c r="T31" i="214"/>
  <c r="S31" i="214"/>
  <c r="R31" i="214"/>
  <c r="Q31" i="214"/>
  <c r="P31" i="214"/>
  <c r="O31" i="214"/>
  <c r="N31" i="214"/>
  <c r="M31" i="214"/>
  <c r="L31" i="214"/>
  <c r="K31" i="214"/>
  <c r="J31" i="214"/>
  <c r="I31" i="214"/>
  <c r="H31" i="214"/>
  <c r="G31" i="214"/>
  <c r="F31" i="214"/>
  <c r="E31" i="214"/>
  <c r="AE27" i="214"/>
  <c r="AC27" i="214"/>
  <c r="AB27" i="214"/>
  <c r="AA27" i="214"/>
  <c r="Z27" i="214"/>
  <c r="Y27" i="214"/>
  <c r="X27" i="214"/>
  <c r="W27" i="214"/>
  <c r="V27" i="214"/>
  <c r="U27" i="214"/>
  <c r="T27" i="214"/>
  <c r="S27" i="214"/>
  <c r="R27" i="214"/>
  <c r="Q27" i="214"/>
  <c r="P27" i="214"/>
  <c r="O27" i="214"/>
  <c r="N27" i="214"/>
  <c r="M27" i="214"/>
  <c r="L27" i="214"/>
  <c r="K27" i="214"/>
  <c r="J27" i="214"/>
  <c r="I27" i="214"/>
  <c r="H27" i="214"/>
  <c r="G27" i="214"/>
  <c r="F27" i="214"/>
  <c r="E27" i="214"/>
  <c r="AD24" i="214"/>
  <c r="AA24" i="214"/>
  <c r="Z24" i="214"/>
  <c r="Y24" i="214"/>
  <c r="X24" i="214"/>
  <c r="W24" i="214"/>
  <c r="V24" i="214"/>
  <c r="U24" i="214"/>
  <c r="T24" i="214"/>
  <c r="S24" i="214"/>
  <c r="R24" i="214"/>
  <c r="P24" i="214"/>
  <c r="O24" i="214"/>
  <c r="N24" i="214"/>
  <c r="M24" i="214"/>
  <c r="L24" i="214"/>
  <c r="K24" i="214"/>
  <c r="J24" i="214"/>
  <c r="E24" i="214"/>
  <c r="AA23" i="214"/>
  <c r="Z23" i="214"/>
  <c r="Y23" i="214"/>
  <c r="X23" i="214"/>
  <c r="W23" i="214"/>
  <c r="V23" i="214"/>
  <c r="U23" i="214"/>
  <c r="T23" i="214"/>
  <c r="S23" i="214"/>
  <c r="R23" i="214"/>
  <c r="P23" i="214"/>
  <c r="O23" i="214"/>
  <c r="N23" i="214"/>
  <c r="M23" i="214"/>
  <c r="L23" i="214"/>
  <c r="K23" i="214"/>
  <c r="J23" i="214"/>
  <c r="E23" i="214"/>
  <c r="AA20" i="214"/>
  <c r="Z20" i="214"/>
  <c r="Y20" i="214"/>
  <c r="X20" i="214"/>
  <c r="W20" i="214"/>
  <c r="V20" i="214"/>
  <c r="U20" i="214"/>
  <c r="T20" i="214"/>
  <c r="S20" i="214"/>
  <c r="R20" i="214"/>
  <c r="P20" i="214"/>
  <c r="O20" i="214"/>
  <c r="N20" i="214"/>
  <c r="M20" i="214"/>
  <c r="L20" i="214"/>
  <c r="K20" i="214"/>
  <c r="J20" i="214"/>
  <c r="H20" i="214"/>
  <c r="E20" i="214"/>
  <c r="AE19" i="214"/>
  <c r="AC19" i="214"/>
  <c r="AB19" i="214"/>
  <c r="AA19" i="214"/>
  <c r="Z19" i="214"/>
  <c r="Y19" i="214"/>
  <c r="X19" i="214"/>
  <c r="W19" i="214"/>
  <c r="V19" i="214"/>
  <c r="U19" i="214"/>
  <c r="T19" i="214"/>
  <c r="S19" i="214"/>
  <c r="R19" i="214"/>
  <c r="Q19" i="214"/>
  <c r="P19" i="214"/>
  <c r="O19" i="214"/>
  <c r="N19" i="214"/>
  <c r="M19" i="214"/>
  <c r="L19" i="214"/>
  <c r="K19" i="214"/>
  <c r="J19" i="214"/>
  <c r="I19" i="214"/>
  <c r="H19" i="214"/>
  <c r="G19" i="214"/>
  <c r="F19" i="214"/>
  <c r="E19" i="214"/>
  <c r="AA18" i="214"/>
  <c r="Z18" i="214"/>
  <c r="Y18" i="214"/>
  <c r="X18" i="214"/>
  <c r="W18" i="214"/>
  <c r="V18" i="214"/>
  <c r="U18" i="214"/>
  <c r="T18" i="214"/>
  <c r="S18" i="214"/>
  <c r="R18" i="214"/>
  <c r="P18" i="214"/>
  <c r="O18" i="214"/>
  <c r="N18" i="214"/>
  <c r="M18" i="214"/>
  <c r="L18" i="214"/>
  <c r="K18" i="214"/>
  <c r="J18" i="214"/>
  <c r="H18" i="214"/>
  <c r="E18" i="214"/>
  <c r="AA16" i="214"/>
  <c r="Z16" i="214"/>
  <c r="Y16" i="214"/>
  <c r="X16" i="214"/>
  <c r="W16" i="214"/>
  <c r="V16" i="214"/>
  <c r="U16" i="214"/>
  <c r="T16" i="214"/>
  <c r="S16" i="214"/>
  <c r="R16" i="214"/>
  <c r="P16" i="214"/>
  <c r="O16" i="214"/>
  <c r="N16" i="214"/>
  <c r="M16" i="214"/>
  <c r="L16" i="214"/>
  <c r="K16" i="214"/>
  <c r="J16" i="214"/>
  <c r="H16" i="214"/>
  <c r="E16" i="214"/>
  <c r="AE15" i="214"/>
  <c r="AC15" i="214"/>
  <c r="AB15" i="214"/>
  <c r="AA15" i="214"/>
  <c r="Q15" i="214"/>
  <c r="AE14" i="214"/>
  <c r="AC14" i="214"/>
  <c r="AB14" i="214"/>
  <c r="AA14" i="214"/>
  <c r="Q14" i="214"/>
  <c r="AE13" i="214"/>
  <c r="AC13" i="214"/>
  <c r="AB13" i="214"/>
  <c r="AA13" i="214"/>
  <c r="Q13" i="214"/>
  <c r="AA12" i="214"/>
  <c r="Z12" i="214"/>
  <c r="Y12" i="214"/>
  <c r="X12" i="214"/>
  <c r="W12" i="214"/>
  <c r="V12" i="214"/>
  <c r="U12" i="214"/>
  <c r="T12" i="214"/>
  <c r="S12" i="214"/>
  <c r="R12" i="214"/>
  <c r="P12" i="214"/>
  <c r="O12" i="214"/>
  <c r="N12" i="214"/>
  <c r="M12" i="214"/>
  <c r="L12" i="214"/>
  <c r="K12" i="214"/>
  <c r="J12" i="214"/>
  <c r="H12" i="214"/>
  <c r="E12" i="214"/>
  <c r="AA11" i="214"/>
  <c r="Z11" i="214"/>
  <c r="Y11" i="214"/>
  <c r="X11" i="214"/>
  <c r="W11" i="214"/>
  <c r="V11" i="214"/>
  <c r="U11" i="214"/>
  <c r="T11" i="214"/>
  <c r="S11" i="214"/>
  <c r="R11" i="214"/>
  <c r="P11" i="214"/>
  <c r="O11" i="214"/>
  <c r="N11" i="214"/>
  <c r="M11" i="214"/>
  <c r="L11" i="214"/>
  <c r="K11" i="214"/>
  <c r="J11" i="214"/>
  <c r="H11" i="214"/>
  <c r="E11" i="214"/>
  <c r="Z9" i="214"/>
  <c r="Y9" i="214"/>
  <c r="X9" i="214"/>
  <c r="W9" i="214"/>
  <c r="V9" i="214"/>
  <c r="U9" i="214"/>
  <c r="T9" i="214"/>
  <c r="S9" i="214"/>
  <c r="R9" i="214"/>
  <c r="P9" i="214"/>
  <c r="O9" i="214"/>
  <c r="N9" i="214"/>
  <c r="M9" i="214"/>
  <c r="L9" i="214"/>
  <c r="K9" i="214"/>
  <c r="J9" i="214"/>
  <c r="I9" i="214"/>
  <c r="H9" i="214"/>
  <c r="G9" i="214"/>
  <c r="F9" i="214"/>
  <c r="A4" i="214"/>
  <c r="A3" i="214"/>
  <c r="A2" i="214"/>
  <c r="A1" i="214"/>
  <c r="K67" i="99"/>
  <c r="J67" i="99"/>
  <c r="I67" i="99"/>
  <c r="H67" i="99"/>
  <c r="D67" i="99"/>
  <c r="C67" i="99"/>
  <c r="A67" i="99"/>
  <c r="H66" i="99"/>
  <c r="D66" i="99"/>
  <c r="C66" i="99"/>
  <c r="A66" i="99"/>
  <c r="A65" i="99"/>
  <c r="A64" i="99"/>
  <c r="K63" i="99"/>
  <c r="J63" i="99"/>
  <c r="I63" i="99"/>
  <c r="H63" i="99"/>
  <c r="D63" i="99"/>
  <c r="C63" i="99"/>
  <c r="A63" i="99"/>
  <c r="H62" i="99"/>
  <c r="D62" i="99"/>
  <c r="C62" i="99"/>
  <c r="A62" i="99"/>
  <c r="A61" i="99"/>
  <c r="A60" i="99"/>
  <c r="K59" i="99"/>
  <c r="J59" i="99"/>
  <c r="I59" i="99"/>
  <c r="H59" i="99"/>
  <c r="D59" i="99"/>
  <c r="C59" i="99"/>
  <c r="A59" i="99"/>
  <c r="K58" i="99"/>
  <c r="J58" i="99"/>
  <c r="I58" i="99"/>
  <c r="H58" i="99"/>
  <c r="D58" i="99"/>
  <c r="C58" i="99"/>
  <c r="A58" i="99"/>
  <c r="K57" i="99"/>
  <c r="J57" i="99"/>
  <c r="I57" i="99"/>
  <c r="H57" i="99"/>
  <c r="D57" i="99"/>
  <c r="C57" i="99"/>
  <c r="A57" i="99"/>
  <c r="K56" i="99"/>
  <c r="J56" i="99"/>
  <c r="I56" i="99"/>
  <c r="H56" i="99"/>
  <c r="D56" i="99"/>
  <c r="C56" i="99"/>
  <c r="A56" i="99"/>
  <c r="K55" i="99"/>
  <c r="J55" i="99"/>
  <c r="I55" i="99"/>
  <c r="H55" i="99"/>
  <c r="D55" i="99"/>
  <c r="C55" i="99"/>
  <c r="A55" i="99"/>
  <c r="K54" i="99"/>
  <c r="J54" i="99"/>
  <c r="I54" i="99"/>
  <c r="H54" i="99"/>
  <c r="D54" i="99"/>
  <c r="C54" i="99"/>
  <c r="A54" i="99"/>
  <c r="K53" i="99"/>
  <c r="J53" i="99"/>
  <c r="I53" i="99"/>
  <c r="H53" i="99"/>
  <c r="D53" i="99"/>
  <c r="C53" i="99"/>
  <c r="A53" i="99"/>
  <c r="K52" i="99"/>
  <c r="J52" i="99"/>
  <c r="I52" i="99"/>
  <c r="H52" i="99"/>
  <c r="D52" i="99"/>
  <c r="C52" i="99"/>
  <c r="A52" i="99"/>
  <c r="K51" i="99"/>
  <c r="J51" i="99"/>
  <c r="I51" i="99"/>
  <c r="H51" i="99"/>
  <c r="D51" i="99"/>
  <c r="C51" i="99"/>
  <c r="A51" i="99"/>
  <c r="K50" i="99"/>
  <c r="J50" i="99"/>
  <c r="I50" i="99"/>
  <c r="H50" i="99"/>
  <c r="D50" i="99"/>
  <c r="C50" i="99"/>
  <c r="A50" i="99"/>
  <c r="K49" i="99"/>
  <c r="J49" i="99"/>
  <c r="I49" i="99"/>
  <c r="H49" i="99"/>
  <c r="D49" i="99"/>
  <c r="C49" i="99"/>
  <c r="A49" i="99"/>
  <c r="K48" i="99"/>
  <c r="J48" i="99"/>
  <c r="I48" i="99"/>
  <c r="H48" i="99"/>
  <c r="D48" i="99"/>
  <c r="C48" i="99"/>
  <c r="A48" i="99"/>
  <c r="K47" i="99"/>
  <c r="J47" i="99"/>
  <c r="I47" i="99"/>
  <c r="H47" i="99"/>
  <c r="D47" i="99"/>
  <c r="C47" i="99"/>
  <c r="A47" i="99"/>
  <c r="A46" i="99"/>
  <c r="A45" i="99"/>
  <c r="K44" i="99"/>
  <c r="J44" i="99"/>
  <c r="I44" i="99"/>
  <c r="H44" i="99"/>
  <c r="G44" i="99"/>
  <c r="F44" i="99"/>
  <c r="E44" i="99"/>
  <c r="D44" i="99"/>
  <c r="C44" i="99"/>
  <c r="A44" i="99"/>
  <c r="H43" i="99"/>
  <c r="G43" i="99"/>
  <c r="F43" i="99"/>
  <c r="E43" i="99"/>
  <c r="D43" i="99"/>
  <c r="C43" i="99"/>
  <c r="A43" i="99"/>
  <c r="A42" i="99"/>
  <c r="A41" i="99"/>
  <c r="A40" i="99"/>
  <c r="K39" i="99"/>
  <c r="J39" i="99"/>
  <c r="I39" i="99"/>
  <c r="H39" i="99"/>
  <c r="D39" i="99"/>
  <c r="C39" i="99"/>
  <c r="A39" i="99"/>
  <c r="H38" i="99"/>
  <c r="D38" i="99"/>
  <c r="C38" i="99"/>
  <c r="A38" i="99"/>
  <c r="K37" i="99"/>
  <c r="J37" i="99"/>
  <c r="I37" i="99"/>
  <c r="H37" i="99"/>
  <c r="D37" i="99"/>
  <c r="C37" i="99"/>
  <c r="A37" i="99"/>
  <c r="A36" i="99"/>
  <c r="A35" i="99"/>
  <c r="K34" i="99"/>
  <c r="J34" i="99"/>
  <c r="I34" i="99"/>
  <c r="H34" i="99"/>
  <c r="D34" i="99"/>
  <c r="C34" i="99"/>
  <c r="A34" i="99"/>
  <c r="H33" i="99"/>
  <c r="D33" i="99"/>
  <c r="C33" i="99"/>
  <c r="A33" i="99"/>
  <c r="K32" i="99"/>
  <c r="J32" i="99"/>
  <c r="I32" i="99"/>
  <c r="H32" i="99"/>
  <c r="D32" i="99"/>
  <c r="C32" i="99"/>
  <c r="A32" i="99"/>
  <c r="A31" i="99"/>
  <c r="A30" i="99"/>
  <c r="K29" i="99"/>
  <c r="J29" i="99"/>
  <c r="I29" i="99"/>
  <c r="H29" i="99"/>
  <c r="D29" i="99"/>
  <c r="C29" i="99"/>
  <c r="A29" i="99"/>
  <c r="H28" i="99"/>
  <c r="D28" i="99"/>
  <c r="C28" i="99"/>
  <c r="A28" i="99"/>
  <c r="H27" i="99"/>
  <c r="D27" i="99"/>
  <c r="C27" i="99"/>
  <c r="A27" i="99"/>
  <c r="H26" i="99"/>
  <c r="D26" i="99"/>
  <c r="C26" i="99"/>
  <c r="A26" i="99"/>
  <c r="H25" i="99"/>
  <c r="D25" i="99"/>
  <c r="C25" i="99"/>
  <c r="A25" i="99"/>
  <c r="H24" i="99"/>
  <c r="D24" i="99"/>
  <c r="C24" i="99"/>
  <c r="A24" i="99"/>
  <c r="H23" i="99"/>
  <c r="D23" i="99"/>
  <c r="C23" i="99"/>
  <c r="A23" i="99"/>
  <c r="H22" i="99"/>
  <c r="D22" i="99"/>
  <c r="C22" i="99"/>
  <c r="A22" i="99"/>
  <c r="H21" i="99"/>
  <c r="D21" i="99"/>
  <c r="C21" i="99"/>
  <c r="A21" i="99"/>
  <c r="H20" i="99"/>
  <c r="D20" i="99"/>
  <c r="C20" i="99"/>
  <c r="A20" i="99"/>
  <c r="H19" i="99"/>
  <c r="D19" i="99"/>
  <c r="C19" i="99"/>
  <c r="A19" i="99"/>
  <c r="H18" i="99"/>
  <c r="D18" i="99"/>
  <c r="C18" i="99"/>
  <c r="A18" i="99"/>
  <c r="K28" i="99"/>
  <c r="K27" i="99"/>
  <c r="K26" i="99"/>
  <c r="K25" i="99"/>
  <c r="K24" i="99"/>
  <c r="K23" i="99"/>
  <c r="K22" i="99"/>
  <c r="K21" i="99"/>
  <c r="K20" i="99"/>
  <c r="K19" i="99"/>
  <c r="K18" i="99"/>
  <c r="K17" i="99"/>
  <c r="K17" i="99" a="1"/>
  <c r="J28" i="99"/>
  <c r="J27" i="99"/>
  <c r="J26" i="99"/>
  <c r="J25" i="99"/>
  <c r="J24" i="99"/>
  <c r="J23" i="99"/>
  <c r="J22" i="99"/>
  <c r="J21" i="99"/>
  <c r="J20" i="99"/>
  <c r="J19" i="99"/>
  <c r="J18" i="99"/>
  <c r="J17" i="99"/>
  <c r="J17" i="99" a="1"/>
  <c r="I28" i="99"/>
  <c r="I27" i="99"/>
  <c r="I26" i="99"/>
  <c r="I25" i="99"/>
  <c r="I24" i="99"/>
  <c r="I23" i="99"/>
  <c r="I22" i="99"/>
  <c r="I21" i="99"/>
  <c r="I20" i="99"/>
  <c r="I19" i="99"/>
  <c r="I18" i="99"/>
  <c r="I17" i="99"/>
  <c r="I17" i="99" a="1"/>
  <c r="H17" i="99"/>
  <c r="D17" i="99"/>
  <c r="C17" i="99"/>
  <c r="A17" i="99"/>
  <c r="A16" i="99"/>
  <c r="A15" i="99"/>
  <c r="K14" i="99"/>
  <c r="J14" i="99"/>
  <c r="I14" i="99"/>
  <c r="H14" i="99"/>
  <c r="G14" i="99"/>
  <c r="F14" i="99"/>
  <c r="E14" i="99"/>
  <c r="D14" i="99"/>
  <c r="C14" i="99"/>
  <c r="A14" i="99"/>
  <c r="H13" i="99"/>
  <c r="G13" i="99"/>
  <c r="F13" i="99"/>
  <c r="E13" i="99"/>
  <c r="D13" i="99"/>
  <c r="C13" i="99"/>
  <c r="A13" i="99"/>
  <c r="K12" i="99"/>
  <c r="J12" i="99"/>
  <c r="I12" i="99"/>
  <c r="H12" i="99"/>
  <c r="G12" i="99"/>
  <c r="F12" i="99"/>
  <c r="E12" i="99"/>
  <c r="D12" i="99"/>
  <c r="C12" i="99"/>
  <c r="A12" i="99"/>
  <c r="A11" i="99"/>
  <c r="E4" i="99"/>
  <c r="A3" i="99"/>
  <c r="A2" i="99"/>
  <c r="A1" i="99"/>
  <c r="J392" i="203"/>
  <c r="B317" i="203"/>
  <c r="A317" i="203"/>
  <c r="A316" i="203"/>
  <c r="A315" i="203"/>
  <c r="A314" i="203"/>
  <c r="A313" i="203"/>
  <c r="A312" i="203"/>
  <c r="A311" i="203"/>
  <c r="A310" i="203"/>
  <c r="A309" i="203"/>
  <c r="A308" i="203"/>
  <c r="A307" i="203"/>
  <c r="A306" i="203"/>
  <c r="B305" i="203"/>
  <c r="A305" i="203"/>
  <c r="D304" i="203"/>
  <c r="A304" i="203"/>
  <c r="A303" i="203"/>
  <c r="A302" i="203"/>
  <c r="A301" i="203"/>
  <c r="A300" i="203"/>
  <c r="B299" i="203"/>
  <c r="A299" i="203"/>
  <c r="A298" i="203"/>
  <c r="B297" i="203"/>
  <c r="A297" i="203"/>
  <c r="D296" i="203"/>
  <c r="A296" i="203"/>
  <c r="D295" i="203"/>
  <c r="A295" i="203"/>
  <c r="D294" i="203"/>
  <c r="A294" i="203"/>
  <c r="A293" i="203"/>
  <c r="A292" i="203"/>
  <c r="A291" i="203"/>
  <c r="H290" i="203"/>
  <c r="G290" i="203"/>
  <c r="D290" i="203"/>
  <c r="B290" i="203"/>
  <c r="A290" i="203"/>
  <c r="D289" i="203"/>
  <c r="A289" i="203"/>
  <c r="A288" i="203"/>
  <c r="A287" i="203"/>
  <c r="B286" i="203"/>
  <c r="A285" i="203"/>
  <c r="A284" i="203"/>
  <c r="A283" i="203"/>
  <c r="A282" i="203"/>
  <c r="H281" i="203"/>
  <c r="G281" i="203"/>
  <c r="D281" i="203"/>
  <c r="B281" i="203"/>
  <c r="A281" i="203"/>
  <c r="A280" i="203"/>
  <c r="D279" i="203"/>
  <c r="B279" i="203"/>
  <c r="A279" i="203"/>
  <c r="M278" i="203"/>
  <c r="D278" i="203"/>
  <c r="C278" i="203"/>
  <c r="B278" i="203"/>
  <c r="A278" i="203"/>
  <c r="M277" i="203"/>
  <c r="D277" i="203"/>
  <c r="C277" i="203"/>
  <c r="B277" i="203"/>
  <c r="A277" i="203"/>
  <c r="M276" i="203"/>
  <c r="C276" i="203"/>
  <c r="B276" i="203"/>
  <c r="A276" i="203"/>
  <c r="M275" i="203"/>
  <c r="D275" i="203"/>
  <c r="C275" i="203"/>
  <c r="A275" i="203"/>
  <c r="M274" i="203"/>
  <c r="D274" i="203"/>
  <c r="C274" i="203"/>
  <c r="B274" i="203"/>
  <c r="A274" i="203"/>
  <c r="M273" i="203"/>
  <c r="D273" i="203"/>
  <c r="C273" i="203"/>
  <c r="B273" i="203"/>
  <c r="A273" i="203"/>
  <c r="M272" i="203"/>
  <c r="C272" i="203"/>
  <c r="B272" i="203"/>
  <c r="A272" i="203"/>
  <c r="M271" i="203"/>
  <c r="D271" i="203"/>
  <c r="C271" i="203"/>
  <c r="B271" i="203"/>
  <c r="A271" i="203"/>
  <c r="M270" i="203"/>
  <c r="D270" i="203"/>
  <c r="C270" i="203"/>
  <c r="B270" i="203"/>
  <c r="A270" i="203"/>
  <c r="M269" i="203"/>
  <c r="D269" i="203"/>
  <c r="C269" i="203"/>
  <c r="B269" i="203"/>
  <c r="A269" i="203"/>
  <c r="M268" i="203"/>
  <c r="B268" i="203"/>
  <c r="A268" i="203"/>
  <c r="M267" i="203"/>
  <c r="A267" i="203"/>
  <c r="M266" i="203"/>
  <c r="D266" i="203"/>
  <c r="B266" i="203"/>
  <c r="A266" i="203"/>
  <c r="M265" i="203"/>
  <c r="D265" i="203"/>
  <c r="C265" i="203"/>
  <c r="B265" i="203"/>
  <c r="A265" i="203"/>
  <c r="M264" i="203"/>
  <c r="D264" i="203"/>
  <c r="C264" i="203"/>
  <c r="B264" i="203"/>
  <c r="A264" i="203"/>
  <c r="M263" i="203"/>
  <c r="D263" i="203"/>
  <c r="C263" i="203"/>
  <c r="B263" i="203"/>
  <c r="A263" i="203"/>
  <c r="M262" i="203"/>
  <c r="D262" i="203"/>
  <c r="C262" i="203"/>
  <c r="B262" i="203"/>
  <c r="A262" i="203"/>
  <c r="D261" i="203"/>
  <c r="C261" i="203"/>
  <c r="B261" i="203"/>
  <c r="A261" i="203"/>
  <c r="M260" i="203"/>
  <c r="D260" i="203"/>
  <c r="C260" i="203"/>
  <c r="B260" i="203"/>
  <c r="A260" i="203"/>
  <c r="M259" i="203"/>
  <c r="D259" i="203"/>
  <c r="C259" i="203"/>
  <c r="A259" i="203"/>
  <c r="M258" i="203"/>
  <c r="D258" i="203"/>
  <c r="C258" i="203"/>
  <c r="B258" i="203"/>
  <c r="A258" i="203"/>
  <c r="M257" i="203"/>
  <c r="D257" i="203"/>
  <c r="C257" i="203"/>
  <c r="B257" i="203"/>
  <c r="A257" i="203"/>
  <c r="M256" i="203"/>
  <c r="D256" i="203"/>
  <c r="C256" i="203"/>
  <c r="B256" i="203"/>
  <c r="A256" i="203"/>
  <c r="M255" i="203"/>
  <c r="B255" i="203"/>
  <c r="A255" i="203"/>
  <c r="M254" i="203"/>
  <c r="A254" i="203"/>
  <c r="M253" i="203"/>
  <c r="D253" i="203"/>
  <c r="B253" i="203"/>
  <c r="A253" i="203"/>
  <c r="M252" i="203"/>
  <c r="C252" i="203"/>
  <c r="B252" i="203"/>
  <c r="A252" i="203"/>
  <c r="M251" i="203"/>
  <c r="D251" i="203"/>
  <c r="C251" i="203"/>
  <c r="A251" i="203"/>
  <c r="M250" i="203"/>
  <c r="C250" i="203"/>
  <c r="B250" i="203"/>
  <c r="A250" i="203"/>
  <c r="M249" i="203"/>
  <c r="D249" i="203"/>
  <c r="C249" i="203"/>
  <c r="B249" i="203"/>
  <c r="A249" i="203"/>
  <c r="M248" i="203"/>
  <c r="D248" i="203"/>
  <c r="C248" i="203"/>
  <c r="A248" i="203"/>
  <c r="M247" i="203"/>
  <c r="D247" i="203"/>
  <c r="C247" i="203"/>
  <c r="B247" i="203"/>
  <c r="A247" i="203"/>
  <c r="M246" i="203"/>
  <c r="B246" i="203"/>
  <c r="A246" i="203"/>
  <c r="M245" i="203"/>
  <c r="A245" i="203"/>
  <c r="D244" i="203"/>
  <c r="B244" i="203"/>
  <c r="A244" i="203"/>
  <c r="M243" i="203"/>
  <c r="C243" i="203"/>
  <c r="B243" i="203"/>
  <c r="A243" i="203"/>
  <c r="M242" i="203"/>
  <c r="C242" i="203"/>
  <c r="B242" i="203"/>
  <c r="A242" i="203"/>
  <c r="M241" i="203"/>
  <c r="C241" i="203"/>
  <c r="B241" i="203"/>
  <c r="A241" i="203"/>
  <c r="M240" i="203"/>
  <c r="C240" i="203"/>
  <c r="B240" i="203"/>
  <c r="A240" i="203"/>
  <c r="M239" i="203"/>
  <c r="B239" i="203"/>
  <c r="A239" i="203"/>
  <c r="M238" i="203"/>
  <c r="A238" i="203"/>
  <c r="D237" i="203"/>
  <c r="B237" i="203"/>
  <c r="A237" i="203"/>
  <c r="M236" i="203"/>
  <c r="D236" i="203"/>
  <c r="C236" i="203"/>
  <c r="B236" i="203"/>
  <c r="A236" i="203"/>
  <c r="M235" i="203"/>
  <c r="D235" i="203"/>
  <c r="C235" i="203"/>
  <c r="B235" i="203"/>
  <c r="A235" i="203"/>
  <c r="M234" i="203"/>
  <c r="D234" i="203"/>
  <c r="C234" i="203"/>
  <c r="B234" i="203"/>
  <c r="A234" i="203"/>
  <c r="M233" i="203"/>
  <c r="B233" i="203"/>
  <c r="A233" i="203"/>
  <c r="A232" i="203"/>
  <c r="A231" i="203"/>
  <c r="A230" i="203"/>
  <c r="B229" i="203"/>
  <c r="A229" i="203"/>
  <c r="A228" i="203"/>
  <c r="B227" i="203"/>
  <c r="A227" i="203"/>
  <c r="D226" i="203"/>
  <c r="A226" i="203"/>
  <c r="D225" i="203"/>
  <c r="A225" i="203"/>
  <c r="D224" i="203"/>
  <c r="A224" i="203"/>
  <c r="D223" i="203"/>
  <c r="A223" i="203"/>
  <c r="D222" i="203"/>
  <c r="A222" i="203"/>
  <c r="A221" i="203"/>
  <c r="D220" i="203"/>
  <c r="A220" i="203"/>
  <c r="D219" i="203"/>
  <c r="A219" i="203"/>
  <c r="D218" i="203"/>
  <c r="A218" i="203"/>
  <c r="D217" i="203"/>
  <c r="A217" i="203"/>
  <c r="D216" i="203"/>
  <c r="A216" i="203"/>
  <c r="A215" i="203"/>
  <c r="A214" i="203"/>
  <c r="G213" i="203"/>
  <c r="B213" i="203"/>
  <c r="A213" i="203"/>
  <c r="A212" i="203"/>
  <c r="D211" i="203"/>
  <c r="B211" i="203"/>
  <c r="A211" i="203"/>
  <c r="E210" i="203"/>
  <c r="D210" i="203"/>
  <c r="A210" i="203"/>
  <c r="E209" i="203"/>
  <c r="D209" i="203"/>
  <c r="A209" i="203"/>
  <c r="E208" i="203"/>
  <c r="D208" i="203"/>
  <c r="A208" i="203"/>
  <c r="E207" i="203"/>
  <c r="E211" i="203" s="1"/>
  <c r="D207" i="203"/>
  <c r="A207" i="203"/>
  <c r="O206" i="203"/>
  <c r="N206" i="203"/>
  <c r="M206" i="203"/>
  <c r="L206" i="203"/>
  <c r="K206" i="203"/>
  <c r="A206" i="203"/>
  <c r="O205" i="203"/>
  <c r="N205" i="203"/>
  <c r="M205" i="203"/>
  <c r="L205" i="203"/>
  <c r="K205" i="203"/>
  <c r="J205" i="203"/>
  <c r="A205" i="203"/>
  <c r="Q204" i="203"/>
  <c r="N204" i="203"/>
  <c r="L204" i="203"/>
  <c r="K204" i="203"/>
  <c r="D204" i="203"/>
  <c r="B204" i="203"/>
  <c r="A204" i="203"/>
  <c r="O203" i="203"/>
  <c r="N203" i="203"/>
  <c r="L203" i="203"/>
  <c r="K203" i="203"/>
  <c r="E203" i="203"/>
  <c r="D203" i="203"/>
  <c r="A203" i="203"/>
  <c r="Q202" i="203"/>
  <c r="N202" i="203"/>
  <c r="L202" i="203"/>
  <c r="K202" i="203"/>
  <c r="E202" i="203"/>
  <c r="D202" i="203"/>
  <c r="A202" i="203"/>
  <c r="Q201" i="203"/>
  <c r="N201" i="203"/>
  <c r="M201" i="203"/>
  <c r="L201" i="203"/>
  <c r="K201" i="203"/>
  <c r="E201" i="203"/>
  <c r="D201" i="203"/>
  <c r="A201" i="203"/>
  <c r="Q200" i="203"/>
  <c r="N200" i="203"/>
  <c r="L200" i="203"/>
  <c r="K200" i="203"/>
  <c r="E200" i="203"/>
  <c r="E204" i="203" s="1"/>
  <c r="D200" i="203"/>
  <c r="A200" i="203"/>
  <c r="Q199" i="203"/>
  <c r="N199" i="203"/>
  <c r="L199" i="203"/>
  <c r="K199" i="203"/>
  <c r="A199" i="203"/>
  <c r="Q198" i="203"/>
  <c r="N198" i="203"/>
  <c r="M198" i="203"/>
  <c r="L198" i="203"/>
  <c r="K198" i="203"/>
  <c r="A198" i="203"/>
  <c r="Q197" i="203"/>
  <c r="N197" i="203"/>
  <c r="L197" i="203"/>
  <c r="K197" i="203"/>
  <c r="B197" i="203"/>
  <c r="A197" i="203"/>
  <c r="Q196" i="203"/>
  <c r="N196" i="203"/>
  <c r="L196" i="203"/>
  <c r="K196" i="203"/>
  <c r="E196" i="203"/>
  <c r="D196" i="203"/>
  <c r="A196" i="203"/>
  <c r="Q195" i="203"/>
  <c r="N195" i="203"/>
  <c r="L195" i="203"/>
  <c r="K195" i="203"/>
  <c r="E195" i="203"/>
  <c r="A195" i="203"/>
  <c r="Q194" i="203"/>
  <c r="N194" i="203"/>
  <c r="L194" i="203"/>
  <c r="K194" i="203"/>
  <c r="E194" i="203"/>
  <c r="E197" i="203" s="1"/>
  <c r="D194" i="203"/>
  <c r="A194" i="203"/>
  <c r="Q193" i="203"/>
  <c r="N193" i="203"/>
  <c r="L193" i="203"/>
  <c r="K193" i="203"/>
  <c r="E193" i="203"/>
  <c r="D193" i="203"/>
  <c r="A193" i="203"/>
  <c r="Q192" i="203"/>
  <c r="N192" i="203"/>
  <c r="L192" i="203"/>
  <c r="K192" i="203"/>
  <c r="E192" i="203"/>
  <c r="D192" i="203"/>
  <c r="A192" i="203"/>
  <c r="Q191" i="203"/>
  <c r="N191" i="203"/>
  <c r="L191" i="203"/>
  <c r="K191" i="203"/>
  <c r="A191" i="203"/>
  <c r="Q190" i="203"/>
  <c r="N190" i="203"/>
  <c r="L190" i="203"/>
  <c r="K190" i="203"/>
  <c r="A190" i="203"/>
  <c r="Q189" i="203"/>
  <c r="N189" i="203"/>
  <c r="L189" i="203"/>
  <c r="K189" i="203"/>
  <c r="A189" i="203"/>
  <c r="Q188" i="203"/>
  <c r="N188" i="203"/>
  <c r="L188" i="203"/>
  <c r="K188" i="203"/>
  <c r="D188" i="203"/>
  <c r="B188" i="203"/>
  <c r="A188" i="203"/>
  <c r="Q187" i="203"/>
  <c r="N187" i="203"/>
  <c r="L187" i="203"/>
  <c r="K187" i="203"/>
  <c r="A187" i="203"/>
  <c r="Q186" i="203"/>
  <c r="N186" i="203"/>
  <c r="L186" i="203"/>
  <c r="K186" i="203"/>
  <c r="D186" i="203"/>
  <c r="B186" i="203"/>
  <c r="A186" i="203"/>
  <c r="Q185" i="203"/>
  <c r="N185" i="203"/>
  <c r="L185" i="203"/>
  <c r="K185" i="203"/>
  <c r="E185" i="203"/>
  <c r="D185" i="203"/>
  <c r="A185" i="203"/>
  <c r="Q184" i="203"/>
  <c r="N184" i="203"/>
  <c r="L184" i="203"/>
  <c r="K184" i="203"/>
  <c r="E184" i="203"/>
  <c r="D184" i="203"/>
  <c r="A184" i="203"/>
  <c r="Q183" i="203"/>
  <c r="N183" i="203"/>
  <c r="L183" i="203"/>
  <c r="K183" i="203"/>
  <c r="E183" i="203"/>
  <c r="D183" i="203"/>
  <c r="A183" i="203"/>
  <c r="Q182" i="203"/>
  <c r="N182" i="203"/>
  <c r="L182" i="203"/>
  <c r="K182" i="203"/>
  <c r="E182" i="203"/>
  <c r="D182" i="203"/>
  <c r="A182" i="203"/>
  <c r="Q181" i="203"/>
  <c r="N181" i="203"/>
  <c r="L181" i="203"/>
  <c r="K181" i="203"/>
  <c r="E181" i="203"/>
  <c r="D181" i="203"/>
  <c r="A181" i="203"/>
  <c r="Q180" i="203"/>
  <c r="N180" i="203"/>
  <c r="L180" i="203"/>
  <c r="K180" i="203"/>
  <c r="E180" i="203"/>
  <c r="D180" i="203"/>
  <c r="A180" i="203"/>
  <c r="Q179" i="203"/>
  <c r="N179" i="203"/>
  <c r="L179" i="203"/>
  <c r="K179" i="203"/>
  <c r="E179" i="203"/>
  <c r="D179" i="203"/>
  <c r="A179" i="203"/>
  <c r="Q178" i="203"/>
  <c r="N178" i="203"/>
  <c r="L178" i="203"/>
  <c r="K178" i="203"/>
  <c r="E178" i="203"/>
  <c r="D178" i="203"/>
  <c r="A178" i="203"/>
  <c r="Q177" i="203"/>
  <c r="N177" i="203"/>
  <c r="L177" i="203"/>
  <c r="K177" i="203"/>
  <c r="E177" i="203"/>
  <c r="D177" i="203"/>
  <c r="A177" i="203"/>
  <c r="Q176" i="203"/>
  <c r="N176" i="203"/>
  <c r="L176" i="203"/>
  <c r="K176" i="203"/>
  <c r="E176" i="203"/>
  <c r="E186" i="203" s="1"/>
  <c r="D176" i="203"/>
  <c r="A176" i="203"/>
  <c r="Q175" i="203"/>
  <c r="N175" i="203"/>
  <c r="L175" i="203"/>
  <c r="K175" i="203"/>
  <c r="A175" i="203"/>
  <c r="A174" i="203"/>
  <c r="D173" i="203"/>
  <c r="B173" i="203"/>
  <c r="A173" i="203"/>
  <c r="E172" i="203"/>
  <c r="D172" i="203"/>
  <c r="A172" i="203"/>
  <c r="E171" i="203"/>
  <c r="D171" i="203"/>
  <c r="A171" i="203"/>
  <c r="E170" i="203"/>
  <c r="D170" i="203"/>
  <c r="A170" i="203"/>
  <c r="E169" i="203"/>
  <c r="D169" i="203"/>
  <c r="A169" i="203"/>
  <c r="E168" i="203"/>
  <c r="D168" i="203"/>
  <c r="A168" i="203"/>
  <c r="E167" i="203"/>
  <c r="D167" i="203"/>
  <c r="A167" i="203"/>
  <c r="E166" i="203"/>
  <c r="D166" i="203"/>
  <c r="A166" i="203"/>
  <c r="E165" i="203"/>
  <c r="D165" i="203"/>
  <c r="A165" i="203"/>
  <c r="E164" i="203"/>
  <c r="D164" i="203"/>
  <c r="A164" i="203"/>
  <c r="E163" i="203"/>
  <c r="D163" i="203"/>
  <c r="A163" i="203"/>
  <c r="E162" i="203"/>
  <c r="D162" i="203"/>
  <c r="A162" i="203"/>
  <c r="E161" i="203"/>
  <c r="E173" i="203" s="1"/>
  <c r="D161" i="203"/>
  <c r="A161" i="203"/>
  <c r="A160" i="203"/>
  <c r="A159" i="203"/>
  <c r="D158" i="203"/>
  <c r="B158" i="203"/>
  <c r="A158" i="203"/>
  <c r="E157" i="203"/>
  <c r="A157" i="203"/>
  <c r="E156" i="203"/>
  <c r="A156" i="203"/>
  <c r="E155" i="203"/>
  <c r="E158" i="203" s="1"/>
  <c r="A155" i="203"/>
  <c r="A154" i="203"/>
  <c r="A153" i="203"/>
  <c r="D152" i="203"/>
  <c r="B152" i="203"/>
  <c r="A152" i="203"/>
  <c r="E151" i="203"/>
  <c r="A151" i="203"/>
  <c r="E150" i="203"/>
  <c r="A150" i="203"/>
  <c r="E149" i="203"/>
  <c r="E152" i="203" s="1"/>
  <c r="A149" i="203"/>
  <c r="A148" i="203"/>
  <c r="A147" i="203"/>
  <c r="D146" i="203"/>
  <c r="B146" i="203"/>
  <c r="A146" i="203"/>
  <c r="E145" i="203"/>
  <c r="A145" i="203"/>
  <c r="E144" i="203"/>
  <c r="A144" i="203"/>
  <c r="E143" i="203"/>
  <c r="A143" i="203"/>
  <c r="E142" i="203"/>
  <c r="A142" i="203"/>
  <c r="E141" i="203"/>
  <c r="A141" i="203"/>
  <c r="E140" i="203"/>
  <c r="A140" i="203"/>
  <c r="E139" i="203"/>
  <c r="E146" i="203" s="1"/>
  <c r="A139" i="203"/>
  <c r="A138" i="203"/>
  <c r="A137" i="203"/>
  <c r="D136" i="203"/>
  <c r="B136" i="203"/>
  <c r="A136" i="203"/>
  <c r="E135" i="203"/>
  <c r="A135" i="203"/>
  <c r="E134" i="203"/>
  <c r="A134" i="203"/>
  <c r="E133" i="203"/>
  <c r="E136" i="203" s="1"/>
  <c r="A133" i="203"/>
  <c r="E132" i="203"/>
  <c r="A132" i="203"/>
  <c r="A131" i="203"/>
  <c r="A130" i="203"/>
  <c r="D129" i="203"/>
  <c r="B129" i="203"/>
  <c r="A129" i="203"/>
  <c r="E128" i="203"/>
  <c r="D128" i="203"/>
  <c r="A128" i="203"/>
  <c r="A127" i="203"/>
  <c r="A126" i="203"/>
  <c r="A125" i="203"/>
  <c r="A124" i="203"/>
  <c r="B123" i="203"/>
  <c r="A123" i="203"/>
  <c r="A122" i="203"/>
  <c r="B121" i="203"/>
  <c r="A121" i="203"/>
  <c r="D120" i="203"/>
  <c r="A120" i="203"/>
  <c r="A119" i="203"/>
  <c r="A118" i="203"/>
  <c r="D117" i="203"/>
  <c r="A117" i="203"/>
  <c r="A116" i="203"/>
  <c r="A115" i="203"/>
  <c r="H114" i="203"/>
  <c r="G114" i="203"/>
  <c r="D114" i="203"/>
  <c r="B114" i="203"/>
  <c r="A114" i="203"/>
  <c r="A113" i="203"/>
  <c r="D112" i="203"/>
  <c r="B112" i="203"/>
  <c r="A112" i="203"/>
  <c r="D111" i="203"/>
  <c r="C111" i="203"/>
  <c r="B111" i="203"/>
  <c r="A111" i="203"/>
  <c r="D110" i="203"/>
  <c r="C110" i="203"/>
  <c r="B110" i="203"/>
  <c r="A110" i="203"/>
  <c r="D109" i="203"/>
  <c r="C109" i="203"/>
  <c r="B109" i="203"/>
  <c r="A109" i="203"/>
  <c r="D108" i="203"/>
  <c r="A108" i="203"/>
  <c r="D107" i="203"/>
  <c r="C107" i="203"/>
  <c r="B107" i="203"/>
  <c r="A107" i="203"/>
  <c r="D106" i="203"/>
  <c r="C106" i="203"/>
  <c r="B106" i="203"/>
  <c r="A106" i="203"/>
  <c r="D105" i="203"/>
  <c r="C105" i="203"/>
  <c r="B105" i="203"/>
  <c r="A105" i="203"/>
  <c r="D104" i="203"/>
  <c r="C104" i="203"/>
  <c r="B104" i="203"/>
  <c r="A104" i="203"/>
  <c r="D103" i="203"/>
  <c r="C103" i="203"/>
  <c r="B103" i="203"/>
  <c r="A103" i="203"/>
  <c r="D102" i="203"/>
  <c r="C102" i="203"/>
  <c r="B102" i="203"/>
  <c r="A102" i="203"/>
  <c r="B101" i="203"/>
  <c r="A101" i="203"/>
  <c r="A100" i="203"/>
  <c r="D99" i="203"/>
  <c r="B99" i="203"/>
  <c r="A99" i="203"/>
  <c r="D98" i="203"/>
  <c r="C98" i="203"/>
  <c r="B98" i="203"/>
  <c r="A98" i="203"/>
  <c r="D97" i="203"/>
  <c r="C97" i="203"/>
  <c r="B97" i="203"/>
  <c r="A97" i="203"/>
  <c r="C96" i="203"/>
  <c r="B96" i="203"/>
  <c r="A96" i="203"/>
  <c r="D95" i="203"/>
  <c r="C95" i="203"/>
  <c r="B95" i="203"/>
  <c r="A95" i="203"/>
  <c r="D94" i="203"/>
  <c r="C94" i="203"/>
  <c r="B94" i="203"/>
  <c r="A94" i="203"/>
  <c r="D93" i="203"/>
  <c r="C93" i="203"/>
  <c r="B93" i="203"/>
  <c r="A93" i="203"/>
  <c r="D92" i="203"/>
  <c r="C92" i="203"/>
  <c r="B92" i="203"/>
  <c r="A92" i="203"/>
  <c r="D91" i="203"/>
  <c r="A91" i="203"/>
  <c r="D90" i="203"/>
  <c r="C90" i="203"/>
  <c r="B90" i="203"/>
  <c r="A90" i="203"/>
  <c r="D89" i="203"/>
  <c r="C89" i="203"/>
  <c r="B89" i="203"/>
  <c r="A89" i="203"/>
  <c r="D88" i="203"/>
  <c r="C88" i="203"/>
  <c r="B88" i="203"/>
  <c r="A88" i="203"/>
  <c r="A87" i="203"/>
  <c r="A86" i="203"/>
  <c r="D85" i="203"/>
  <c r="B85" i="203"/>
  <c r="A85" i="203"/>
  <c r="C84" i="203"/>
  <c r="B84" i="203"/>
  <c r="A84" i="203"/>
  <c r="D83" i="203"/>
  <c r="A83" i="203"/>
  <c r="C82" i="203"/>
  <c r="B82" i="203"/>
  <c r="A82" i="203"/>
  <c r="D81" i="203"/>
  <c r="C81" i="203"/>
  <c r="B81" i="203"/>
  <c r="A81" i="203"/>
  <c r="D80" i="203"/>
  <c r="C80" i="203"/>
  <c r="B80" i="203"/>
  <c r="A80" i="203"/>
  <c r="D79" i="203"/>
  <c r="C79" i="203"/>
  <c r="B79" i="203"/>
  <c r="A79" i="203"/>
  <c r="B78" i="203"/>
  <c r="A78" i="203"/>
  <c r="A77" i="203"/>
  <c r="D76" i="203"/>
  <c r="B76" i="203"/>
  <c r="A76" i="203"/>
  <c r="C75" i="203"/>
  <c r="B75" i="203"/>
  <c r="A75" i="203"/>
  <c r="C74" i="203"/>
  <c r="B74" i="203"/>
  <c r="A74" i="203"/>
  <c r="C73" i="203"/>
  <c r="B73" i="203"/>
  <c r="A73" i="203"/>
  <c r="C72" i="203"/>
  <c r="B72" i="203"/>
  <c r="A72" i="203"/>
  <c r="B71" i="203"/>
  <c r="A71" i="203"/>
  <c r="A70" i="203"/>
  <c r="D69" i="203"/>
  <c r="B69" i="203"/>
  <c r="A69" i="203"/>
  <c r="D68" i="203"/>
  <c r="C68" i="203"/>
  <c r="B68" i="203"/>
  <c r="A68" i="203"/>
  <c r="D67" i="203"/>
  <c r="C67" i="203"/>
  <c r="B67" i="203"/>
  <c r="A67" i="203"/>
  <c r="D66" i="203"/>
  <c r="C66" i="203"/>
  <c r="B66" i="203"/>
  <c r="A66" i="203"/>
  <c r="B65" i="203"/>
  <c r="A65" i="203"/>
  <c r="A64" i="203"/>
  <c r="A63" i="203"/>
  <c r="W62" i="203"/>
  <c r="V62" i="203"/>
  <c r="U62" i="203"/>
  <c r="T62" i="203"/>
  <c r="H62" i="203"/>
  <c r="G62" i="203"/>
  <c r="D62" i="203"/>
  <c r="B62" i="203"/>
  <c r="A62" i="203"/>
  <c r="W61" i="203"/>
  <c r="V61" i="203"/>
  <c r="U61" i="203"/>
  <c r="T61" i="203"/>
  <c r="A61" i="203"/>
  <c r="W60" i="203"/>
  <c r="V60" i="203"/>
  <c r="U60" i="203"/>
  <c r="T60" i="203"/>
  <c r="D60" i="203"/>
  <c r="B60" i="203"/>
  <c r="A60" i="203"/>
  <c r="W59" i="203"/>
  <c r="V59" i="203"/>
  <c r="U59" i="203"/>
  <c r="T59" i="203"/>
  <c r="D59" i="203"/>
  <c r="A59" i="203"/>
  <c r="W58" i="203"/>
  <c r="V58" i="203"/>
  <c r="U58" i="203"/>
  <c r="T58" i="203"/>
  <c r="D58" i="203"/>
  <c r="A58" i="203"/>
  <c r="W57" i="203"/>
  <c r="V57" i="203"/>
  <c r="U57" i="203"/>
  <c r="T57" i="203"/>
  <c r="D57" i="203"/>
  <c r="A57" i="203"/>
  <c r="W56" i="203"/>
  <c r="V56" i="203"/>
  <c r="U56" i="203"/>
  <c r="T56" i="203"/>
  <c r="D56" i="203"/>
  <c r="A56" i="203"/>
  <c r="W55" i="203"/>
  <c r="V55" i="203"/>
  <c r="U55" i="203"/>
  <c r="T55" i="203"/>
  <c r="D55" i="203"/>
  <c r="A55" i="203"/>
  <c r="W54" i="203"/>
  <c r="V54" i="203"/>
  <c r="U54" i="203"/>
  <c r="T54" i="203"/>
  <c r="D54" i="203"/>
  <c r="A54" i="203"/>
  <c r="W53" i="203"/>
  <c r="V53" i="203"/>
  <c r="U53" i="203"/>
  <c r="T53" i="203"/>
  <c r="D53" i="203"/>
  <c r="A53" i="203"/>
  <c r="W52" i="203"/>
  <c r="V52" i="203"/>
  <c r="U52" i="203"/>
  <c r="T52" i="203"/>
  <c r="D52" i="203"/>
  <c r="A52" i="203"/>
  <c r="W51" i="203"/>
  <c r="V51" i="203"/>
  <c r="U51" i="203"/>
  <c r="T51" i="203"/>
  <c r="D51" i="203"/>
  <c r="A51" i="203"/>
  <c r="W50" i="203"/>
  <c r="V50" i="203"/>
  <c r="U50" i="203"/>
  <c r="T50" i="203"/>
  <c r="D50" i="203"/>
  <c r="A50" i="203"/>
  <c r="W49" i="203"/>
  <c r="V49" i="203"/>
  <c r="U49" i="203"/>
  <c r="T49" i="203"/>
  <c r="A49" i="203"/>
  <c r="W48" i="203"/>
  <c r="V48" i="203"/>
  <c r="U48" i="203"/>
  <c r="T48" i="203"/>
  <c r="A48" i="203"/>
  <c r="W47" i="203"/>
  <c r="V47" i="203"/>
  <c r="U47" i="203"/>
  <c r="T47" i="203"/>
  <c r="D47" i="203"/>
  <c r="B47" i="203"/>
  <c r="A47" i="203"/>
  <c r="W46" i="203"/>
  <c r="V46" i="203"/>
  <c r="U46" i="203"/>
  <c r="T46" i="203"/>
  <c r="D46" i="203"/>
  <c r="A46" i="203"/>
  <c r="W45" i="203"/>
  <c r="V45" i="203"/>
  <c r="U45" i="203"/>
  <c r="T45" i="203"/>
  <c r="D45" i="203"/>
  <c r="A45" i="203"/>
  <c r="W44" i="203"/>
  <c r="V44" i="203"/>
  <c r="U44" i="203"/>
  <c r="T44" i="203"/>
  <c r="A44" i="203"/>
  <c r="W43" i="203"/>
  <c r="V43" i="203"/>
  <c r="U43" i="203"/>
  <c r="T43" i="203"/>
  <c r="D43" i="203"/>
  <c r="A43" i="203"/>
  <c r="W42" i="203"/>
  <c r="V42" i="203"/>
  <c r="U42" i="203"/>
  <c r="T42" i="203"/>
  <c r="D42" i="203"/>
  <c r="A42" i="203"/>
  <c r="W41" i="203"/>
  <c r="V41" i="203"/>
  <c r="U41" i="203"/>
  <c r="T41" i="203"/>
  <c r="D41" i="203"/>
  <c r="A41" i="203"/>
  <c r="D40" i="203"/>
  <c r="A40" i="203"/>
  <c r="W39" i="203"/>
  <c r="V39" i="203"/>
  <c r="U39" i="203"/>
  <c r="T39" i="203"/>
  <c r="D39" i="203"/>
  <c r="A39" i="203"/>
  <c r="W38" i="203"/>
  <c r="V38" i="203"/>
  <c r="U38" i="203"/>
  <c r="T38" i="203"/>
  <c r="D38" i="203"/>
  <c r="A38" i="203"/>
  <c r="W37" i="203"/>
  <c r="V37" i="203"/>
  <c r="U37" i="203"/>
  <c r="T37" i="203"/>
  <c r="D37" i="203"/>
  <c r="A37" i="203"/>
  <c r="W36" i="203"/>
  <c r="V36" i="203"/>
  <c r="U36" i="203"/>
  <c r="T36" i="203"/>
  <c r="D36" i="203"/>
  <c r="A36" i="203"/>
  <c r="W35" i="203"/>
  <c r="V35" i="203"/>
  <c r="U35" i="203"/>
  <c r="T35" i="203"/>
  <c r="A35" i="203"/>
  <c r="W34" i="203"/>
  <c r="V34" i="203"/>
  <c r="U34" i="203"/>
  <c r="T34" i="203"/>
  <c r="A34" i="203"/>
  <c r="W33" i="203"/>
  <c r="V33" i="203"/>
  <c r="U33" i="203"/>
  <c r="T33" i="203"/>
  <c r="D33" i="203"/>
  <c r="B33" i="203"/>
  <c r="A33" i="203"/>
  <c r="W32" i="203"/>
  <c r="V32" i="203"/>
  <c r="U32" i="203"/>
  <c r="T32" i="203"/>
  <c r="A32" i="203"/>
  <c r="W31" i="203"/>
  <c r="V31" i="203"/>
  <c r="U31" i="203"/>
  <c r="T31" i="203"/>
  <c r="D31" i="203"/>
  <c r="A31" i="203"/>
  <c r="W30" i="203"/>
  <c r="V30" i="203"/>
  <c r="U30" i="203"/>
  <c r="T30" i="203"/>
  <c r="A30" i="203"/>
  <c r="W29" i="203"/>
  <c r="V29" i="203"/>
  <c r="U29" i="203"/>
  <c r="T29" i="203"/>
  <c r="D29" i="203"/>
  <c r="A29" i="203"/>
  <c r="W28" i="203"/>
  <c r="V28" i="203"/>
  <c r="U28" i="203"/>
  <c r="T28" i="203"/>
  <c r="D28" i="203"/>
  <c r="A28" i="203"/>
  <c r="W27" i="203"/>
  <c r="V27" i="203"/>
  <c r="U27" i="203"/>
  <c r="T27" i="203"/>
  <c r="D27" i="203"/>
  <c r="A27" i="203"/>
  <c r="W26" i="203"/>
  <c r="V26" i="203"/>
  <c r="U26" i="203"/>
  <c r="T26" i="203"/>
  <c r="A26" i="203"/>
  <c r="W25" i="203"/>
  <c r="V25" i="203"/>
  <c r="U25" i="203"/>
  <c r="T25" i="203"/>
  <c r="A25" i="203"/>
  <c r="W24" i="203"/>
  <c r="V24" i="203"/>
  <c r="U24" i="203"/>
  <c r="T24" i="203"/>
  <c r="D24" i="203"/>
  <c r="B24" i="203"/>
  <c r="A24" i="203"/>
  <c r="A23" i="203"/>
  <c r="W22" i="203"/>
  <c r="V22" i="203"/>
  <c r="U22" i="203"/>
  <c r="T22" i="203"/>
  <c r="A22" i="203"/>
  <c r="W21" i="203"/>
  <c r="V21" i="203"/>
  <c r="U21" i="203"/>
  <c r="T21" i="203"/>
  <c r="A21" i="203"/>
  <c r="W20" i="203"/>
  <c r="V20" i="203"/>
  <c r="U20" i="203"/>
  <c r="T20" i="203"/>
  <c r="A20" i="203"/>
  <c r="W19" i="203"/>
  <c r="V19" i="203"/>
  <c r="U19" i="203"/>
  <c r="T19" i="203"/>
  <c r="A19" i="203"/>
  <c r="W18" i="203"/>
  <c r="V18" i="203"/>
  <c r="U18" i="203"/>
  <c r="T18" i="203"/>
  <c r="A18" i="203"/>
  <c r="W17" i="203"/>
  <c r="V17" i="203"/>
  <c r="U17" i="203"/>
  <c r="T17" i="203"/>
  <c r="D17" i="203"/>
  <c r="B17" i="203"/>
  <c r="A17" i="203"/>
  <c r="D16" i="203"/>
  <c r="A16" i="203"/>
  <c r="W15" i="203"/>
  <c r="V15" i="203"/>
  <c r="U15" i="203"/>
  <c r="T15" i="203"/>
  <c r="D15" i="203"/>
  <c r="A15" i="203"/>
  <c r="W14" i="203"/>
  <c r="V14" i="203"/>
  <c r="U14" i="203"/>
  <c r="T14" i="203"/>
  <c r="D14" i="203"/>
  <c r="A14" i="203"/>
  <c r="W13" i="203"/>
  <c r="V13" i="203"/>
  <c r="U13" i="203"/>
  <c r="T13" i="203"/>
  <c r="A13" i="203"/>
  <c r="W12" i="203"/>
  <c r="V12" i="203"/>
  <c r="U12" i="203"/>
  <c r="T12" i="203"/>
  <c r="A12" i="203"/>
  <c r="A11" i="203"/>
  <c r="A10" i="203"/>
  <c r="B4" i="203"/>
  <c r="B3" i="203"/>
  <c r="B2" i="203"/>
  <c r="B1" i="203"/>
  <c r="AB838" i="62"/>
  <c r="Z838" i="62"/>
  <c r="Y838" i="62"/>
  <c r="A838" i="62"/>
  <c r="A837" i="62"/>
  <c r="AB836" i="62"/>
  <c r="Z836" i="62"/>
  <c r="Y836" i="62"/>
  <c r="X836" i="62"/>
  <c r="A836" i="62"/>
  <c r="X835" i="62"/>
  <c r="A835" i="62"/>
  <c r="AE834" i="62"/>
  <c r="AC834" i="62"/>
  <c r="X834" i="62"/>
  <c r="V834" i="62"/>
  <c r="A834" i="62"/>
  <c r="AE833" i="62"/>
  <c r="AD833" i="62"/>
  <c r="AC833" i="62"/>
  <c r="AB833" i="62"/>
  <c r="AA833" i="62"/>
  <c r="Z833" i="62"/>
  <c r="Y833" i="62"/>
  <c r="X833" i="62"/>
  <c r="W833" i="62"/>
  <c r="V833" i="62"/>
  <c r="U833" i="62"/>
  <c r="A833" i="62"/>
  <c r="A832" i="62"/>
  <c r="A831" i="62"/>
  <c r="S830" i="62"/>
  <c r="R830" i="62"/>
  <c r="Q830" i="62"/>
  <c r="P830" i="62"/>
  <c r="O830" i="62"/>
  <c r="N830" i="62"/>
  <c r="M830" i="62"/>
  <c r="L830" i="62"/>
  <c r="K830" i="62"/>
  <c r="J830" i="62"/>
  <c r="I830" i="62"/>
  <c r="H830" i="62"/>
  <c r="G830" i="62"/>
  <c r="F830" i="62"/>
  <c r="A830" i="62"/>
  <c r="A829" i="62"/>
  <c r="S828" i="62"/>
  <c r="R828" i="62"/>
  <c r="Q828" i="62"/>
  <c r="P828" i="62"/>
  <c r="O828" i="62"/>
  <c r="N828" i="62"/>
  <c r="M828" i="62"/>
  <c r="L828" i="62"/>
  <c r="K828" i="62"/>
  <c r="J828" i="62"/>
  <c r="I828" i="62"/>
  <c r="H828" i="62"/>
  <c r="G828" i="62"/>
  <c r="F828" i="62"/>
  <c r="A828" i="62"/>
  <c r="AC827" i="62"/>
  <c r="W827" i="62"/>
  <c r="S827" i="62"/>
  <c r="A827" i="62"/>
  <c r="AC826" i="62"/>
  <c r="W826" i="62"/>
  <c r="S826" i="62"/>
  <c r="A826" i="62"/>
  <c r="AC825" i="62"/>
  <c r="W825" i="62"/>
  <c r="S825" i="62"/>
  <c r="A825" i="62"/>
  <c r="AC824" i="62"/>
  <c r="W824" i="62"/>
  <c r="S824" i="62"/>
  <c r="A824" i="62"/>
  <c r="AC823" i="62"/>
  <c r="W823" i="62"/>
  <c r="S823" i="62"/>
  <c r="A823" i="62"/>
  <c r="AC822" i="62"/>
  <c r="W822" i="62"/>
  <c r="S822" i="62"/>
  <c r="A822" i="62"/>
  <c r="AC821" i="62"/>
  <c r="W821" i="62"/>
  <c r="S821" i="62"/>
  <c r="A821" i="62"/>
  <c r="AC820" i="62"/>
  <c r="W820" i="62"/>
  <c r="S820" i="62"/>
  <c r="A820" i="62"/>
  <c r="AC819" i="62"/>
  <c r="W819" i="62"/>
  <c r="S819" i="62"/>
  <c r="A819" i="62"/>
  <c r="AC818" i="62"/>
  <c r="W818" i="62"/>
  <c r="S818" i="62"/>
  <c r="A818" i="62"/>
  <c r="AC817" i="62"/>
  <c r="W817" i="62"/>
  <c r="S817" i="62"/>
  <c r="A817" i="62"/>
  <c r="AC816" i="62"/>
  <c r="W816" i="62"/>
  <c r="S816" i="62"/>
  <c r="A816" i="62"/>
  <c r="AC815" i="62"/>
  <c r="W815" i="62"/>
  <c r="S815" i="62"/>
  <c r="A815" i="62"/>
  <c r="A814" i="62"/>
  <c r="S813" i="62"/>
  <c r="R813" i="62"/>
  <c r="Q813" i="62"/>
  <c r="P813" i="62"/>
  <c r="O813" i="62"/>
  <c r="N813" i="62"/>
  <c r="M813" i="62"/>
  <c r="L813" i="62"/>
  <c r="K813" i="62"/>
  <c r="J813" i="62"/>
  <c r="I813" i="62"/>
  <c r="H813" i="62"/>
  <c r="G813" i="62"/>
  <c r="F813" i="62"/>
  <c r="A813" i="62"/>
  <c r="AC812" i="62"/>
  <c r="W812" i="62"/>
  <c r="S812" i="62"/>
  <c r="A812" i="62"/>
  <c r="AC811" i="62"/>
  <c r="W811" i="62"/>
  <c r="S811" i="62"/>
  <c r="A811" i="62"/>
  <c r="AC810" i="62"/>
  <c r="W810" i="62"/>
  <c r="S810" i="62"/>
  <c r="A810" i="62"/>
  <c r="AC809" i="62"/>
  <c r="W809" i="62"/>
  <c r="S809" i="62"/>
  <c r="A809" i="62"/>
  <c r="AC808" i="62"/>
  <c r="W808" i="62"/>
  <c r="S808" i="62"/>
  <c r="A808" i="62"/>
  <c r="AC807" i="62"/>
  <c r="W807" i="62"/>
  <c r="S807" i="62"/>
  <c r="A807" i="62"/>
  <c r="AC806" i="62"/>
  <c r="W806" i="62"/>
  <c r="S806" i="62"/>
  <c r="A806" i="62"/>
  <c r="AC805" i="62"/>
  <c r="W805" i="62"/>
  <c r="S805" i="62"/>
  <c r="A805" i="62"/>
  <c r="AC804" i="62"/>
  <c r="W804" i="62"/>
  <c r="S804" i="62"/>
  <c r="A804" i="62"/>
  <c r="AC803" i="62"/>
  <c r="W803" i="62"/>
  <c r="S803" i="62"/>
  <c r="A803" i="62"/>
  <c r="AC802" i="62"/>
  <c r="W802" i="62"/>
  <c r="S802" i="62"/>
  <c r="A802" i="62"/>
  <c r="AC801" i="62"/>
  <c r="W801" i="62"/>
  <c r="S801" i="62"/>
  <c r="A801" i="62"/>
  <c r="AC800" i="62"/>
  <c r="W800" i="62"/>
  <c r="S800" i="62"/>
  <c r="A800" i="62"/>
  <c r="AC799" i="62"/>
  <c r="W799" i="62"/>
  <c r="S799" i="62"/>
  <c r="A799" i="62"/>
  <c r="AC798" i="62"/>
  <c r="W798" i="62"/>
  <c r="S798" i="62"/>
  <c r="A798" i="62"/>
  <c r="AC797" i="62"/>
  <c r="W797" i="62"/>
  <c r="S797" i="62"/>
  <c r="A797" i="62"/>
  <c r="AC796" i="62"/>
  <c r="W796" i="62"/>
  <c r="S796" i="62"/>
  <c r="A796" i="62"/>
  <c r="AC795" i="62"/>
  <c r="W795" i="62"/>
  <c r="S795" i="62"/>
  <c r="A795" i="62"/>
  <c r="AC794" i="62"/>
  <c r="W794" i="62"/>
  <c r="S794" i="62"/>
  <c r="A794" i="62"/>
  <c r="AC793" i="62"/>
  <c r="W793" i="62"/>
  <c r="S793" i="62"/>
  <c r="A793" i="62"/>
  <c r="AC792" i="62"/>
  <c r="W792" i="62"/>
  <c r="S792" i="62"/>
  <c r="A792" i="62"/>
  <c r="AC791" i="62"/>
  <c r="W791" i="62"/>
  <c r="S791" i="62"/>
  <c r="A791" i="62"/>
  <c r="AC790" i="62"/>
  <c r="W790" i="62"/>
  <c r="S790" i="62"/>
  <c r="A790" i="62"/>
  <c r="AC789" i="62"/>
  <c r="W789" i="62"/>
  <c r="S789" i="62"/>
  <c r="A789" i="62"/>
  <c r="AC788" i="62"/>
  <c r="W788" i="62"/>
  <c r="S788" i="62"/>
  <c r="A788" i="62"/>
  <c r="AC787" i="62"/>
  <c r="W787" i="62"/>
  <c r="S787" i="62"/>
  <c r="A787" i="62"/>
  <c r="AC786" i="62"/>
  <c r="W786" i="62"/>
  <c r="S786" i="62"/>
  <c r="A786" i="62"/>
  <c r="AC785" i="62"/>
  <c r="W785" i="62"/>
  <c r="S785" i="62"/>
  <c r="A785" i="62"/>
  <c r="AC784" i="62"/>
  <c r="W784" i="62"/>
  <c r="S784" i="62"/>
  <c r="A784" i="62"/>
  <c r="AC783" i="62"/>
  <c r="W783" i="62"/>
  <c r="S783" i="62"/>
  <c r="A783" i="62"/>
  <c r="AC782" i="62"/>
  <c r="W782" i="62"/>
  <c r="S782" i="62"/>
  <c r="A782" i="62"/>
  <c r="AC781" i="62"/>
  <c r="W781" i="62"/>
  <c r="S781" i="62"/>
  <c r="A781" i="62"/>
  <c r="AC780" i="62"/>
  <c r="W780" i="62"/>
  <c r="S780" i="62"/>
  <c r="A780" i="62"/>
  <c r="AC779" i="62"/>
  <c r="W779" i="62"/>
  <c r="S779" i="62"/>
  <c r="A779" i="62"/>
  <c r="AC778" i="62"/>
  <c r="W778" i="62"/>
  <c r="S778" i="62"/>
  <c r="A778" i="62"/>
  <c r="AC777" i="62"/>
  <c r="W777" i="62"/>
  <c r="S777" i="62"/>
  <c r="A777" i="62"/>
  <c r="AC776" i="62"/>
  <c r="W776" i="62"/>
  <c r="S776" i="62"/>
  <c r="A776" i="62"/>
  <c r="AC775" i="62"/>
  <c r="W775" i="62"/>
  <c r="S775" i="62"/>
  <c r="A775" i="62"/>
  <c r="AC774" i="62"/>
  <c r="W774" i="62"/>
  <c r="S774" i="62"/>
  <c r="A774" i="62"/>
  <c r="AC773" i="62"/>
  <c r="W773" i="62"/>
  <c r="S773" i="62"/>
  <c r="A773" i="62"/>
  <c r="AC772" i="62"/>
  <c r="W772" i="62"/>
  <c r="S772" i="62"/>
  <c r="A772" i="62"/>
  <c r="AC771" i="62"/>
  <c r="W771" i="62"/>
  <c r="S771" i="62"/>
  <c r="A771" i="62"/>
  <c r="AC770" i="62"/>
  <c r="W770" i="62"/>
  <c r="S770" i="62"/>
  <c r="A770" i="62"/>
  <c r="AC769" i="62"/>
  <c r="W769" i="62"/>
  <c r="S769" i="62"/>
  <c r="A769" i="62"/>
  <c r="AC768" i="62"/>
  <c r="W768" i="62"/>
  <c r="S768" i="62"/>
  <c r="A768" i="62"/>
  <c r="AC767" i="62"/>
  <c r="W767" i="62"/>
  <c r="S767" i="62"/>
  <c r="A767" i="62"/>
  <c r="AC766" i="62"/>
  <c r="W766" i="62"/>
  <c r="S766" i="62"/>
  <c r="A766" i="62"/>
  <c r="AC765" i="62"/>
  <c r="W765" i="62"/>
  <c r="S765" i="62"/>
  <c r="A765" i="62"/>
  <c r="AC764" i="62"/>
  <c r="W764" i="62"/>
  <c r="S764" i="62"/>
  <c r="A764" i="62"/>
  <c r="AC763" i="62"/>
  <c r="W763" i="62"/>
  <c r="S763" i="62"/>
  <c r="A763" i="62"/>
  <c r="AC762" i="62"/>
  <c r="W762" i="62"/>
  <c r="S762" i="62"/>
  <c r="A762" i="62"/>
  <c r="AC761" i="62"/>
  <c r="W761" i="62"/>
  <c r="S761" i="62"/>
  <c r="A761" i="62"/>
  <c r="AC760" i="62"/>
  <c r="W760" i="62"/>
  <c r="S760" i="62"/>
  <c r="A760" i="62"/>
  <c r="AC759" i="62"/>
  <c r="W759" i="62"/>
  <c r="S759" i="62"/>
  <c r="A759" i="62"/>
  <c r="AC758" i="62"/>
  <c r="W758" i="62"/>
  <c r="S758" i="62"/>
  <c r="A758" i="62"/>
  <c r="AC757" i="62"/>
  <c r="W757" i="62"/>
  <c r="S757" i="62"/>
  <c r="A757" i="62"/>
  <c r="AC756" i="62"/>
  <c r="W756" i="62"/>
  <c r="S756" i="62"/>
  <c r="A756" i="62"/>
  <c r="AC755" i="62"/>
  <c r="W755" i="62"/>
  <c r="S755" i="62"/>
  <c r="A755" i="62"/>
  <c r="AC754" i="62"/>
  <c r="W754" i="62"/>
  <c r="S754" i="62"/>
  <c r="A754" i="62"/>
  <c r="AC753" i="62"/>
  <c r="W753" i="62"/>
  <c r="S753" i="62"/>
  <c r="A753" i="62"/>
  <c r="AC752" i="62"/>
  <c r="W752" i="62"/>
  <c r="S752" i="62"/>
  <c r="A752" i="62"/>
  <c r="AC751" i="62"/>
  <c r="W751" i="62"/>
  <c r="S751" i="62"/>
  <c r="A751" i="62"/>
  <c r="AC750" i="62"/>
  <c r="W750" i="62"/>
  <c r="S750" i="62"/>
  <c r="A750" i="62"/>
  <c r="AC749" i="62"/>
  <c r="W749" i="62"/>
  <c r="S749" i="62"/>
  <c r="A749" i="62"/>
  <c r="AC748" i="62"/>
  <c r="W748" i="62"/>
  <c r="S748" i="62"/>
  <c r="A748" i="62"/>
  <c r="AC747" i="62"/>
  <c r="W747" i="62"/>
  <c r="S747" i="62"/>
  <c r="A747" i="62"/>
  <c r="AC746" i="62"/>
  <c r="W746" i="62"/>
  <c r="S746" i="62"/>
  <c r="A746" i="62"/>
  <c r="AC745" i="62"/>
  <c r="W745" i="62"/>
  <c r="S745" i="62"/>
  <c r="A745" i="62"/>
  <c r="AC744" i="62"/>
  <c r="W744" i="62"/>
  <c r="S744" i="62"/>
  <c r="A744" i="62"/>
  <c r="AC743" i="62"/>
  <c r="W743" i="62"/>
  <c r="S743" i="62"/>
  <c r="A743" i="62"/>
  <c r="AC742" i="62"/>
  <c r="W742" i="62"/>
  <c r="S742" i="62"/>
  <c r="A742" i="62"/>
  <c r="AC741" i="62"/>
  <c r="W741" i="62"/>
  <c r="S741" i="62"/>
  <c r="A741" i="62"/>
  <c r="AC740" i="62"/>
  <c r="W740" i="62"/>
  <c r="S740" i="62"/>
  <c r="A740" i="62"/>
  <c r="AC739" i="62"/>
  <c r="W739" i="62"/>
  <c r="S739" i="62"/>
  <c r="A739" i="62"/>
  <c r="AC738" i="62"/>
  <c r="W738" i="62"/>
  <c r="S738" i="62"/>
  <c r="A738" i="62"/>
  <c r="AC737" i="62"/>
  <c r="W737" i="62"/>
  <c r="S737" i="62"/>
  <c r="A737" i="62"/>
  <c r="AC736" i="62"/>
  <c r="W736" i="62"/>
  <c r="S736" i="62"/>
  <c r="A736" i="62"/>
  <c r="AC735" i="62"/>
  <c r="W735" i="62"/>
  <c r="S735" i="62"/>
  <c r="A735" i="62"/>
  <c r="A734" i="62"/>
  <c r="S733" i="62"/>
  <c r="R733" i="62"/>
  <c r="Q733" i="62"/>
  <c r="P733" i="62"/>
  <c r="O733" i="62"/>
  <c r="N733" i="62"/>
  <c r="M733" i="62"/>
  <c r="L733" i="62"/>
  <c r="K733" i="62"/>
  <c r="J733" i="62"/>
  <c r="I733" i="62"/>
  <c r="H733" i="62"/>
  <c r="G733" i="62"/>
  <c r="F733" i="62"/>
  <c r="A733" i="62"/>
  <c r="Y732" i="62"/>
  <c r="X732" i="62"/>
  <c r="S732" i="62"/>
  <c r="A732" i="62"/>
  <c r="Y731" i="62"/>
  <c r="X731" i="62"/>
  <c r="S731" i="62"/>
  <c r="A731" i="62"/>
  <c r="Y730" i="62"/>
  <c r="X730" i="62"/>
  <c r="S730" i="62"/>
  <c r="A730" i="62"/>
  <c r="Z729" i="62"/>
  <c r="X729" i="62"/>
  <c r="S729" i="62"/>
  <c r="A729" i="62"/>
  <c r="AD728" i="62"/>
  <c r="V728" i="62"/>
  <c r="S728" i="62"/>
  <c r="A728" i="62"/>
  <c r="AB727" i="62"/>
  <c r="X727" i="62"/>
  <c r="S727" i="62"/>
  <c r="A727" i="62"/>
  <c r="Z726" i="62"/>
  <c r="X726" i="62"/>
  <c r="S726" i="62"/>
  <c r="A726" i="62"/>
  <c r="AB725" i="62"/>
  <c r="X725" i="62"/>
  <c r="S725" i="62"/>
  <c r="A725" i="62"/>
  <c r="AB724" i="62"/>
  <c r="X724" i="62"/>
  <c r="S724" i="62"/>
  <c r="A724" i="62"/>
  <c r="AD723" i="62"/>
  <c r="Z723" i="62"/>
  <c r="X723" i="62"/>
  <c r="V723" i="62"/>
  <c r="S723" i="62"/>
  <c r="A723" i="62"/>
  <c r="Z722" i="62"/>
  <c r="X722" i="62"/>
  <c r="S722" i="62"/>
  <c r="A722" i="62"/>
  <c r="AB721" i="62"/>
  <c r="X721" i="62"/>
  <c r="S721" i="62"/>
  <c r="A721" i="62"/>
  <c r="Z720" i="62"/>
  <c r="X720" i="62"/>
  <c r="S720" i="62"/>
  <c r="A720" i="62"/>
  <c r="AB719" i="62"/>
  <c r="X719" i="62"/>
  <c r="S719" i="62"/>
  <c r="A719" i="62"/>
  <c r="AB718" i="62"/>
  <c r="X718" i="62"/>
  <c r="S718" i="62"/>
  <c r="A718" i="62"/>
  <c r="AD717" i="62"/>
  <c r="V717" i="62"/>
  <c r="S717" i="62"/>
  <c r="A717" i="62"/>
  <c r="AB716" i="62"/>
  <c r="X716" i="62"/>
  <c r="S716" i="62"/>
  <c r="A716" i="62"/>
  <c r="Z715" i="62"/>
  <c r="Y715" i="62"/>
  <c r="X715" i="62"/>
  <c r="S715" i="62"/>
  <c r="A715" i="62"/>
  <c r="AB714" i="62"/>
  <c r="X714" i="62"/>
  <c r="S714" i="62"/>
  <c r="A714" i="62"/>
  <c r="AB713" i="62"/>
  <c r="X713" i="62"/>
  <c r="S713" i="62"/>
  <c r="A713" i="62"/>
  <c r="AB712" i="62"/>
  <c r="X712" i="62"/>
  <c r="S712" i="62"/>
  <c r="A712" i="62"/>
  <c r="Z711" i="62"/>
  <c r="Y711" i="62"/>
  <c r="X711" i="62"/>
  <c r="S711" i="62"/>
  <c r="A711" i="62"/>
  <c r="AB710" i="62"/>
  <c r="X710" i="62"/>
  <c r="S710" i="62"/>
  <c r="A710" i="62"/>
  <c r="AB709" i="62"/>
  <c r="X709" i="62"/>
  <c r="S709" i="62"/>
  <c r="A709" i="62"/>
  <c r="AB708" i="62"/>
  <c r="X708" i="62"/>
  <c r="S708" i="62"/>
  <c r="A708" i="62"/>
  <c r="A707" i="62"/>
  <c r="S706" i="62"/>
  <c r="R706" i="62"/>
  <c r="Q706" i="62"/>
  <c r="P706" i="62"/>
  <c r="O706" i="62"/>
  <c r="N706" i="62"/>
  <c r="M706" i="62"/>
  <c r="L706" i="62"/>
  <c r="K706" i="62"/>
  <c r="J706" i="62"/>
  <c r="I706" i="62"/>
  <c r="H706" i="62"/>
  <c r="G706" i="62"/>
  <c r="F706" i="62"/>
  <c r="A706" i="62"/>
  <c r="Z705" i="62"/>
  <c r="Y705" i="62"/>
  <c r="X705" i="62"/>
  <c r="S705" i="62"/>
  <c r="A705" i="62"/>
  <c r="AB704" i="62"/>
  <c r="X704" i="62"/>
  <c r="S704" i="62"/>
  <c r="A704" i="62"/>
  <c r="AB703" i="62"/>
  <c r="X703" i="62"/>
  <c r="S703" i="62"/>
  <c r="A703" i="62"/>
  <c r="AB702" i="62"/>
  <c r="X702" i="62"/>
  <c r="S702" i="62"/>
  <c r="A702" i="62"/>
  <c r="AB701" i="62"/>
  <c r="X701" i="62"/>
  <c r="S701" i="62"/>
  <c r="A701" i="62"/>
  <c r="AB700" i="62"/>
  <c r="X700" i="62"/>
  <c r="S700" i="62"/>
  <c r="A700" i="62"/>
  <c r="AB699" i="62"/>
  <c r="X699" i="62"/>
  <c r="S699" i="62"/>
  <c r="A699" i="62"/>
  <c r="AB698" i="62"/>
  <c r="X698" i="62"/>
  <c r="S698" i="62"/>
  <c r="A698" i="62"/>
  <c r="AB697" i="62"/>
  <c r="X697" i="62"/>
  <c r="S697" i="62"/>
  <c r="A697" i="62"/>
  <c r="AB696" i="62"/>
  <c r="X696" i="62"/>
  <c r="S696" i="62"/>
  <c r="A696" i="62"/>
  <c r="AB695" i="62"/>
  <c r="X695" i="62"/>
  <c r="S695" i="62"/>
  <c r="A695" i="62"/>
  <c r="AD694" i="62"/>
  <c r="V694" i="62"/>
  <c r="S694" i="62"/>
  <c r="A694" i="62"/>
  <c r="AD693" i="62"/>
  <c r="V693" i="62"/>
  <c r="S693" i="62"/>
  <c r="A693" i="62"/>
  <c r="AD692" i="62"/>
  <c r="V692" i="62"/>
  <c r="S692" i="62"/>
  <c r="A692" i="62"/>
  <c r="AD691" i="62"/>
  <c r="V691" i="62"/>
  <c r="S691" i="62"/>
  <c r="A691" i="62"/>
  <c r="AB690" i="62"/>
  <c r="X690" i="62"/>
  <c r="S690" i="62"/>
  <c r="A690" i="62"/>
  <c r="AB689" i="62"/>
  <c r="X689" i="62"/>
  <c r="S689" i="62"/>
  <c r="A689" i="62"/>
  <c r="AD688" i="62"/>
  <c r="V688" i="62"/>
  <c r="S688" i="62"/>
  <c r="A688" i="62"/>
  <c r="AD687" i="62"/>
  <c r="V687" i="62"/>
  <c r="S687" i="62"/>
  <c r="A687" i="62"/>
  <c r="AD686" i="62"/>
  <c r="V686" i="62"/>
  <c r="S686" i="62"/>
  <c r="A686" i="62"/>
  <c r="AD685" i="62"/>
  <c r="V685" i="62"/>
  <c r="S685" i="62"/>
  <c r="A685" i="62"/>
  <c r="AB684" i="62"/>
  <c r="X684" i="62"/>
  <c r="S684" i="62"/>
  <c r="A684" i="62"/>
  <c r="AB683" i="62"/>
  <c r="X683" i="62"/>
  <c r="S683" i="62"/>
  <c r="A683" i="62"/>
  <c r="AD682" i="62"/>
  <c r="V682" i="62"/>
  <c r="S682" i="62"/>
  <c r="A682" i="62"/>
  <c r="AD681" i="62"/>
  <c r="V681" i="62"/>
  <c r="S681" i="62"/>
  <c r="A681" i="62"/>
  <c r="AD680" i="62"/>
  <c r="V680" i="62"/>
  <c r="S680" i="62"/>
  <c r="A680" i="62"/>
  <c r="AD679" i="62"/>
  <c r="V679" i="62"/>
  <c r="S679" i="62"/>
  <c r="A679" i="62"/>
  <c r="AD678" i="62"/>
  <c r="V678" i="62"/>
  <c r="S678" i="62"/>
  <c r="A678" i="62"/>
  <c r="AD677" i="62"/>
  <c r="V677" i="62"/>
  <c r="S677" i="62"/>
  <c r="A677" i="62"/>
  <c r="Z676" i="62"/>
  <c r="Y676" i="62"/>
  <c r="X676" i="62"/>
  <c r="S676" i="62"/>
  <c r="A676" i="62"/>
  <c r="Z675" i="62"/>
  <c r="X675" i="62"/>
  <c r="S675" i="62"/>
  <c r="A675" i="62"/>
  <c r="Y674" i="62"/>
  <c r="X674" i="62"/>
  <c r="S674" i="62"/>
  <c r="A674" i="62"/>
  <c r="Z673" i="62"/>
  <c r="Y673" i="62"/>
  <c r="X673" i="62"/>
  <c r="S673" i="62"/>
  <c r="A673" i="62"/>
  <c r="Z672" i="62"/>
  <c r="Y672" i="62"/>
  <c r="X672" i="62"/>
  <c r="S672" i="62"/>
  <c r="A672" i="62"/>
  <c r="Z671" i="62"/>
  <c r="X671" i="62"/>
  <c r="S671" i="62"/>
  <c r="A671" i="62"/>
  <c r="Y670" i="62"/>
  <c r="X670" i="62"/>
  <c r="S670" i="62"/>
  <c r="A670" i="62"/>
  <c r="AD669" i="62"/>
  <c r="V669" i="62"/>
  <c r="S669" i="62"/>
  <c r="A669" i="62"/>
  <c r="AD668" i="62"/>
  <c r="V668" i="62"/>
  <c r="S668" i="62"/>
  <c r="A668" i="62"/>
  <c r="Z667" i="62"/>
  <c r="Y667" i="62"/>
  <c r="X667" i="62"/>
  <c r="S667" i="62"/>
  <c r="A667" i="62"/>
  <c r="AB666" i="62"/>
  <c r="X666" i="62"/>
  <c r="S666" i="62"/>
  <c r="A666" i="62"/>
  <c r="AB665" i="62"/>
  <c r="X665" i="62"/>
  <c r="S665" i="62"/>
  <c r="A665" i="62"/>
  <c r="AB664" i="62"/>
  <c r="X664" i="62"/>
  <c r="S664" i="62"/>
  <c r="A664" i="62"/>
  <c r="AB663" i="62"/>
  <c r="X663" i="62"/>
  <c r="S663" i="62"/>
  <c r="A663" i="62"/>
  <c r="AD662" i="62"/>
  <c r="V662" i="62"/>
  <c r="S662" i="62"/>
  <c r="A662" i="62"/>
  <c r="A661" i="62"/>
  <c r="S660" i="62"/>
  <c r="R660" i="62"/>
  <c r="Q660" i="62"/>
  <c r="P660" i="62"/>
  <c r="O660" i="62"/>
  <c r="N660" i="62"/>
  <c r="M660" i="62"/>
  <c r="L660" i="62"/>
  <c r="K660" i="62"/>
  <c r="J660" i="62"/>
  <c r="I660" i="62"/>
  <c r="H660" i="62"/>
  <c r="G660" i="62"/>
  <c r="F660" i="62"/>
  <c r="A660" i="62"/>
  <c r="AD659" i="62"/>
  <c r="V659" i="62"/>
  <c r="S659" i="62"/>
  <c r="A659" i="62"/>
  <c r="AB658" i="62"/>
  <c r="X658" i="62"/>
  <c r="S658" i="62"/>
  <c r="A658" i="62"/>
  <c r="AB657" i="62"/>
  <c r="X657" i="62"/>
  <c r="S657" i="62"/>
  <c r="A657" i="62"/>
  <c r="AB656" i="62"/>
  <c r="X656" i="62"/>
  <c r="S656" i="62"/>
  <c r="A656" i="62"/>
  <c r="AB655" i="62"/>
  <c r="X655" i="62"/>
  <c r="S655" i="62"/>
  <c r="A655" i="62"/>
  <c r="AB654" i="62"/>
  <c r="X654" i="62"/>
  <c r="S654" i="62"/>
  <c r="A654" i="62"/>
  <c r="AB653" i="62"/>
  <c r="X653" i="62"/>
  <c r="S653" i="62"/>
  <c r="A653" i="62"/>
  <c r="AB652" i="62"/>
  <c r="X652" i="62"/>
  <c r="S652" i="62"/>
  <c r="A652" i="62"/>
  <c r="AB651" i="62"/>
  <c r="X651" i="62"/>
  <c r="S651" i="62"/>
  <c r="A651" i="62"/>
  <c r="AD650" i="62"/>
  <c r="V650" i="62"/>
  <c r="S650" i="62"/>
  <c r="A650" i="62"/>
  <c r="AD649" i="62"/>
  <c r="V649" i="62"/>
  <c r="S649" i="62"/>
  <c r="A649" i="62"/>
  <c r="AD648" i="62"/>
  <c r="V648" i="62"/>
  <c r="S648" i="62"/>
  <c r="A648" i="62"/>
  <c r="AD647" i="62"/>
  <c r="V647" i="62"/>
  <c r="S647" i="62"/>
  <c r="A647" i="62"/>
  <c r="AD646" i="62"/>
  <c r="V646" i="62"/>
  <c r="S646" i="62"/>
  <c r="A646" i="62"/>
  <c r="AD645" i="62"/>
  <c r="V645" i="62"/>
  <c r="S645" i="62"/>
  <c r="A645" i="62"/>
  <c r="AD644" i="62"/>
  <c r="V644" i="62"/>
  <c r="S644" i="62"/>
  <c r="A644" i="62"/>
  <c r="AD643" i="62"/>
  <c r="V643" i="62"/>
  <c r="S643" i="62"/>
  <c r="A643" i="62"/>
  <c r="AD642" i="62"/>
  <c r="V642" i="62"/>
  <c r="S642" i="62"/>
  <c r="A642" i="62"/>
  <c r="AB641" i="62"/>
  <c r="X641" i="62"/>
  <c r="S641" i="62"/>
  <c r="A641" i="62"/>
  <c r="AD640" i="62"/>
  <c r="V640" i="62"/>
  <c r="S640" i="62"/>
  <c r="A640" i="62"/>
  <c r="AD639" i="62"/>
  <c r="V639" i="62"/>
  <c r="S639" i="62"/>
  <c r="A639" i="62"/>
  <c r="AB638" i="62"/>
  <c r="X638" i="62"/>
  <c r="S638" i="62"/>
  <c r="A638" i="62"/>
  <c r="AB637" i="62"/>
  <c r="X637" i="62"/>
  <c r="S637" i="62"/>
  <c r="A637" i="62"/>
  <c r="AB636" i="62"/>
  <c r="X636" i="62"/>
  <c r="S636" i="62"/>
  <c r="A636" i="62"/>
  <c r="AB635" i="62"/>
  <c r="X635" i="62"/>
  <c r="S635" i="62"/>
  <c r="A635" i="62"/>
  <c r="AB634" i="62"/>
  <c r="X634" i="62"/>
  <c r="S634" i="62"/>
  <c r="A634" i="62"/>
  <c r="AB633" i="62"/>
  <c r="X633" i="62"/>
  <c r="S633" i="62"/>
  <c r="A633" i="62"/>
  <c r="AD632" i="62"/>
  <c r="V632" i="62"/>
  <c r="S632" i="62"/>
  <c r="A632" i="62"/>
  <c r="AD631" i="62"/>
  <c r="V631" i="62"/>
  <c r="S631" i="62"/>
  <c r="A631" i="62"/>
  <c r="AD630" i="62"/>
  <c r="V630" i="62"/>
  <c r="S630" i="62"/>
  <c r="A630" i="62"/>
  <c r="AD629" i="62"/>
  <c r="V629" i="62"/>
  <c r="S629" i="62"/>
  <c r="A629" i="62"/>
  <c r="AD628" i="62"/>
  <c r="V628" i="62"/>
  <c r="S628" i="62"/>
  <c r="A628" i="62"/>
  <c r="AD627" i="62"/>
  <c r="V627" i="62"/>
  <c r="S627" i="62"/>
  <c r="A627" i="62"/>
  <c r="AD626" i="62"/>
  <c r="V626" i="62"/>
  <c r="S626" i="62"/>
  <c r="A626" i="62"/>
  <c r="AD625" i="62"/>
  <c r="V625" i="62"/>
  <c r="S625" i="62"/>
  <c r="A625" i="62"/>
  <c r="AD624" i="62"/>
  <c r="V624" i="62"/>
  <c r="S624" i="62"/>
  <c r="A624" i="62"/>
  <c r="AD623" i="62"/>
  <c r="V623" i="62"/>
  <c r="S623" i="62"/>
  <c r="A623" i="62"/>
  <c r="AB622" i="62"/>
  <c r="X622" i="62"/>
  <c r="S622" i="62"/>
  <c r="A622" i="62"/>
  <c r="AD621" i="62"/>
  <c r="V621" i="62"/>
  <c r="S621" i="62"/>
  <c r="A621" i="62"/>
  <c r="AD620" i="62"/>
  <c r="V620" i="62"/>
  <c r="S620" i="62"/>
  <c r="A620" i="62"/>
  <c r="AD619" i="62"/>
  <c r="V619" i="62"/>
  <c r="S619" i="62"/>
  <c r="A619" i="62"/>
  <c r="AD618" i="62"/>
  <c r="V618" i="62"/>
  <c r="S618" i="62"/>
  <c r="A618" i="62"/>
  <c r="AD617" i="62"/>
  <c r="V617" i="62"/>
  <c r="S617" i="62"/>
  <c r="A617" i="62"/>
  <c r="AD616" i="62"/>
  <c r="V616" i="62"/>
  <c r="S616" i="62"/>
  <c r="A616" i="62"/>
  <c r="AD615" i="62"/>
  <c r="V615" i="62"/>
  <c r="S615" i="62"/>
  <c r="A615" i="62"/>
  <c r="AD614" i="62"/>
  <c r="V614" i="62"/>
  <c r="S614" i="62"/>
  <c r="A614" i="62"/>
  <c r="AD613" i="62"/>
  <c r="V613" i="62"/>
  <c r="S613" i="62"/>
  <c r="A613" i="62"/>
  <c r="AD612" i="62"/>
  <c r="V612" i="62"/>
  <c r="S612" i="62"/>
  <c r="A612" i="62"/>
  <c r="AD611" i="62"/>
  <c r="V611" i="62"/>
  <c r="S611" i="62"/>
  <c r="A611" i="62"/>
  <c r="AD610" i="62"/>
  <c r="V610" i="62"/>
  <c r="S610" i="62"/>
  <c r="A610" i="62"/>
  <c r="AD609" i="62"/>
  <c r="V609" i="62"/>
  <c r="S609" i="62"/>
  <c r="A609" i="62"/>
  <c r="AD608" i="62"/>
  <c r="V608" i="62"/>
  <c r="S608" i="62"/>
  <c r="A608" i="62"/>
  <c r="AD607" i="62"/>
  <c r="V607" i="62"/>
  <c r="S607" i="62"/>
  <c r="A607" i="62"/>
  <c r="AD606" i="62"/>
  <c r="V606" i="62"/>
  <c r="S606" i="62"/>
  <c r="A606" i="62"/>
  <c r="AC605" i="62"/>
  <c r="W605" i="62"/>
  <c r="S605" i="62"/>
  <c r="A605" i="62"/>
  <c r="AD604" i="62"/>
  <c r="V604" i="62"/>
  <c r="S604" i="62"/>
  <c r="A604" i="62"/>
  <c r="AD603" i="62"/>
  <c r="V603" i="62"/>
  <c r="S603" i="62"/>
  <c r="A603" i="62"/>
  <c r="AD602" i="62"/>
  <c r="V602" i="62"/>
  <c r="S602" i="62"/>
  <c r="A602" i="62"/>
  <c r="AD601" i="62"/>
  <c r="V601" i="62"/>
  <c r="S601" i="62"/>
  <c r="A601" i="62"/>
  <c r="AD600" i="62"/>
  <c r="V600" i="62"/>
  <c r="S600" i="62"/>
  <c r="A600" i="62"/>
  <c r="AD599" i="62"/>
  <c r="V599" i="62"/>
  <c r="S599" i="62"/>
  <c r="A599" i="62"/>
  <c r="AD598" i="62"/>
  <c r="V598" i="62"/>
  <c r="S598" i="62"/>
  <c r="A598" i="62"/>
  <c r="AD597" i="62"/>
  <c r="V597" i="62"/>
  <c r="S597" i="62"/>
  <c r="A597" i="62"/>
  <c r="AD596" i="62"/>
  <c r="V596" i="62"/>
  <c r="S596" i="62"/>
  <c r="A596" i="62"/>
  <c r="AD595" i="62"/>
  <c r="V595" i="62"/>
  <c r="S595" i="62"/>
  <c r="A595" i="62"/>
  <c r="AD594" i="62"/>
  <c r="V594" i="62"/>
  <c r="S594" i="62"/>
  <c r="A594" i="62"/>
  <c r="AD593" i="62"/>
  <c r="V593" i="62"/>
  <c r="S593" i="62"/>
  <c r="A593" i="62"/>
  <c r="AD592" i="62"/>
  <c r="V592" i="62"/>
  <c r="S592" i="62"/>
  <c r="A592" i="62"/>
  <c r="AD591" i="62"/>
  <c r="V591" i="62"/>
  <c r="S591" i="62"/>
  <c r="A591" i="62"/>
  <c r="AD590" i="62"/>
  <c r="V590" i="62"/>
  <c r="S590" i="62"/>
  <c r="A590" i="62"/>
  <c r="AD589" i="62"/>
  <c r="V589" i="62"/>
  <c r="S589" i="62"/>
  <c r="A589" i="62"/>
  <c r="AD588" i="62"/>
  <c r="V588" i="62"/>
  <c r="S588" i="62"/>
  <c r="A588" i="62"/>
  <c r="AD587" i="62"/>
  <c r="V587" i="62"/>
  <c r="S587" i="62"/>
  <c r="A587" i="62"/>
  <c r="AD586" i="62"/>
  <c r="V586" i="62"/>
  <c r="S586" i="62"/>
  <c r="A586" i="62"/>
  <c r="AD585" i="62"/>
  <c r="AB585" i="62"/>
  <c r="V585" i="62"/>
  <c r="S585" i="62"/>
  <c r="A585" i="62"/>
  <c r="AD584" i="62"/>
  <c r="AB584" i="62"/>
  <c r="V584" i="62"/>
  <c r="S584" i="62"/>
  <c r="A584" i="62"/>
  <c r="AD583" i="62"/>
  <c r="AC583" i="62"/>
  <c r="V583" i="62"/>
  <c r="S583" i="62"/>
  <c r="A583" i="62"/>
  <c r="AD582" i="62"/>
  <c r="V582" i="62"/>
  <c r="S582" i="62"/>
  <c r="A582" i="62"/>
  <c r="AD581" i="62"/>
  <c r="V581" i="62"/>
  <c r="S581" i="62"/>
  <c r="A581" i="62"/>
  <c r="AD580" i="62"/>
  <c r="V580" i="62"/>
  <c r="S580" i="62"/>
  <c r="A580" i="62"/>
  <c r="AD579" i="62"/>
  <c r="V579" i="62"/>
  <c r="S579" i="62"/>
  <c r="A579" i="62"/>
  <c r="AD578" i="62"/>
  <c r="V578" i="62"/>
  <c r="S578" i="62"/>
  <c r="A578" i="62"/>
  <c r="AD577" i="62"/>
  <c r="V577" i="62"/>
  <c r="S577" i="62"/>
  <c r="A577" i="62"/>
  <c r="AD576" i="62"/>
  <c r="V576" i="62"/>
  <c r="S576" i="62"/>
  <c r="A576" i="62"/>
  <c r="AD575" i="62"/>
  <c r="V575" i="62"/>
  <c r="S575" i="62"/>
  <c r="A575" i="62"/>
  <c r="AD574" i="62"/>
  <c r="V574" i="62"/>
  <c r="S574" i="62"/>
  <c r="A574" i="62"/>
  <c r="AD573" i="62"/>
  <c r="V573" i="62"/>
  <c r="S573" i="62"/>
  <c r="A573" i="62"/>
  <c r="AD572" i="62"/>
  <c r="V572" i="62"/>
  <c r="S572" i="62"/>
  <c r="A572" i="62"/>
  <c r="AD571" i="62"/>
  <c r="V571" i="62"/>
  <c r="S571" i="62"/>
  <c r="A571" i="62"/>
  <c r="AD570" i="62"/>
  <c r="V570" i="62"/>
  <c r="S570" i="62"/>
  <c r="A570" i="62"/>
  <c r="AD569" i="62"/>
  <c r="V569" i="62"/>
  <c r="S569" i="62"/>
  <c r="A569" i="62"/>
  <c r="AD568" i="62"/>
  <c r="V568" i="62"/>
  <c r="S568" i="62"/>
  <c r="A568" i="62"/>
  <c r="AD567" i="62"/>
  <c r="V567" i="62"/>
  <c r="S567" i="62"/>
  <c r="A567" i="62"/>
  <c r="AD566" i="62"/>
  <c r="V566" i="62"/>
  <c r="S566" i="62"/>
  <c r="A566" i="62"/>
  <c r="AD565" i="62"/>
  <c r="V565" i="62"/>
  <c r="S565" i="62"/>
  <c r="A565" i="62"/>
  <c r="AD564" i="62"/>
  <c r="V564" i="62"/>
  <c r="S564" i="62"/>
  <c r="A564" i="62"/>
  <c r="AD563" i="62"/>
  <c r="V563" i="62"/>
  <c r="S563" i="62"/>
  <c r="A563" i="62"/>
  <c r="AD562" i="62"/>
  <c r="V562" i="62"/>
  <c r="S562" i="62"/>
  <c r="A562" i="62"/>
  <c r="AD561" i="62"/>
  <c r="V561" i="62"/>
  <c r="S561" i="62"/>
  <c r="A561" i="62"/>
  <c r="AD560" i="62"/>
  <c r="V560" i="62"/>
  <c r="S560" i="62"/>
  <c r="A560" i="62"/>
  <c r="A559" i="62"/>
  <c r="A558" i="62"/>
  <c r="S557" i="62"/>
  <c r="R557" i="62"/>
  <c r="Q557" i="62"/>
  <c r="P557" i="62"/>
  <c r="O557" i="62"/>
  <c r="N557" i="62"/>
  <c r="M557" i="62"/>
  <c r="L557" i="62"/>
  <c r="K557" i="62"/>
  <c r="J557" i="62"/>
  <c r="I557" i="62"/>
  <c r="H557" i="62"/>
  <c r="G557" i="62"/>
  <c r="F557" i="62"/>
  <c r="A557" i="62"/>
  <c r="A556" i="62"/>
  <c r="S555" i="62"/>
  <c r="R555" i="62"/>
  <c r="Q555" i="62"/>
  <c r="P555" i="62"/>
  <c r="O555" i="62"/>
  <c r="N555" i="62"/>
  <c r="M555" i="62"/>
  <c r="L555" i="62"/>
  <c r="K555" i="62"/>
  <c r="J555" i="62"/>
  <c r="I555" i="62"/>
  <c r="H555" i="62"/>
  <c r="G555" i="62"/>
  <c r="F555" i="62"/>
  <c r="A555" i="62"/>
  <c r="AD554" i="62"/>
  <c r="V554" i="62"/>
  <c r="S554" i="62"/>
  <c r="A554" i="62"/>
  <c r="AD553" i="62"/>
  <c r="V553" i="62"/>
  <c r="S553" i="62"/>
  <c r="A553" i="62"/>
  <c r="AD552" i="62"/>
  <c r="V552" i="62"/>
  <c r="S552" i="62"/>
  <c r="A552" i="62"/>
  <c r="AD551" i="62"/>
  <c r="V551" i="62"/>
  <c r="S551" i="62"/>
  <c r="A551" i="62"/>
  <c r="AD550" i="62"/>
  <c r="V550" i="62"/>
  <c r="S550" i="62"/>
  <c r="A550" i="62"/>
  <c r="AD549" i="62"/>
  <c r="V549" i="62"/>
  <c r="S549" i="62"/>
  <c r="A549" i="62"/>
  <c r="A548" i="62"/>
  <c r="S547" i="62"/>
  <c r="R547" i="62"/>
  <c r="Q547" i="62"/>
  <c r="P547" i="62"/>
  <c r="O547" i="62"/>
  <c r="N547" i="62"/>
  <c r="M547" i="62"/>
  <c r="L547" i="62"/>
  <c r="K547" i="62"/>
  <c r="J547" i="62"/>
  <c r="I547" i="62"/>
  <c r="H547" i="62"/>
  <c r="G547" i="62"/>
  <c r="F547" i="62"/>
  <c r="A547" i="62"/>
  <c r="AB546" i="62"/>
  <c r="X546" i="62"/>
  <c r="S546" i="62"/>
  <c r="A546" i="62"/>
  <c r="AB545" i="62"/>
  <c r="X545" i="62"/>
  <c r="S545" i="62"/>
  <c r="A545" i="62"/>
  <c r="AB544" i="62"/>
  <c r="X544" i="62"/>
  <c r="S544" i="62"/>
  <c r="A544" i="62"/>
  <c r="AB543" i="62"/>
  <c r="X543" i="62"/>
  <c r="S543" i="62"/>
  <c r="A543" i="62"/>
  <c r="AB542" i="62"/>
  <c r="X542" i="62"/>
  <c r="S542" i="62"/>
  <c r="A542" i="62"/>
  <c r="AB541" i="62"/>
  <c r="X541" i="62"/>
  <c r="S541" i="62"/>
  <c r="A541" i="62"/>
  <c r="AB540" i="62"/>
  <c r="X540" i="62"/>
  <c r="S540" i="62"/>
  <c r="A540" i="62"/>
  <c r="AB539" i="62"/>
  <c r="X539" i="62"/>
  <c r="S539" i="62"/>
  <c r="A539" i="62"/>
  <c r="AB538" i="62"/>
  <c r="X538" i="62"/>
  <c r="S538" i="62"/>
  <c r="A538" i="62"/>
  <c r="AB537" i="62"/>
  <c r="X537" i="62"/>
  <c r="S537" i="62"/>
  <c r="A537" i="62"/>
  <c r="A536" i="62"/>
  <c r="AD535" i="62"/>
  <c r="V535" i="62"/>
  <c r="S535" i="62"/>
  <c r="A535" i="62"/>
  <c r="AD534" i="62"/>
  <c r="V534" i="62"/>
  <c r="S534" i="62"/>
  <c r="A534" i="62"/>
  <c r="AD533" i="62"/>
  <c r="V533" i="62"/>
  <c r="S533" i="62"/>
  <c r="A533" i="62"/>
  <c r="AD532" i="62"/>
  <c r="V532" i="62"/>
  <c r="S532" i="62"/>
  <c r="A532" i="62"/>
  <c r="AD531" i="62"/>
  <c r="V531" i="62"/>
  <c r="S531" i="62"/>
  <c r="A531" i="62"/>
  <c r="AD530" i="62"/>
  <c r="V530" i="62"/>
  <c r="S530" i="62"/>
  <c r="A530" i="62"/>
  <c r="AD529" i="62"/>
  <c r="V529" i="62"/>
  <c r="S529" i="62"/>
  <c r="A529" i="62"/>
  <c r="AD528" i="62"/>
  <c r="V528" i="62"/>
  <c r="S528" i="62"/>
  <c r="A528" i="62"/>
  <c r="AD527" i="62"/>
  <c r="V527" i="62"/>
  <c r="S527" i="62"/>
  <c r="A527" i="62"/>
  <c r="AD526" i="62"/>
  <c r="V526" i="62"/>
  <c r="S526" i="62"/>
  <c r="A526" i="62"/>
  <c r="AD525" i="62"/>
  <c r="V525" i="62"/>
  <c r="S525" i="62"/>
  <c r="A525" i="62"/>
  <c r="AD524" i="62"/>
  <c r="V524" i="62"/>
  <c r="S524" i="62"/>
  <c r="A524" i="62"/>
  <c r="AD523" i="62"/>
  <c r="V523" i="62"/>
  <c r="S523" i="62"/>
  <c r="A523" i="62"/>
  <c r="AD522" i="62"/>
  <c r="V522" i="62"/>
  <c r="S522" i="62"/>
  <c r="A522" i="62"/>
  <c r="AD521" i="62"/>
  <c r="V521" i="62"/>
  <c r="S521" i="62"/>
  <c r="A521" i="62"/>
  <c r="AD520" i="62"/>
  <c r="V520" i="62"/>
  <c r="S520" i="62"/>
  <c r="A520" i="62"/>
  <c r="A519" i="62"/>
  <c r="AC518" i="62"/>
  <c r="W518" i="62"/>
  <c r="S518" i="62"/>
  <c r="A518" i="62"/>
  <c r="AC517" i="62"/>
  <c r="W517" i="62"/>
  <c r="S517" i="62"/>
  <c r="A517" i="62"/>
  <c r="A516" i="62"/>
  <c r="S515" i="62"/>
  <c r="A515" i="62"/>
  <c r="S514" i="62"/>
  <c r="R514" i="62"/>
  <c r="Q514" i="62"/>
  <c r="P514" i="62"/>
  <c r="O514" i="62"/>
  <c r="N514" i="62"/>
  <c r="M514" i="62"/>
  <c r="L514" i="62"/>
  <c r="K514" i="62"/>
  <c r="J514" i="62"/>
  <c r="I514" i="62"/>
  <c r="H514" i="62"/>
  <c r="G514" i="62"/>
  <c r="F514" i="62"/>
  <c r="A514" i="62"/>
  <c r="AC513" i="62"/>
  <c r="W513" i="62"/>
  <c r="S513" i="62"/>
  <c r="A513" i="62"/>
  <c r="AC512" i="62"/>
  <c r="W512" i="62"/>
  <c r="S512" i="62"/>
  <c r="A512" i="62"/>
  <c r="AC511" i="62"/>
  <c r="W511" i="62"/>
  <c r="S511" i="62"/>
  <c r="A511" i="62"/>
  <c r="AC510" i="62"/>
  <c r="W510" i="62"/>
  <c r="S510" i="62"/>
  <c r="A510" i="62"/>
  <c r="AC509" i="62"/>
  <c r="W509" i="62"/>
  <c r="S509" i="62"/>
  <c r="A509" i="62"/>
  <c r="AC508" i="62"/>
  <c r="W508" i="62"/>
  <c r="S508" i="62"/>
  <c r="A508" i="62"/>
  <c r="AC507" i="62"/>
  <c r="W507" i="62"/>
  <c r="S507" i="62"/>
  <c r="A507" i="62"/>
  <c r="AC506" i="62"/>
  <c r="W506" i="62"/>
  <c r="S506" i="62"/>
  <c r="A506" i="62"/>
  <c r="AC505" i="62"/>
  <c r="W505" i="62"/>
  <c r="S505" i="62"/>
  <c r="A505" i="62"/>
  <c r="AC504" i="62"/>
  <c r="W504" i="62"/>
  <c r="S504" i="62"/>
  <c r="A504" i="62"/>
  <c r="AC503" i="62"/>
  <c r="W503" i="62"/>
  <c r="S503" i="62"/>
  <c r="A503" i="62"/>
  <c r="AC502" i="62"/>
  <c r="W502" i="62"/>
  <c r="S502" i="62"/>
  <c r="A502" i="62"/>
  <c r="AC501" i="62"/>
  <c r="W501" i="62"/>
  <c r="S501" i="62"/>
  <c r="A501" i="62"/>
  <c r="AC500" i="62"/>
  <c r="W500" i="62"/>
  <c r="S500" i="62"/>
  <c r="A500" i="62"/>
  <c r="AC499" i="62"/>
  <c r="W499" i="62"/>
  <c r="S499" i="62"/>
  <c r="A499" i="62"/>
  <c r="AC498" i="62"/>
  <c r="W498" i="62"/>
  <c r="S498" i="62"/>
  <c r="A498" i="62"/>
  <c r="AC497" i="62"/>
  <c r="W497" i="62"/>
  <c r="S497" i="62"/>
  <c r="A497" i="62"/>
  <c r="AC496" i="62"/>
  <c r="W496" i="62"/>
  <c r="S496" i="62"/>
  <c r="A496" i="62"/>
  <c r="AC495" i="62"/>
  <c r="W495" i="62"/>
  <c r="S495" i="62"/>
  <c r="A495" i="62"/>
  <c r="AC494" i="62"/>
  <c r="W494" i="62"/>
  <c r="S494" i="62"/>
  <c r="A494" i="62"/>
  <c r="AC493" i="62"/>
  <c r="W493" i="62"/>
  <c r="S493" i="62"/>
  <c r="A493" i="62"/>
  <c r="AC492" i="62"/>
  <c r="W492" i="62"/>
  <c r="S492" i="62"/>
  <c r="A492" i="62"/>
  <c r="A491" i="62"/>
  <c r="S490" i="62"/>
  <c r="R490" i="62"/>
  <c r="Q490" i="62"/>
  <c r="P490" i="62"/>
  <c r="O490" i="62"/>
  <c r="N490" i="62"/>
  <c r="M490" i="62"/>
  <c r="L490" i="62"/>
  <c r="K490" i="62"/>
  <c r="J490" i="62"/>
  <c r="I490" i="62"/>
  <c r="H490" i="62"/>
  <c r="G490" i="62"/>
  <c r="F490" i="62"/>
  <c r="A490" i="62"/>
  <c r="AC489" i="62"/>
  <c r="W489" i="62"/>
  <c r="S489" i="62"/>
  <c r="A489" i="62"/>
  <c r="AC488" i="62"/>
  <c r="W488" i="62"/>
  <c r="S488" i="62"/>
  <c r="A488" i="62"/>
  <c r="AC487" i="62"/>
  <c r="W487" i="62"/>
  <c r="S487" i="62"/>
  <c r="A487" i="62"/>
  <c r="AC486" i="62"/>
  <c r="W486" i="62"/>
  <c r="S486" i="62"/>
  <c r="A486" i="62"/>
  <c r="AC485" i="62"/>
  <c r="W485" i="62"/>
  <c r="S485" i="62"/>
  <c r="A485" i="62"/>
  <c r="AC484" i="62"/>
  <c r="W484" i="62"/>
  <c r="S484" i="62"/>
  <c r="A484" i="62"/>
  <c r="AC483" i="62"/>
  <c r="W483" i="62"/>
  <c r="S483" i="62"/>
  <c r="A483" i="62"/>
  <c r="AC482" i="62"/>
  <c r="W482" i="62"/>
  <c r="S482" i="62"/>
  <c r="A482" i="62"/>
  <c r="A481" i="62"/>
  <c r="A480" i="62"/>
  <c r="S479" i="62"/>
  <c r="R479" i="62"/>
  <c r="Q479" i="62"/>
  <c r="P479" i="62"/>
  <c r="O479" i="62"/>
  <c r="N479" i="62"/>
  <c r="M479" i="62"/>
  <c r="L479" i="62"/>
  <c r="K479" i="62"/>
  <c r="J479" i="62"/>
  <c r="I479" i="62"/>
  <c r="H479" i="62"/>
  <c r="G479" i="62"/>
  <c r="F479" i="62"/>
  <c r="A479" i="62"/>
  <c r="A478" i="62"/>
  <c r="S477" i="62"/>
  <c r="R477" i="62"/>
  <c r="Q477" i="62"/>
  <c r="P477" i="62"/>
  <c r="O477" i="62"/>
  <c r="N477" i="62"/>
  <c r="M477" i="62"/>
  <c r="L477" i="62"/>
  <c r="K477" i="62"/>
  <c r="J477" i="62"/>
  <c r="I477" i="62"/>
  <c r="H477" i="62"/>
  <c r="G477" i="62"/>
  <c r="F477" i="62"/>
  <c r="A477" i="62"/>
  <c r="AC476" i="62"/>
  <c r="W476" i="62"/>
  <c r="S476" i="62"/>
  <c r="A476" i="62"/>
  <c r="A475" i="62"/>
  <c r="S474" i="62"/>
  <c r="R474" i="62"/>
  <c r="Q474" i="62"/>
  <c r="P474" i="62"/>
  <c r="O474" i="62"/>
  <c r="N474" i="62"/>
  <c r="M474" i="62"/>
  <c r="L474" i="62"/>
  <c r="K474" i="62"/>
  <c r="J474" i="62"/>
  <c r="I474" i="62"/>
  <c r="H474" i="62"/>
  <c r="G474" i="62"/>
  <c r="F474" i="62"/>
  <c r="A474" i="62"/>
  <c r="AC473" i="62"/>
  <c r="W473" i="62"/>
  <c r="S473" i="62"/>
  <c r="A473" i="62"/>
  <c r="AC472" i="62"/>
  <c r="W472" i="62"/>
  <c r="S472" i="62"/>
  <c r="A472" i="62"/>
  <c r="AC471" i="62"/>
  <c r="W471" i="62"/>
  <c r="S471" i="62"/>
  <c r="A471" i="62"/>
  <c r="AC470" i="62"/>
  <c r="W470" i="62"/>
  <c r="S470" i="62"/>
  <c r="A470" i="62"/>
  <c r="AC469" i="62"/>
  <c r="W469" i="62"/>
  <c r="S469" i="62"/>
  <c r="A469" i="62"/>
  <c r="AC468" i="62"/>
  <c r="W468" i="62"/>
  <c r="S468" i="62"/>
  <c r="A468" i="62"/>
  <c r="AC467" i="62"/>
  <c r="W467" i="62"/>
  <c r="S467" i="62"/>
  <c r="A467" i="62"/>
  <c r="AC466" i="62"/>
  <c r="W466" i="62"/>
  <c r="S466" i="62"/>
  <c r="A466" i="62"/>
  <c r="AC465" i="62"/>
  <c r="W465" i="62"/>
  <c r="S465" i="62"/>
  <c r="A465" i="62"/>
  <c r="AC464" i="62"/>
  <c r="W464" i="62"/>
  <c r="S464" i="62"/>
  <c r="A464" i="62"/>
  <c r="A463" i="62"/>
  <c r="A462" i="62"/>
  <c r="S461" i="62"/>
  <c r="R461" i="62"/>
  <c r="Q461" i="62"/>
  <c r="P461" i="62"/>
  <c r="O461" i="62"/>
  <c r="N461" i="62"/>
  <c r="M461" i="62"/>
  <c r="L461" i="62"/>
  <c r="K461" i="62"/>
  <c r="J461" i="62"/>
  <c r="I461" i="62"/>
  <c r="H461" i="62"/>
  <c r="G461" i="62"/>
  <c r="F461" i="62"/>
  <c r="A461" i="62"/>
  <c r="AC460" i="62"/>
  <c r="W460" i="62"/>
  <c r="S460" i="62"/>
  <c r="A460" i="62"/>
  <c r="AC459" i="62"/>
  <c r="W459" i="62"/>
  <c r="S459" i="62"/>
  <c r="A459" i="62"/>
  <c r="AC458" i="62"/>
  <c r="W458" i="62"/>
  <c r="S458" i="62"/>
  <c r="A458" i="62"/>
  <c r="AC457" i="62"/>
  <c r="W457" i="62"/>
  <c r="S457" i="62"/>
  <c r="A457" i="62"/>
  <c r="AC456" i="62"/>
  <c r="W456" i="62"/>
  <c r="S456" i="62"/>
  <c r="A456" i="62"/>
  <c r="AC455" i="62"/>
  <c r="W455" i="62"/>
  <c r="S455" i="62"/>
  <c r="A455" i="62"/>
  <c r="AC454" i="62"/>
  <c r="W454" i="62"/>
  <c r="S454" i="62"/>
  <c r="A454" i="62"/>
  <c r="AC453" i="62"/>
  <c r="W453" i="62"/>
  <c r="S453" i="62"/>
  <c r="A453" i="62"/>
  <c r="AC452" i="62"/>
  <c r="W452" i="62"/>
  <c r="S452" i="62"/>
  <c r="A452" i="62"/>
  <c r="AC451" i="62"/>
  <c r="W451" i="62"/>
  <c r="S451" i="62"/>
  <c r="A451" i="62"/>
  <c r="AC450" i="62"/>
  <c r="W450" i="62"/>
  <c r="S450" i="62"/>
  <c r="A450" i="62"/>
  <c r="AC449" i="62"/>
  <c r="W449" i="62"/>
  <c r="S449" i="62"/>
  <c r="A449" i="62"/>
  <c r="AC448" i="62"/>
  <c r="W448" i="62"/>
  <c r="S448" i="62"/>
  <c r="A448" i="62"/>
  <c r="AC447" i="62"/>
  <c r="W447" i="62"/>
  <c r="S447" i="62"/>
  <c r="A447" i="62"/>
  <c r="AC446" i="62"/>
  <c r="W446" i="62"/>
  <c r="S446" i="62"/>
  <c r="A446" i="62"/>
  <c r="AC445" i="62"/>
  <c r="W445" i="62"/>
  <c r="S445" i="62"/>
  <c r="A445" i="62"/>
  <c r="AC444" i="62"/>
  <c r="W444" i="62"/>
  <c r="S444" i="62"/>
  <c r="A444" i="62"/>
  <c r="AC443" i="62"/>
  <c r="W443" i="62"/>
  <c r="S443" i="62"/>
  <c r="A443" i="62"/>
  <c r="AC442" i="62"/>
  <c r="W442" i="62"/>
  <c r="S442" i="62"/>
  <c r="A442" i="62"/>
  <c r="AC441" i="62"/>
  <c r="W441" i="62"/>
  <c r="S441" i="62"/>
  <c r="A441" i="62"/>
  <c r="AC440" i="62"/>
  <c r="W440" i="62"/>
  <c r="S440" i="62"/>
  <c r="A440" i="62"/>
  <c r="A439" i="62"/>
  <c r="S438" i="62"/>
  <c r="R438" i="62"/>
  <c r="Q438" i="62"/>
  <c r="P438" i="62"/>
  <c r="O438" i="62"/>
  <c r="N438" i="62"/>
  <c r="M438" i="62"/>
  <c r="L438" i="62"/>
  <c r="K438" i="62"/>
  <c r="J438" i="62"/>
  <c r="I438" i="62"/>
  <c r="H438" i="62"/>
  <c r="G438" i="62"/>
  <c r="F438" i="62"/>
  <c r="A438" i="62"/>
  <c r="AC437" i="62"/>
  <c r="W437" i="62"/>
  <c r="S437" i="62"/>
  <c r="A437" i="62"/>
  <c r="AC436" i="62"/>
  <c r="W436" i="62"/>
  <c r="S436" i="62"/>
  <c r="A436" i="62"/>
  <c r="AC435" i="62"/>
  <c r="W435" i="62"/>
  <c r="S435" i="62"/>
  <c r="A435" i="62"/>
  <c r="AC434" i="62"/>
  <c r="W434" i="62"/>
  <c r="S434" i="62"/>
  <c r="A434" i="62"/>
  <c r="AC433" i="62"/>
  <c r="W433" i="62"/>
  <c r="S433" i="62"/>
  <c r="A433" i="62"/>
  <c r="AC432" i="62"/>
  <c r="W432" i="62"/>
  <c r="S432" i="62"/>
  <c r="A432" i="62"/>
  <c r="AC431" i="62"/>
  <c r="W431" i="62"/>
  <c r="S431" i="62"/>
  <c r="A431" i="62"/>
  <c r="AC430" i="62"/>
  <c r="W430" i="62"/>
  <c r="S430" i="62"/>
  <c r="A430" i="62"/>
  <c r="AC429" i="62"/>
  <c r="W429" i="62"/>
  <c r="S429" i="62"/>
  <c r="A429" i="62"/>
  <c r="AC428" i="62"/>
  <c r="W428" i="62"/>
  <c r="S428" i="62"/>
  <c r="A428" i="62"/>
  <c r="AC427" i="62"/>
  <c r="W427" i="62"/>
  <c r="S427" i="62"/>
  <c r="A427" i="62"/>
  <c r="AC426" i="62"/>
  <c r="W426" i="62"/>
  <c r="S426" i="62"/>
  <c r="A426" i="62"/>
  <c r="AC425" i="62"/>
  <c r="W425" i="62"/>
  <c r="S425" i="62"/>
  <c r="A425" i="62"/>
  <c r="AC424" i="62"/>
  <c r="W424" i="62"/>
  <c r="S424" i="62"/>
  <c r="A424" i="62"/>
  <c r="AC423" i="62"/>
  <c r="W423" i="62"/>
  <c r="S423" i="62"/>
  <c r="A423" i="62"/>
  <c r="AC422" i="62"/>
  <c r="W422" i="62"/>
  <c r="S422" i="62"/>
  <c r="A422" i="62"/>
  <c r="AC421" i="62"/>
  <c r="W421" i="62"/>
  <c r="S421" i="62"/>
  <c r="A421" i="62"/>
  <c r="A420" i="62"/>
  <c r="S419" i="62"/>
  <c r="R419" i="62"/>
  <c r="Q419" i="62"/>
  <c r="P419" i="62"/>
  <c r="O419" i="62"/>
  <c r="N419" i="62"/>
  <c r="M419" i="62"/>
  <c r="L419" i="62"/>
  <c r="K419" i="62"/>
  <c r="J419" i="62"/>
  <c r="I419" i="62"/>
  <c r="H419" i="62"/>
  <c r="G419" i="62"/>
  <c r="F419" i="62"/>
  <c r="A419" i="62"/>
  <c r="AC418" i="62"/>
  <c r="W418" i="62"/>
  <c r="S418" i="62"/>
  <c r="A418" i="62"/>
  <c r="AC417" i="62"/>
  <c r="W417" i="62"/>
  <c r="S417" i="62"/>
  <c r="A417" i="62"/>
  <c r="AC416" i="62"/>
  <c r="W416" i="62"/>
  <c r="S416" i="62"/>
  <c r="A416" i="62"/>
  <c r="A415" i="62"/>
  <c r="S414" i="62"/>
  <c r="R414" i="62"/>
  <c r="Q414" i="62"/>
  <c r="P414" i="62"/>
  <c r="O414" i="62"/>
  <c r="N414" i="62"/>
  <c r="M414" i="62"/>
  <c r="L414" i="62"/>
  <c r="K414" i="62"/>
  <c r="J414" i="62"/>
  <c r="I414" i="62"/>
  <c r="H414" i="62"/>
  <c r="G414" i="62"/>
  <c r="F414" i="62"/>
  <c r="A414" i="62"/>
  <c r="AC413" i="62"/>
  <c r="W413" i="62"/>
  <c r="S413" i="62"/>
  <c r="A413" i="62"/>
  <c r="AC412" i="62"/>
  <c r="W412" i="62"/>
  <c r="S412" i="62"/>
  <c r="A412" i="62"/>
  <c r="AC411" i="62"/>
  <c r="W411" i="62"/>
  <c r="S411" i="62"/>
  <c r="A411" i="62"/>
  <c r="AC410" i="62"/>
  <c r="W410" i="62"/>
  <c r="S410" i="62"/>
  <c r="A410" i="62"/>
  <c r="AC409" i="62"/>
  <c r="W409" i="62"/>
  <c r="S409" i="62"/>
  <c r="A409" i="62"/>
  <c r="AC408" i="62"/>
  <c r="W408" i="62"/>
  <c r="S408" i="62"/>
  <c r="A408" i="62"/>
  <c r="AC407" i="62"/>
  <c r="W407" i="62"/>
  <c r="S407" i="62"/>
  <c r="A407" i="62"/>
  <c r="AC406" i="62"/>
  <c r="W406" i="62"/>
  <c r="S406" i="62"/>
  <c r="A406" i="62"/>
  <c r="AC405" i="62"/>
  <c r="W405" i="62"/>
  <c r="S405" i="62"/>
  <c r="A405" i="62"/>
  <c r="AC404" i="62"/>
  <c r="W404" i="62"/>
  <c r="S404" i="62"/>
  <c r="A404" i="62"/>
  <c r="AC403" i="62"/>
  <c r="W403" i="62"/>
  <c r="S403" i="62"/>
  <c r="A403" i="62"/>
  <c r="AC402" i="62"/>
  <c r="W402" i="62"/>
  <c r="S402" i="62"/>
  <c r="A402" i="62"/>
  <c r="AC401" i="62"/>
  <c r="W401" i="62"/>
  <c r="S401" i="62"/>
  <c r="A401" i="62"/>
  <c r="AC400" i="62"/>
  <c r="W400" i="62"/>
  <c r="S400" i="62"/>
  <c r="A400" i="62"/>
  <c r="AC399" i="62"/>
  <c r="W399" i="62"/>
  <c r="S399" i="62"/>
  <c r="A399" i="62"/>
  <c r="AC398" i="62"/>
  <c r="W398" i="62"/>
  <c r="S398" i="62"/>
  <c r="A398" i="62"/>
  <c r="A397" i="62"/>
  <c r="AC396" i="62"/>
  <c r="W396" i="62"/>
  <c r="S396" i="62"/>
  <c r="A396" i="62"/>
  <c r="AC395" i="62"/>
  <c r="W395" i="62"/>
  <c r="S395" i="62"/>
  <c r="A395" i="62"/>
  <c r="A394" i="62"/>
  <c r="S393" i="62"/>
  <c r="R393" i="62"/>
  <c r="Q393" i="62"/>
  <c r="P393" i="62"/>
  <c r="O393" i="62"/>
  <c r="N393" i="62"/>
  <c r="M393" i="62"/>
  <c r="L393" i="62"/>
  <c r="K393" i="62"/>
  <c r="J393" i="62"/>
  <c r="I393" i="62"/>
  <c r="H393" i="62"/>
  <c r="G393" i="62"/>
  <c r="F393" i="62"/>
  <c r="A393" i="62"/>
  <c r="AC392" i="62"/>
  <c r="W392" i="62"/>
  <c r="S392" i="62"/>
  <c r="A392" i="62"/>
  <c r="AC391" i="62"/>
  <c r="W391" i="62"/>
  <c r="S391" i="62"/>
  <c r="A391" i="62"/>
  <c r="AC390" i="62"/>
  <c r="W390" i="62"/>
  <c r="S390" i="62"/>
  <c r="A390" i="62"/>
  <c r="AC389" i="62"/>
  <c r="W389" i="62"/>
  <c r="S389" i="62"/>
  <c r="A389" i="62"/>
  <c r="A388" i="62"/>
  <c r="S387" i="62"/>
  <c r="R387" i="62"/>
  <c r="Q387" i="62"/>
  <c r="P387" i="62"/>
  <c r="O387" i="62"/>
  <c r="N387" i="62"/>
  <c r="M387" i="62"/>
  <c r="L387" i="62"/>
  <c r="K387" i="62"/>
  <c r="J387" i="62"/>
  <c r="I387" i="62"/>
  <c r="H387" i="62"/>
  <c r="G387" i="62"/>
  <c r="F387" i="62"/>
  <c r="A387" i="62"/>
  <c r="AB386" i="62"/>
  <c r="X386" i="62"/>
  <c r="S386" i="62"/>
  <c r="A386" i="62"/>
  <c r="AB385" i="62"/>
  <c r="X385" i="62"/>
  <c r="S385" i="62"/>
  <c r="A385" i="62"/>
  <c r="AB384" i="62"/>
  <c r="X384" i="62"/>
  <c r="S384" i="62"/>
  <c r="A384" i="62"/>
  <c r="AB383" i="62"/>
  <c r="X383" i="62"/>
  <c r="S383" i="62"/>
  <c r="A383" i="62"/>
  <c r="AB382" i="62"/>
  <c r="X382" i="62"/>
  <c r="S382" i="62"/>
  <c r="A382" i="62"/>
  <c r="AB381" i="62"/>
  <c r="X381" i="62"/>
  <c r="S381" i="62"/>
  <c r="A381" i="62"/>
  <c r="AB380" i="62"/>
  <c r="X380" i="62"/>
  <c r="S380" i="62"/>
  <c r="A380" i="62"/>
  <c r="AB379" i="62"/>
  <c r="X379" i="62"/>
  <c r="S379" i="62"/>
  <c r="A379" i="62"/>
  <c r="AB378" i="62"/>
  <c r="X378" i="62"/>
  <c r="S378" i="62"/>
  <c r="A378" i="62"/>
  <c r="AB377" i="62"/>
  <c r="X377" i="62"/>
  <c r="S377" i="62"/>
  <c r="A377" i="62"/>
  <c r="AB376" i="62"/>
  <c r="X376" i="62"/>
  <c r="S376" i="62"/>
  <c r="A376" i="62"/>
  <c r="AB375" i="62"/>
  <c r="X375" i="62"/>
  <c r="S375" i="62"/>
  <c r="A375" i="62"/>
  <c r="AB374" i="62"/>
  <c r="X374" i="62"/>
  <c r="S374" i="62"/>
  <c r="A374" i="62"/>
  <c r="AB373" i="62"/>
  <c r="X373" i="62"/>
  <c r="S373" i="62"/>
  <c r="A373" i="62"/>
  <c r="AB372" i="62"/>
  <c r="X372" i="62"/>
  <c r="S372" i="62"/>
  <c r="A372" i="62"/>
  <c r="AB371" i="62"/>
  <c r="X371" i="62"/>
  <c r="S371" i="62"/>
  <c r="A371" i="62"/>
  <c r="AB370" i="62"/>
  <c r="X370" i="62"/>
  <c r="S370" i="62"/>
  <c r="A370" i="62"/>
  <c r="AB369" i="62"/>
  <c r="X369" i="62"/>
  <c r="S369" i="62"/>
  <c r="A369" i="62"/>
  <c r="AB368" i="62"/>
  <c r="X368" i="62"/>
  <c r="S368" i="62"/>
  <c r="A368" i="62"/>
  <c r="AD367" i="62"/>
  <c r="U367" i="62"/>
  <c r="S367" i="62"/>
  <c r="A367" i="62"/>
  <c r="AB366" i="62"/>
  <c r="X366" i="62"/>
  <c r="S366" i="62"/>
  <c r="A366" i="62"/>
  <c r="AD365" i="62"/>
  <c r="U365" i="62"/>
  <c r="S365" i="62"/>
  <c r="A365" i="62"/>
  <c r="AD364" i="62"/>
  <c r="U364" i="62"/>
  <c r="S364" i="62"/>
  <c r="A364" i="62"/>
  <c r="AD363" i="62"/>
  <c r="U363" i="62"/>
  <c r="S363" i="62"/>
  <c r="A363" i="62"/>
  <c r="AD362" i="62"/>
  <c r="U362" i="62"/>
  <c r="S362" i="62"/>
  <c r="A362" i="62"/>
  <c r="AD361" i="62"/>
  <c r="U361" i="62"/>
  <c r="S361" i="62"/>
  <c r="A361" i="62"/>
  <c r="AD360" i="62"/>
  <c r="U360" i="62"/>
  <c r="S360" i="62"/>
  <c r="A360" i="62"/>
  <c r="AD359" i="62"/>
  <c r="U359" i="62"/>
  <c r="S359" i="62"/>
  <c r="A359" i="62"/>
  <c r="AD358" i="62"/>
  <c r="U358" i="62"/>
  <c r="S358" i="62"/>
  <c r="A358" i="62"/>
  <c r="AD357" i="62"/>
  <c r="U357" i="62"/>
  <c r="S357" i="62"/>
  <c r="A357" i="62"/>
  <c r="AB356" i="62"/>
  <c r="X356" i="62"/>
  <c r="S356" i="62"/>
  <c r="A356" i="62"/>
  <c r="AB355" i="62"/>
  <c r="X355" i="62"/>
  <c r="S355" i="62"/>
  <c r="A355" i="62"/>
  <c r="AB354" i="62"/>
  <c r="X354" i="62"/>
  <c r="S354" i="62"/>
  <c r="A354" i="62"/>
  <c r="AB353" i="62"/>
  <c r="X353" i="62"/>
  <c r="S353" i="62"/>
  <c r="A353" i="62"/>
  <c r="AB352" i="62"/>
  <c r="X352" i="62"/>
  <c r="S352" i="62"/>
  <c r="A352" i="62"/>
  <c r="AB351" i="62"/>
  <c r="X351" i="62"/>
  <c r="S351" i="62"/>
  <c r="A351" i="62"/>
  <c r="AB350" i="62"/>
  <c r="X350" i="62"/>
  <c r="S350" i="62"/>
  <c r="A350" i="62"/>
  <c r="AD349" i="62"/>
  <c r="U349" i="62"/>
  <c r="S349" i="62"/>
  <c r="A349" i="62"/>
  <c r="AD348" i="62"/>
  <c r="U348" i="62"/>
  <c r="S348" i="62"/>
  <c r="A348" i="62"/>
  <c r="AD347" i="62"/>
  <c r="U347" i="62"/>
  <c r="S347" i="62"/>
  <c r="A347" i="62"/>
  <c r="AD346" i="62"/>
  <c r="U346" i="62"/>
  <c r="S346" i="62"/>
  <c r="A346" i="62"/>
  <c r="AD345" i="62"/>
  <c r="U345" i="62"/>
  <c r="S345" i="62"/>
  <c r="A345" i="62"/>
  <c r="AD344" i="62"/>
  <c r="U344" i="62"/>
  <c r="S344" i="62"/>
  <c r="A344" i="62"/>
  <c r="AD343" i="62"/>
  <c r="U343" i="62"/>
  <c r="S343" i="62"/>
  <c r="A343" i="62"/>
  <c r="AD342" i="62"/>
  <c r="U342" i="62"/>
  <c r="S342" i="62"/>
  <c r="A342" i="62"/>
  <c r="AD341" i="62"/>
  <c r="U341" i="62"/>
  <c r="S341" i="62"/>
  <c r="A341" i="62"/>
  <c r="AD340" i="62"/>
  <c r="U340" i="62"/>
  <c r="S340" i="62"/>
  <c r="A340" i="62"/>
  <c r="AD339" i="62"/>
  <c r="U339" i="62"/>
  <c r="S339" i="62"/>
  <c r="A339" i="62"/>
  <c r="AD338" i="62"/>
  <c r="U338" i="62"/>
  <c r="S338" i="62"/>
  <c r="A338" i="62"/>
  <c r="AD337" i="62"/>
  <c r="U337" i="62"/>
  <c r="S337" i="62"/>
  <c r="A337" i="62"/>
  <c r="AD336" i="62"/>
  <c r="U336" i="62"/>
  <c r="S336" i="62"/>
  <c r="A336" i="62"/>
  <c r="AD335" i="62"/>
  <c r="U335" i="62"/>
  <c r="S335" i="62"/>
  <c r="A335" i="62"/>
  <c r="AD334" i="62"/>
  <c r="U334" i="62"/>
  <c r="S334" i="62"/>
  <c r="A334" i="62"/>
  <c r="AD333" i="62"/>
  <c r="U333" i="62"/>
  <c r="S333" i="62"/>
  <c r="A333" i="62"/>
  <c r="AD332" i="62"/>
  <c r="U332" i="62"/>
  <c r="S332" i="62"/>
  <c r="A332" i="62"/>
  <c r="AD331" i="62"/>
  <c r="U331" i="62"/>
  <c r="S331" i="62"/>
  <c r="A331" i="62"/>
  <c r="AD330" i="62"/>
  <c r="U330" i="62"/>
  <c r="S330" i="62"/>
  <c r="A330" i="62"/>
  <c r="AD329" i="62"/>
  <c r="U329" i="62"/>
  <c r="S329" i="62"/>
  <c r="A329" i="62"/>
  <c r="AD328" i="62"/>
  <c r="U328" i="62"/>
  <c r="S328" i="62"/>
  <c r="A328" i="62"/>
  <c r="AD327" i="62"/>
  <c r="U327" i="62"/>
  <c r="S327" i="62"/>
  <c r="A327" i="62"/>
  <c r="AD326" i="62"/>
  <c r="U326" i="62"/>
  <c r="S326" i="62"/>
  <c r="A326" i="62"/>
  <c r="AB325" i="62"/>
  <c r="X325" i="62"/>
  <c r="S325" i="62"/>
  <c r="A325" i="62"/>
  <c r="AB324" i="62"/>
  <c r="X324" i="62"/>
  <c r="S324" i="62"/>
  <c r="A324" i="62"/>
  <c r="AB323" i="62"/>
  <c r="X323" i="62"/>
  <c r="S323" i="62"/>
  <c r="A323" i="62"/>
  <c r="AB322" i="62"/>
  <c r="X322" i="62"/>
  <c r="S322" i="62"/>
  <c r="A322" i="62"/>
  <c r="AB321" i="62"/>
  <c r="X321" i="62"/>
  <c r="S321" i="62"/>
  <c r="A321" i="62"/>
  <c r="AB320" i="62"/>
  <c r="X320" i="62"/>
  <c r="S320" i="62"/>
  <c r="A320" i="62"/>
  <c r="AB319" i="62"/>
  <c r="X319" i="62"/>
  <c r="S319" i="62"/>
  <c r="A319" i="62"/>
  <c r="AB318" i="62"/>
  <c r="X318" i="62"/>
  <c r="S318" i="62"/>
  <c r="A318" i="62"/>
  <c r="AB317" i="62"/>
  <c r="X317" i="62"/>
  <c r="S317" i="62"/>
  <c r="A317" i="62"/>
  <c r="AB316" i="62"/>
  <c r="X316" i="62"/>
  <c r="S316" i="62"/>
  <c r="A316" i="62"/>
  <c r="AB315" i="62"/>
  <c r="X315" i="62"/>
  <c r="S315" i="62"/>
  <c r="A315" i="62"/>
  <c r="AD314" i="62"/>
  <c r="U314" i="62"/>
  <c r="S314" i="62"/>
  <c r="A314" i="62"/>
  <c r="AD313" i="62"/>
  <c r="U313" i="62"/>
  <c r="S313" i="62"/>
  <c r="A313" i="62"/>
  <c r="AD312" i="62"/>
  <c r="U312" i="62"/>
  <c r="S312" i="62"/>
  <c r="A312" i="62"/>
  <c r="AD311" i="62"/>
  <c r="U311" i="62"/>
  <c r="S311" i="62"/>
  <c r="A311" i="62"/>
  <c r="AD310" i="62"/>
  <c r="U310" i="62"/>
  <c r="S310" i="62"/>
  <c r="A310" i="62"/>
  <c r="AB309" i="62"/>
  <c r="X309" i="62"/>
  <c r="S309" i="62"/>
  <c r="A309" i="62"/>
  <c r="AB308" i="62"/>
  <c r="X308" i="62"/>
  <c r="S308" i="62"/>
  <c r="A308" i="62"/>
  <c r="AD307" i="62"/>
  <c r="X307" i="62"/>
  <c r="S307" i="62"/>
  <c r="A307" i="62"/>
  <c r="AD306" i="62"/>
  <c r="X306" i="62"/>
  <c r="S306" i="62"/>
  <c r="A306" i="62"/>
  <c r="AD305" i="62"/>
  <c r="X305" i="62"/>
  <c r="S305" i="62"/>
  <c r="A305" i="62"/>
  <c r="AD304" i="62"/>
  <c r="X304" i="62"/>
  <c r="S304" i="62"/>
  <c r="A304" i="62"/>
  <c r="AB303" i="62"/>
  <c r="X303" i="62"/>
  <c r="S303" i="62"/>
  <c r="A303" i="62"/>
  <c r="AB302" i="62"/>
  <c r="X302" i="62"/>
  <c r="S302" i="62"/>
  <c r="A302" i="62"/>
  <c r="AD301" i="62"/>
  <c r="U301" i="62"/>
  <c r="S301" i="62"/>
  <c r="A301" i="62"/>
  <c r="AD300" i="62"/>
  <c r="U300" i="62"/>
  <c r="S300" i="62"/>
  <c r="A300" i="62"/>
  <c r="AB299" i="62"/>
  <c r="X299" i="62"/>
  <c r="S299" i="62"/>
  <c r="A299" i="62"/>
  <c r="AB298" i="62"/>
  <c r="X298" i="62"/>
  <c r="S298" i="62"/>
  <c r="A298" i="62"/>
  <c r="AB297" i="62"/>
  <c r="X297" i="62"/>
  <c r="S297" i="62"/>
  <c r="A297" i="62"/>
  <c r="AB296" i="62"/>
  <c r="X296" i="62"/>
  <c r="S296" i="62"/>
  <c r="A296" i="62"/>
  <c r="AB295" i="62"/>
  <c r="X295" i="62"/>
  <c r="S295" i="62"/>
  <c r="A295" i="62"/>
  <c r="AB294" i="62"/>
  <c r="X294" i="62"/>
  <c r="S294" i="62"/>
  <c r="A294" i="62"/>
  <c r="AD293" i="62"/>
  <c r="X293" i="62"/>
  <c r="S293" i="62"/>
  <c r="A293" i="62"/>
  <c r="AD292" i="62"/>
  <c r="U292" i="62"/>
  <c r="S292" i="62"/>
  <c r="A292" i="62"/>
  <c r="AD291" i="62"/>
  <c r="U291" i="62"/>
  <c r="S291" i="62"/>
  <c r="A291" i="62"/>
  <c r="AD290" i="62"/>
  <c r="U290" i="62"/>
  <c r="S290" i="62"/>
  <c r="A290" i="62"/>
  <c r="AD289" i="62"/>
  <c r="U289" i="62"/>
  <c r="S289" i="62"/>
  <c r="A289" i="62"/>
  <c r="AD288" i="62"/>
  <c r="U288" i="62"/>
  <c r="S288" i="62"/>
  <c r="A288" i="62"/>
  <c r="AD287" i="62"/>
  <c r="U287" i="62"/>
  <c r="S287" i="62"/>
  <c r="A287" i="62"/>
  <c r="AD286" i="62"/>
  <c r="U286" i="62"/>
  <c r="S286" i="62"/>
  <c r="A286" i="62"/>
  <c r="AD285" i="62"/>
  <c r="U285" i="62"/>
  <c r="S285" i="62"/>
  <c r="A285" i="62"/>
  <c r="AD284" i="62"/>
  <c r="U284" i="62"/>
  <c r="S284" i="62"/>
  <c r="A284" i="62"/>
  <c r="AD283" i="62"/>
  <c r="U283" i="62"/>
  <c r="S283" i="62"/>
  <c r="A283" i="62"/>
  <c r="A282" i="62"/>
  <c r="S281" i="62"/>
  <c r="R281" i="62"/>
  <c r="Q281" i="62"/>
  <c r="P281" i="62"/>
  <c r="O281" i="62"/>
  <c r="N281" i="62"/>
  <c r="M281" i="62"/>
  <c r="L281" i="62"/>
  <c r="K281" i="62"/>
  <c r="J281" i="62"/>
  <c r="I281" i="62"/>
  <c r="H281" i="62"/>
  <c r="G281" i="62"/>
  <c r="F281" i="62"/>
  <c r="A281" i="62"/>
  <c r="AC280" i="62"/>
  <c r="W280" i="62"/>
  <c r="S280" i="62"/>
  <c r="A280" i="62"/>
  <c r="AC279" i="62"/>
  <c r="W279" i="62"/>
  <c r="S279" i="62"/>
  <c r="A279" i="62"/>
  <c r="A278" i="62"/>
  <c r="S277" i="62"/>
  <c r="R277" i="62"/>
  <c r="Q277" i="62"/>
  <c r="P277" i="62"/>
  <c r="O277" i="62"/>
  <c r="N277" i="62"/>
  <c r="M277" i="62"/>
  <c r="L277" i="62"/>
  <c r="K277" i="62"/>
  <c r="J277" i="62"/>
  <c r="I277" i="62"/>
  <c r="H277" i="62"/>
  <c r="G277" i="62"/>
  <c r="F277" i="62"/>
  <c r="A277" i="62"/>
  <c r="AC276" i="62"/>
  <c r="W276" i="62"/>
  <c r="S276" i="62"/>
  <c r="A276" i="62"/>
  <c r="AC275" i="62"/>
  <c r="W275" i="62"/>
  <c r="S275" i="62"/>
  <c r="A275" i="62"/>
  <c r="AC274" i="62"/>
  <c r="W274" i="62"/>
  <c r="S274" i="62"/>
  <c r="A274" i="62"/>
  <c r="AC273" i="62"/>
  <c r="W273" i="62"/>
  <c r="S273" i="62"/>
  <c r="A273" i="62"/>
  <c r="AC272" i="62"/>
  <c r="W272" i="62"/>
  <c r="S272" i="62"/>
  <c r="A272" i="62"/>
  <c r="AC271" i="62"/>
  <c r="W271" i="62"/>
  <c r="S271" i="62"/>
  <c r="A271" i="62"/>
  <c r="AC270" i="62"/>
  <c r="W270" i="62"/>
  <c r="S270" i="62"/>
  <c r="A270" i="62"/>
  <c r="AC269" i="62"/>
  <c r="W269" i="62"/>
  <c r="S269" i="62"/>
  <c r="A269" i="62"/>
  <c r="AC268" i="62"/>
  <c r="W268" i="62"/>
  <c r="S268" i="62"/>
  <c r="A268" i="62"/>
  <c r="AC267" i="62"/>
  <c r="W267" i="62"/>
  <c r="S267" i="62"/>
  <c r="A267" i="62"/>
  <c r="AC266" i="62"/>
  <c r="W266" i="62"/>
  <c r="S266" i="62"/>
  <c r="A266" i="62"/>
  <c r="AC265" i="62"/>
  <c r="W265" i="62"/>
  <c r="S265" i="62"/>
  <c r="A265" i="62"/>
  <c r="AC264" i="62"/>
  <c r="W264" i="62"/>
  <c r="S264" i="62"/>
  <c r="A264" i="62"/>
  <c r="AC263" i="62"/>
  <c r="W263" i="62"/>
  <c r="S263" i="62"/>
  <c r="A263" i="62"/>
  <c r="AC262" i="62"/>
  <c r="W262" i="62"/>
  <c r="S262" i="62"/>
  <c r="A262" i="62"/>
  <c r="AC261" i="62"/>
  <c r="W261" i="62"/>
  <c r="S261" i="62"/>
  <c r="A261" i="62"/>
  <c r="AC260" i="62"/>
  <c r="W260" i="62"/>
  <c r="S260" i="62"/>
  <c r="A260" i="62"/>
  <c r="AC259" i="62"/>
  <c r="W259" i="62"/>
  <c r="S259" i="62"/>
  <c r="A259" i="62"/>
  <c r="AC258" i="62"/>
  <c r="W258" i="62"/>
  <c r="S258" i="62"/>
  <c r="A258" i="62"/>
  <c r="AC257" i="62"/>
  <c r="W257" i="62"/>
  <c r="S257" i="62"/>
  <c r="A257" i="62"/>
  <c r="AC256" i="62"/>
  <c r="W256" i="62"/>
  <c r="S256" i="62"/>
  <c r="A256" i="62"/>
  <c r="A255" i="62"/>
  <c r="AB254" i="62"/>
  <c r="X254" i="62"/>
  <c r="S254" i="62"/>
  <c r="A254" i="62"/>
  <c r="AB253" i="62"/>
  <c r="X253" i="62"/>
  <c r="S253" i="62"/>
  <c r="A253" i="62"/>
  <c r="AB252" i="62"/>
  <c r="X252" i="62"/>
  <c r="S252" i="62"/>
  <c r="A252" i="62"/>
  <c r="AB251" i="62"/>
  <c r="X251" i="62"/>
  <c r="S251" i="62"/>
  <c r="A251" i="62"/>
  <c r="AB250" i="62"/>
  <c r="X250" i="62"/>
  <c r="S250" i="62"/>
  <c r="A250" i="62"/>
  <c r="AB249" i="62"/>
  <c r="X249" i="62"/>
  <c r="S249" i="62"/>
  <c r="A249" i="62"/>
  <c r="AB248" i="62"/>
  <c r="X248" i="62"/>
  <c r="S248" i="62"/>
  <c r="A248" i="62"/>
  <c r="AB247" i="62"/>
  <c r="X247" i="62"/>
  <c r="S247" i="62"/>
  <c r="A247" i="62"/>
  <c r="AB246" i="62"/>
  <c r="X246" i="62"/>
  <c r="S246" i="62"/>
  <c r="A246" i="62"/>
  <c r="AB245" i="62"/>
  <c r="X245" i="62"/>
  <c r="S245" i="62"/>
  <c r="A245" i="62"/>
  <c r="AB244" i="62"/>
  <c r="X244" i="62"/>
  <c r="S244" i="62"/>
  <c r="A244" i="62"/>
  <c r="AB243" i="62"/>
  <c r="X243" i="62"/>
  <c r="S243" i="62"/>
  <c r="A243" i="62"/>
  <c r="A242" i="62"/>
  <c r="Y241" i="62"/>
  <c r="X241" i="62"/>
  <c r="S241" i="62"/>
  <c r="A241" i="62"/>
  <c r="Y240" i="62"/>
  <c r="X240" i="62"/>
  <c r="S240" i="62"/>
  <c r="A240" i="62"/>
  <c r="Z239" i="62"/>
  <c r="X239" i="62"/>
  <c r="S239" i="62"/>
  <c r="A239" i="62"/>
  <c r="Z238" i="62"/>
  <c r="X238" i="62"/>
  <c r="S238" i="62"/>
  <c r="A238" i="62"/>
  <c r="AD237" i="62"/>
  <c r="U237" i="62"/>
  <c r="S237" i="62"/>
  <c r="A237" i="62"/>
  <c r="AD236" i="62"/>
  <c r="U236" i="62"/>
  <c r="S236" i="62"/>
  <c r="A236" i="62"/>
  <c r="AB235" i="62"/>
  <c r="X235" i="62"/>
  <c r="S235" i="62"/>
  <c r="A235" i="62"/>
  <c r="Z234" i="62"/>
  <c r="X234" i="62"/>
  <c r="S234" i="62"/>
  <c r="A234" i="62"/>
  <c r="Z233" i="62"/>
  <c r="X233" i="62"/>
  <c r="S233" i="62"/>
  <c r="A233" i="62"/>
  <c r="AB232" i="62"/>
  <c r="X232" i="62"/>
  <c r="S232" i="62"/>
  <c r="A232" i="62"/>
  <c r="AB231" i="62"/>
  <c r="X231" i="62"/>
  <c r="S231" i="62"/>
  <c r="A231" i="62"/>
  <c r="AD230" i="62"/>
  <c r="U230" i="62"/>
  <c r="S230" i="62"/>
  <c r="A230" i="62"/>
  <c r="AD229" i="62"/>
  <c r="U229" i="62"/>
  <c r="S229" i="62"/>
  <c r="A229" i="62"/>
  <c r="AB228" i="62"/>
  <c r="X228" i="62"/>
  <c r="S228" i="62"/>
  <c r="A228" i="62"/>
  <c r="Z227" i="62"/>
  <c r="Y227" i="62"/>
  <c r="X227" i="62"/>
  <c r="S227" i="62"/>
  <c r="A227" i="62"/>
  <c r="AB226" i="62"/>
  <c r="X226" i="62"/>
  <c r="S226" i="62"/>
  <c r="A226" i="62"/>
  <c r="AB225" i="62"/>
  <c r="X225" i="62"/>
  <c r="S225" i="62"/>
  <c r="A225" i="62"/>
  <c r="A224" i="62"/>
  <c r="S223" i="62"/>
  <c r="R223" i="62"/>
  <c r="Q223" i="62"/>
  <c r="P223" i="62"/>
  <c r="O223" i="62"/>
  <c r="N223" i="62"/>
  <c r="M223" i="62"/>
  <c r="L223" i="62"/>
  <c r="K223" i="62"/>
  <c r="J223" i="62"/>
  <c r="I223" i="62"/>
  <c r="H223" i="62"/>
  <c r="G223" i="62"/>
  <c r="F223" i="62"/>
  <c r="A223" i="62"/>
  <c r="AD222" i="62"/>
  <c r="U222" i="62"/>
  <c r="S222" i="62"/>
  <c r="A222" i="62"/>
  <c r="AD221" i="62"/>
  <c r="U221" i="62"/>
  <c r="S221" i="62"/>
  <c r="A221" i="62"/>
  <c r="AD220" i="62"/>
  <c r="U220" i="62"/>
  <c r="S220" i="62"/>
  <c r="A220" i="62"/>
  <c r="AD219" i="62"/>
  <c r="U219" i="62"/>
  <c r="S219" i="62"/>
  <c r="A219" i="62"/>
  <c r="AD218" i="62"/>
  <c r="U218" i="62"/>
  <c r="S218" i="62"/>
  <c r="A218" i="62"/>
  <c r="AD217" i="62"/>
  <c r="U217" i="62"/>
  <c r="S217" i="62"/>
  <c r="A217" i="62"/>
  <c r="AD216" i="62"/>
  <c r="U216" i="62"/>
  <c r="S216" i="62"/>
  <c r="A216" i="62"/>
  <c r="AD215" i="62"/>
  <c r="U215" i="62"/>
  <c r="S215" i="62"/>
  <c r="A215" i="62"/>
  <c r="AD214" i="62"/>
  <c r="U214" i="62"/>
  <c r="S214" i="62"/>
  <c r="A214" i="62"/>
  <c r="AD213" i="62"/>
  <c r="U213" i="62"/>
  <c r="S213" i="62"/>
  <c r="A213" i="62"/>
  <c r="A212" i="62"/>
  <c r="S211" i="62"/>
  <c r="R211" i="62"/>
  <c r="Q211" i="62"/>
  <c r="P211" i="62"/>
  <c r="O211" i="62"/>
  <c r="N211" i="62"/>
  <c r="M211" i="62"/>
  <c r="L211" i="62"/>
  <c r="K211" i="62"/>
  <c r="J211" i="62"/>
  <c r="I211" i="62"/>
  <c r="H211" i="62"/>
  <c r="G211" i="62"/>
  <c r="F211" i="62"/>
  <c r="A211" i="62"/>
  <c r="AD210" i="62"/>
  <c r="U210" i="62"/>
  <c r="S210" i="62"/>
  <c r="A210" i="62"/>
  <c r="AD209" i="62"/>
  <c r="U209" i="62"/>
  <c r="S209" i="62"/>
  <c r="A209" i="62"/>
  <c r="AD208" i="62"/>
  <c r="U208" i="62"/>
  <c r="S208" i="62"/>
  <c r="A208" i="62"/>
  <c r="AD207" i="62"/>
  <c r="U207" i="62"/>
  <c r="S207" i="62"/>
  <c r="A207" i="62"/>
  <c r="AD206" i="62"/>
  <c r="U206" i="62"/>
  <c r="S206" i="62"/>
  <c r="A206" i="62"/>
  <c r="AD205" i="62"/>
  <c r="U205" i="62"/>
  <c r="S205" i="62"/>
  <c r="A205" i="62"/>
  <c r="AD204" i="62"/>
  <c r="U204" i="62"/>
  <c r="S204" i="62"/>
  <c r="A204" i="62"/>
  <c r="AD203" i="62"/>
  <c r="U203" i="62"/>
  <c r="S203" i="62"/>
  <c r="A203" i="62"/>
  <c r="AD202" i="62"/>
  <c r="U202" i="62"/>
  <c r="S202" i="62"/>
  <c r="A202" i="62"/>
  <c r="AD201" i="62"/>
  <c r="U201" i="62"/>
  <c r="S201" i="62"/>
  <c r="A201" i="62"/>
  <c r="AD200" i="62"/>
  <c r="U200" i="62"/>
  <c r="S200" i="62"/>
  <c r="A200" i="62"/>
  <c r="AD199" i="62"/>
  <c r="U199" i="62"/>
  <c r="S199" i="62"/>
  <c r="A199" i="62"/>
  <c r="AD198" i="62"/>
  <c r="U198" i="62"/>
  <c r="S198" i="62"/>
  <c r="A198" i="62"/>
  <c r="AD197" i="62"/>
  <c r="U197" i="62"/>
  <c r="S197" i="62"/>
  <c r="A197" i="62"/>
  <c r="AD196" i="62"/>
  <c r="U196" i="62"/>
  <c r="S196" i="62"/>
  <c r="A196" i="62"/>
  <c r="AD195" i="62"/>
  <c r="U195" i="62"/>
  <c r="S195" i="62"/>
  <c r="A195" i="62"/>
  <c r="AD194" i="62"/>
  <c r="U194" i="62"/>
  <c r="S194" i="62"/>
  <c r="A194" i="62"/>
  <c r="A193" i="62"/>
  <c r="S192" i="62"/>
  <c r="R192" i="62"/>
  <c r="Q192" i="62"/>
  <c r="P192" i="62"/>
  <c r="O192" i="62"/>
  <c r="N192" i="62"/>
  <c r="M192" i="62"/>
  <c r="L192" i="62"/>
  <c r="K192" i="62"/>
  <c r="J192" i="62"/>
  <c r="I192" i="62"/>
  <c r="H192" i="62"/>
  <c r="G192" i="62"/>
  <c r="F192" i="62"/>
  <c r="A192" i="62"/>
  <c r="AD191" i="62"/>
  <c r="U191" i="62"/>
  <c r="S191" i="62"/>
  <c r="A191" i="62"/>
  <c r="AD190" i="62"/>
  <c r="U190" i="62"/>
  <c r="S190" i="62"/>
  <c r="A190" i="62"/>
  <c r="AD189" i="62"/>
  <c r="U189" i="62"/>
  <c r="S189" i="62"/>
  <c r="A189" i="62"/>
  <c r="AD188" i="62"/>
  <c r="U188" i="62"/>
  <c r="S188" i="62"/>
  <c r="A188" i="62"/>
  <c r="AD187" i="62"/>
  <c r="U187" i="62"/>
  <c r="S187" i="62"/>
  <c r="A187" i="62"/>
  <c r="AD186" i="62"/>
  <c r="U186" i="62"/>
  <c r="S186" i="62"/>
  <c r="A186" i="62"/>
  <c r="AD185" i="62"/>
  <c r="U185" i="62"/>
  <c r="S185" i="62"/>
  <c r="A185" i="62"/>
  <c r="AD184" i="62"/>
  <c r="U184" i="62"/>
  <c r="S184" i="62"/>
  <c r="A184" i="62"/>
  <c r="AD183" i="62"/>
  <c r="U183" i="62"/>
  <c r="S183" i="62"/>
  <c r="A183" i="62"/>
  <c r="AD182" i="62"/>
  <c r="U182" i="62"/>
  <c r="S182" i="62"/>
  <c r="A182" i="62"/>
  <c r="AD181" i="62"/>
  <c r="U181" i="62"/>
  <c r="S181" i="62"/>
  <c r="A181" i="62"/>
  <c r="AD180" i="62"/>
  <c r="U180" i="62"/>
  <c r="S180" i="62"/>
  <c r="A180" i="62"/>
  <c r="AD179" i="62"/>
  <c r="U179" i="62"/>
  <c r="S179" i="62"/>
  <c r="A179" i="62"/>
  <c r="AD178" i="62"/>
  <c r="U178" i="62"/>
  <c r="S178" i="62"/>
  <c r="A178" i="62"/>
  <c r="AD177" i="62"/>
  <c r="U177" i="62"/>
  <c r="S177" i="62"/>
  <c r="A177" i="62"/>
  <c r="AD176" i="62"/>
  <c r="U176" i="62"/>
  <c r="S176" i="62"/>
  <c r="A176" i="62"/>
  <c r="AD175" i="62"/>
  <c r="U175" i="62"/>
  <c r="S175" i="62"/>
  <c r="A175" i="62"/>
  <c r="AD174" i="62"/>
  <c r="U174" i="62"/>
  <c r="S174" i="62"/>
  <c r="A174" i="62"/>
  <c r="AD173" i="62"/>
  <c r="U173" i="62"/>
  <c r="S173" i="62"/>
  <c r="A173" i="62"/>
  <c r="AD172" i="62"/>
  <c r="U172" i="62"/>
  <c r="S172" i="62"/>
  <c r="A172" i="62"/>
  <c r="AD171" i="62"/>
  <c r="U171" i="62"/>
  <c r="S171" i="62"/>
  <c r="A171" i="62"/>
  <c r="AD170" i="62"/>
  <c r="U170" i="62"/>
  <c r="S170" i="62"/>
  <c r="A170" i="62"/>
  <c r="AD169" i="62"/>
  <c r="U169" i="62"/>
  <c r="S169" i="62"/>
  <c r="A169" i="62"/>
  <c r="AD168" i="62"/>
  <c r="U168" i="62"/>
  <c r="S168" i="62"/>
  <c r="A168" i="62"/>
  <c r="AD167" i="62"/>
  <c r="U167" i="62"/>
  <c r="S167" i="62"/>
  <c r="A167" i="62"/>
  <c r="AD166" i="62"/>
  <c r="U166" i="62"/>
  <c r="S166" i="62"/>
  <c r="A166" i="62"/>
  <c r="AD165" i="62"/>
  <c r="U165" i="62"/>
  <c r="S165" i="62"/>
  <c r="A165" i="62"/>
  <c r="AD164" i="62"/>
  <c r="U164" i="62"/>
  <c r="S164" i="62"/>
  <c r="A164" i="62"/>
  <c r="AD163" i="62"/>
  <c r="U163" i="62"/>
  <c r="S163" i="62"/>
  <c r="A163" i="62"/>
  <c r="AD162" i="62"/>
  <c r="U162" i="62"/>
  <c r="S162" i="62"/>
  <c r="A162" i="62"/>
  <c r="AD161" i="62"/>
  <c r="U161" i="62"/>
  <c r="S161" i="62"/>
  <c r="A161" i="62"/>
  <c r="AD160" i="62"/>
  <c r="U160" i="62"/>
  <c r="S160" i="62"/>
  <c r="A160" i="62"/>
  <c r="AD159" i="62"/>
  <c r="U159" i="62"/>
  <c r="S159" i="62"/>
  <c r="A159" i="62"/>
  <c r="AD158" i="62"/>
  <c r="U158" i="62"/>
  <c r="S158" i="62"/>
  <c r="A158" i="62"/>
  <c r="AD157" i="62"/>
  <c r="U157" i="62"/>
  <c r="S157" i="62"/>
  <c r="A157" i="62"/>
  <c r="AD156" i="62"/>
  <c r="U156" i="62"/>
  <c r="S156" i="62"/>
  <c r="A156" i="62"/>
  <c r="AD155" i="62"/>
  <c r="U155" i="62"/>
  <c r="S155" i="62"/>
  <c r="A155" i="62"/>
  <c r="AD154" i="62"/>
  <c r="U154" i="62"/>
  <c r="S154" i="62"/>
  <c r="A154" i="62"/>
  <c r="AD153" i="62"/>
  <c r="U153" i="62"/>
  <c r="S153" i="62"/>
  <c r="A153" i="62"/>
  <c r="AD152" i="62"/>
  <c r="U152" i="62"/>
  <c r="S152" i="62"/>
  <c r="A152" i="62"/>
  <c r="AD151" i="62"/>
  <c r="U151" i="62"/>
  <c r="S151" i="62"/>
  <c r="A151" i="62"/>
  <c r="AD150" i="62"/>
  <c r="U150" i="62"/>
  <c r="S150" i="62"/>
  <c r="A150" i="62"/>
  <c r="AD149" i="62"/>
  <c r="U149" i="62"/>
  <c r="S149" i="62"/>
  <c r="A149" i="62"/>
  <c r="AD148" i="62"/>
  <c r="U148" i="62"/>
  <c r="S148" i="62"/>
  <c r="A148" i="62"/>
  <c r="AD147" i="62"/>
  <c r="U147" i="62"/>
  <c r="S147" i="62"/>
  <c r="A147" i="62"/>
  <c r="AD146" i="62"/>
  <c r="U146" i="62"/>
  <c r="S146" i="62"/>
  <c r="A146" i="62"/>
  <c r="AD145" i="62"/>
  <c r="U145" i="62"/>
  <c r="S145" i="62"/>
  <c r="A145" i="62"/>
  <c r="AD144" i="62"/>
  <c r="U144" i="62"/>
  <c r="S144" i="62"/>
  <c r="A144" i="62"/>
  <c r="AD143" i="62"/>
  <c r="U143" i="62"/>
  <c r="S143" i="62"/>
  <c r="A143" i="62"/>
  <c r="AD142" i="62"/>
  <c r="U142" i="62"/>
  <c r="S142" i="62"/>
  <c r="A142" i="62"/>
  <c r="A141" i="62"/>
  <c r="S140" i="62"/>
  <c r="R140" i="62"/>
  <c r="Q140" i="62"/>
  <c r="P140" i="62"/>
  <c r="O140" i="62"/>
  <c r="N140" i="62"/>
  <c r="M140" i="62"/>
  <c r="L140" i="62"/>
  <c r="K140" i="62"/>
  <c r="J140" i="62"/>
  <c r="I140" i="62"/>
  <c r="H140" i="62"/>
  <c r="G140" i="62"/>
  <c r="F140" i="62"/>
  <c r="A140" i="62"/>
  <c r="A139" i="62"/>
  <c r="S138" i="62"/>
  <c r="R138" i="62"/>
  <c r="Q138" i="62"/>
  <c r="P138" i="62"/>
  <c r="O138" i="62"/>
  <c r="N138" i="62"/>
  <c r="M138" i="62"/>
  <c r="L138" i="62"/>
  <c r="K138" i="62"/>
  <c r="J138" i="62"/>
  <c r="I138" i="62"/>
  <c r="H138" i="62"/>
  <c r="G138" i="62"/>
  <c r="F138" i="62"/>
  <c r="A138" i="62"/>
  <c r="AD137" i="62"/>
  <c r="U137" i="62"/>
  <c r="S137" i="62"/>
  <c r="A137" i="62"/>
  <c r="AD136" i="62"/>
  <c r="U136" i="62"/>
  <c r="S136" i="62"/>
  <c r="A136" i="62"/>
  <c r="AD135" i="62"/>
  <c r="U135" i="62"/>
  <c r="S135" i="62"/>
  <c r="A135" i="62"/>
  <c r="AD134" i="62"/>
  <c r="U134" i="62"/>
  <c r="S134" i="62"/>
  <c r="A134" i="62"/>
  <c r="AD133" i="62"/>
  <c r="U133" i="62"/>
  <c r="S133" i="62"/>
  <c r="A133" i="62"/>
  <c r="AD132" i="62"/>
  <c r="U132" i="62"/>
  <c r="S132" i="62"/>
  <c r="A132" i="62"/>
  <c r="AD131" i="62"/>
  <c r="U131" i="62"/>
  <c r="S131" i="62"/>
  <c r="A131" i="62"/>
  <c r="AD130" i="62"/>
  <c r="U130" i="62"/>
  <c r="S130" i="62"/>
  <c r="A130" i="62"/>
  <c r="AD129" i="62"/>
  <c r="U129" i="62"/>
  <c r="S129" i="62"/>
  <c r="A129" i="62"/>
  <c r="AD128" i="62"/>
  <c r="U128" i="62"/>
  <c r="S128" i="62"/>
  <c r="A128" i="62"/>
  <c r="AD127" i="62"/>
  <c r="U127" i="62"/>
  <c r="S127" i="62"/>
  <c r="A127" i="62"/>
  <c r="AD126" i="62"/>
  <c r="U126" i="62"/>
  <c r="S126" i="62"/>
  <c r="A126" i="62"/>
  <c r="AD125" i="62"/>
  <c r="U125" i="62"/>
  <c r="S125" i="62"/>
  <c r="A125" i="62"/>
  <c r="AD124" i="62"/>
  <c r="U124" i="62"/>
  <c r="S124" i="62"/>
  <c r="A124" i="62"/>
  <c r="AD123" i="62"/>
  <c r="U123" i="62"/>
  <c r="S123" i="62"/>
  <c r="A123" i="62"/>
  <c r="AD122" i="62"/>
  <c r="U122" i="62"/>
  <c r="S122" i="62"/>
  <c r="A122" i="62"/>
  <c r="AD121" i="62"/>
  <c r="U121" i="62"/>
  <c r="S121" i="62"/>
  <c r="A121" i="62"/>
  <c r="AD120" i="62"/>
  <c r="U120" i="62"/>
  <c r="S120" i="62"/>
  <c r="A120" i="62"/>
  <c r="AD119" i="62"/>
  <c r="U119" i="62"/>
  <c r="S119" i="62"/>
  <c r="A119" i="62"/>
  <c r="A118" i="62"/>
  <c r="S117" i="62"/>
  <c r="R117" i="62"/>
  <c r="Q117" i="62"/>
  <c r="P117" i="62"/>
  <c r="O117" i="62"/>
  <c r="N117" i="62"/>
  <c r="M117" i="62"/>
  <c r="L117" i="62"/>
  <c r="K117" i="62"/>
  <c r="J117" i="62"/>
  <c r="I117" i="62"/>
  <c r="H117" i="62"/>
  <c r="G117" i="62"/>
  <c r="F117" i="62"/>
  <c r="A117" i="62"/>
  <c r="A116" i="62"/>
  <c r="S115" i="62"/>
  <c r="A115" i="62"/>
  <c r="A114" i="62"/>
  <c r="S113" i="62"/>
  <c r="R113" i="62"/>
  <c r="Q113" i="62"/>
  <c r="P113" i="62"/>
  <c r="O113" i="62"/>
  <c r="N113" i="62"/>
  <c r="M113" i="62"/>
  <c r="L113" i="62"/>
  <c r="K113" i="62"/>
  <c r="J113" i="62"/>
  <c r="I113" i="62"/>
  <c r="H113" i="62"/>
  <c r="G113" i="62"/>
  <c r="F113" i="62"/>
  <c r="A113" i="62"/>
  <c r="AB112" i="62"/>
  <c r="X112" i="62"/>
  <c r="S112" i="62"/>
  <c r="A112" i="62"/>
  <c r="AB111" i="62"/>
  <c r="X111" i="62"/>
  <c r="S111" i="62"/>
  <c r="A111" i="62"/>
  <c r="AB110" i="62"/>
  <c r="X110" i="62"/>
  <c r="S110" i="62"/>
  <c r="A110" i="62"/>
  <c r="AB109" i="62"/>
  <c r="X109" i="62"/>
  <c r="S109" i="62"/>
  <c r="A109" i="62"/>
  <c r="AB108" i="62"/>
  <c r="X108" i="62"/>
  <c r="S108" i="62"/>
  <c r="A108" i="62"/>
  <c r="AB107" i="62"/>
  <c r="X107" i="62"/>
  <c r="S107" i="62"/>
  <c r="A107" i="62"/>
  <c r="AB106" i="62"/>
  <c r="X106" i="62"/>
  <c r="S106" i="62"/>
  <c r="A106" i="62"/>
  <c r="AB105" i="62"/>
  <c r="X105" i="62"/>
  <c r="S105" i="62"/>
  <c r="A105" i="62"/>
  <c r="AB104" i="62"/>
  <c r="X104" i="62"/>
  <c r="S104" i="62"/>
  <c r="A104" i="62"/>
  <c r="A103" i="62"/>
  <c r="U102" i="62"/>
  <c r="S102" i="62"/>
  <c r="A102" i="62"/>
  <c r="U101" i="62"/>
  <c r="S101" i="62"/>
  <c r="A101" i="62"/>
  <c r="A100" i="62"/>
  <c r="S99" i="62"/>
  <c r="R99" i="62"/>
  <c r="Q99" i="62"/>
  <c r="P99" i="62"/>
  <c r="O99" i="62"/>
  <c r="N99" i="62"/>
  <c r="M99" i="62"/>
  <c r="L99" i="62"/>
  <c r="K99" i="62"/>
  <c r="J99" i="62"/>
  <c r="I99" i="62"/>
  <c r="H99" i="62"/>
  <c r="G99" i="62"/>
  <c r="F99" i="62"/>
  <c r="A99" i="62"/>
  <c r="AD98" i="62"/>
  <c r="U98" i="62"/>
  <c r="S98" i="62"/>
  <c r="A98" i="62"/>
  <c r="AD97" i="62"/>
  <c r="U97" i="62"/>
  <c r="S97" i="62"/>
  <c r="A97" i="62"/>
  <c r="AD96" i="62"/>
  <c r="U96" i="62"/>
  <c r="S96" i="62"/>
  <c r="A96" i="62"/>
  <c r="AD95" i="62"/>
  <c r="U95" i="62"/>
  <c r="S95" i="62"/>
  <c r="A95" i="62"/>
  <c r="AD94" i="62"/>
  <c r="U94" i="62"/>
  <c r="S94" i="62"/>
  <c r="A94" i="62"/>
  <c r="AD93" i="62"/>
  <c r="U93" i="62"/>
  <c r="S93" i="62"/>
  <c r="A93" i="62"/>
  <c r="AD92" i="62"/>
  <c r="U92" i="62"/>
  <c r="S92" i="62"/>
  <c r="A92" i="62"/>
  <c r="AD91" i="62"/>
  <c r="U91" i="62"/>
  <c r="S91" i="62"/>
  <c r="A91" i="62"/>
  <c r="AD90" i="62"/>
  <c r="U90" i="62"/>
  <c r="S90" i="62"/>
  <c r="A90" i="62"/>
  <c r="AD89" i="62"/>
  <c r="U89" i="62"/>
  <c r="S89" i="62"/>
  <c r="A89" i="62"/>
  <c r="AD88" i="62"/>
  <c r="U88" i="62"/>
  <c r="S88" i="62"/>
  <c r="A88" i="62"/>
  <c r="AD87" i="62"/>
  <c r="U87" i="62"/>
  <c r="S87" i="62"/>
  <c r="A87" i="62"/>
  <c r="AD86" i="62"/>
  <c r="U86" i="62"/>
  <c r="S86" i="62"/>
  <c r="A86" i="62"/>
  <c r="AD85" i="62"/>
  <c r="U85" i="62"/>
  <c r="S85" i="62"/>
  <c r="A85" i="62"/>
  <c r="AD84" i="62"/>
  <c r="U84" i="62"/>
  <c r="S84" i="62"/>
  <c r="A84" i="62"/>
  <c r="AD83" i="62"/>
  <c r="U83" i="62"/>
  <c r="S83" i="62"/>
  <c r="A83" i="62"/>
  <c r="AD82" i="62"/>
  <c r="U82" i="62"/>
  <c r="S82" i="62"/>
  <c r="A82" i="62"/>
  <c r="AD81" i="62"/>
  <c r="U81" i="62"/>
  <c r="S81" i="62"/>
  <c r="A81" i="62"/>
  <c r="AD80" i="62"/>
  <c r="U80" i="62"/>
  <c r="S80" i="62"/>
  <c r="A80" i="62"/>
  <c r="A79" i="62"/>
  <c r="S78" i="62"/>
  <c r="R78" i="62"/>
  <c r="Q78" i="62"/>
  <c r="P78" i="62"/>
  <c r="O78" i="62"/>
  <c r="N78" i="62"/>
  <c r="M78" i="62"/>
  <c r="L78" i="62"/>
  <c r="K78" i="62"/>
  <c r="J78" i="62"/>
  <c r="I78" i="62"/>
  <c r="H78" i="62"/>
  <c r="G78" i="62"/>
  <c r="F78" i="62"/>
  <c r="A78" i="62"/>
  <c r="AD77" i="62"/>
  <c r="U77" i="62"/>
  <c r="S77" i="62"/>
  <c r="A77" i="62"/>
  <c r="AD76" i="62"/>
  <c r="U76" i="62"/>
  <c r="S76" i="62"/>
  <c r="A76" i="62"/>
  <c r="A75" i="62"/>
  <c r="S74" i="62"/>
  <c r="R74" i="62"/>
  <c r="Q74" i="62"/>
  <c r="P74" i="62"/>
  <c r="O74" i="62"/>
  <c r="N74" i="62"/>
  <c r="M74" i="62"/>
  <c r="L74" i="62"/>
  <c r="K74" i="62"/>
  <c r="J74" i="62"/>
  <c r="I74" i="62"/>
  <c r="H74" i="62"/>
  <c r="G74" i="62"/>
  <c r="F74" i="62"/>
  <c r="A74" i="62"/>
  <c r="AD73" i="62"/>
  <c r="U73" i="62"/>
  <c r="S73" i="62"/>
  <c r="A73" i="62"/>
  <c r="AD72" i="62"/>
  <c r="U72" i="62"/>
  <c r="S72" i="62"/>
  <c r="A72" i="62"/>
  <c r="AD71" i="62"/>
  <c r="U71" i="62"/>
  <c r="S71" i="62"/>
  <c r="A71" i="62"/>
  <c r="AD70" i="62"/>
  <c r="U70" i="62"/>
  <c r="S70" i="62"/>
  <c r="A70" i="62"/>
  <c r="AD69" i="62"/>
  <c r="U69" i="62"/>
  <c r="S69" i="62"/>
  <c r="A69" i="62"/>
  <c r="AD68" i="62"/>
  <c r="U68" i="62"/>
  <c r="S68" i="62"/>
  <c r="A68" i="62"/>
  <c r="AD67" i="62"/>
  <c r="AB67" i="62"/>
  <c r="U67" i="62"/>
  <c r="S67" i="62"/>
  <c r="A67" i="62"/>
  <c r="AD66" i="62"/>
  <c r="U66" i="62"/>
  <c r="S66" i="62"/>
  <c r="A66" i="62"/>
  <c r="AD65" i="62"/>
  <c r="U65" i="62"/>
  <c r="S65" i="62"/>
  <c r="A65" i="62"/>
  <c r="AD64" i="62"/>
  <c r="U64" i="62"/>
  <c r="S64" i="62"/>
  <c r="A64" i="62"/>
  <c r="AD63" i="62"/>
  <c r="U63" i="62"/>
  <c r="S63" i="62"/>
  <c r="A63" i="62"/>
  <c r="A62" i="62"/>
  <c r="S61" i="62"/>
  <c r="R61" i="62"/>
  <c r="Q61" i="62"/>
  <c r="P61" i="62"/>
  <c r="O61" i="62"/>
  <c r="N61" i="62"/>
  <c r="M61" i="62"/>
  <c r="L61" i="62"/>
  <c r="K61" i="62"/>
  <c r="J61" i="62"/>
  <c r="I61" i="62"/>
  <c r="H61" i="62"/>
  <c r="G61" i="62"/>
  <c r="F61" i="62"/>
  <c r="A61" i="62"/>
  <c r="AB60" i="62"/>
  <c r="X60" i="62"/>
  <c r="S60" i="62"/>
  <c r="A60" i="62"/>
  <c r="AB59" i="62"/>
  <c r="X59" i="62"/>
  <c r="S59" i="62"/>
  <c r="A59" i="62"/>
  <c r="AB58" i="62"/>
  <c r="X58" i="62"/>
  <c r="S58" i="62"/>
  <c r="A58" i="62"/>
  <c r="AB57" i="62"/>
  <c r="X57" i="62"/>
  <c r="S57" i="62"/>
  <c r="A57" i="62"/>
  <c r="AB56" i="62"/>
  <c r="X56" i="62"/>
  <c r="S56" i="62"/>
  <c r="A56" i="62"/>
  <c r="AB55" i="62"/>
  <c r="U55" i="62"/>
  <c r="S55" i="62"/>
  <c r="A55" i="62"/>
  <c r="AB54" i="62"/>
  <c r="X54" i="62"/>
  <c r="S54" i="62"/>
  <c r="A54" i="62"/>
  <c r="A53" i="62"/>
  <c r="S52" i="62"/>
  <c r="F52" i="62"/>
  <c r="A52" i="62"/>
  <c r="U51" i="62"/>
  <c r="S51" i="62"/>
  <c r="A51" i="62"/>
  <c r="A50" i="62"/>
  <c r="S49" i="62"/>
  <c r="R49" i="62"/>
  <c r="Q49" i="62"/>
  <c r="P49" i="62"/>
  <c r="O49" i="62"/>
  <c r="N49" i="62"/>
  <c r="M49" i="62"/>
  <c r="L49" i="62"/>
  <c r="K49" i="62"/>
  <c r="J49" i="62"/>
  <c r="I49" i="62"/>
  <c r="H49" i="62"/>
  <c r="G49" i="62"/>
  <c r="F49" i="62"/>
  <c r="A49" i="62"/>
  <c r="A48" i="62"/>
  <c r="S47" i="62"/>
  <c r="P47" i="62"/>
  <c r="O47" i="62"/>
  <c r="N47" i="62"/>
  <c r="M47" i="62"/>
  <c r="L47" i="62"/>
  <c r="K47" i="62"/>
  <c r="J47" i="62"/>
  <c r="I47" i="62"/>
  <c r="H47" i="62"/>
  <c r="G47" i="62"/>
  <c r="F47" i="62"/>
  <c r="A47" i="62"/>
  <c r="A46" i="62"/>
  <c r="S45" i="62"/>
  <c r="R45" i="62"/>
  <c r="Q45" i="62"/>
  <c r="P45" i="62"/>
  <c r="O45" i="62"/>
  <c r="N45" i="62"/>
  <c r="M45" i="62"/>
  <c r="L45" i="62"/>
  <c r="K45" i="62"/>
  <c r="J45" i="62"/>
  <c r="I45" i="62"/>
  <c r="H45" i="62"/>
  <c r="G45" i="62"/>
  <c r="F45" i="62"/>
  <c r="A45" i="62"/>
  <c r="Z44" i="62"/>
  <c r="X44" i="62"/>
  <c r="S44" i="62"/>
  <c r="A44" i="62"/>
  <c r="Y43" i="62"/>
  <c r="X43" i="62"/>
  <c r="S43" i="62"/>
  <c r="A43" i="62"/>
  <c r="Z42" i="62"/>
  <c r="X42" i="62"/>
  <c r="S42" i="62"/>
  <c r="A42" i="62"/>
  <c r="Y41" i="62"/>
  <c r="X41" i="62"/>
  <c r="S41" i="62"/>
  <c r="A41" i="62"/>
  <c r="A40" i="62"/>
  <c r="S39" i="62"/>
  <c r="R39" i="62"/>
  <c r="Q39" i="62"/>
  <c r="P39" i="62"/>
  <c r="O39" i="62"/>
  <c r="N39" i="62"/>
  <c r="M39" i="62"/>
  <c r="L39" i="62"/>
  <c r="K39" i="62"/>
  <c r="J39" i="62"/>
  <c r="I39" i="62"/>
  <c r="H39" i="62"/>
  <c r="G39" i="62"/>
  <c r="F39" i="62"/>
  <c r="A39" i="62"/>
  <c r="X38" i="62"/>
  <c r="S38" i="62"/>
  <c r="A38" i="62"/>
  <c r="Z37" i="62"/>
  <c r="X37" i="62"/>
  <c r="S37" i="62"/>
  <c r="A37" i="62"/>
  <c r="Y36" i="62"/>
  <c r="X36" i="62"/>
  <c r="S36" i="62"/>
  <c r="A36" i="62"/>
  <c r="Z35" i="62"/>
  <c r="Y35" i="62"/>
  <c r="X35" i="62"/>
  <c r="S35" i="62"/>
  <c r="A35" i="62"/>
  <c r="X34" i="62"/>
  <c r="S34" i="62"/>
  <c r="A34" i="62"/>
  <c r="Z33" i="62"/>
  <c r="X33" i="62"/>
  <c r="S33" i="62"/>
  <c r="A33" i="62"/>
  <c r="Y32" i="62"/>
  <c r="X32" i="62"/>
  <c r="S32" i="62"/>
  <c r="A32" i="62"/>
  <c r="Z31" i="62"/>
  <c r="X31" i="62"/>
  <c r="S31" i="62"/>
  <c r="A31" i="62"/>
  <c r="Y30" i="62"/>
  <c r="X30" i="62"/>
  <c r="S30" i="62"/>
  <c r="A30" i="62"/>
  <c r="A29" i="62"/>
  <c r="S28" i="62"/>
  <c r="R28" i="62"/>
  <c r="Q28" i="62"/>
  <c r="P28" i="62"/>
  <c r="O28" i="62"/>
  <c r="N28" i="62"/>
  <c r="M28" i="62"/>
  <c r="L28" i="62"/>
  <c r="K28" i="62"/>
  <c r="J28" i="62"/>
  <c r="I28" i="62"/>
  <c r="H28" i="62"/>
  <c r="G28" i="62"/>
  <c r="F28" i="62"/>
  <c r="A28" i="62"/>
  <c r="AB27" i="62"/>
  <c r="X27" i="62"/>
  <c r="S27" i="62"/>
  <c r="A27" i="62"/>
  <c r="AB26" i="62"/>
  <c r="X26" i="62"/>
  <c r="S26" i="62"/>
  <c r="A26" i="62"/>
  <c r="Z25" i="62"/>
  <c r="X25" i="62"/>
  <c r="S25" i="62"/>
  <c r="A25" i="62"/>
  <c r="Y24" i="62"/>
  <c r="X24" i="62"/>
  <c r="S24" i="62"/>
  <c r="A24" i="62"/>
  <c r="Z23" i="62"/>
  <c r="X23" i="62"/>
  <c r="S23" i="62"/>
  <c r="A23" i="62"/>
  <c r="Y22" i="62"/>
  <c r="X22" i="62"/>
  <c r="S22" i="62"/>
  <c r="A22" i="62"/>
  <c r="Z21" i="62"/>
  <c r="Y21" i="62"/>
  <c r="X21" i="62"/>
  <c r="S21" i="62"/>
  <c r="A21" i="62"/>
  <c r="Z20" i="62"/>
  <c r="Y20" i="62"/>
  <c r="X20" i="62"/>
  <c r="S20" i="62"/>
  <c r="A20" i="62"/>
  <c r="Z19" i="62"/>
  <c r="X19" i="62"/>
  <c r="S19" i="62"/>
  <c r="A19" i="62"/>
  <c r="Y18" i="62"/>
  <c r="X18" i="62"/>
  <c r="S18" i="62"/>
  <c r="Z11" i="62"/>
  <c r="Z10" i="62"/>
  <c r="A4" i="62"/>
  <c r="A3" i="62"/>
  <c r="A2" i="62"/>
  <c r="A1" i="62"/>
  <c r="A75" i="204"/>
  <c r="A74" i="204"/>
  <c r="A73" i="204"/>
  <c r="A72" i="204"/>
  <c r="A71" i="204"/>
  <c r="A70" i="204"/>
  <c r="A69" i="204"/>
  <c r="A68" i="204"/>
  <c r="A67" i="204"/>
  <c r="A66" i="204"/>
  <c r="G65" i="204"/>
  <c r="F65" i="204"/>
  <c r="D65" i="204"/>
  <c r="C65" i="204"/>
  <c r="A65" i="204"/>
  <c r="G64" i="204"/>
  <c r="F64" i="204"/>
  <c r="D64" i="204"/>
  <c r="C64" i="204"/>
  <c r="A64" i="204"/>
  <c r="A63" i="204"/>
  <c r="A62" i="204"/>
  <c r="A61" i="204"/>
  <c r="A60" i="204"/>
  <c r="A59" i="204"/>
  <c r="G58" i="204"/>
  <c r="F58" i="204"/>
  <c r="E58" i="204"/>
  <c r="D58" i="204"/>
  <c r="C58" i="204"/>
  <c r="A58" i="204"/>
  <c r="G57" i="204"/>
  <c r="F57" i="204"/>
  <c r="E57" i="204"/>
  <c r="D57" i="204"/>
  <c r="C57" i="204"/>
  <c r="A57" i="204"/>
  <c r="G56" i="204"/>
  <c r="F56" i="204"/>
  <c r="E56" i="204"/>
  <c r="D56" i="204"/>
  <c r="C56" i="204"/>
  <c r="A56" i="204"/>
  <c r="G55" i="204"/>
  <c r="F55" i="204"/>
  <c r="E55" i="204"/>
  <c r="D55" i="204"/>
  <c r="C55" i="204"/>
  <c r="A55" i="204"/>
  <c r="G54" i="204"/>
  <c r="F54" i="204"/>
  <c r="E54" i="204"/>
  <c r="D54" i="204"/>
  <c r="C54" i="204"/>
  <c r="A54" i="204"/>
  <c r="G53" i="204"/>
  <c r="F53" i="204"/>
  <c r="E53" i="204"/>
  <c r="D53" i="204"/>
  <c r="C53" i="204"/>
  <c r="A53" i="204"/>
  <c r="A52" i="204"/>
  <c r="G51" i="204"/>
  <c r="F51" i="204"/>
  <c r="E51" i="204"/>
  <c r="D51" i="204"/>
  <c r="C51" i="204"/>
  <c r="A51" i="204"/>
  <c r="G50" i="204"/>
  <c r="F50" i="204"/>
  <c r="E50" i="204"/>
  <c r="D50" i="204"/>
  <c r="C50" i="204"/>
  <c r="A50" i="204"/>
  <c r="G49" i="204"/>
  <c r="F49" i="204"/>
  <c r="E49" i="204"/>
  <c r="D49" i="204"/>
  <c r="C49" i="204"/>
  <c r="A49" i="204"/>
  <c r="A48" i="204"/>
  <c r="A47" i="204"/>
  <c r="A46" i="204"/>
  <c r="A45" i="204"/>
  <c r="A44" i="204"/>
  <c r="A43" i="204"/>
  <c r="L42" i="204"/>
  <c r="K42" i="204"/>
  <c r="J42" i="204"/>
  <c r="I42" i="204"/>
  <c r="G42" i="204"/>
  <c r="F42" i="204"/>
  <c r="E42" i="204"/>
  <c r="D42" i="204"/>
  <c r="C42" i="204"/>
  <c r="A42" i="204"/>
  <c r="L41" i="204"/>
  <c r="K41" i="204"/>
  <c r="J41" i="204"/>
  <c r="I41" i="204"/>
  <c r="G41" i="204"/>
  <c r="F41" i="204"/>
  <c r="E41" i="204"/>
  <c r="D41" i="204"/>
  <c r="C41" i="204"/>
  <c r="A41" i="204"/>
  <c r="L40" i="204"/>
  <c r="K40" i="204"/>
  <c r="J40" i="204"/>
  <c r="I40" i="204"/>
  <c r="G40" i="204"/>
  <c r="F40" i="204"/>
  <c r="E40" i="204"/>
  <c r="D40" i="204"/>
  <c r="C40" i="204"/>
  <c r="A40" i="204"/>
  <c r="L39" i="204"/>
  <c r="K39" i="204"/>
  <c r="J39" i="204"/>
  <c r="I39" i="204"/>
  <c r="G39" i="204"/>
  <c r="F39" i="204"/>
  <c r="E39" i="204"/>
  <c r="D39" i="204"/>
  <c r="C39" i="204"/>
  <c r="A39" i="204"/>
  <c r="L38" i="204"/>
  <c r="K38" i="204"/>
  <c r="J38" i="204"/>
  <c r="I38" i="204"/>
  <c r="G38" i="204"/>
  <c r="F38" i="204"/>
  <c r="E38" i="204"/>
  <c r="D38" i="204"/>
  <c r="C38" i="204"/>
  <c r="A38" i="204"/>
  <c r="L37" i="204"/>
  <c r="K37" i="204"/>
  <c r="J37" i="204"/>
  <c r="I37" i="204"/>
  <c r="G37" i="204"/>
  <c r="F37" i="204"/>
  <c r="E37" i="204"/>
  <c r="D37" i="204"/>
  <c r="C37" i="204"/>
  <c r="A37" i="204"/>
  <c r="A36" i="204"/>
  <c r="L35" i="204"/>
  <c r="K35" i="204"/>
  <c r="J35" i="204"/>
  <c r="I35" i="204"/>
  <c r="G35" i="204"/>
  <c r="F35" i="204"/>
  <c r="E35" i="204"/>
  <c r="D35" i="204"/>
  <c r="C35" i="204"/>
  <c r="A35" i="204"/>
  <c r="L34" i="204"/>
  <c r="K34" i="204"/>
  <c r="J34" i="204"/>
  <c r="I34" i="204"/>
  <c r="G34" i="204"/>
  <c r="F34" i="204"/>
  <c r="E34" i="204"/>
  <c r="D34" i="204"/>
  <c r="C34" i="204"/>
  <c r="A34" i="204"/>
  <c r="A33" i="204"/>
  <c r="A32" i="204"/>
  <c r="A31" i="204"/>
  <c r="A30" i="204"/>
  <c r="A29" i="204"/>
  <c r="A28" i="204"/>
  <c r="L27" i="204"/>
  <c r="K27" i="204"/>
  <c r="J27" i="204"/>
  <c r="I27" i="204"/>
  <c r="G27" i="204"/>
  <c r="F27" i="204"/>
  <c r="E27" i="204"/>
  <c r="D27" i="204"/>
  <c r="C27" i="204"/>
  <c r="A27" i="204"/>
  <c r="L26" i="204"/>
  <c r="K26" i="204"/>
  <c r="I26" i="204"/>
  <c r="G26" i="204"/>
  <c r="F26" i="204"/>
  <c r="D26" i="204"/>
  <c r="C26" i="204"/>
  <c r="A26" i="204"/>
  <c r="L25" i="204"/>
  <c r="K25" i="204"/>
  <c r="I25" i="204"/>
  <c r="G25" i="204"/>
  <c r="F25" i="204"/>
  <c r="D25" i="204"/>
  <c r="C25" i="204"/>
  <c r="A25" i="204"/>
  <c r="L24" i="204"/>
  <c r="K24" i="204"/>
  <c r="I24" i="204"/>
  <c r="G24" i="204"/>
  <c r="F24" i="204"/>
  <c r="D24" i="204"/>
  <c r="C24" i="204"/>
  <c r="A24" i="204"/>
  <c r="L23" i="204"/>
  <c r="K23" i="204"/>
  <c r="I23" i="204"/>
  <c r="G23" i="204"/>
  <c r="F23" i="204"/>
  <c r="D23" i="204"/>
  <c r="C23" i="204"/>
  <c r="A23" i="204"/>
  <c r="A22" i="204"/>
  <c r="A21" i="204"/>
  <c r="A20" i="204"/>
  <c r="A19" i="204"/>
  <c r="A18" i="204"/>
  <c r="A17" i="204"/>
  <c r="G16" i="204"/>
  <c r="F16" i="204"/>
  <c r="E16" i="204"/>
  <c r="D16" i="204"/>
  <c r="C16" i="204"/>
  <c r="A16" i="204"/>
  <c r="G15" i="204"/>
  <c r="F15" i="204"/>
  <c r="E15" i="204"/>
  <c r="D15" i="204"/>
  <c r="C15" i="204"/>
  <c r="A15" i="204"/>
  <c r="G14" i="204"/>
  <c r="F14" i="204"/>
  <c r="E14" i="204"/>
  <c r="D14" i="204"/>
  <c r="C14" i="204"/>
  <c r="A14" i="204"/>
  <c r="G13" i="204"/>
  <c r="F13" i="204"/>
  <c r="E13" i="204"/>
  <c r="D13" i="204"/>
  <c r="A13" i="204"/>
  <c r="G12" i="204"/>
  <c r="F12" i="204"/>
  <c r="E12" i="204"/>
  <c r="D12" i="204"/>
  <c r="C12" i="204"/>
  <c r="A12" i="204"/>
  <c r="A11" i="204"/>
  <c r="A4" i="204"/>
  <c r="A3" i="204"/>
  <c r="A2" i="204"/>
  <c r="A1" i="204"/>
  <c r="AW78" i="59"/>
  <c r="AT78" i="59"/>
  <c r="AQ78" i="59"/>
  <c r="AN78" i="59"/>
  <c r="AK78" i="59"/>
  <c r="AH78" i="59"/>
  <c r="AE78" i="59"/>
  <c r="AB78" i="59"/>
  <c r="Y78" i="59"/>
  <c r="V78" i="59"/>
  <c r="S78" i="59"/>
  <c r="P78" i="59"/>
  <c r="M78" i="59"/>
  <c r="J78" i="59"/>
  <c r="A78" i="59"/>
  <c r="AW77" i="59"/>
  <c r="AT77" i="59"/>
  <c r="AQ77" i="59"/>
  <c r="AN77" i="59"/>
  <c r="AK77" i="59"/>
  <c r="AH77" i="59"/>
  <c r="AE77" i="59"/>
  <c r="AB77" i="59"/>
  <c r="Y77" i="59"/>
  <c r="V77" i="59"/>
  <c r="S77" i="59"/>
  <c r="P77" i="59"/>
  <c r="M77" i="59"/>
  <c r="J77" i="59"/>
  <c r="A77" i="59"/>
  <c r="AW76" i="59"/>
  <c r="AT76" i="59"/>
  <c r="AQ76" i="59"/>
  <c r="AN76" i="59"/>
  <c r="AK76" i="59"/>
  <c r="AH76" i="59"/>
  <c r="AE76" i="59"/>
  <c r="AB76" i="59"/>
  <c r="Y76" i="59"/>
  <c r="V76" i="59"/>
  <c r="S76" i="59"/>
  <c r="P76" i="59"/>
  <c r="M76" i="59"/>
  <c r="J76" i="59"/>
  <c r="A76" i="59"/>
  <c r="AW75" i="59"/>
  <c r="AT75" i="59"/>
  <c r="AQ75" i="59"/>
  <c r="AN75" i="59"/>
  <c r="AK75" i="59"/>
  <c r="AH75" i="59"/>
  <c r="AE75" i="59"/>
  <c r="AB75" i="59"/>
  <c r="Y75" i="59"/>
  <c r="V75" i="59"/>
  <c r="S75" i="59"/>
  <c r="P75" i="59"/>
  <c r="M75" i="59"/>
  <c r="J75" i="59"/>
  <c r="A75" i="59"/>
  <c r="AW74" i="59"/>
  <c r="AT74" i="59"/>
  <c r="AQ74" i="59"/>
  <c r="AN74" i="59"/>
  <c r="AK74" i="59"/>
  <c r="AH74" i="59"/>
  <c r="AE74" i="59"/>
  <c r="AB74" i="59"/>
  <c r="Y74" i="59"/>
  <c r="V74" i="59"/>
  <c r="S74" i="59"/>
  <c r="P74" i="59"/>
  <c r="M74" i="59"/>
  <c r="J74" i="59"/>
  <c r="A74" i="59"/>
  <c r="AW73" i="59"/>
  <c r="AT73" i="59"/>
  <c r="AQ73" i="59"/>
  <c r="AN73" i="59"/>
  <c r="AK73" i="59"/>
  <c r="AH73" i="59"/>
  <c r="AE73" i="59"/>
  <c r="AB73" i="59"/>
  <c r="Y73" i="59"/>
  <c r="V73" i="59"/>
  <c r="S73" i="59"/>
  <c r="P73" i="59"/>
  <c r="M73" i="59"/>
  <c r="J73" i="59"/>
  <c r="A73" i="59"/>
  <c r="AW72" i="59"/>
  <c r="AT72" i="59"/>
  <c r="AQ72" i="59"/>
  <c r="AN72" i="59"/>
  <c r="AK72" i="59"/>
  <c r="AH72" i="59"/>
  <c r="AE72" i="59"/>
  <c r="AB72" i="59"/>
  <c r="Y72" i="59"/>
  <c r="V72" i="59"/>
  <c r="S72" i="59"/>
  <c r="P72" i="59"/>
  <c r="M72" i="59"/>
  <c r="J72" i="59"/>
  <c r="A72" i="59"/>
  <c r="AW71" i="59"/>
  <c r="AT71" i="59"/>
  <c r="AQ71" i="59"/>
  <c r="AN71" i="59"/>
  <c r="AK71" i="59"/>
  <c r="AH71" i="59"/>
  <c r="AE71" i="59"/>
  <c r="AB71" i="59"/>
  <c r="Y71" i="59"/>
  <c r="V71" i="59"/>
  <c r="S71" i="59"/>
  <c r="P71" i="59"/>
  <c r="M71" i="59"/>
  <c r="J71" i="59"/>
  <c r="A71" i="59"/>
  <c r="AW70" i="59"/>
  <c r="AT70" i="59"/>
  <c r="AQ70" i="59"/>
  <c r="AN70" i="59"/>
  <c r="AK70" i="59"/>
  <c r="AH70" i="59"/>
  <c r="AE70" i="59"/>
  <c r="AB70" i="59"/>
  <c r="Y70" i="59"/>
  <c r="V70" i="59"/>
  <c r="S70" i="59"/>
  <c r="P70" i="59"/>
  <c r="M70" i="59"/>
  <c r="J70" i="59"/>
  <c r="A70" i="59"/>
  <c r="AW69" i="59"/>
  <c r="AT69" i="59"/>
  <c r="AQ69" i="59"/>
  <c r="AN69" i="59"/>
  <c r="AK69" i="59"/>
  <c r="AH69" i="59"/>
  <c r="AE69" i="59"/>
  <c r="AB69" i="59"/>
  <c r="Y69" i="59"/>
  <c r="V69" i="59"/>
  <c r="S69" i="59"/>
  <c r="P69" i="59"/>
  <c r="M69" i="59"/>
  <c r="J69" i="59"/>
  <c r="A69" i="59"/>
  <c r="AW68" i="59"/>
  <c r="AT68" i="59"/>
  <c r="AQ68" i="59"/>
  <c r="AN68" i="59"/>
  <c r="AK68" i="59"/>
  <c r="AH68" i="59"/>
  <c r="AE68" i="59"/>
  <c r="AB68" i="59"/>
  <c r="Y68" i="59"/>
  <c r="V68" i="59"/>
  <c r="S68" i="59"/>
  <c r="P68" i="59"/>
  <c r="M68" i="59"/>
  <c r="J68" i="59"/>
  <c r="A68" i="59"/>
  <c r="AW67" i="59"/>
  <c r="AT67" i="59"/>
  <c r="AQ67" i="59"/>
  <c r="AN67" i="59"/>
  <c r="AK67" i="59"/>
  <c r="AH67" i="59"/>
  <c r="AE67" i="59"/>
  <c r="AB67" i="59"/>
  <c r="Y67" i="59"/>
  <c r="V67" i="59"/>
  <c r="S67" i="59"/>
  <c r="P67" i="59"/>
  <c r="M67" i="59"/>
  <c r="J67" i="59"/>
  <c r="A67" i="59"/>
  <c r="A66" i="59"/>
  <c r="AW65" i="59"/>
  <c r="AT65" i="59"/>
  <c r="AQ65" i="59"/>
  <c r="AN65" i="59"/>
  <c r="AK65" i="59"/>
  <c r="AH65" i="59"/>
  <c r="AE65" i="59"/>
  <c r="AB65" i="59"/>
  <c r="Y65" i="59"/>
  <c r="V65" i="59"/>
  <c r="S65" i="59"/>
  <c r="P65" i="59"/>
  <c r="M65" i="59"/>
  <c r="J65" i="59"/>
  <c r="A65" i="59"/>
  <c r="AW64" i="59"/>
  <c r="AT64" i="59"/>
  <c r="AQ64" i="59"/>
  <c r="AN64" i="59"/>
  <c r="AK64" i="59"/>
  <c r="AH64" i="59"/>
  <c r="AE64" i="59"/>
  <c r="AB64" i="59"/>
  <c r="Y64" i="59"/>
  <c r="V64" i="59"/>
  <c r="S64" i="59"/>
  <c r="P64" i="59"/>
  <c r="M64" i="59"/>
  <c r="J64" i="59"/>
  <c r="A64" i="59"/>
  <c r="AW63" i="59"/>
  <c r="AT63" i="59"/>
  <c r="AQ63" i="59"/>
  <c r="AN63" i="59"/>
  <c r="AK63" i="59"/>
  <c r="AH63" i="59"/>
  <c r="AE63" i="59"/>
  <c r="AB63" i="59"/>
  <c r="Y63" i="59"/>
  <c r="V63" i="59"/>
  <c r="S63" i="59"/>
  <c r="P63" i="59"/>
  <c r="M63" i="59"/>
  <c r="J63" i="59"/>
  <c r="A63" i="59"/>
  <c r="AW62" i="59"/>
  <c r="AT62" i="59"/>
  <c r="AQ62" i="59"/>
  <c r="AN62" i="59"/>
  <c r="AK62" i="59"/>
  <c r="AH62" i="59"/>
  <c r="AE62" i="59"/>
  <c r="AB62" i="59"/>
  <c r="Y62" i="59"/>
  <c r="V62" i="59"/>
  <c r="S62" i="59"/>
  <c r="P62" i="59"/>
  <c r="M62" i="59"/>
  <c r="J62" i="59"/>
  <c r="A62" i="59"/>
  <c r="AW61" i="59"/>
  <c r="AT61" i="59"/>
  <c r="AQ61" i="59"/>
  <c r="AN61" i="59"/>
  <c r="AK61" i="59"/>
  <c r="AH61" i="59"/>
  <c r="AE61" i="59"/>
  <c r="AB61" i="59"/>
  <c r="Y61" i="59"/>
  <c r="V61" i="59"/>
  <c r="S61" i="59"/>
  <c r="P61" i="59"/>
  <c r="M61" i="59"/>
  <c r="J61" i="59"/>
  <c r="A61" i="59"/>
  <c r="AW60" i="59"/>
  <c r="AT60" i="59"/>
  <c r="AQ60" i="59"/>
  <c r="AN60" i="59"/>
  <c r="AK60" i="59"/>
  <c r="AH60" i="59"/>
  <c r="AE60" i="59"/>
  <c r="AB60" i="59"/>
  <c r="Y60" i="59"/>
  <c r="V60" i="59"/>
  <c r="S60" i="59"/>
  <c r="P60" i="59"/>
  <c r="M60" i="59"/>
  <c r="J60" i="59"/>
  <c r="A60" i="59"/>
  <c r="AW59" i="59"/>
  <c r="AT59" i="59"/>
  <c r="AQ59" i="59"/>
  <c r="AN59" i="59"/>
  <c r="AK59" i="59"/>
  <c r="AH59" i="59"/>
  <c r="AE59" i="59"/>
  <c r="AB59" i="59"/>
  <c r="Y59" i="59"/>
  <c r="V59" i="59"/>
  <c r="S59" i="59"/>
  <c r="P59" i="59"/>
  <c r="M59" i="59"/>
  <c r="J59" i="59"/>
  <c r="A59" i="59"/>
  <c r="A58" i="59"/>
  <c r="AW57" i="59"/>
  <c r="AT57" i="59"/>
  <c r="AQ57" i="59"/>
  <c r="AN57" i="59"/>
  <c r="AK57" i="59"/>
  <c r="AH57" i="59"/>
  <c r="AE57" i="59"/>
  <c r="AB57" i="59"/>
  <c r="Y57" i="59"/>
  <c r="V57" i="59"/>
  <c r="S57" i="59"/>
  <c r="P57" i="59"/>
  <c r="M57" i="59"/>
  <c r="J57" i="59"/>
  <c r="A57" i="59"/>
  <c r="AW56" i="59"/>
  <c r="AT56" i="59"/>
  <c r="AQ56" i="59"/>
  <c r="AN56" i="59"/>
  <c r="AK56" i="59"/>
  <c r="AH56" i="59"/>
  <c r="AE56" i="59"/>
  <c r="AB56" i="59"/>
  <c r="Y56" i="59"/>
  <c r="V56" i="59"/>
  <c r="S56" i="59"/>
  <c r="P56" i="59"/>
  <c r="M56" i="59"/>
  <c r="J56" i="59"/>
  <c r="A56" i="59"/>
  <c r="AW55" i="59"/>
  <c r="AT55" i="59"/>
  <c r="AQ55" i="59"/>
  <c r="AN55" i="59"/>
  <c r="AK55" i="59"/>
  <c r="AH55" i="59"/>
  <c r="AE55" i="59"/>
  <c r="AB55" i="59"/>
  <c r="Y55" i="59"/>
  <c r="V55" i="59"/>
  <c r="S55" i="59"/>
  <c r="P55" i="59"/>
  <c r="M55" i="59"/>
  <c r="J55" i="59"/>
  <c r="A55" i="59"/>
  <c r="AW54" i="59"/>
  <c r="AT54" i="59"/>
  <c r="AQ54" i="59"/>
  <c r="AN54" i="59"/>
  <c r="AK54" i="59"/>
  <c r="AH54" i="59"/>
  <c r="AE54" i="59"/>
  <c r="AB54" i="59"/>
  <c r="Y54" i="59"/>
  <c r="V54" i="59"/>
  <c r="S54" i="59"/>
  <c r="P54" i="59"/>
  <c r="M54" i="59"/>
  <c r="J54" i="59"/>
  <c r="A54" i="59"/>
  <c r="AW53" i="59"/>
  <c r="AT53" i="59"/>
  <c r="AQ53" i="59"/>
  <c r="AN53" i="59"/>
  <c r="AK53" i="59"/>
  <c r="AH53" i="59"/>
  <c r="AE53" i="59"/>
  <c r="AB53" i="59"/>
  <c r="Y53" i="59"/>
  <c r="V53" i="59"/>
  <c r="S53" i="59"/>
  <c r="P53" i="59"/>
  <c r="M53" i="59"/>
  <c r="J53" i="59"/>
  <c r="A53" i="59"/>
  <c r="AW52" i="59"/>
  <c r="AT52" i="59"/>
  <c r="AQ52" i="59"/>
  <c r="AN52" i="59"/>
  <c r="AK52" i="59"/>
  <c r="AH52" i="59"/>
  <c r="AE52" i="59"/>
  <c r="AB52" i="59"/>
  <c r="Y52" i="59"/>
  <c r="V52" i="59"/>
  <c r="S52" i="59"/>
  <c r="P52" i="59"/>
  <c r="M52" i="59"/>
  <c r="J52" i="59"/>
  <c r="A52" i="59"/>
  <c r="AW51" i="59"/>
  <c r="AT51" i="59"/>
  <c r="AQ51" i="59"/>
  <c r="AN51" i="59"/>
  <c r="AK51" i="59"/>
  <c r="AH51" i="59"/>
  <c r="AE51" i="59"/>
  <c r="AB51" i="59"/>
  <c r="Y51" i="59"/>
  <c r="V51" i="59"/>
  <c r="S51" i="59"/>
  <c r="P51" i="59"/>
  <c r="M51" i="59"/>
  <c r="J51" i="59"/>
  <c r="A51" i="59"/>
  <c r="AW50" i="59"/>
  <c r="AT50" i="59"/>
  <c r="AQ50" i="59"/>
  <c r="AN50" i="59"/>
  <c r="AK50" i="59"/>
  <c r="AH50" i="59"/>
  <c r="AE50" i="59"/>
  <c r="AB50" i="59"/>
  <c r="Y50" i="59"/>
  <c r="V50" i="59"/>
  <c r="S50" i="59"/>
  <c r="P50" i="59"/>
  <c r="M50" i="59"/>
  <c r="J50" i="59"/>
  <c r="A50" i="59"/>
  <c r="AW49" i="59"/>
  <c r="AT49" i="59"/>
  <c r="AQ49" i="59"/>
  <c r="AN49" i="59"/>
  <c r="AK49" i="59"/>
  <c r="AH49" i="59"/>
  <c r="AE49" i="59"/>
  <c r="AB49" i="59"/>
  <c r="Y49" i="59"/>
  <c r="V49" i="59"/>
  <c r="S49" i="59"/>
  <c r="P49" i="59"/>
  <c r="M49" i="59"/>
  <c r="J49" i="59"/>
  <c r="A49" i="59"/>
  <c r="AW48" i="59"/>
  <c r="AT48" i="59"/>
  <c r="AQ48" i="59"/>
  <c r="AN48" i="59"/>
  <c r="AK48" i="59"/>
  <c r="AH48" i="59"/>
  <c r="AE48" i="59"/>
  <c r="AB48" i="59"/>
  <c r="Y48" i="59"/>
  <c r="V48" i="59"/>
  <c r="S48" i="59"/>
  <c r="P48" i="59"/>
  <c r="M48" i="59"/>
  <c r="J48" i="59"/>
  <c r="A48" i="59"/>
  <c r="AW47" i="59"/>
  <c r="AT47" i="59"/>
  <c r="AQ47" i="59"/>
  <c r="AN47" i="59"/>
  <c r="AK47" i="59"/>
  <c r="AH47" i="59"/>
  <c r="AE47" i="59"/>
  <c r="AB47" i="59"/>
  <c r="Y47" i="59"/>
  <c r="V47" i="59"/>
  <c r="S47" i="59"/>
  <c r="P47" i="59"/>
  <c r="M47" i="59"/>
  <c r="J47" i="59"/>
  <c r="A47" i="59"/>
  <c r="A46" i="59"/>
  <c r="A45"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A44" i="59"/>
  <c r="AY43" i="59"/>
  <c r="AX43" i="59"/>
  <c r="AW43" i="59"/>
  <c r="AT43" i="59"/>
  <c r="AQ43" i="59"/>
  <c r="AN43" i="59"/>
  <c r="AK43" i="59"/>
  <c r="AH43" i="59"/>
  <c r="AE43" i="59"/>
  <c r="AB43" i="59"/>
  <c r="Y43" i="59"/>
  <c r="V43" i="59"/>
  <c r="S43" i="59"/>
  <c r="P43" i="59"/>
  <c r="M43" i="59"/>
  <c r="J43" i="59"/>
  <c r="A43" i="59"/>
  <c r="AY42" i="59"/>
  <c r="AX42" i="59"/>
  <c r="AW42" i="59"/>
  <c r="AT42" i="59"/>
  <c r="AQ42" i="59"/>
  <c r="AN42" i="59"/>
  <c r="AK42" i="59"/>
  <c r="AH42" i="59"/>
  <c r="AE42" i="59"/>
  <c r="AB42" i="59"/>
  <c r="Y42" i="59"/>
  <c r="V42" i="59"/>
  <c r="S42" i="59"/>
  <c r="P42" i="59"/>
  <c r="M42" i="59"/>
  <c r="J42" i="59"/>
  <c r="A42" i="59"/>
  <c r="AY41" i="59"/>
  <c r="AX41" i="59"/>
  <c r="AW41" i="59"/>
  <c r="AT41" i="59"/>
  <c r="AQ41" i="59"/>
  <c r="AN41" i="59"/>
  <c r="AK41" i="59"/>
  <c r="AH41" i="59"/>
  <c r="AE41" i="59"/>
  <c r="AB41" i="59"/>
  <c r="Y41" i="59"/>
  <c r="V41" i="59"/>
  <c r="S41" i="59"/>
  <c r="P41" i="59"/>
  <c r="M41" i="59"/>
  <c r="J41" i="59"/>
  <c r="A41" i="59"/>
  <c r="AY40" i="59"/>
  <c r="AX40" i="59"/>
  <c r="AW40" i="59"/>
  <c r="AT40" i="59"/>
  <c r="AQ40" i="59"/>
  <c r="AN40" i="59"/>
  <c r="AK40" i="59"/>
  <c r="AH40" i="59"/>
  <c r="AE40" i="59"/>
  <c r="AB40" i="59"/>
  <c r="Y40" i="59"/>
  <c r="V40" i="59"/>
  <c r="S40" i="59"/>
  <c r="P40" i="59"/>
  <c r="M40" i="59"/>
  <c r="J40" i="59"/>
  <c r="A40" i="59"/>
  <c r="AY39" i="59"/>
  <c r="AX39" i="59"/>
  <c r="AW39" i="59"/>
  <c r="AT39" i="59"/>
  <c r="AQ39" i="59"/>
  <c r="AN39" i="59"/>
  <c r="AK39" i="59"/>
  <c r="AH39" i="59"/>
  <c r="AE39" i="59"/>
  <c r="AB39" i="59"/>
  <c r="Y39" i="59"/>
  <c r="V39" i="59"/>
  <c r="S39" i="59"/>
  <c r="P39" i="59"/>
  <c r="M39" i="59"/>
  <c r="J39" i="59"/>
  <c r="A39" i="59"/>
  <c r="AY38" i="59"/>
  <c r="AX38" i="59"/>
  <c r="AW38" i="59"/>
  <c r="AT38" i="59"/>
  <c r="AQ38" i="59"/>
  <c r="AN38" i="59"/>
  <c r="AK38" i="59"/>
  <c r="AH38" i="59"/>
  <c r="AE38" i="59"/>
  <c r="AB38" i="59"/>
  <c r="Y38" i="59"/>
  <c r="V38" i="59"/>
  <c r="S38" i="59"/>
  <c r="P38" i="59"/>
  <c r="M38" i="59"/>
  <c r="J38" i="59"/>
  <c r="A38" i="59"/>
  <c r="AY37" i="59"/>
  <c r="AX37" i="59"/>
  <c r="AW37" i="59"/>
  <c r="AT37" i="59"/>
  <c r="AQ37" i="59"/>
  <c r="AN37" i="59"/>
  <c r="AK37" i="59"/>
  <c r="AH37" i="59"/>
  <c r="AE37" i="59"/>
  <c r="AB37" i="59"/>
  <c r="Y37" i="59"/>
  <c r="V37" i="59"/>
  <c r="S37" i="59"/>
  <c r="P37" i="59"/>
  <c r="M37" i="59"/>
  <c r="J37" i="59"/>
  <c r="A37" i="59"/>
  <c r="AY36" i="59"/>
  <c r="AX36" i="59"/>
  <c r="AW36" i="59"/>
  <c r="AT36" i="59"/>
  <c r="AQ36" i="59"/>
  <c r="AN36" i="59"/>
  <c r="AK36" i="59"/>
  <c r="AH36" i="59"/>
  <c r="AE36" i="59"/>
  <c r="AB36" i="59"/>
  <c r="Y36" i="59"/>
  <c r="V36" i="59"/>
  <c r="S36" i="59"/>
  <c r="P36" i="59"/>
  <c r="M36" i="59"/>
  <c r="J36" i="59"/>
  <c r="A36" i="59"/>
  <c r="AY35" i="59"/>
  <c r="AX35" i="59"/>
  <c r="AW35" i="59"/>
  <c r="AT35" i="59"/>
  <c r="AQ35" i="59"/>
  <c r="AN35" i="59"/>
  <c r="AK35" i="59"/>
  <c r="AH35" i="59"/>
  <c r="AE35" i="59"/>
  <c r="AB35" i="59"/>
  <c r="Y35" i="59"/>
  <c r="V35" i="59"/>
  <c r="S35" i="59"/>
  <c r="P35" i="59"/>
  <c r="M35" i="59"/>
  <c r="J35" i="59"/>
  <c r="A35" i="59"/>
  <c r="AY34" i="59"/>
  <c r="AX34" i="59"/>
  <c r="AW34" i="59"/>
  <c r="AT34" i="59"/>
  <c r="AQ34" i="59"/>
  <c r="AN34" i="59"/>
  <c r="AK34" i="59"/>
  <c r="AH34" i="59"/>
  <c r="AE34" i="59"/>
  <c r="AB34" i="59"/>
  <c r="Y34" i="59"/>
  <c r="V34" i="59"/>
  <c r="S34" i="59"/>
  <c r="P34" i="59"/>
  <c r="M34" i="59"/>
  <c r="J34" i="59"/>
  <c r="A34" i="59"/>
  <c r="AY33" i="59"/>
  <c r="AX33" i="59"/>
  <c r="AW33" i="59"/>
  <c r="AT33" i="59"/>
  <c r="AQ33" i="59"/>
  <c r="AN33" i="59"/>
  <c r="AK33" i="59"/>
  <c r="AH33" i="59"/>
  <c r="AE33" i="59"/>
  <c r="AB33" i="59"/>
  <c r="Y33" i="59"/>
  <c r="V33" i="59"/>
  <c r="S33" i="59"/>
  <c r="P33" i="59"/>
  <c r="M33" i="59"/>
  <c r="J33" i="59"/>
  <c r="A33" i="59"/>
  <c r="AY32" i="59"/>
  <c r="AX32" i="59"/>
  <c r="AW32" i="59"/>
  <c r="AT32" i="59"/>
  <c r="AQ32" i="59"/>
  <c r="AN32" i="59"/>
  <c r="AK32" i="59"/>
  <c r="AH32" i="59"/>
  <c r="AE32" i="59"/>
  <c r="AB32" i="59"/>
  <c r="Y32" i="59"/>
  <c r="V32" i="59"/>
  <c r="S32" i="59"/>
  <c r="P32" i="59"/>
  <c r="M32" i="59"/>
  <c r="J32" i="59"/>
  <c r="A32" i="59"/>
  <c r="AY31" i="59"/>
  <c r="AX31" i="59"/>
  <c r="AW31" i="59"/>
  <c r="AT31" i="59"/>
  <c r="AQ31" i="59"/>
  <c r="AN31" i="59"/>
  <c r="AK31" i="59"/>
  <c r="AH31" i="59"/>
  <c r="AE31" i="59"/>
  <c r="AB31" i="59"/>
  <c r="Y31" i="59"/>
  <c r="V31" i="59"/>
  <c r="S31" i="59"/>
  <c r="P31" i="59"/>
  <c r="M31" i="59"/>
  <c r="J31" i="59"/>
  <c r="A31" i="59"/>
  <c r="AY30" i="59"/>
  <c r="AX30" i="59"/>
  <c r="AW30" i="59"/>
  <c r="AT30" i="59"/>
  <c r="AQ30" i="59"/>
  <c r="AN30" i="59"/>
  <c r="AK30" i="59"/>
  <c r="AH30" i="59"/>
  <c r="AE30" i="59"/>
  <c r="AB30" i="59"/>
  <c r="Y30" i="59"/>
  <c r="V30" i="59"/>
  <c r="S30" i="59"/>
  <c r="P30" i="59"/>
  <c r="M30" i="59"/>
  <c r="J30" i="59"/>
  <c r="A30" i="59"/>
  <c r="AY29" i="59"/>
  <c r="AX29" i="59"/>
  <c r="AW29" i="59"/>
  <c r="AT29" i="59"/>
  <c r="AQ29" i="59"/>
  <c r="AN29" i="59"/>
  <c r="AK29" i="59"/>
  <c r="AH29" i="59"/>
  <c r="AE29" i="59"/>
  <c r="AB29" i="59"/>
  <c r="Y29" i="59"/>
  <c r="V29" i="59"/>
  <c r="S29" i="59"/>
  <c r="P29" i="59"/>
  <c r="M29" i="59"/>
  <c r="J29" i="59"/>
  <c r="A29" i="59"/>
  <c r="AY28" i="59"/>
  <c r="AX28" i="59"/>
  <c r="AW28" i="59"/>
  <c r="AT28" i="59"/>
  <c r="AQ28" i="59"/>
  <c r="AN28" i="59"/>
  <c r="AK28" i="59"/>
  <c r="AH28" i="59"/>
  <c r="AE28" i="59"/>
  <c r="AB28" i="59"/>
  <c r="Y28" i="59"/>
  <c r="V28" i="59"/>
  <c r="S28" i="59"/>
  <c r="P28" i="59"/>
  <c r="M28" i="59"/>
  <c r="J28" i="59"/>
  <c r="A28" i="59"/>
  <c r="AY27" i="59"/>
  <c r="AX27" i="59"/>
  <c r="AW27" i="59"/>
  <c r="AT27" i="59"/>
  <c r="AQ27" i="59"/>
  <c r="AN27" i="59"/>
  <c r="AK27" i="59"/>
  <c r="AH27" i="59"/>
  <c r="AE27" i="59"/>
  <c r="AB27" i="59"/>
  <c r="Y27" i="59"/>
  <c r="V27" i="59"/>
  <c r="S27" i="59"/>
  <c r="P27" i="59"/>
  <c r="M27" i="59"/>
  <c r="J27" i="59"/>
  <c r="A27" i="59"/>
  <c r="A26" i="59"/>
  <c r="A25"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A24" i="59"/>
  <c r="AY23" i="59"/>
  <c r="AX23" i="59"/>
  <c r="AW23" i="59"/>
  <c r="AT23" i="59"/>
  <c r="AQ23" i="59"/>
  <c r="AN23" i="59"/>
  <c r="AK23" i="59"/>
  <c r="AH23" i="59"/>
  <c r="AE23" i="59"/>
  <c r="AB23" i="59"/>
  <c r="Y23" i="59"/>
  <c r="V23" i="59"/>
  <c r="S23" i="59"/>
  <c r="P23" i="59"/>
  <c r="M23" i="59"/>
  <c r="J23" i="59"/>
  <c r="A23" i="59"/>
  <c r="AY22" i="59"/>
  <c r="AX22" i="59"/>
  <c r="AW22" i="59"/>
  <c r="AT22" i="59"/>
  <c r="AQ22" i="59"/>
  <c r="AN22" i="59"/>
  <c r="AK22" i="59"/>
  <c r="AH22" i="59"/>
  <c r="AE22" i="59"/>
  <c r="AB22" i="59"/>
  <c r="Y22" i="59"/>
  <c r="V22" i="59"/>
  <c r="S22" i="59"/>
  <c r="P22" i="59"/>
  <c r="M22" i="59"/>
  <c r="J22" i="59"/>
  <c r="A22" i="59"/>
  <c r="AY21" i="59"/>
  <c r="AX21" i="59"/>
  <c r="AW21" i="59"/>
  <c r="AT21" i="59"/>
  <c r="AQ21" i="59"/>
  <c r="AN21" i="59"/>
  <c r="AK21" i="59"/>
  <c r="AH21" i="59"/>
  <c r="AE21" i="59"/>
  <c r="AB21" i="59"/>
  <c r="Y21" i="59"/>
  <c r="V21" i="59"/>
  <c r="S21" i="59"/>
  <c r="P21" i="59"/>
  <c r="M21" i="59"/>
  <c r="J21" i="59"/>
  <c r="A21" i="59"/>
  <c r="AY20" i="59"/>
  <c r="AX20" i="59"/>
  <c r="AW20" i="59"/>
  <c r="AT20" i="59"/>
  <c r="AQ20" i="59"/>
  <c r="AN20" i="59"/>
  <c r="AK20" i="59"/>
  <c r="AH20" i="59"/>
  <c r="AE20" i="59"/>
  <c r="AB20" i="59"/>
  <c r="Y20" i="59"/>
  <c r="V20" i="59"/>
  <c r="S20" i="59"/>
  <c r="P20" i="59"/>
  <c r="M20" i="59"/>
  <c r="J20" i="59"/>
  <c r="A20" i="59"/>
  <c r="AY19" i="59"/>
  <c r="AX19" i="59"/>
  <c r="AW19" i="59"/>
  <c r="AT19" i="59"/>
  <c r="AQ19" i="59"/>
  <c r="AN19" i="59"/>
  <c r="AK19" i="59"/>
  <c r="AH19" i="59"/>
  <c r="AE19" i="59"/>
  <c r="AB19" i="59"/>
  <c r="Y19" i="59"/>
  <c r="V19" i="59"/>
  <c r="S19" i="59"/>
  <c r="P19" i="59"/>
  <c r="M19" i="59"/>
  <c r="J19" i="59"/>
  <c r="A19" i="59"/>
  <c r="AT18" i="59"/>
  <c r="AQ18" i="59"/>
  <c r="AN18" i="59"/>
  <c r="AK18" i="59"/>
  <c r="AH18" i="59"/>
  <c r="AE18" i="59"/>
  <c r="AB18" i="59"/>
  <c r="Y18" i="59"/>
  <c r="V18" i="59"/>
  <c r="S18" i="59"/>
  <c r="A18" i="59"/>
  <c r="A17" i="59"/>
  <c r="A16" i="59"/>
  <c r="A15" i="59"/>
  <c r="A14" i="59"/>
  <c r="A13" i="59"/>
  <c r="A12" i="59"/>
  <c r="A11" i="59"/>
  <c r="AV4" i="59"/>
  <c r="AL4" i="59"/>
  <c r="Z4" i="59"/>
  <c r="Q4" i="59"/>
  <c r="C4" i="59"/>
  <c r="AV3" i="59"/>
  <c r="AL3" i="59"/>
  <c r="Z3" i="59"/>
  <c r="Q3" i="59"/>
  <c r="C3" i="59"/>
  <c r="AV2" i="59"/>
  <c r="AL2" i="59"/>
  <c r="Z2" i="59"/>
  <c r="Q2" i="59"/>
  <c r="C2" i="59"/>
  <c r="AV1" i="59"/>
  <c r="AL1" i="59"/>
  <c r="Z1" i="59"/>
  <c r="Q1" i="59"/>
  <c r="C1" i="59"/>
  <c r="H101" i="210"/>
  <c r="F101" i="210"/>
  <c r="A101" i="210"/>
  <c r="A100" i="210"/>
  <c r="A99" i="210"/>
  <c r="A98" i="210"/>
  <c r="A97" i="210"/>
  <c r="A96" i="210"/>
  <c r="A95" i="210"/>
  <c r="A94" i="210"/>
  <c r="A93" i="210"/>
  <c r="A92" i="210"/>
  <c r="A91" i="210"/>
  <c r="A90" i="210"/>
  <c r="A89" i="210"/>
  <c r="A88" i="210"/>
  <c r="A87" i="210"/>
  <c r="A86" i="210"/>
  <c r="A85" i="210"/>
  <c r="A84" i="210"/>
  <c r="A83" i="210"/>
  <c r="A82" i="210"/>
  <c r="A81" i="210"/>
  <c r="A80" i="210"/>
  <c r="A79" i="210"/>
  <c r="A78" i="210"/>
  <c r="A77" i="210"/>
  <c r="A76" i="210"/>
  <c r="A75" i="210"/>
  <c r="A74" i="210"/>
  <c r="A73" i="210"/>
  <c r="A72" i="210"/>
  <c r="A71" i="210"/>
  <c r="A70" i="210"/>
  <c r="A69" i="210"/>
  <c r="A68" i="210"/>
  <c r="A67" i="210"/>
  <c r="A66" i="210"/>
  <c r="A65" i="210"/>
  <c r="A64" i="210"/>
  <c r="A63" i="210"/>
  <c r="A62" i="210"/>
  <c r="A61" i="210"/>
  <c r="A60" i="210"/>
  <c r="A59" i="210"/>
  <c r="A58" i="210"/>
  <c r="A57" i="210"/>
  <c r="A56" i="210"/>
  <c r="A55" i="210"/>
  <c r="A54" i="210"/>
  <c r="A53" i="210"/>
  <c r="A52" i="210"/>
  <c r="A51" i="210"/>
  <c r="A50" i="210"/>
  <c r="A49" i="210"/>
  <c r="A48" i="210"/>
  <c r="A47" i="210"/>
  <c r="A46" i="210"/>
  <c r="A45" i="210"/>
  <c r="A44" i="210"/>
  <c r="A43" i="210"/>
  <c r="A42" i="210"/>
  <c r="A41" i="210"/>
  <c r="A40" i="210"/>
  <c r="A39" i="210"/>
  <c r="A38" i="210"/>
  <c r="A37" i="210"/>
  <c r="A36" i="210"/>
  <c r="A35" i="210"/>
  <c r="A34" i="210"/>
  <c r="A33" i="210"/>
  <c r="A32" i="210"/>
  <c r="A31" i="210"/>
  <c r="A30" i="210"/>
  <c r="A29" i="210"/>
  <c r="A28" i="210"/>
  <c r="A27" i="210"/>
  <c r="A26" i="210"/>
  <c r="A25" i="210"/>
  <c r="A24" i="210"/>
  <c r="A23" i="210"/>
  <c r="A22" i="210"/>
  <c r="A21" i="210"/>
  <c r="A20" i="210"/>
  <c r="A19" i="210"/>
  <c r="A18" i="210"/>
  <c r="A17" i="210"/>
  <c r="A16" i="210"/>
  <c r="A15" i="210"/>
  <c r="A14" i="210"/>
  <c r="A13" i="210"/>
  <c r="A12" i="210"/>
  <c r="A11" i="210"/>
  <c r="A4" i="210"/>
  <c r="A3" i="210"/>
  <c r="A2" i="210"/>
  <c r="A1" i="210"/>
  <c r="M302" i="224"/>
  <c r="K302" i="224"/>
  <c r="H302" i="224"/>
  <c r="F302" i="224"/>
  <c r="A302" i="224"/>
  <c r="M301" i="224"/>
  <c r="L301" i="224"/>
  <c r="K301" i="224"/>
  <c r="H301" i="224"/>
  <c r="G301" i="224"/>
  <c r="F301" i="224"/>
  <c r="A301" i="224"/>
  <c r="M300" i="224"/>
  <c r="L300" i="224"/>
  <c r="K300" i="224"/>
  <c r="H300" i="224"/>
  <c r="G300" i="224"/>
  <c r="F300" i="224"/>
  <c r="A300" i="224"/>
  <c r="K299" i="224"/>
  <c r="H299" i="224"/>
  <c r="F299" i="224"/>
  <c r="A299" i="224"/>
  <c r="M298" i="224"/>
  <c r="L298" i="224"/>
  <c r="K298" i="224"/>
  <c r="H298" i="224"/>
  <c r="G298" i="224"/>
  <c r="F298" i="224"/>
  <c r="A298" i="224"/>
  <c r="M297" i="224"/>
  <c r="L297" i="224"/>
  <c r="K297" i="224"/>
  <c r="H297" i="224"/>
  <c r="G297" i="224"/>
  <c r="F297" i="224"/>
  <c r="A297" i="224"/>
  <c r="M296" i="224"/>
  <c r="L296" i="224"/>
  <c r="K296" i="224"/>
  <c r="H296" i="224"/>
  <c r="G296" i="224"/>
  <c r="F296" i="224"/>
  <c r="A296" i="224"/>
  <c r="M295" i="224"/>
  <c r="L295" i="224"/>
  <c r="K295" i="224"/>
  <c r="H295" i="224"/>
  <c r="G295" i="224"/>
  <c r="F295" i="224"/>
  <c r="A295" i="224"/>
  <c r="M294" i="224"/>
  <c r="L294" i="224"/>
  <c r="K294" i="224"/>
  <c r="H294" i="224"/>
  <c r="G294" i="224"/>
  <c r="F294" i="224"/>
  <c r="A294" i="224"/>
  <c r="M293" i="224"/>
  <c r="L293" i="224"/>
  <c r="K293" i="224"/>
  <c r="H293" i="224"/>
  <c r="G293" i="224"/>
  <c r="F293" i="224"/>
  <c r="A293" i="224"/>
  <c r="M292" i="224"/>
  <c r="L292" i="224"/>
  <c r="K292" i="224"/>
  <c r="H292" i="224"/>
  <c r="G292" i="224"/>
  <c r="F292" i="224"/>
  <c r="A292" i="224"/>
  <c r="M291" i="224"/>
  <c r="L291" i="224"/>
  <c r="K291" i="224"/>
  <c r="H291" i="224"/>
  <c r="G291" i="224"/>
  <c r="F291" i="224"/>
  <c r="A291" i="224"/>
  <c r="M290" i="224"/>
  <c r="L290" i="224"/>
  <c r="K290" i="224"/>
  <c r="H290" i="224"/>
  <c r="G290" i="224"/>
  <c r="F290" i="224"/>
  <c r="A290" i="224"/>
  <c r="M289" i="224"/>
  <c r="L289" i="224"/>
  <c r="K289" i="224"/>
  <c r="H289" i="224"/>
  <c r="G289" i="224"/>
  <c r="F289" i="224"/>
  <c r="A289" i="224"/>
  <c r="M288" i="224"/>
  <c r="L288" i="224"/>
  <c r="K288" i="224"/>
  <c r="H288" i="224"/>
  <c r="G288" i="224"/>
  <c r="F288" i="224"/>
  <c r="A288" i="224"/>
  <c r="M287" i="224"/>
  <c r="L287" i="224"/>
  <c r="K287" i="224"/>
  <c r="H287" i="224"/>
  <c r="G287" i="224"/>
  <c r="F287" i="224"/>
  <c r="A287" i="224"/>
  <c r="M286" i="224"/>
  <c r="L286" i="224"/>
  <c r="K286" i="224"/>
  <c r="H286" i="224"/>
  <c r="G286" i="224"/>
  <c r="F286" i="224"/>
  <c r="A286" i="224"/>
  <c r="M285" i="224"/>
  <c r="L285" i="224"/>
  <c r="K285" i="224"/>
  <c r="H285" i="224"/>
  <c r="G285" i="224"/>
  <c r="F285" i="224"/>
  <c r="A285" i="224"/>
  <c r="M284" i="224"/>
  <c r="L284" i="224"/>
  <c r="K284" i="224"/>
  <c r="H284" i="224"/>
  <c r="F284" i="224"/>
  <c r="A284" i="224"/>
  <c r="M283" i="224"/>
  <c r="L283" i="224"/>
  <c r="K283" i="224"/>
  <c r="H283" i="224"/>
  <c r="G283" i="224"/>
  <c r="F283" i="224"/>
  <c r="A283" i="224"/>
  <c r="M282" i="224"/>
  <c r="L282" i="224"/>
  <c r="K282" i="224"/>
  <c r="H282" i="224"/>
  <c r="G282" i="224"/>
  <c r="F282" i="224"/>
  <c r="A282" i="224"/>
  <c r="M281" i="224"/>
  <c r="L281" i="224"/>
  <c r="K281" i="224"/>
  <c r="H281" i="224"/>
  <c r="G281" i="224"/>
  <c r="F281" i="224"/>
  <c r="A281" i="224"/>
  <c r="M280" i="224"/>
  <c r="L280" i="224"/>
  <c r="K280" i="224"/>
  <c r="H280" i="224"/>
  <c r="G280" i="224"/>
  <c r="F280" i="224"/>
  <c r="A280" i="224"/>
  <c r="M279" i="224"/>
  <c r="L279" i="224"/>
  <c r="K279" i="224"/>
  <c r="H279" i="224"/>
  <c r="G279" i="224"/>
  <c r="F279" i="224"/>
  <c r="A279" i="224"/>
  <c r="M278" i="224"/>
  <c r="L278" i="224"/>
  <c r="K278" i="224"/>
  <c r="H278" i="224"/>
  <c r="G278" i="224"/>
  <c r="F278" i="224"/>
  <c r="A278" i="224"/>
  <c r="M277" i="224"/>
  <c r="L277" i="224"/>
  <c r="K277" i="224"/>
  <c r="H277" i="224"/>
  <c r="F277" i="224"/>
  <c r="A277" i="224"/>
  <c r="M276" i="224"/>
  <c r="L276" i="224"/>
  <c r="K276" i="224"/>
  <c r="H276" i="224"/>
  <c r="G276" i="224"/>
  <c r="F276" i="224"/>
  <c r="A276" i="224"/>
  <c r="M275" i="224"/>
  <c r="L275" i="224"/>
  <c r="K275" i="224"/>
  <c r="H275" i="224"/>
  <c r="G275" i="224"/>
  <c r="F275" i="224"/>
  <c r="A275" i="224"/>
  <c r="M274" i="224"/>
  <c r="L274" i="224"/>
  <c r="K274" i="224"/>
  <c r="H274" i="224"/>
  <c r="G274" i="224"/>
  <c r="F274" i="224"/>
  <c r="A274" i="224"/>
  <c r="M273" i="224"/>
  <c r="L273" i="224"/>
  <c r="K273" i="224"/>
  <c r="H273" i="224"/>
  <c r="G273" i="224"/>
  <c r="F273" i="224"/>
  <c r="A273" i="224"/>
  <c r="M272" i="224"/>
  <c r="L272" i="224"/>
  <c r="K272" i="224"/>
  <c r="H272" i="224"/>
  <c r="G272" i="224"/>
  <c r="F272" i="224"/>
  <c r="A272" i="224"/>
  <c r="M271" i="224"/>
  <c r="L271" i="224"/>
  <c r="K271" i="224"/>
  <c r="H271" i="224"/>
  <c r="G271" i="224"/>
  <c r="F271" i="224"/>
  <c r="A271" i="224"/>
  <c r="M270" i="224"/>
  <c r="L270" i="224"/>
  <c r="K270" i="224"/>
  <c r="H270" i="224"/>
  <c r="G270" i="224"/>
  <c r="F270" i="224"/>
  <c r="A270" i="224"/>
  <c r="M269" i="224"/>
  <c r="L269" i="224"/>
  <c r="K269" i="224"/>
  <c r="H269" i="224"/>
  <c r="F269" i="224"/>
  <c r="A269" i="224"/>
  <c r="M268" i="224"/>
  <c r="L268" i="224"/>
  <c r="K268" i="224"/>
  <c r="H268" i="224"/>
  <c r="G268" i="224"/>
  <c r="F268" i="224"/>
  <c r="A268" i="224"/>
  <c r="M267" i="224"/>
  <c r="L267" i="224"/>
  <c r="K267" i="224"/>
  <c r="H267" i="224"/>
  <c r="F267" i="224"/>
  <c r="A267" i="224"/>
  <c r="K266" i="224"/>
  <c r="F266" i="224"/>
  <c r="A266" i="224"/>
  <c r="A265" i="224"/>
  <c r="A264" i="224"/>
  <c r="A263" i="224"/>
  <c r="L262" i="224"/>
  <c r="J262" i="224"/>
  <c r="I262" i="224"/>
  <c r="G262" i="224"/>
  <c r="F262" i="224"/>
  <c r="A262" i="224"/>
  <c r="A261" i="224"/>
  <c r="L260" i="224"/>
  <c r="J260" i="224"/>
  <c r="I260" i="224"/>
  <c r="G260" i="224"/>
  <c r="F260" i="224"/>
  <c r="A260" i="224"/>
  <c r="Q259" i="224"/>
  <c r="J259" i="224"/>
  <c r="G259" i="224"/>
  <c r="A259" i="224"/>
  <c r="J258" i="224"/>
  <c r="G258" i="224"/>
  <c r="A258" i="224"/>
  <c r="J257" i="224"/>
  <c r="G257" i="224"/>
  <c r="A257" i="224"/>
  <c r="J256" i="224"/>
  <c r="G256" i="224"/>
  <c r="A256" i="224"/>
  <c r="J255" i="224"/>
  <c r="G255" i="224"/>
  <c r="A255" i="224"/>
  <c r="J254" i="224"/>
  <c r="G254" i="224"/>
  <c r="A254" i="224"/>
  <c r="J253" i="224"/>
  <c r="G253" i="224"/>
  <c r="A253" i="224"/>
  <c r="J252" i="224"/>
  <c r="G252" i="224"/>
  <c r="A252" i="224"/>
  <c r="J251" i="224"/>
  <c r="G251" i="224"/>
  <c r="A251" i="224"/>
  <c r="J250" i="224"/>
  <c r="G250" i="224"/>
  <c r="A250" i="224"/>
  <c r="J249" i="224"/>
  <c r="G249" i="224"/>
  <c r="A249" i="224"/>
  <c r="J248" i="224"/>
  <c r="G248" i="224"/>
  <c r="A248" i="224"/>
  <c r="J247" i="224"/>
  <c r="G247" i="224"/>
  <c r="A247" i="224"/>
  <c r="J246" i="224"/>
  <c r="G246" i="224"/>
  <c r="A246" i="224"/>
  <c r="J245" i="224"/>
  <c r="G245" i="224"/>
  <c r="A245" i="224"/>
  <c r="J244" i="224"/>
  <c r="G244" i="224"/>
  <c r="A244" i="224"/>
  <c r="J243" i="224"/>
  <c r="G243" i="224"/>
  <c r="A243" i="224"/>
  <c r="J242" i="224"/>
  <c r="G242" i="224"/>
  <c r="A242" i="224"/>
  <c r="G241" i="224"/>
  <c r="A241" i="224"/>
  <c r="G240" i="224"/>
  <c r="A240" i="224"/>
  <c r="G239" i="224"/>
  <c r="A239" i="224"/>
  <c r="J238" i="224"/>
  <c r="G238" i="224"/>
  <c r="A238" i="224"/>
  <c r="J237" i="224"/>
  <c r="G237" i="224"/>
  <c r="A237" i="224"/>
  <c r="J236" i="224"/>
  <c r="G236" i="224"/>
  <c r="A236" i="224"/>
  <c r="J235" i="224"/>
  <c r="G235" i="224"/>
  <c r="A235" i="224"/>
  <c r="J234" i="224"/>
  <c r="G234" i="224"/>
  <c r="A234" i="224"/>
  <c r="J233" i="224"/>
  <c r="G233" i="224"/>
  <c r="A233" i="224"/>
  <c r="J232" i="224"/>
  <c r="G232" i="224"/>
  <c r="A232" i="224"/>
  <c r="J231" i="224"/>
  <c r="G231" i="224"/>
  <c r="A231" i="224"/>
  <c r="J230" i="224"/>
  <c r="G230" i="224"/>
  <c r="A230" i="224"/>
  <c r="J229" i="224"/>
  <c r="G229" i="224"/>
  <c r="A229" i="224"/>
  <c r="J228" i="224"/>
  <c r="G228" i="224"/>
  <c r="A228" i="224"/>
  <c r="J227" i="224"/>
  <c r="G227" i="224"/>
  <c r="A227" i="224"/>
  <c r="J226" i="224"/>
  <c r="G226" i="224"/>
  <c r="A226" i="224"/>
  <c r="J225" i="224"/>
  <c r="G225" i="224"/>
  <c r="A225" i="224"/>
  <c r="J224" i="224"/>
  <c r="G224" i="224"/>
  <c r="A224" i="224"/>
  <c r="J223" i="224"/>
  <c r="G223" i="224"/>
  <c r="A223" i="224"/>
  <c r="J222" i="224"/>
  <c r="G222" i="224"/>
  <c r="A222" i="224"/>
  <c r="J221" i="224"/>
  <c r="G221" i="224"/>
  <c r="A221" i="224"/>
  <c r="J220" i="224"/>
  <c r="G220" i="224"/>
  <c r="A220" i="224"/>
  <c r="J219" i="224"/>
  <c r="G219" i="224"/>
  <c r="A219" i="224"/>
  <c r="J218" i="224"/>
  <c r="G218" i="224"/>
  <c r="A218" i="224"/>
  <c r="J217" i="224"/>
  <c r="G217" i="224"/>
  <c r="A217" i="224"/>
  <c r="J216" i="224"/>
  <c r="G216" i="224"/>
  <c r="A216" i="224"/>
  <c r="J215" i="224"/>
  <c r="G215" i="224"/>
  <c r="A215" i="224"/>
  <c r="J214" i="224"/>
  <c r="G214" i="224"/>
  <c r="A214" i="224"/>
  <c r="J213" i="224"/>
  <c r="G213" i="224"/>
  <c r="A213" i="224"/>
  <c r="J212" i="224"/>
  <c r="G212" i="224"/>
  <c r="A212" i="224"/>
  <c r="J211" i="224"/>
  <c r="G211" i="224"/>
  <c r="A211" i="224"/>
  <c r="J210" i="224"/>
  <c r="G210" i="224"/>
  <c r="A210" i="224"/>
  <c r="J209" i="224"/>
  <c r="G209" i="224"/>
  <c r="A209" i="224"/>
  <c r="J208" i="224"/>
  <c r="G208" i="224"/>
  <c r="A208" i="224"/>
  <c r="J207" i="224"/>
  <c r="G207" i="224"/>
  <c r="A207" i="224"/>
  <c r="J206" i="224"/>
  <c r="G206" i="224"/>
  <c r="A206" i="224"/>
  <c r="J205" i="224"/>
  <c r="G205" i="224"/>
  <c r="A205" i="224"/>
  <c r="J204" i="224"/>
  <c r="G204" i="224"/>
  <c r="A204" i="224"/>
  <c r="J203" i="224"/>
  <c r="G203" i="224"/>
  <c r="A203" i="224"/>
  <c r="J202" i="224"/>
  <c r="G202" i="224"/>
  <c r="A202" i="224"/>
  <c r="J201" i="224"/>
  <c r="G201" i="224"/>
  <c r="A201" i="224"/>
  <c r="J200" i="224"/>
  <c r="G200" i="224"/>
  <c r="A200" i="224"/>
  <c r="J199" i="224"/>
  <c r="G199" i="224"/>
  <c r="A199" i="224"/>
  <c r="J198" i="224"/>
  <c r="G198" i="224"/>
  <c r="A198" i="224"/>
  <c r="J197" i="224"/>
  <c r="G197" i="224"/>
  <c r="A197" i="224"/>
  <c r="J196" i="224"/>
  <c r="G196" i="224"/>
  <c r="A196" i="224"/>
  <c r="J195" i="224"/>
  <c r="G195" i="224"/>
  <c r="A195" i="224"/>
  <c r="J194" i="224"/>
  <c r="G194" i="224"/>
  <c r="A194" i="224"/>
  <c r="J193" i="224"/>
  <c r="G193" i="224"/>
  <c r="A193" i="224"/>
  <c r="J192" i="224"/>
  <c r="G192" i="224"/>
  <c r="A192" i="224"/>
  <c r="J191" i="224"/>
  <c r="G191" i="224"/>
  <c r="A191" i="224"/>
  <c r="J190" i="224"/>
  <c r="G190" i="224"/>
  <c r="A190" i="224"/>
  <c r="J189" i="224"/>
  <c r="G189" i="224"/>
  <c r="A189" i="224"/>
  <c r="J188" i="224"/>
  <c r="G188" i="224"/>
  <c r="A188" i="224"/>
  <c r="J187" i="224"/>
  <c r="G187" i="224"/>
  <c r="A187" i="224"/>
  <c r="J186" i="224"/>
  <c r="G186" i="224"/>
  <c r="A186" i="224"/>
  <c r="J185" i="224"/>
  <c r="G185" i="224"/>
  <c r="A185" i="224"/>
  <c r="A184" i="224"/>
  <c r="Q183" i="224"/>
  <c r="L183" i="224"/>
  <c r="J183" i="224"/>
  <c r="I183" i="224"/>
  <c r="G183" i="224"/>
  <c r="F183" i="224"/>
  <c r="A183" i="224"/>
  <c r="G182" i="224"/>
  <c r="A182" i="224"/>
  <c r="G181" i="224"/>
  <c r="A181" i="224"/>
  <c r="G180" i="224"/>
  <c r="A180" i="224"/>
  <c r="G179" i="224"/>
  <c r="A179" i="224"/>
  <c r="G178" i="224"/>
  <c r="A178" i="224"/>
  <c r="G177" i="224"/>
  <c r="A177" i="224"/>
  <c r="G176" i="224"/>
  <c r="A176" i="224"/>
  <c r="G175" i="224"/>
  <c r="A175" i="224"/>
  <c r="G174" i="224"/>
  <c r="A174" i="224"/>
  <c r="G173" i="224"/>
  <c r="A173" i="224"/>
  <c r="G172" i="224"/>
  <c r="A172" i="224"/>
  <c r="G171" i="224"/>
  <c r="A171" i="224"/>
  <c r="G170" i="224"/>
  <c r="A170" i="224"/>
  <c r="G169" i="224"/>
  <c r="A169" i="224"/>
  <c r="G168" i="224"/>
  <c r="A168" i="224"/>
  <c r="G167" i="224"/>
  <c r="A167" i="224"/>
  <c r="G166" i="224"/>
  <c r="A166" i="224"/>
  <c r="G165" i="224"/>
  <c r="A165" i="224"/>
  <c r="G164" i="224"/>
  <c r="A164" i="224"/>
  <c r="G163" i="224"/>
  <c r="A163" i="224"/>
  <c r="G162" i="224"/>
  <c r="A162" i="224"/>
  <c r="G161" i="224"/>
  <c r="A161" i="224"/>
  <c r="G160" i="224"/>
  <c r="A160" i="224"/>
  <c r="G159" i="224"/>
  <c r="A159" i="224"/>
  <c r="G158" i="224"/>
  <c r="A158" i="224"/>
  <c r="G157" i="224"/>
  <c r="A157" i="224"/>
  <c r="J156" i="224"/>
  <c r="G156" i="224"/>
  <c r="A156" i="224"/>
  <c r="J155" i="224"/>
  <c r="G155" i="224"/>
  <c r="A155" i="224"/>
  <c r="J154" i="224"/>
  <c r="G154" i="224"/>
  <c r="A154" i="224"/>
  <c r="J153" i="224"/>
  <c r="G153" i="224"/>
  <c r="A153" i="224"/>
  <c r="J152" i="224"/>
  <c r="G152" i="224"/>
  <c r="A152" i="224"/>
  <c r="J151" i="224"/>
  <c r="G151" i="224"/>
  <c r="A151" i="224"/>
  <c r="G150" i="224"/>
  <c r="A150" i="224"/>
  <c r="J149" i="224"/>
  <c r="A149" i="224"/>
  <c r="J148" i="224"/>
  <c r="G148" i="224"/>
  <c r="A148" i="224"/>
  <c r="J147" i="224"/>
  <c r="G147" i="224"/>
  <c r="A147" i="224"/>
  <c r="J146" i="224"/>
  <c r="G146" i="224"/>
  <c r="A146" i="224"/>
  <c r="J145" i="224"/>
  <c r="G145" i="224"/>
  <c r="A145" i="224"/>
  <c r="J144" i="224"/>
  <c r="G144" i="224"/>
  <c r="A144" i="224"/>
  <c r="J143" i="224"/>
  <c r="G143" i="224"/>
  <c r="A143" i="224"/>
  <c r="J142" i="224"/>
  <c r="G142" i="224"/>
  <c r="A142" i="224"/>
  <c r="G141" i="224"/>
  <c r="A141" i="224"/>
  <c r="G140" i="224"/>
  <c r="A140" i="224"/>
  <c r="J139" i="224"/>
  <c r="G139" i="224"/>
  <c r="A139" i="224"/>
  <c r="J138" i="224"/>
  <c r="G138" i="224"/>
  <c r="A138" i="224"/>
  <c r="G137" i="224"/>
  <c r="A137" i="224"/>
  <c r="G136" i="224"/>
  <c r="A136" i="224"/>
  <c r="J135" i="224"/>
  <c r="G135" i="224"/>
  <c r="A135" i="224"/>
  <c r="G134" i="224"/>
  <c r="A134" i="224"/>
  <c r="G133" i="224"/>
  <c r="A133" i="224"/>
  <c r="G132" i="224"/>
  <c r="A132" i="224"/>
  <c r="G131" i="224"/>
  <c r="A131" i="224"/>
  <c r="G130" i="224"/>
  <c r="A130" i="224"/>
  <c r="G129" i="224"/>
  <c r="A129" i="224"/>
  <c r="J128" i="224"/>
  <c r="G128" i="224"/>
  <c r="A128" i="224"/>
  <c r="J127" i="224"/>
  <c r="G127" i="224"/>
  <c r="A127" i="224"/>
  <c r="J126" i="224"/>
  <c r="G126" i="224"/>
  <c r="A126" i="224"/>
  <c r="J125" i="224"/>
  <c r="G125" i="224"/>
  <c r="A125" i="224"/>
  <c r="J124" i="224"/>
  <c r="G124" i="224"/>
  <c r="A124" i="224"/>
  <c r="J123" i="224"/>
  <c r="G123" i="224"/>
  <c r="A123" i="224"/>
  <c r="G122" i="224"/>
  <c r="A122" i="224"/>
  <c r="J121" i="224"/>
  <c r="G121" i="224"/>
  <c r="A121" i="224"/>
  <c r="G120" i="224"/>
  <c r="A120" i="224"/>
  <c r="J119" i="224"/>
  <c r="G119" i="224"/>
  <c r="A119" i="224"/>
  <c r="J118" i="224"/>
  <c r="G118" i="224"/>
  <c r="A118" i="224"/>
  <c r="J117" i="224"/>
  <c r="G117" i="224"/>
  <c r="A117" i="224"/>
  <c r="G116" i="224"/>
  <c r="A116" i="224"/>
  <c r="J115" i="224"/>
  <c r="G115" i="224"/>
  <c r="A115" i="224"/>
  <c r="J114" i="224"/>
  <c r="G114" i="224"/>
  <c r="A114" i="224"/>
  <c r="J113" i="224"/>
  <c r="G113" i="224"/>
  <c r="A113" i="224"/>
  <c r="J112" i="224"/>
  <c r="G112" i="224"/>
  <c r="A112" i="224"/>
  <c r="J111" i="224"/>
  <c r="G111" i="224"/>
  <c r="A111" i="224"/>
  <c r="G110" i="224"/>
  <c r="A110" i="224"/>
  <c r="J109" i="224"/>
  <c r="G109" i="224"/>
  <c r="A109" i="224"/>
  <c r="G108" i="224"/>
  <c r="A108" i="224"/>
  <c r="G107" i="224"/>
  <c r="A107" i="224"/>
  <c r="J106" i="224"/>
  <c r="G106" i="224"/>
  <c r="A106" i="224"/>
  <c r="G105" i="224"/>
  <c r="A105" i="224"/>
  <c r="G104" i="224"/>
  <c r="A104" i="224"/>
  <c r="J103" i="224"/>
  <c r="G103" i="224"/>
  <c r="A103" i="224"/>
  <c r="J102" i="224"/>
  <c r="G102" i="224"/>
  <c r="A102" i="224"/>
  <c r="J101" i="224"/>
  <c r="A101" i="224"/>
  <c r="J100" i="224"/>
  <c r="A100" i="224"/>
  <c r="J99" i="224"/>
  <c r="G99" i="224"/>
  <c r="A99" i="224"/>
  <c r="G98" i="224"/>
  <c r="A98" i="224"/>
  <c r="J97" i="224"/>
  <c r="G97" i="224"/>
  <c r="A97" i="224"/>
  <c r="G96" i="224"/>
  <c r="A96" i="224"/>
  <c r="J95" i="224"/>
  <c r="G95" i="224"/>
  <c r="A95" i="224"/>
  <c r="J94" i="224"/>
  <c r="G94" i="224"/>
  <c r="A94" i="224"/>
  <c r="J93" i="224"/>
  <c r="G93" i="224"/>
  <c r="A93" i="224"/>
  <c r="J92" i="224"/>
  <c r="A92" i="224"/>
  <c r="J91" i="224"/>
  <c r="A91" i="224"/>
  <c r="J90" i="224"/>
  <c r="G90" i="224"/>
  <c r="A90" i="224"/>
  <c r="J89" i="224"/>
  <c r="G89" i="224"/>
  <c r="A89" i="224"/>
  <c r="J88" i="224"/>
  <c r="G88" i="224"/>
  <c r="A88" i="224"/>
  <c r="J87" i="224"/>
  <c r="A87" i="224"/>
  <c r="G86" i="224"/>
  <c r="A86" i="224"/>
  <c r="J85" i="224"/>
  <c r="G85" i="224"/>
  <c r="A85" i="224"/>
  <c r="J84" i="224"/>
  <c r="G84" i="224"/>
  <c r="A84" i="224"/>
  <c r="J83" i="224"/>
  <c r="G83" i="224"/>
  <c r="A83" i="224"/>
  <c r="J82" i="224"/>
  <c r="G82" i="224"/>
  <c r="A82" i="224"/>
  <c r="J81" i="224"/>
  <c r="G81" i="224"/>
  <c r="A81" i="224"/>
  <c r="J80" i="224"/>
  <c r="G80" i="224"/>
  <c r="A80" i="224"/>
  <c r="J79" i="224"/>
  <c r="G79" i="224"/>
  <c r="A79" i="224"/>
  <c r="J78" i="224"/>
  <c r="G78" i="224"/>
  <c r="A78" i="224"/>
  <c r="J77" i="224"/>
  <c r="G77" i="224"/>
  <c r="A77" i="224"/>
  <c r="J76" i="224"/>
  <c r="G76" i="224"/>
  <c r="A76" i="224"/>
  <c r="J75" i="224"/>
  <c r="G75" i="224"/>
  <c r="A75" i="224"/>
  <c r="J74" i="224"/>
  <c r="G74" i="224"/>
  <c r="A74" i="224"/>
  <c r="J73" i="224"/>
  <c r="G73" i="224"/>
  <c r="A73" i="224"/>
  <c r="J72" i="224"/>
  <c r="G72" i="224"/>
  <c r="A72" i="224"/>
  <c r="J71" i="224"/>
  <c r="G71" i="224"/>
  <c r="A71" i="224"/>
  <c r="J70" i="224"/>
  <c r="G70" i="224"/>
  <c r="A70" i="224"/>
  <c r="J69" i="224"/>
  <c r="G69" i="224"/>
  <c r="A69" i="224"/>
  <c r="J68" i="224"/>
  <c r="G68" i="224"/>
  <c r="A68" i="224"/>
  <c r="J67" i="224"/>
  <c r="G67" i="224"/>
  <c r="A67" i="224"/>
  <c r="J66" i="224"/>
  <c r="G66" i="224"/>
  <c r="A66" i="224"/>
  <c r="J65" i="224"/>
  <c r="G65" i="224"/>
  <c r="A65" i="224"/>
  <c r="J64" i="224"/>
  <c r="G64" i="224"/>
  <c r="A64" i="224"/>
  <c r="J63" i="224"/>
  <c r="G63" i="224"/>
  <c r="A63" i="224"/>
  <c r="J62" i="224"/>
  <c r="G62" i="224"/>
  <c r="A62" i="224"/>
  <c r="J61" i="224"/>
  <c r="G61" i="224"/>
  <c r="A61" i="224"/>
  <c r="J60" i="224"/>
  <c r="G60" i="224"/>
  <c r="A60" i="224"/>
  <c r="J59" i="224"/>
  <c r="G59" i="224"/>
  <c r="A59" i="224"/>
  <c r="J58" i="224"/>
  <c r="G58" i="224"/>
  <c r="A58" i="224"/>
  <c r="J57" i="224"/>
  <c r="G57" i="224"/>
  <c r="A57" i="224"/>
  <c r="J56" i="224"/>
  <c r="G56" i="224"/>
  <c r="A56" i="224"/>
  <c r="J55" i="224"/>
  <c r="G55" i="224"/>
  <c r="A55" i="224"/>
  <c r="J54" i="224"/>
  <c r="G54" i="224"/>
  <c r="A54" i="224"/>
  <c r="J53" i="224"/>
  <c r="G53" i="224"/>
  <c r="A53" i="224"/>
  <c r="J52" i="224"/>
  <c r="G52" i="224"/>
  <c r="A52" i="224"/>
  <c r="J51" i="224"/>
  <c r="G51" i="224"/>
  <c r="A51" i="224"/>
  <c r="J50" i="224"/>
  <c r="G50" i="224"/>
  <c r="A50" i="224"/>
  <c r="J49" i="224"/>
  <c r="G49" i="224"/>
  <c r="A49" i="224"/>
  <c r="J48" i="224"/>
  <c r="G48" i="224"/>
  <c r="A48" i="224"/>
  <c r="J47" i="224"/>
  <c r="G47" i="224"/>
  <c r="A47" i="224"/>
  <c r="G46" i="224"/>
  <c r="A46" i="224"/>
  <c r="J45" i="224"/>
  <c r="G45" i="224"/>
  <c r="A45" i="224"/>
  <c r="J44" i="224"/>
  <c r="G44" i="224"/>
  <c r="A44" i="224"/>
  <c r="G43" i="224"/>
  <c r="A43" i="224"/>
  <c r="G42" i="224"/>
  <c r="A42" i="224"/>
  <c r="J41" i="224"/>
  <c r="G41" i="224"/>
  <c r="A41" i="224"/>
  <c r="J40" i="224"/>
  <c r="G40" i="224"/>
  <c r="A40" i="224"/>
  <c r="J39" i="224"/>
  <c r="G39" i="224"/>
  <c r="A39" i="224"/>
  <c r="J38" i="224"/>
  <c r="G38" i="224"/>
  <c r="A38" i="224"/>
  <c r="J37" i="224"/>
  <c r="G37" i="224"/>
  <c r="A37" i="224"/>
  <c r="J36" i="224"/>
  <c r="G36" i="224"/>
  <c r="A36" i="224"/>
  <c r="A35" i="224"/>
  <c r="L34" i="224"/>
  <c r="J34" i="224"/>
  <c r="I34" i="224"/>
  <c r="G34" i="224"/>
  <c r="F34" i="224"/>
  <c r="A34" i="224"/>
  <c r="J33" i="224"/>
  <c r="A33" i="224"/>
  <c r="A32" i="224"/>
  <c r="L31" i="224"/>
  <c r="J31" i="224"/>
  <c r="I31" i="224"/>
  <c r="G31" i="224"/>
  <c r="F31" i="224"/>
  <c r="A31" i="224"/>
  <c r="J30" i="224"/>
  <c r="G30" i="224"/>
  <c r="A30" i="224"/>
  <c r="J29" i="224"/>
  <c r="G29" i="224"/>
  <c r="A29" i="224"/>
  <c r="J28" i="224"/>
  <c r="G28" i="224"/>
  <c r="A28" i="224"/>
  <c r="J27" i="224"/>
  <c r="G27" i="224"/>
  <c r="A27" i="224"/>
  <c r="J26" i="224"/>
  <c r="A26" i="224"/>
  <c r="Q25" i="224"/>
  <c r="J25" i="224"/>
  <c r="G25" i="224"/>
  <c r="A25" i="224"/>
  <c r="J24" i="224"/>
  <c r="G24" i="224"/>
  <c r="A24" i="224"/>
  <c r="J23" i="224"/>
  <c r="G23" i="224"/>
  <c r="A23" i="224"/>
  <c r="J22" i="224"/>
  <c r="G22" i="224"/>
  <c r="A22" i="224"/>
  <c r="J21" i="224"/>
  <c r="G21" i="224"/>
  <c r="A21" i="224"/>
  <c r="J20" i="224"/>
  <c r="G20" i="224"/>
  <c r="A20" i="224"/>
  <c r="J19" i="224"/>
  <c r="G19" i="224"/>
  <c r="A19" i="224"/>
  <c r="J18" i="224"/>
  <c r="G18" i="224"/>
  <c r="A18" i="224"/>
  <c r="J17" i="224"/>
  <c r="G17" i="224"/>
  <c r="A17" i="224"/>
  <c r="J16" i="224"/>
  <c r="G16" i="224"/>
  <c r="A16" i="224"/>
  <c r="J15" i="224"/>
  <c r="A15" i="224"/>
  <c r="J14" i="224"/>
  <c r="G14" i="224"/>
  <c r="A14" i="224"/>
  <c r="J13" i="224"/>
  <c r="G13" i="224"/>
  <c r="A13" i="224"/>
  <c r="J12" i="224"/>
  <c r="A12" i="224"/>
  <c r="J11" i="224"/>
  <c r="G11" i="224"/>
  <c r="A11" i="224"/>
  <c r="J10" i="224"/>
  <c r="G10" i="224"/>
  <c r="A4" i="224"/>
  <c r="A3" i="224"/>
  <c r="A2" i="224"/>
  <c r="A1" i="224"/>
  <c r="Z122" i="13"/>
  <c r="Y122" i="13"/>
  <c r="X122" i="13"/>
  <c r="W122" i="13"/>
  <c r="V122" i="13"/>
  <c r="U122" i="13"/>
  <c r="T122" i="13"/>
  <c r="S122" i="13"/>
  <c r="R122" i="13"/>
  <c r="Q122" i="13"/>
  <c r="P122" i="13"/>
  <c r="O122" i="13"/>
  <c r="N122" i="13"/>
  <c r="M122" i="13"/>
  <c r="L122" i="13"/>
  <c r="K122" i="13"/>
  <c r="J122" i="13"/>
  <c r="I122" i="13"/>
  <c r="H122" i="13"/>
  <c r="G122" i="13"/>
  <c r="F122" i="13"/>
  <c r="E122" i="13"/>
  <c r="D122" i="13"/>
  <c r="C122" i="13"/>
  <c r="A122" i="13"/>
  <c r="Z121" i="13"/>
  <c r="Y121" i="13"/>
  <c r="X121" i="13"/>
  <c r="W121" i="13"/>
  <c r="V121" i="13"/>
  <c r="U121" i="13"/>
  <c r="T121" i="13"/>
  <c r="S121" i="13"/>
  <c r="R121" i="13"/>
  <c r="Q121" i="13"/>
  <c r="P121" i="13"/>
  <c r="O121" i="13"/>
  <c r="N121" i="13"/>
  <c r="M121" i="13"/>
  <c r="L121" i="13"/>
  <c r="K121" i="13"/>
  <c r="J121" i="13"/>
  <c r="I121" i="13"/>
  <c r="H121" i="13"/>
  <c r="G121" i="13"/>
  <c r="F121" i="13"/>
  <c r="E121" i="13"/>
  <c r="D121" i="13"/>
  <c r="C121" i="13"/>
  <c r="A121" i="13"/>
  <c r="Z120" i="13"/>
  <c r="Y120" i="13"/>
  <c r="X120" i="13"/>
  <c r="W120" i="13"/>
  <c r="V120" i="13"/>
  <c r="U120" i="13"/>
  <c r="T120" i="13"/>
  <c r="S120" i="13"/>
  <c r="R120" i="13"/>
  <c r="Q120" i="13"/>
  <c r="P120" i="13"/>
  <c r="O120" i="13"/>
  <c r="N120" i="13"/>
  <c r="M120" i="13"/>
  <c r="L120" i="13"/>
  <c r="K120" i="13"/>
  <c r="J120" i="13"/>
  <c r="I120" i="13"/>
  <c r="H120" i="13"/>
  <c r="G120" i="13"/>
  <c r="F120" i="13"/>
  <c r="E120" i="13"/>
  <c r="D120" i="13"/>
  <c r="C120" i="13"/>
  <c r="A120"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C119" i="13"/>
  <c r="A119" i="13"/>
  <c r="Z118" i="13"/>
  <c r="Y118" i="13"/>
  <c r="X118" i="13"/>
  <c r="W118" i="13"/>
  <c r="V118" i="13"/>
  <c r="U118" i="13"/>
  <c r="T118" i="13"/>
  <c r="S118" i="13"/>
  <c r="R118" i="13"/>
  <c r="Q118" i="13"/>
  <c r="P118" i="13"/>
  <c r="O118" i="13"/>
  <c r="N118" i="13"/>
  <c r="M118" i="13"/>
  <c r="L118" i="13"/>
  <c r="K118" i="13"/>
  <c r="J118" i="13"/>
  <c r="I118" i="13"/>
  <c r="H118" i="13"/>
  <c r="G118" i="13"/>
  <c r="F118" i="13"/>
  <c r="E118" i="13"/>
  <c r="D118" i="13"/>
  <c r="C118" i="13"/>
  <c r="A118" i="13"/>
  <c r="A117" i="13"/>
  <c r="A116" i="13"/>
  <c r="Z115" i="13"/>
  <c r="Y115" i="13"/>
  <c r="X115" i="13"/>
  <c r="W115" i="13"/>
  <c r="V115" i="13"/>
  <c r="U115" i="13"/>
  <c r="T115" i="13"/>
  <c r="S115" i="13"/>
  <c r="R115" i="13"/>
  <c r="Q115" i="13"/>
  <c r="P115" i="13"/>
  <c r="O115" i="13"/>
  <c r="N115" i="13"/>
  <c r="M115" i="13"/>
  <c r="L115" i="13"/>
  <c r="K115" i="13"/>
  <c r="J115" i="13"/>
  <c r="I115" i="13"/>
  <c r="H115" i="13"/>
  <c r="G115" i="13"/>
  <c r="F115" i="13"/>
  <c r="E115" i="13"/>
  <c r="D115" i="13"/>
  <c r="C115" i="13"/>
  <c r="A115" i="13"/>
  <c r="Z114" i="13"/>
  <c r="Y114" i="13"/>
  <c r="X114" i="13"/>
  <c r="W114" i="13"/>
  <c r="V114" i="13"/>
  <c r="U114" i="13"/>
  <c r="T114" i="13"/>
  <c r="S114" i="13"/>
  <c r="R114" i="13"/>
  <c r="Q114" i="13"/>
  <c r="P114" i="13"/>
  <c r="O114" i="13"/>
  <c r="N114" i="13"/>
  <c r="M114" i="13"/>
  <c r="L114" i="13"/>
  <c r="K114" i="13"/>
  <c r="J114" i="13"/>
  <c r="I114" i="13"/>
  <c r="H114" i="13"/>
  <c r="G114" i="13"/>
  <c r="F114" i="13"/>
  <c r="E114" i="13"/>
  <c r="D114" i="13"/>
  <c r="C114" i="13"/>
  <c r="A114" i="13"/>
  <c r="Z113" i="13"/>
  <c r="Y113" i="13"/>
  <c r="X113" i="13"/>
  <c r="W113" i="13"/>
  <c r="V113" i="13"/>
  <c r="U113" i="13"/>
  <c r="T113" i="13"/>
  <c r="S113" i="13"/>
  <c r="R113" i="13"/>
  <c r="Q113" i="13"/>
  <c r="P113" i="13"/>
  <c r="O113" i="13"/>
  <c r="N113" i="13"/>
  <c r="M113" i="13"/>
  <c r="L113" i="13"/>
  <c r="K113" i="13"/>
  <c r="J113" i="13"/>
  <c r="I113" i="13"/>
  <c r="H113" i="13"/>
  <c r="G113" i="13"/>
  <c r="F113" i="13"/>
  <c r="E113" i="13"/>
  <c r="D113" i="13"/>
  <c r="C113" i="13"/>
  <c r="A113" i="13"/>
  <c r="A112" i="13"/>
  <c r="A111" i="13"/>
  <c r="Z110" i="13"/>
  <c r="Y110" i="13"/>
  <c r="X110" i="13"/>
  <c r="W110" i="13"/>
  <c r="V110" i="13"/>
  <c r="U110" i="13"/>
  <c r="T110" i="13"/>
  <c r="S110" i="13"/>
  <c r="R110" i="13"/>
  <c r="Q110" i="13"/>
  <c r="P110" i="13"/>
  <c r="O110" i="13"/>
  <c r="N110" i="13"/>
  <c r="M110" i="13"/>
  <c r="L110" i="13"/>
  <c r="K110" i="13"/>
  <c r="J110" i="13"/>
  <c r="I110" i="13"/>
  <c r="H110" i="13"/>
  <c r="G110" i="13"/>
  <c r="F110" i="13"/>
  <c r="E110" i="13"/>
  <c r="D110" i="13"/>
  <c r="C110" i="13"/>
  <c r="A110" i="13"/>
  <c r="Z109" i="13"/>
  <c r="Y109" i="13"/>
  <c r="X109" i="13"/>
  <c r="W109" i="13"/>
  <c r="V109" i="13"/>
  <c r="U109" i="13"/>
  <c r="T109" i="13"/>
  <c r="S109" i="13"/>
  <c r="R109" i="13"/>
  <c r="Q109" i="13"/>
  <c r="P109" i="13"/>
  <c r="O109" i="13"/>
  <c r="N109" i="13"/>
  <c r="M109" i="13"/>
  <c r="L109" i="13"/>
  <c r="K109" i="13"/>
  <c r="J109" i="13"/>
  <c r="I109" i="13"/>
  <c r="H109" i="13"/>
  <c r="G109" i="13"/>
  <c r="F109" i="13"/>
  <c r="E109" i="13"/>
  <c r="D109" i="13"/>
  <c r="C109" i="13"/>
  <c r="A109" i="13"/>
  <c r="Z108" i="13"/>
  <c r="Y108" i="13"/>
  <c r="X108" i="13"/>
  <c r="W108" i="13"/>
  <c r="V108" i="13"/>
  <c r="U108" i="13"/>
  <c r="T108" i="13"/>
  <c r="S108" i="13"/>
  <c r="R108" i="13"/>
  <c r="Q108" i="13"/>
  <c r="P108" i="13"/>
  <c r="O108" i="13"/>
  <c r="N108" i="13"/>
  <c r="M108" i="13"/>
  <c r="L108" i="13"/>
  <c r="K108" i="13"/>
  <c r="J108" i="13"/>
  <c r="I108" i="13"/>
  <c r="H108" i="13"/>
  <c r="G108" i="13"/>
  <c r="F108" i="13"/>
  <c r="E108" i="13"/>
  <c r="D108" i="13"/>
  <c r="C108" i="13"/>
  <c r="A108" i="13"/>
  <c r="A107" i="13"/>
  <c r="A106" i="13"/>
  <c r="A105" i="13"/>
  <c r="N104" i="13"/>
  <c r="M104" i="13"/>
  <c r="L104" i="13"/>
  <c r="K104" i="13"/>
  <c r="J104" i="13"/>
  <c r="I104" i="13"/>
  <c r="H104" i="13"/>
  <c r="G104" i="13"/>
  <c r="F104" i="13"/>
  <c r="E104" i="13"/>
  <c r="D104" i="13"/>
  <c r="C104" i="13"/>
  <c r="A104" i="13"/>
  <c r="N103" i="13"/>
  <c r="M103" i="13"/>
  <c r="L103" i="13"/>
  <c r="K103" i="13"/>
  <c r="J103" i="13"/>
  <c r="I103" i="13"/>
  <c r="H103" i="13"/>
  <c r="G103" i="13"/>
  <c r="F103" i="13"/>
  <c r="E103" i="13"/>
  <c r="D103" i="13"/>
  <c r="C103" i="13"/>
  <c r="A103" i="13"/>
  <c r="N102" i="13"/>
  <c r="M102" i="13"/>
  <c r="L102" i="13"/>
  <c r="K102" i="13"/>
  <c r="J102" i="13"/>
  <c r="I102" i="13"/>
  <c r="H102" i="13"/>
  <c r="G102" i="13"/>
  <c r="F102" i="13"/>
  <c r="E102" i="13"/>
  <c r="D102" i="13"/>
  <c r="C102" i="13"/>
  <c r="A102" i="13"/>
  <c r="N101" i="13"/>
  <c r="M101" i="13"/>
  <c r="L101" i="13"/>
  <c r="K101" i="13"/>
  <c r="J101" i="13"/>
  <c r="I101" i="13"/>
  <c r="H101" i="13"/>
  <c r="G101" i="13"/>
  <c r="F101" i="13"/>
  <c r="E101" i="13"/>
  <c r="D101" i="13"/>
  <c r="C101" i="13"/>
  <c r="A101" i="13"/>
  <c r="N100" i="13"/>
  <c r="M100" i="13"/>
  <c r="L100" i="13"/>
  <c r="K100" i="13"/>
  <c r="J100" i="13"/>
  <c r="I100" i="13"/>
  <c r="H100" i="13"/>
  <c r="G100" i="13"/>
  <c r="F100" i="13"/>
  <c r="E100" i="13"/>
  <c r="D100" i="13"/>
  <c r="C100" i="13"/>
  <c r="A100" i="13"/>
  <c r="N99" i="13"/>
  <c r="M99" i="13"/>
  <c r="L99" i="13"/>
  <c r="K99" i="13"/>
  <c r="J99" i="13"/>
  <c r="I99" i="13"/>
  <c r="H99" i="13"/>
  <c r="G99" i="13"/>
  <c r="F99" i="13"/>
  <c r="E99" i="13"/>
  <c r="D99" i="13"/>
  <c r="C99" i="13"/>
  <c r="A99" i="13"/>
  <c r="N98" i="13"/>
  <c r="M98" i="13"/>
  <c r="L98" i="13"/>
  <c r="K98" i="13"/>
  <c r="J98" i="13"/>
  <c r="I98" i="13"/>
  <c r="H98" i="13"/>
  <c r="G98" i="13"/>
  <c r="F98" i="13"/>
  <c r="E98" i="13"/>
  <c r="D98" i="13"/>
  <c r="C98" i="13"/>
  <c r="A98" i="13"/>
  <c r="N97" i="13"/>
  <c r="M97" i="13"/>
  <c r="L97" i="13"/>
  <c r="K97" i="13"/>
  <c r="J97" i="13"/>
  <c r="I97" i="13"/>
  <c r="H97" i="13"/>
  <c r="G97" i="13"/>
  <c r="F97" i="13"/>
  <c r="E97" i="13"/>
  <c r="D97" i="13"/>
  <c r="C97" i="13"/>
  <c r="A97" i="13"/>
  <c r="A96" i="13"/>
  <c r="A95" i="13"/>
  <c r="Z94" i="13"/>
  <c r="Y94" i="13"/>
  <c r="X94" i="13"/>
  <c r="W94" i="13"/>
  <c r="V94" i="13"/>
  <c r="U94" i="13"/>
  <c r="T94" i="13"/>
  <c r="S94" i="13"/>
  <c r="R94" i="13"/>
  <c r="Q94" i="13"/>
  <c r="P94" i="13"/>
  <c r="O94" i="13"/>
  <c r="N94" i="13"/>
  <c r="M94" i="13"/>
  <c r="L94" i="13"/>
  <c r="K94" i="13"/>
  <c r="J94" i="13"/>
  <c r="I94" i="13"/>
  <c r="H94" i="13"/>
  <c r="G94" i="13"/>
  <c r="F94" i="13"/>
  <c r="E94" i="13"/>
  <c r="D94" i="13"/>
  <c r="C94" i="13"/>
  <c r="A94" i="13"/>
  <c r="Z93" i="13"/>
  <c r="Y93" i="13"/>
  <c r="X93" i="13"/>
  <c r="W93" i="13"/>
  <c r="V93" i="13"/>
  <c r="U93" i="13"/>
  <c r="T93" i="13"/>
  <c r="S93" i="13"/>
  <c r="R93" i="13"/>
  <c r="Q93" i="13"/>
  <c r="P93" i="13"/>
  <c r="O93" i="13"/>
  <c r="N93" i="13"/>
  <c r="M93" i="13"/>
  <c r="L93" i="13"/>
  <c r="K93" i="13"/>
  <c r="J93" i="13"/>
  <c r="I93" i="13"/>
  <c r="H93" i="13"/>
  <c r="G93" i="13"/>
  <c r="F93" i="13"/>
  <c r="E93" i="13"/>
  <c r="D93" i="13"/>
  <c r="C93" i="13"/>
  <c r="A93" i="13"/>
  <c r="Z92" i="13"/>
  <c r="Y92" i="13"/>
  <c r="X92" i="13"/>
  <c r="W92" i="13"/>
  <c r="V92" i="13"/>
  <c r="U92" i="13"/>
  <c r="T92" i="13"/>
  <c r="S92" i="13"/>
  <c r="R92" i="13"/>
  <c r="Q92" i="13"/>
  <c r="P92" i="13"/>
  <c r="O92" i="13"/>
  <c r="N92" i="13"/>
  <c r="M92" i="13"/>
  <c r="L92" i="13"/>
  <c r="K92" i="13"/>
  <c r="J92" i="13"/>
  <c r="I92" i="13"/>
  <c r="H92" i="13"/>
  <c r="G92" i="13"/>
  <c r="F92" i="13"/>
  <c r="E92" i="13"/>
  <c r="D92" i="13"/>
  <c r="C92" i="13"/>
  <c r="A92" i="13"/>
  <c r="Z91" i="13"/>
  <c r="Y91" i="13"/>
  <c r="X91" i="13"/>
  <c r="W91" i="13"/>
  <c r="V91" i="13"/>
  <c r="U91" i="13"/>
  <c r="T91" i="13"/>
  <c r="S91" i="13"/>
  <c r="R91" i="13"/>
  <c r="Q91" i="13"/>
  <c r="P91" i="13"/>
  <c r="O91" i="13"/>
  <c r="N91" i="13"/>
  <c r="M91" i="13"/>
  <c r="L91" i="13"/>
  <c r="K91" i="13"/>
  <c r="J91" i="13"/>
  <c r="I91" i="13"/>
  <c r="H91" i="13"/>
  <c r="G91" i="13"/>
  <c r="F91" i="13"/>
  <c r="E91" i="13"/>
  <c r="D91" i="13"/>
  <c r="C91" i="13"/>
  <c r="A91" i="13"/>
  <c r="Z90" i="13"/>
  <c r="Y90" i="13"/>
  <c r="X90" i="13"/>
  <c r="W90" i="13"/>
  <c r="V90" i="13"/>
  <c r="U90" i="13"/>
  <c r="T90" i="13"/>
  <c r="S90" i="13"/>
  <c r="R90" i="13"/>
  <c r="Q90" i="13"/>
  <c r="P90" i="13"/>
  <c r="O90" i="13"/>
  <c r="N90" i="13"/>
  <c r="M90" i="13"/>
  <c r="L90" i="13"/>
  <c r="K90" i="13"/>
  <c r="J90" i="13"/>
  <c r="I90" i="13"/>
  <c r="H90" i="13"/>
  <c r="G90" i="13"/>
  <c r="F90" i="13"/>
  <c r="E90" i="13"/>
  <c r="D90" i="13"/>
  <c r="C90" i="13"/>
  <c r="A90" i="13"/>
  <c r="A89" i="13"/>
  <c r="A88" i="13"/>
  <c r="Z87" i="13"/>
  <c r="Y87" i="13"/>
  <c r="X87" i="13"/>
  <c r="W87" i="13"/>
  <c r="V87" i="13"/>
  <c r="U87" i="13"/>
  <c r="T87" i="13"/>
  <c r="S87" i="13"/>
  <c r="R87" i="13"/>
  <c r="Q87" i="13"/>
  <c r="P87" i="13"/>
  <c r="O87" i="13"/>
  <c r="N87" i="13"/>
  <c r="M87" i="13"/>
  <c r="L87" i="13"/>
  <c r="K87" i="13"/>
  <c r="J87" i="13"/>
  <c r="I87" i="13"/>
  <c r="H87" i="13"/>
  <c r="G87" i="13"/>
  <c r="F87" i="13"/>
  <c r="E87" i="13"/>
  <c r="D87" i="13"/>
  <c r="C87" i="13"/>
  <c r="A87" i="13"/>
  <c r="Z86" i="13"/>
  <c r="Y86" i="13"/>
  <c r="X86" i="13"/>
  <c r="W86" i="13"/>
  <c r="V86" i="13"/>
  <c r="U86" i="13"/>
  <c r="T86" i="13"/>
  <c r="S86" i="13"/>
  <c r="R86" i="13"/>
  <c r="Q86" i="13"/>
  <c r="P86" i="13"/>
  <c r="O86" i="13"/>
  <c r="N86" i="13"/>
  <c r="M86" i="13"/>
  <c r="L86" i="13"/>
  <c r="K86" i="13"/>
  <c r="J86" i="13"/>
  <c r="I86" i="13"/>
  <c r="H86" i="13"/>
  <c r="G86" i="13"/>
  <c r="F86" i="13"/>
  <c r="E86" i="13"/>
  <c r="D86" i="13"/>
  <c r="C86" i="13"/>
  <c r="A86" i="13"/>
  <c r="Z85" i="13"/>
  <c r="Y85" i="13"/>
  <c r="X85" i="13"/>
  <c r="W85" i="13"/>
  <c r="V85" i="13"/>
  <c r="U85" i="13"/>
  <c r="T85" i="13"/>
  <c r="S85" i="13"/>
  <c r="R85" i="13"/>
  <c r="Q85" i="13"/>
  <c r="P85" i="13"/>
  <c r="O85" i="13"/>
  <c r="N85" i="13"/>
  <c r="M85" i="13"/>
  <c r="L85" i="13"/>
  <c r="K85" i="13"/>
  <c r="J85" i="13"/>
  <c r="I85" i="13"/>
  <c r="H85" i="13"/>
  <c r="G85" i="13"/>
  <c r="F85" i="13"/>
  <c r="E85" i="13"/>
  <c r="D85" i="13"/>
  <c r="C85" i="13"/>
  <c r="A85" i="13"/>
  <c r="Z84" i="13"/>
  <c r="Y84" i="13"/>
  <c r="X84" i="13"/>
  <c r="W84" i="13"/>
  <c r="V84" i="13"/>
  <c r="U84" i="13"/>
  <c r="T84" i="13"/>
  <c r="S84" i="13"/>
  <c r="R84" i="13"/>
  <c r="Q84" i="13"/>
  <c r="P84" i="13"/>
  <c r="O84" i="13"/>
  <c r="N84" i="13"/>
  <c r="M84" i="13"/>
  <c r="L84" i="13"/>
  <c r="K84" i="13"/>
  <c r="J84" i="13"/>
  <c r="I84" i="13"/>
  <c r="H84" i="13"/>
  <c r="G84" i="13"/>
  <c r="F84" i="13"/>
  <c r="E84" i="13"/>
  <c r="D84" i="13"/>
  <c r="C84" i="13"/>
  <c r="A84" i="13"/>
  <c r="Z83" i="13"/>
  <c r="Y83" i="13"/>
  <c r="X83" i="13"/>
  <c r="W83" i="13"/>
  <c r="V83" i="13"/>
  <c r="U83" i="13"/>
  <c r="T83" i="13"/>
  <c r="S83" i="13"/>
  <c r="R83" i="13"/>
  <c r="Q83" i="13"/>
  <c r="P83" i="13"/>
  <c r="O83" i="13"/>
  <c r="N83" i="13"/>
  <c r="M83" i="13"/>
  <c r="L83" i="13"/>
  <c r="K83" i="13"/>
  <c r="J83" i="13"/>
  <c r="I83" i="13"/>
  <c r="H83" i="13"/>
  <c r="G83" i="13"/>
  <c r="F83" i="13"/>
  <c r="E83" i="13"/>
  <c r="D83" i="13"/>
  <c r="C83" i="13"/>
  <c r="A83" i="13"/>
  <c r="A82" i="13"/>
  <c r="A81" i="13"/>
  <c r="Z80" i="13"/>
  <c r="Y80" i="13"/>
  <c r="X80" i="13"/>
  <c r="W80" i="13"/>
  <c r="V80" i="13"/>
  <c r="U80" i="13"/>
  <c r="T80" i="13"/>
  <c r="S80" i="13"/>
  <c r="R80" i="13"/>
  <c r="Q80" i="13"/>
  <c r="P80" i="13"/>
  <c r="O80" i="13"/>
  <c r="N80" i="13"/>
  <c r="M80" i="13"/>
  <c r="L80" i="13"/>
  <c r="K80" i="13"/>
  <c r="J80" i="13"/>
  <c r="I80" i="13"/>
  <c r="H80" i="13"/>
  <c r="G80" i="13"/>
  <c r="F80" i="13"/>
  <c r="E80" i="13"/>
  <c r="D80" i="13"/>
  <c r="C80" i="13"/>
  <c r="A80" i="13"/>
  <c r="Z79" i="13"/>
  <c r="Y79" i="13"/>
  <c r="X79" i="13"/>
  <c r="W79" i="13"/>
  <c r="V79" i="13"/>
  <c r="U79" i="13"/>
  <c r="T79" i="13"/>
  <c r="S79" i="13"/>
  <c r="R79" i="13"/>
  <c r="Q79" i="13"/>
  <c r="P79" i="13"/>
  <c r="O79" i="13"/>
  <c r="N79" i="13"/>
  <c r="M79" i="13"/>
  <c r="L79" i="13"/>
  <c r="K79" i="13"/>
  <c r="J79" i="13"/>
  <c r="I79" i="13"/>
  <c r="H79" i="13"/>
  <c r="G79" i="13"/>
  <c r="F79" i="13"/>
  <c r="E79" i="13"/>
  <c r="D79" i="13"/>
  <c r="C79" i="13"/>
  <c r="A79" i="13"/>
  <c r="Z78" i="13"/>
  <c r="Y78" i="13"/>
  <c r="X78" i="13"/>
  <c r="W78" i="13"/>
  <c r="V78" i="13"/>
  <c r="U78" i="13"/>
  <c r="T78" i="13"/>
  <c r="S78" i="13"/>
  <c r="R78" i="13"/>
  <c r="Q78" i="13"/>
  <c r="P78" i="13"/>
  <c r="O78" i="13"/>
  <c r="N78" i="13"/>
  <c r="M78" i="13"/>
  <c r="L78" i="13"/>
  <c r="K78" i="13"/>
  <c r="J78" i="13"/>
  <c r="I78" i="13"/>
  <c r="H78" i="13"/>
  <c r="G78" i="13"/>
  <c r="F78" i="13"/>
  <c r="E78" i="13"/>
  <c r="D78" i="13"/>
  <c r="C78" i="13"/>
  <c r="A78" i="13"/>
  <c r="A77" i="13"/>
  <c r="A76" i="13"/>
  <c r="A75" i="13"/>
  <c r="A74" i="13"/>
  <c r="A73" i="13"/>
  <c r="A72" i="13"/>
  <c r="A71" i="13"/>
  <c r="A70" i="13"/>
  <c r="C69" i="13"/>
  <c r="A69" i="13"/>
  <c r="C68" i="13"/>
  <c r="A68" i="13"/>
  <c r="E67" i="13"/>
  <c r="A67" i="13"/>
  <c r="E66" i="13"/>
  <c r="C66" i="13"/>
  <c r="A66" i="13"/>
  <c r="A65" i="13"/>
  <c r="C64" i="13"/>
  <c r="A64" i="13"/>
  <c r="C63" i="13"/>
  <c r="A63" i="13"/>
  <c r="A62" i="13"/>
  <c r="C61" i="13"/>
  <c r="A61" i="13"/>
  <c r="C60" i="13"/>
  <c r="A60" i="13"/>
  <c r="C59" i="13"/>
  <c r="A59" i="13"/>
  <c r="A58" i="13"/>
  <c r="C57" i="13"/>
  <c r="A57" i="13"/>
  <c r="A56" i="13"/>
  <c r="C55" i="13"/>
  <c r="A55" i="13"/>
  <c r="A54" i="13"/>
  <c r="C53" i="13"/>
  <c r="A53" i="13"/>
  <c r="A52" i="13"/>
  <c r="A51" i="13"/>
  <c r="C50" i="13"/>
  <c r="A50" i="13"/>
  <c r="A49" i="13"/>
  <c r="C48" i="13"/>
  <c r="A48" i="13"/>
  <c r="C47" i="13"/>
  <c r="A47" i="13"/>
  <c r="C46" i="13"/>
  <c r="A46" i="13"/>
  <c r="C45" i="13"/>
  <c r="A45" i="13"/>
  <c r="A44" i="13"/>
  <c r="C43" i="13"/>
  <c r="A43" i="13"/>
  <c r="C42" i="13"/>
  <c r="A42" i="13"/>
  <c r="C41" i="13"/>
  <c r="A41" i="13"/>
  <c r="A40" i="13"/>
  <c r="C39" i="13"/>
  <c r="A39" i="13"/>
  <c r="C38" i="13"/>
  <c r="A38" i="13"/>
  <c r="E37" i="13"/>
  <c r="A37" i="13"/>
  <c r="E36" i="13"/>
  <c r="C36" i="13"/>
  <c r="A36" i="13"/>
  <c r="A35" i="13"/>
  <c r="C34" i="13"/>
  <c r="A34" i="13"/>
  <c r="C33" i="13"/>
  <c r="A33" i="13"/>
  <c r="A32" i="13"/>
  <c r="C31" i="13"/>
  <c r="A31" i="13"/>
  <c r="C30" i="13"/>
  <c r="A30" i="13"/>
  <c r="C29" i="13"/>
  <c r="A29" i="13"/>
  <c r="A28" i="13"/>
  <c r="C27" i="13"/>
  <c r="A27" i="13"/>
  <c r="A26" i="13"/>
  <c r="C25" i="13"/>
  <c r="A25" i="13"/>
  <c r="A24" i="13"/>
  <c r="C23" i="13"/>
  <c r="A23" i="13"/>
  <c r="A22" i="13"/>
  <c r="A21" i="13"/>
  <c r="C20" i="13"/>
  <c r="A20" i="13"/>
  <c r="A19" i="13"/>
  <c r="C18" i="13"/>
  <c r="A18" i="13"/>
  <c r="C17" i="13"/>
  <c r="A17" i="13"/>
  <c r="C16" i="13"/>
  <c r="A16" i="13"/>
  <c r="C15" i="13"/>
  <c r="A15" i="13"/>
  <c r="A14" i="13"/>
  <c r="C13" i="13"/>
  <c r="A13" i="13"/>
  <c r="C12" i="13"/>
  <c r="A12" i="13"/>
  <c r="C11" i="13"/>
  <c r="A11" i="13"/>
  <c r="A4" i="13"/>
  <c r="A3" i="13"/>
  <c r="A2" i="13"/>
  <c r="A1" i="13"/>
  <c r="AC209" i="58"/>
  <c r="AA209" i="58"/>
  <c r="Y209" i="58"/>
  <c r="W209" i="58"/>
  <c r="U209" i="58"/>
  <c r="S209" i="58"/>
  <c r="Q209" i="58"/>
  <c r="O209" i="58"/>
  <c r="M209" i="58"/>
  <c r="K209" i="58"/>
  <c r="I209" i="58"/>
  <c r="G209" i="58"/>
  <c r="E209" i="58"/>
  <c r="AD207" i="58"/>
  <c r="AC207" i="58"/>
  <c r="AB207" i="58"/>
  <c r="AA207" i="58"/>
  <c r="Z207" i="58"/>
  <c r="Y207" i="58"/>
  <c r="X207" i="58"/>
  <c r="W207" i="58"/>
  <c r="V207" i="58"/>
  <c r="U207" i="58"/>
  <c r="T207" i="58"/>
  <c r="S207" i="58"/>
  <c r="R207" i="58"/>
  <c r="Q207" i="58"/>
  <c r="P207" i="58"/>
  <c r="O207" i="58"/>
  <c r="N207" i="58"/>
  <c r="M207" i="58"/>
  <c r="L207" i="58"/>
  <c r="K207" i="58"/>
  <c r="J207" i="58"/>
  <c r="I207" i="58"/>
  <c r="H207" i="58"/>
  <c r="G207" i="58"/>
  <c r="F207" i="58"/>
  <c r="E207" i="58"/>
  <c r="AD206" i="58"/>
  <c r="AC206" i="58"/>
  <c r="AB206" i="58"/>
  <c r="AA206" i="58"/>
  <c r="Z206" i="58"/>
  <c r="Y206" i="58"/>
  <c r="X206" i="58"/>
  <c r="W206" i="58"/>
  <c r="V206" i="58"/>
  <c r="U206" i="58"/>
  <c r="T206" i="58"/>
  <c r="S206" i="58"/>
  <c r="R206" i="58"/>
  <c r="Q206" i="58"/>
  <c r="P206" i="58"/>
  <c r="O206" i="58"/>
  <c r="N206" i="58"/>
  <c r="M206" i="58"/>
  <c r="L206" i="58"/>
  <c r="K206" i="58"/>
  <c r="J206" i="58"/>
  <c r="I206" i="58"/>
  <c r="H206" i="58"/>
  <c r="G206" i="58"/>
  <c r="F206" i="58"/>
  <c r="E206" i="58"/>
  <c r="AE205" i="58"/>
  <c r="AC205" i="58"/>
  <c r="AA205" i="58"/>
  <c r="Y205" i="58"/>
  <c r="W205" i="58"/>
  <c r="U205" i="58"/>
  <c r="S205" i="58"/>
  <c r="Q205" i="58"/>
  <c r="O205" i="58"/>
  <c r="M205" i="58"/>
  <c r="K205" i="58"/>
  <c r="I205" i="58"/>
  <c r="G205" i="58"/>
  <c r="E205" i="58"/>
  <c r="AD204" i="58"/>
  <c r="AC204" i="58"/>
  <c r="AB204" i="58"/>
  <c r="AA204" i="58"/>
  <c r="Z204" i="58"/>
  <c r="Y204" i="58"/>
  <c r="X204" i="58"/>
  <c r="W204" i="58"/>
  <c r="V204" i="58"/>
  <c r="U204" i="58"/>
  <c r="T204" i="58"/>
  <c r="S204" i="58"/>
  <c r="R204" i="58"/>
  <c r="Q204" i="58"/>
  <c r="P204" i="58"/>
  <c r="O204" i="58"/>
  <c r="N204" i="58"/>
  <c r="M204" i="58"/>
  <c r="L204" i="58"/>
  <c r="K204" i="58"/>
  <c r="J204" i="58"/>
  <c r="I204" i="58"/>
  <c r="H204" i="58"/>
  <c r="G204" i="58"/>
  <c r="F204" i="58"/>
  <c r="E204" i="58"/>
  <c r="AC203" i="58"/>
  <c r="AA203" i="58"/>
  <c r="Y203" i="58"/>
  <c r="W203" i="58"/>
  <c r="U203" i="58"/>
  <c r="S203" i="58"/>
  <c r="Q203" i="58"/>
  <c r="O203" i="58"/>
  <c r="M203" i="58"/>
  <c r="K203" i="58"/>
  <c r="I203" i="58"/>
  <c r="G203" i="58"/>
  <c r="E203" i="58"/>
  <c r="AC202" i="58"/>
  <c r="AA202" i="58"/>
  <c r="Y202" i="58"/>
  <c r="W202" i="58"/>
  <c r="U202" i="58"/>
  <c r="S202" i="58"/>
  <c r="Q202" i="58"/>
  <c r="O202" i="58"/>
  <c r="M202" i="58"/>
  <c r="K202" i="58"/>
  <c r="I202" i="58"/>
  <c r="G202" i="58"/>
  <c r="E202" i="58"/>
  <c r="AC201" i="58"/>
  <c r="AA201" i="58"/>
  <c r="Y201" i="58"/>
  <c r="W201" i="58"/>
  <c r="U201" i="58"/>
  <c r="S201" i="58"/>
  <c r="Q201" i="58"/>
  <c r="O201" i="58"/>
  <c r="M201" i="58"/>
  <c r="K201" i="58"/>
  <c r="I201" i="58"/>
  <c r="G201" i="58"/>
  <c r="E201" i="58"/>
  <c r="AD200" i="58"/>
  <c r="AC200" i="58"/>
  <c r="AB200" i="58"/>
  <c r="AA200" i="58"/>
  <c r="Y200" i="58"/>
  <c r="W200" i="58"/>
  <c r="U200" i="58"/>
  <c r="S200" i="58"/>
  <c r="Q200" i="58"/>
  <c r="O200" i="58"/>
  <c r="M200" i="58"/>
  <c r="K200" i="58"/>
  <c r="I200" i="58"/>
  <c r="G200" i="58"/>
  <c r="E200" i="58"/>
  <c r="AC199" i="58"/>
  <c r="AA199" i="58"/>
  <c r="Y199" i="58"/>
  <c r="W199" i="58"/>
  <c r="U199" i="58"/>
  <c r="S199" i="58"/>
  <c r="Q199" i="58"/>
  <c r="O199" i="58"/>
  <c r="M199" i="58"/>
  <c r="K199" i="58"/>
  <c r="I199" i="58"/>
  <c r="G199" i="58"/>
  <c r="E199" i="58"/>
  <c r="AE198" i="58"/>
  <c r="AE197" i="58"/>
  <c r="AC197" i="58"/>
  <c r="AA197" i="58"/>
  <c r="Y197" i="58"/>
  <c r="W197" i="58"/>
  <c r="U197" i="58"/>
  <c r="S197" i="58"/>
  <c r="Q197" i="58"/>
  <c r="O197" i="58"/>
  <c r="M197" i="58"/>
  <c r="K197" i="58"/>
  <c r="I197" i="58"/>
  <c r="G197" i="58"/>
  <c r="E197" i="58"/>
  <c r="AE196" i="58"/>
  <c r="AE194" i="58"/>
  <c r="AC194" i="58"/>
  <c r="AA194" i="58"/>
  <c r="Y194" i="58"/>
  <c r="W194" i="58"/>
  <c r="U194" i="58"/>
  <c r="S194" i="58"/>
  <c r="Q194" i="58"/>
  <c r="O194" i="58"/>
  <c r="M194" i="58"/>
  <c r="K194" i="58"/>
  <c r="I194" i="58"/>
  <c r="G194" i="58"/>
  <c r="E194" i="58"/>
  <c r="AC190" i="58"/>
  <c r="AA190" i="58"/>
  <c r="Y190" i="58"/>
  <c r="W190" i="58"/>
  <c r="U190" i="58"/>
  <c r="S190" i="58"/>
  <c r="Q190" i="58"/>
  <c r="O190" i="58"/>
  <c r="M190" i="58"/>
  <c r="K190" i="58"/>
  <c r="I190" i="58"/>
  <c r="G190" i="58"/>
  <c r="E190" i="58"/>
  <c r="AE188" i="58"/>
  <c r="AC188" i="58"/>
  <c r="AA188" i="58"/>
  <c r="Y188" i="58"/>
  <c r="W188" i="58"/>
  <c r="U188" i="58"/>
  <c r="S188" i="58"/>
  <c r="Q188" i="58"/>
  <c r="O188" i="58"/>
  <c r="M188" i="58"/>
  <c r="K188" i="58"/>
  <c r="I188" i="58"/>
  <c r="G188" i="58"/>
  <c r="E188" i="58"/>
  <c r="AC184" i="58"/>
  <c r="AA184" i="58"/>
  <c r="Y184" i="58"/>
  <c r="W184" i="58"/>
  <c r="U184" i="58"/>
  <c r="S184" i="58"/>
  <c r="Q184" i="58"/>
  <c r="O184" i="58"/>
  <c r="M184" i="58"/>
  <c r="K184" i="58"/>
  <c r="I184" i="58"/>
  <c r="G184" i="58"/>
  <c r="E184" i="58"/>
  <c r="AE178" i="58"/>
  <c r="AD178" i="58"/>
  <c r="AC178" i="58"/>
  <c r="AB178" i="58"/>
  <c r="AA178" i="58"/>
  <c r="Z178" i="58"/>
  <c r="Y178" i="58"/>
  <c r="X178" i="58"/>
  <c r="W178" i="58"/>
  <c r="V178" i="58"/>
  <c r="U178" i="58"/>
  <c r="T178" i="58"/>
  <c r="S178" i="58"/>
  <c r="R178" i="58"/>
  <c r="Q178" i="58"/>
  <c r="P178" i="58"/>
  <c r="O178" i="58"/>
  <c r="N178" i="58"/>
  <c r="M178" i="58"/>
  <c r="L178" i="58"/>
  <c r="K178" i="58"/>
  <c r="J178" i="58"/>
  <c r="I178" i="58"/>
  <c r="H178" i="58"/>
  <c r="G178" i="58"/>
  <c r="F178" i="58"/>
  <c r="E178" i="58"/>
  <c r="D178" i="58"/>
  <c r="AE176" i="58"/>
  <c r="AD176" i="58"/>
  <c r="AC176" i="58"/>
  <c r="AB176" i="58"/>
  <c r="AA176" i="58"/>
  <c r="Z176" i="58"/>
  <c r="Y176" i="58"/>
  <c r="X176" i="58"/>
  <c r="W176" i="58"/>
  <c r="V176" i="58"/>
  <c r="U176" i="58"/>
  <c r="T176" i="58"/>
  <c r="S176" i="58"/>
  <c r="R176" i="58"/>
  <c r="Q176" i="58"/>
  <c r="P176" i="58"/>
  <c r="O176" i="58"/>
  <c r="N176" i="58"/>
  <c r="M176" i="58"/>
  <c r="L176" i="58"/>
  <c r="K176" i="58"/>
  <c r="J176" i="58"/>
  <c r="I176" i="58"/>
  <c r="H176" i="58"/>
  <c r="G176" i="58"/>
  <c r="F176" i="58"/>
  <c r="E176" i="58"/>
  <c r="D176" i="58"/>
  <c r="AE175" i="58"/>
  <c r="AD175" i="58"/>
  <c r="AE174" i="58"/>
  <c r="AD174" i="58"/>
  <c r="AE173" i="58"/>
  <c r="AD173" i="58"/>
  <c r="AE171" i="58"/>
  <c r="AD171" i="58"/>
  <c r="AC171" i="58"/>
  <c r="AB171" i="58"/>
  <c r="AA171" i="58"/>
  <c r="Z171" i="58"/>
  <c r="Y171" i="58"/>
  <c r="X171" i="58"/>
  <c r="W171" i="58"/>
  <c r="V171" i="58"/>
  <c r="U171" i="58"/>
  <c r="T171" i="58"/>
  <c r="S171" i="58"/>
  <c r="R171" i="58"/>
  <c r="Q171" i="58"/>
  <c r="P171" i="58"/>
  <c r="O171" i="58"/>
  <c r="N171" i="58"/>
  <c r="M171" i="58"/>
  <c r="L171" i="58"/>
  <c r="K171" i="58"/>
  <c r="J171" i="58"/>
  <c r="I171" i="58"/>
  <c r="H171" i="58"/>
  <c r="G171" i="58"/>
  <c r="F171" i="58"/>
  <c r="E171" i="58"/>
  <c r="D171" i="58"/>
  <c r="AE170" i="58"/>
  <c r="AD170" i="58"/>
  <c r="AE169" i="58"/>
  <c r="AD169" i="58"/>
  <c r="AE168" i="58"/>
  <c r="AD168" i="58"/>
  <c r="AE167" i="58"/>
  <c r="AD167" i="58"/>
  <c r="AE166" i="58"/>
  <c r="AD166" i="58"/>
  <c r="AE165" i="58"/>
  <c r="AD165" i="58"/>
  <c r="AE164" i="58"/>
  <c r="AD164" i="58"/>
  <c r="AE163" i="58"/>
  <c r="AD163" i="58"/>
  <c r="AE162" i="58"/>
  <c r="AD162" i="58"/>
  <c r="AE161" i="58"/>
  <c r="AD161" i="58"/>
  <c r="AE160" i="58"/>
  <c r="AD160" i="58"/>
  <c r="AE159" i="58"/>
  <c r="AD159" i="58"/>
  <c r="AE158" i="58"/>
  <c r="AD158" i="58"/>
  <c r="AE157" i="58"/>
  <c r="AD157" i="58"/>
  <c r="AE156" i="58"/>
  <c r="AD156" i="58"/>
  <c r="AE155" i="58"/>
  <c r="AD155" i="58"/>
  <c r="AE154" i="58"/>
  <c r="AD154" i="58"/>
  <c r="AE153" i="58"/>
  <c r="AD153" i="58"/>
  <c r="AE152" i="58"/>
  <c r="AD152" i="58"/>
  <c r="AE151" i="58"/>
  <c r="AD151" i="58"/>
  <c r="AE150" i="58"/>
  <c r="AD150" i="58"/>
  <c r="AE149" i="58"/>
  <c r="AD149" i="58"/>
  <c r="AE148" i="58"/>
  <c r="AD148" i="58"/>
  <c r="AE147" i="58"/>
  <c r="AD147" i="58"/>
  <c r="AE146" i="58"/>
  <c r="AD146" i="58"/>
  <c r="AE145" i="58"/>
  <c r="AD145" i="58"/>
  <c r="AE144" i="58"/>
  <c r="AD144" i="58"/>
  <c r="AE143" i="58"/>
  <c r="AD143" i="58"/>
  <c r="AE142" i="58"/>
  <c r="AD142" i="58"/>
  <c r="AE141" i="58"/>
  <c r="AD141" i="58"/>
  <c r="AE140" i="58"/>
  <c r="AD140" i="58"/>
  <c r="AE139" i="58"/>
  <c r="AD139" i="58"/>
  <c r="AE138" i="58"/>
  <c r="AD138" i="58"/>
  <c r="AE137" i="58"/>
  <c r="AD137" i="58"/>
  <c r="AE136" i="58"/>
  <c r="AD136" i="58"/>
  <c r="AE135" i="58"/>
  <c r="AD135" i="58"/>
  <c r="AE134" i="58"/>
  <c r="AD134" i="58"/>
  <c r="AE133" i="58"/>
  <c r="AD133" i="58"/>
  <c r="AE132" i="58"/>
  <c r="AD132" i="58"/>
  <c r="AE131" i="58"/>
  <c r="AD131" i="58"/>
  <c r="AE130" i="58"/>
  <c r="AD130" i="58"/>
  <c r="AE129" i="58"/>
  <c r="AD129" i="58"/>
  <c r="AE128" i="58"/>
  <c r="AD128" i="58"/>
  <c r="AE127" i="58"/>
  <c r="AD127" i="58"/>
  <c r="AE126" i="58"/>
  <c r="AD126" i="58"/>
  <c r="AE125" i="58"/>
  <c r="AD125" i="58"/>
  <c r="AE124" i="58"/>
  <c r="AD124" i="58"/>
  <c r="AE123" i="58"/>
  <c r="AD123" i="58"/>
  <c r="AE122" i="58"/>
  <c r="AD122" i="58"/>
  <c r="AE121" i="58"/>
  <c r="AD121" i="58"/>
  <c r="AE120" i="58"/>
  <c r="AD120" i="58"/>
  <c r="AE119" i="58"/>
  <c r="AD119" i="58"/>
  <c r="AE118" i="58"/>
  <c r="AD118" i="58"/>
  <c r="AE117" i="58"/>
  <c r="AD117" i="58"/>
  <c r="AE116" i="58"/>
  <c r="AD116" i="58"/>
  <c r="AE115" i="58"/>
  <c r="AD115" i="58"/>
  <c r="AE114" i="58"/>
  <c r="AD114" i="58"/>
  <c r="AE113" i="58"/>
  <c r="AD113" i="58"/>
  <c r="AE112" i="58"/>
  <c r="AD112" i="58"/>
  <c r="AE111" i="58"/>
  <c r="AD111" i="58"/>
  <c r="AE110" i="58"/>
  <c r="AD110" i="58"/>
  <c r="AE109" i="58"/>
  <c r="AD109" i="58"/>
  <c r="AE108" i="58"/>
  <c r="AD108" i="58"/>
  <c r="AE107" i="58"/>
  <c r="AD107" i="58"/>
  <c r="AE106" i="58"/>
  <c r="AD106" i="58"/>
  <c r="AE105" i="58"/>
  <c r="AD105" i="58"/>
  <c r="AE104" i="58"/>
  <c r="AD104" i="58"/>
  <c r="AE103" i="58"/>
  <c r="AD103" i="58"/>
  <c r="AE102" i="58"/>
  <c r="AD102" i="58"/>
  <c r="AE101" i="58"/>
  <c r="AD101" i="58"/>
  <c r="AE100" i="58"/>
  <c r="AD100" i="58"/>
  <c r="AE99" i="58"/>
  <c r="AD99" i="58"/>
  <c r="AE98" i="58"/>
  <c r="AD98" i="58"/>
  <c r="AE96" i="58"/>
  <c r="AD96" i="58"/>
  <c r="AC96" i="58"/>
  <c r="AB96" i="58"/>
  <c r="AA96" i="58"/>
  <c r="Z96" i="58"/>
  <c r="Y96" i="58"/>
  <c r="X96" i="58"/>
  <c r="W96" i="58"/>
  <c r="V96" i="58"/>
  <c r="U96" i="58"/>
  <c r="T96" i="58"/>
  <c r="S96" i="58"/>
  <c r="R96" i="58"/>
  <c r="Q96" i="58"/>
  <c r="P96" i="58"/>
  <c r="O96" i="58"/>
  <c r="N96" i="58"/>
  <c r="M96" i="58"/>
  <c r="L96" i="58"/>
  <c r="K96" i="58"/>
  <c r="J96" i="58"/>
  <c r="I96" i="58"/>
  <c r="H96" i="58"/>
  <c r="G96" i="58"/>
  <c r="F96" i="58"/>
  <c r="E96" i="58"/>
  <c r="D96" i="58"/>
  <c r="AE95" i="58"/>
  <c r="AD95" i="58"/>
  <c r="AE94" i="58"/>
  <c r="AD94" i="58"/>
  <c r="AE93" i="58"/>
  <c r="AD93" i="58"/>
  <c r="AE92" i="58"/>
  <c r="AD92" i="58"/>
  <c r="AE91" i="58"/>
  <c r="AD91" i="58"/>
  <c r="AE90" i="58"/>
  <c r="AD90" i="58"/>
  <c r="AE89" i="58"/>
  <c r="AD89" i="58"/>
  <c r="AE88" i="58"/>
  <c r="AD88" i="58"/>
  <c r="AE87" i="58"/>
  <c r="AD87" i="58"/>
  <c r="AE86" i="58"/>
  <c r="AD86" i="58"/>
  <c r="AE85" i="58"/>
  <c r="AD85" i="58"/>
  <c r="AE84" i="58"/>
  <c r="AD84" i="58"/>
  <c r="AE83" i="58"/>
  <c r="AD83" i="58"/>
  <c r="AE82" i="58"/>
  <c r="AD82" i="58"/>
  <c r="AE81" i="58"/>
  <c r="AD81" i="58"/>
  <c r="AE80" i="58"/>
  <c r="AD80" i="58"/>
  <c r="AE79" i="58"/>
  <c r="AD79" i="58"/>
  <c r="AE78" i="58"/>
  <c r="AD78" i="58"/>
  <c r="AE77" i="58"/>
  <c r="AD77" i="58"/>
  <c r="AE76" i="58"/>
  <c r="AD76" i="58"/>
  <c r="AE75" i="58"/>
  <c r="AD75" i="58"/>
  <c r="AE74" i="58"/>
  <c r="AD74" i="58"/>
  <c r="AE73" i="58"/>
  <c r="AD73" i="58"/>
  <c r="AE72" i="58"/>
  <c r="AD72" i="58"/>
  <c r="AE71" i="58"/>
  <c r="AD71" i="58"/>
  <c r="AE70" i="58"/>
  <c r="AD70" i="58"/>
  <c r="AE69" i="58"/>
  <c r="AD69" i="58"/>
  <c r="AE68" i="58"/>
  <c r="AD68" i="58"/>
  <c r="AE67" i="58"/>
  <c r="AD67" i="58"/>
  <c r="AE66" i="58"/>
  <c r="AD66" i="58"/>
  <c r="AE65" i="58"/>
  <c r="AD65" i="58"/>
  <c r="AE64" i="58"/>
  <c r="AD64" i="58"/>
  <c r="AE63" i="58"/>
  <c r="AD63" i="58"/>
  <c r="AE62" i="58"/>
  <c r="AD62" i="58"/>
  <c r="AE61" i="58"/>
  <c r="AD61" i="58"/>
  <c r="AE60" i="58"/>
  <c r="AD60" i="58"/>
  <c r="AE59" i="58"/>
  <c r="AD59" i="58"/>
  <c r="AE58" i="58"/>
  <c r="AD58" i="58"/>
  <c r="AE57" i="58"/>
  <c r="AD57" i="58"/>
  <c r="AE56" i="58"/>
  <c r="AD56" i="58"/>
  <c r="AE55" i="58"/>
  <c r="AD55" i="58"/>
  <c r="AE54" i="58"/>
  <c r="AD54" i="58"/>
  <c r="AE53" i="58"/>
  <c r="AD53" i="58"/>
  <c r="AE52" i="58"/>
  <c r="AD52" i="58"/>
  <c r="AE50" i="58"/>
  <c r="AD50" i="58"/>
  <c r="AC50" i="58"/>
  <c r="AB50" i="58"/>
  <c r="AA50" i="58"/>
  <c r="Z50" i="58"/>
  <c r="Y50" i="58"/>
  <c r="X50" i="58"/>
  <c r="W50" i="58"/>
  <c r="V50" i="58"/>
  <c r="U50" i="58"/>
  <c r="T50" i="58"/>
  <c r="S50" i="58"/>
  <c r="R50" i="58"/>
  <c r="Q50" i="58"/>
  <c r="P50" i="58"/>
  <c r="O50" i="58"/>
  <c r="N50" i="58"/>
  <c r="M50" i="58"/>
  <c r="L50" i="58"/>
  <c r="K50" i="58"/>
  <c r="J50" i="58"/>
  <c r="I50" i="58"/>
  <c r="H50" i="58"/>
  <c r="G50" i="58"/>
  <c r="F50" i="58"/>
  <c r="E50" i="58"/>
  <c r="D50" i="58"/>
  <c r="AE49" i="58"/>
  <c r="AD49" i="58"/>
  <c r="AE48" i="58"/>
  <c r="AD48" i="58"/>
  <c r="AE47" i="58"/>
  <c r="AD47" i="58"/>
  <c r="AE46" i="58"/>
  <c r="AD46" i="58"/>
  <c r="AE45" i="58"/>
  <c r="AD45" i="58"/>
  <c r="AE44" i="58"/>
  <c r="AD44" i="58"/>
  <c r="AE43" i="58"/>
  <c r="AD43" i="58"/>
  <c r="AE42" i="58"/>
  <c r="AD42" i="58"/>
  <c r="AE41" i="58"/>
  <c r="AD41" i="58"/>
  <c r="AE40" i="58"/>
  <c r="AD40" i="58"/>
  <c r="AE39" i="58"/>
  <c r="AD39" i="58"/>
  <c r="AE38" i="58"/>
  <c r="AD38" i="58"/>
  <c r="AE37" i="58"/>
  <c r="AD37" i="58"/>
  <c r="AE36" i="58"/>
  <c r="AD36" i="58"/>
  <c r="AE35" i="58"/>
  <c r="AD35" i="58"/>
  <c r="AE34" i="58"/>
  <c r="AD34" i="58"/>
  <c r="AE33" i="58"/>
  <c r="AD33" i="58"/>
  <c r="AE32" i="58"/>
  <c r="AD32" i="58"/>
  <c r="AE31" i="58"/>
  <c r="AD31" i="58"/>
  <c r="AE30" i="58"/>
  <c r="AD30" i="58"/>
  <c r="AE29" i="58"/>
  <c r="AD29" i="58"/>
  <c r="AE28" i="58"/>
  <c r="AD28" i="58"/>
  <c r="AE27" i="58"/>
  <c r="AD27" i="58"/>
  <c r="AE26" i="58"/>
  <c r="AD26" i="58"/>
  <c r="AE25" i="58"/>
  <c r="AD25" i="58"/>
  <c r="AE24" i="58"/>
  <c r="AD24" i="58"/>
  <c r="AE23" i="58"/>
  <c r="AD23" i="58"/>
  <c r="AE22" i="58"/>
  <c r="AD22" i="58"/>
  <c r="AE21" i="58"/>
  <c r="AD21" i="58"/>
  <c r="AE20" i="58"/>
  <c r="AD20" i="58"/>
  <c r="AE19" i="58"/>
  <c r="AD19" i="58"/>
  <c r="AE18" i="58"/>
  <c r="AD18" i="58"/>
  <c r="AE17" i="58"/>
  <c r="AD17" i="58"/>
  <c r="AE16" i="58"/>
  <c r="AD16" i="58"/>
  <c r="AE15" i="58"/>
  <c r="AD15" i="58"/>
  <c r="AE14" i="58"/>
  <c r="AD14" i="58"/>
  <c r="AE13" i="58"/>
  <c r="AD13" i="58"/>
  <c r="AE12" i="58"/>
  <c r="AD12" i="58"/>
  <c r="AE11" i="58"/>
  <c r="AD11" i="58"/>
  <c r="A4" i="58"/>
  <c r="A3" i="58"/>
  <c r="A2" i="58"/>
  <c r="A1" i="58"/>
  <c r="A4" i="206"/>
  <c r="A3" i="206"/>
  <c r="A2" i="206"/>
  <c r="A1" i="206"/>
  <c r="C12" i="208"/>
  <c r="C11" i="208"/>
  <c r="A4" i="208"/>
  <c r="A3" i="208"/>
  <c r="A2" i="208"/>
  <c r="A1" i="208"/>
  <c r="N98" i="160"/>
  <c r="M98" i="160"/>
  <c r="L98" i="160"/>
  <c r="K98" i="160"/>
  <c r="J98" i="160"/>
  <c r="I98" i="160"/>
  <c r="H98" i="160"/>
  <c r="G98" i="160"/>
  <c r="F98" i="160"/>
  <c r="E98" i="160"/>
  <c r="D98" i="160"/>
  <c r="A98" i="160"/>
  <c r="A97" i="160"/>
  <c r="N96" i="160"/>
  <c r="M96" i="160"/>
  <c r="L96" i="160"/>
  <c r="K96" i="160"/>
  <c r="J96" i="160"/>
  <c r="I96" i="160"/>
  <c r="H96" i="160"/>
  <c r="G96" i="160"/>
  <c r="F96" i="160"/>
  <c r="E96" i="160"/>
  <c r="D96" i="160"/>
  <c r="A96" i="160"/>
  <c r="D95" i="160"/>
  <c r="A95" i="160"/>
  <c r="N94" i="160"/>
  <c r="M94" i="160"/>
  <c r="L94" i="160"/>
  <c r="K94" i="160"/>
  <c r="J94" i="160"/>
  <c r="I94" i="160"/>
  <c r="H94" i="160"/>
  <c r="G94" i="160"/>
  <c r="F94" i="160"/>
  <c r="E94" i="160"/>
  <c r="D94" i="160"/>
  <c r="A94" i="160"/>
  <c r="N93" i="160"/>
  <c r="M93" i="160"/>
  <c r="L93" i="160"/>
  <c r="D93" i="160"/>
  <c r="A93" i="160"/>
  <c r="N92" i="160"/>
  <c r="M92" i="160"/>
  <c r="L92" i="160"/>
  <c r="D92" i="160"/>
  <c r="A92" i="160"/>
  <c r="N91" i="160"/>
  <c r="M91" i="160"/>
  <c r="L91" i="160"/>
  <c r="F91" i="160"/>
  <c r="D91" i="160"/>
  <c r="A91" i="160"/>
  <c r="N90" i="160"/>
  <c r="M90" i="160"/>
  <c r="L90" i="160"/>
  <c r="G90" i="160"/>
  <c r="D90" i="160"/>
  <c r="A90" i="160"/>
  <c r="N89" i="160"/>
  <c r="M89" i="160"/>
  <c r="L89" i="160"/>
  <c r="D89" i="160"/>
  <c r="A89" i="160"/>
  <c r="N88" i="160"/>
  <c r="M88" i="160"/>
  <c r="L88" i="160"/>
  <c r="D88" i="160"/>
  <c r="A88" i="160"/>
  <c r="N87" i="160"/>
  <c r="M87" i="160"/>
  <c r="L87" i="160"/>
  <c r="D87" i="160"/>
  <c r="A87" i="160"/>
  <c r="N86" i="160"/>
  <c r="M86" i="160"/>
  <c r="L86" i="160"/>
  <c r="D86" i="160"/>
  <c r="A86" i="160"/>
  <c r="N85" i="160"/>
  <c r="M85" i="160"/>
  <c r="L85" i="160"/>
  <c r="I85" i="160"/>
  <c r="D85" i="160"/>
  <c r="A85" i="160"/>
  <c r="N84" i="160"/>
  <c r="M84" i="160"/>
  <c r="L84" i="160"/>
  <c r="D84" i="160"/>
  <c r="A84" i="160"/>
  <c r="N83" i="160"/>
  <c r="M83" i="160"/>
  <c r="L83" i="160"/>
  <c r="D83" i="160"/>
  <c r="A83" i="160"/>
  <c r="A82" i="160"/>
  <c r="A81" i="160"/>
  <c r="N80" i="160"/>
  <c r="M80" i="160"/>
  <c r="L80" i="160"/>
  <c r="K80" i="160"/>
  <c r="J80" i="160"/>
  <c r="I80" i="160"/>
  <c r="H80" i="160"/>
  <c r="G80" i="160"/>
  <c r="F80" i="160"/>
  <c r="E80" i="160"/>
  <c r="D80" i="160"/>
  <c r="A80" i="160"/>
  <c r="N79" i="160"/>
  <c r="M79" i="160"/>
  <c r="L79" i="160"/>
  <c r="D79" i="160"/>
  <c r="A79" i="160"/>
  <c r="N78" i="160"/>
  <c r="M78" i="160"/>
  <c r="L78" i="160"/>
  <c r="D78" i="160"/>
  <c r="A78" i="160"/>
  <c r="N77" i="160"/>
  <c r="M77" i="160"/>
  <c r="L77" i="160"/>
  <c r="D77" i="160"/>
  <c r="A77" i="160"/>
  <c r="N76" i="160"/>
  <c r="M76" i="160"/>
  <c r="L76" i="160"/>
  <c r="D76" i="160"/>
  <c r="A76" i="160"/>
  <c r="A75" i="160"/>
  <c r="A74" i="160"/>
  <c r="N73" i="160"/>
  <c r="M73" i="160"/>
  <c r="L73" i="160"/>
  <c r="K73" i="160"/>
  <c r="J73" i="160"/>
  <c r="I73" i="160"/>
  <c r="H73" i="160"/>
  <c r="G73" i="160"/>
  <c r="F73" i="160"/>
  <c r="E73" i="160"/>
  <c r="D73" i="160"/>
  <c r="A73" i="160"/>
  <c r="N72" i="160"/>
  <c r="M72" i="160"/>
  <c r="L72" i="160"/>
  <c r="D72" i="160"/>
  <c r="A72" i="160"/>
  <c r="N71" i="160"/>
  <c r="M71" i="160"/>
  <c r="L71" i="160"/>
  <c r="D71" i="160"/>
  <c r="A71" i="160"/>
  <c r="N70" i="160"/>
  <c r="M70" i="160"/>
  <c r="L70" i="160"/>
  <c r="K70" i="160"/>
  <c r="D70" i="160"/>
  <c r="A70" i="160"/>
  <c r="N69" i="160"/>
  <c r="M69" i="160"/>
  <c r="L69" i="160"/>
  <c r="D69" i="160"/>
  <c r="A69" i="160"/>
  <c r="A68" i="160"/>
  <c r="A67" i="160"/>
  <c r="N66" i="160"/>
  <c r="M66" i="160"/>
  <c r="L66" i="160"/>
  <c r="K66" i="160"/>
  <c r="J66" i="160"/>
  <c r="I66" i="160"/>
  <c r="H66" i="160"/>
  <c r="G66" i="160"/>
  <c r="F66" i="160"/>
  <c r="E66" i="160"/>
  <c r="D66" i="160"/>
  <c r="A66" i="160"/>
  <c r="N65" i="160"/>
  <c r="M65" i="160"/>
  <c r="L65" i="160"/>
  <c r="D65" i="160"/>
  <c r="A65" i="160"/>
  <c r="N64" i="160"/>
  <c r="M64" i="160"/>
  <c r="L64" i="160"/>
  <c r="H64" i="160"/>
  <c r="D64" i="160"/>
  <c r="A64" i="160"/>
  <c r="N63" i="160"/>
  <c r="M63" i="160"/>
  <c r="L63" i="160"/>
  <c r="D63" i="160"/>
  <c r="A63" i="160"/>
  <c r="N62" i="160"/>
  <c r="M62" i="160"/>
  <c r="L62" i="160"/>
  <c r="D62" i="160"/>
  <c r="A62" i="160"/>
  <c r="N61" i="160"/>
  <c r="M61" i="160"/>
  <c r="L61" i="160"/>
  <c r="D61" i="160"/>
  <c r="A61" i="160"/>
  <c r="A60" i="160"/>
  <c r="A59" i="160"/>
  <c r="N58" i="160"/>
  <c r="M58" i="160"/>
  <c r="L58" i="160"/>
  <c r="K58" i="160"/>
  <c r="J58" i="160"/>
  <c r="I58" i="160"/>
  <c r="H58" i="160"/>
  <c r="G58" i="160"/>
  <c r="F58" i="160"/>
  <c r="E58" i="160"/>
  <c r="D58" i="160"/>
  <c r="A58" i="160"/>
  <c r="N57" i="160"/>
  <c r="M57" i="160"/>
  <c r="L57" i="160"/>
  <c r="K57" i="160"/>
  <c r="J57" i="160"/>
  <c r="I57" i="160"/>
  <c r="H57" i="160"/>
  <c r="G57" i="160"/>
  <c r="F57" i="160"/>
  <c r="E57" i="160"/>
  <c r="D57" i="160"/>
  <c r="A57" i="160"/>
  <c r="N56" i="160"/>
  <c r="M56" i="160"/>
  <c r="L56" i="160"/>
  <c r="D56" i="160"/>
  <c r="A56" i="160"/>
  <c r="N55" i="160"/>
  <c r="M55" i="160"/>
  <c r="L55" i="160"/>
  <c r="D55" i="160"/>
  <c r="A55" i="160"/>
  <c r="N54" i="160"/>
  <c r="M54" i="160"/>
  <c r="L54" i="160"/>
  <c r="D54" i="160"/>
  <c r="A54" i="160"/>
  <c r="N53" i="160"/>
  <c r="M53" i="160"/>
  <c r="L53" i="160"/>
  <c r="D53" i="160"/>
  <c r="A53" i="160"/>
  <c r="N52" i="160"/>
  <c r="M52" i="160"/>
  <c r="L52" i="160"/>
  <c r="D52" i="160"/>
  <c r="A52" i="160"/>
  <c r="N51" i="160"/>
  <c r="M51" i="160"/>
  <c r="L51" i="160"/>
  <c r="D51" i="160"/>
  <c r="A51" i="160"/>
  <c r="N50" i="160"/>
  <c r="M50" i="160"/>
  <c r="L50" i="160"/>
  <c r="D50" i="160"/>
  <c r="A50" i="160"/>
  <c r="N49" i="160"/>
  <c r="M49" i="160"/>
  <c r="L49" i="160"/>
  <c r="J49" i="160"/>
  <c r="D49" i="160"/>
  <c r="A49" i="160"/>
  <c r="N48" i="160"/>
  <c r="M48" i="160"/>
  <c r="L48" i="160"/>
  <c r="D48" i="160"/>
  <c r="A48" i="160"/>
  <c r="N47" i="160"/>
  <c r="M47" i="160"/>
  <c r="L47" i="160"/>
  <c r="D47" i="160"/>
  <c r="A47" i="160"/>
  <c r="A46" i="160"/>
  <c r="A45" i="160"/>
  <c r="N44" i="160"/>
  <c r="M44" i="160"/>
  <c r="L44" i="160"/>
  <c r="K44" i="160"/>
  <c r="J44" i="160"/>
  <c r="I44" i="160"/>
  <c r="H44" i="160"/>
  <c r="G44" i="160"/>
  <c r="F44" i="160"/>
  <c r="E44" i="160"/>
  <c r="D44" i="160"/>
  <c r="A44" i="160"/>
  <c r="N43" i="160"/>
  <c r="M43" i="160"/>
  <c r="L43" i="160"/>
  <c r="D43" i="160"/>
  <c r="A43" i="160"/>
  <c r="N42" i="160"/>
  <c r="M42" i="160"/>
  <c r="L42" i="160"/>
  <c r="D42" i="160"/>
  <c r="A42" i="160"/>
  <c r="N41" i="160"/>
  <c r="M41" i="160"/>
  <c r="L41" i="160"/>
  <c r="D41" i="160"/>
  <c r="A41" i="160"/>
  <c r="N40" i="160"/>
  <c r="M40" i="160"/>
  <c r="L40" i="160"/>
  <c r="D40" i="160"/>
  <c r="A40" i="160"/>
  <c r="N39" i="160"/>
  <c r="M39" i="160"/>
  <c r="L39" i="160"/>
  <c r="D39" i="160"/>
  <c r="A39" i="160"/>
  <c r="N38" i="160"/>
  <c r="M38" i="160"/>
  <c r="L38" i="160"/>
  <c r="D38" i="160"/>
  <c r="A38" i="160"/>
  <c r="N37" i="160"/>
  <c r="M37" i="160"/>
  <c r="L37" i="160"/>
  <c r="D37" i="160"/>
  <c r="A37" i="160"/>
  <c r="N36" i="160"/>
  <c r="M36" i="160"/>
  <c r="L36" i="160"/>
  <c r="D36" i="160"/>
  <c r="A36" i="160"/>
  <c r="N35" i="160"/>
  <c r="M35" i="160"/>
  <c r="L35" i="160"/>
  <c r="D35" i="160"/>
  <c r="A35" i="160"/>
  <c r="N34" i="160"/>
  <c r="M34" i="160"/>
  <c r="L34" i="160"/>
  <c r="D34" i="160"/>
  <c r="A34" i="160"/>
  <c r="N33" i="160"/>
  <c r="M33" i="160"/>
  <c r="L33" i="160"/>
  <c r="D33" i="160"/>
  <c r="A33" i="160"/>
  <c r="N32" i="160"/>
  <c r="M32" i="160"/>
  <c r="L32" i="160"/>
  <c r="D32" i="160"/>
  <c r="A32" i="160"/>
  <c r="A31" i="160"/>
  <c r="A30" i="160"/>
  <c r="A29" i="160"/>
  <c r="N28" i="160"/>
  <c r="M28" i="160"/>
  <c r="L28" i="160"/>
  <c r="D28" i="160"/>
  <c r="A28" i="160"/>
  <c r="A27" i="160"/>
  <c r="A26" i="160"/>
  <c r="A25" i="160"/>
  <c r="H24" i="160"/>
  <c r="G24" i="160"/>
  <c r="F24" i="160"/>
  <c r="E24" i="160"/>
  <c r="D24" i="160"/>
  <c r="A24" i="160"/>
  <c r="G23" i="160"/>
  <c r="F23" i="160"/>
  <c r="E23" i="160"/>
  <c r="D23" i="160"/>
  <c r="A23" i="160"/>
  <c r="H22" i="160"/>
  <c r="G22" i="160"/>
  <c r="F22" i="160"/>
  <c r="E22" i="160"/>
  <c r="D22" i="160"/>
  <c r="C22" i="160"/>
  <c r="A22" i="160"/>
  <c r="A21" i="160"/>
  <c r="G20" i="160"/>
  <c r="F20" i="160"/>
  <c r="E20" i="160"/>
  <c r="D20" i="160"/>
  <c r="C20" i="160"/>
  <c r="A20" i="160"/>
  <c r="A19" i="160"/>
  <c r="A18" i="160"/>
  <c r="A17" i="160"/>
  <c r="A16" i="160"/>
  <c r="A15" i="160"/>
  <c r="A14" i="160"/>
  <c r="A13" i="160"/>
  <c r="A12" i="160"/>
  <c r="G11" i="160"/>
  <c r="A4" i="160"/>
  <c r="A3" i="160"/>
  <c r="A2" i="160"/>
  <c r="A1" i="160"/>
  <c r="C20" i="209"/>
  <c r="A20" i="209"/>
  <c r="C19" i="209"/>
  <c r="A19" i="209"/>
  <c r="C18" i="209"/>
  <c r="A18" i="209"/>
  <c r="C17" i="209"/>
  <c r="A17" i="209"/>
  <c r="A16" i="209"/>
  <c r="A15" i="209"/>
  <c r="C14" i="209"/>
  <c r="A14" i="209"/>
  <c r="C13" i="209"/>
  <c r="A13" i="209"/>
  <c r="C12" i="209"/>
  <c r="A12" i="209"/>
  <c r="A11" i="209"/>
  <c r="A4" i="209"/>
  <c r="A3" i="209"/>
  <c r="A2" i="209"/>
  <c r="A1" i="209"/>
  <c r="A37" i="205"/>
  <c r="C36" i="205"/>
  <c r="A36" i="205"/>
  <c r="A35" i="205"/>
  <c r="A34" i="205"/>
  <c r="A33" i="205"/>
  <c r="A32" i="205"/>
  <c r="A31" i="205"/>
  <c r="O30" i="205"/>
  <c r="N30" i="205"/>
  <c r="M30" i="205"/>
  <c r="L30" i="205"/>
  <c r="K30" i="205"/>
  <c r="J30" i="205"/>
  <c r="I30" i="205"/>
  <c r="H30" i="205"/>
  <c r="G30" i="205"/>
  <c r="F30" i="205"/>
  <c r="E30" i="205"/>
  <c r="D30" i="205"/>
  <c r="C30" i="205"/>
  <c r="A30" i="205"/>
  <c r="A29" i="205"/>
  <c r="A28" i="205"/>
  <c r="A27" i="205"/>
  <c r="C26" i="205"/>
  <c r="A26" i="205"/>
  <c r="A25" i="205"/>
  <c r="C24" i="205"/>
  <c r="A24" i="205"/>
  <c r="A23" i="205"/>
  <c r="A22" i="205"/>
  <c r="A21" i="205"/>
  <c r="D20" i="205"/>
  <c r="A20" i="205"/>
  <c r="A19" i="205"/>
  <c r="A18" i="205"/>
  <c r="A17" i="205"/>
  <c r="C16" i="205"/>
  <c r="A16" i="205"/>
  <c r="A15" i="205"/>
  <c r="C14" i="205"/>
  <c r="A14" i="205"/>
  <c r="A13" i="205"/>
  <c r="A12" i="205"/>
  <c r="C11" i="205"/>
  <c r="A11" i="205"/>
  <c r="C10" i="205"/>
  <c r="A4" i="205"/>
  <c r="A3" i="205"/>
  <c r="A2" i="205"/>
  <c r="A1" i="205"/>
  <c r="C17" i="185"/>
  <c r="A17" i="185"/>
  <c r="A16" i="185"/>
  <c r="C15" i="185"/>
  <c r="A15" i="185"/>
  <c r="C14" i="185"/>
  <c r="A14" i="185"/>
  <c r="A13" i="185"/>
  <c r="C12" i="185"/>
  <c r="A12" i="185"/>
  <c r="C11" i="185"/>
  <c r="A11" i="185"/>
  <c r="C10" i="185"/>
  <c r="A4" i="185"/>
  <c r="A3" i="185"/>
  <c r="A2" i="185"/>
  <c r="A1" i="185"/>
  <c r="C12" i="207"/>
  <c r="A12" i="207"/>
  <c r="A11" i="207"/>
  <c r="C10" i="207"/>
  <c r="A4" i="207"/>
  <c r="A3" i="207"/>
  <c r="A2" i="207"/>
  <c r="A1" i="207"/>
  <c r="C19" i="194"/>
  <c r="A19" i="194"/>
  <c r="A18" i="194"/>
  <c r="C17" i="194"/>
  <c r="A17" i="194"/>
  <c r="C16" i="194"/>
  <c r="A16" i="194"/>
  <c r="A15" i="194"/>
  <c r="A14" i="194"/>
  <c r="A13" i="194"/>
  <c r="A12" i="194"/>
  <c r="A4" i="194"/>
  <c r="A3" i="194"/>
  <c r="A2" i="194"/>
  <c r="A1" i="194"/>
  <c r="F18" i="38"/>
  <c r="A18" i="38"/>
  <c r="F17" i="38"/>
  <c r="A17" i="38"/>
  <c r="F16" i="38"/>
  <c r="A16" i="38"/>
  <c r="A15" i="38"/>
  <c r="F14" i="38"/>
  <c r="D14" i="38"/>
  <c r="C14" i="38"/>
  <c r="A14" i="38"/>
  <c r="F13" i="38"/>
  <c r="D13" i="38"/>
  <c r="A13" i="38"/>
  <c r="F12" i="38"/>
  <c r="A12" i="38"/>
  <c r="F11" i="38"/>
  <c r="A11" i="38"/>
  <c r="F10" i="38"/>
  <c r="A4" i="38"/>
  <c r="A3" i="38"/>
  <c r="A2" i="38"/>
  <c r="A1" i="38"/>
  <c r="G10" i="24"/>
  <c r="E10" i="24"/>
  <c r="C10" i="24"/>
  <c r="A4" i="24"/>
  <c r="A3" i="24"/>
  <c r="A2" i="24"/>
  <c r="A1" i="24"/>
  <c r="A25" i="200"/>
  <c r="A24" i="200"/>
  <c r="A23" i="200"/>
  <c r="A22" i="200"/>
  <c r="A21" i="200"/>
  <c r="A20" i="200"/>
  <c r="A19" i="200"/>
  <c r="A18" i="200"/>
  <c r="A17" i="200"/>
  <c r="A16" i="200"/>
  <c r="A15" i="200"/>
  <c r="A14" i="200"/>
  <c r="A13" i="200"/>
  <c r="A12" i="200"/>
  <c r="A11" i="200"/>
  <c r="A4" i="200"/>
  <c r="A3" i="200"/>
  <c r="A2" i="200"/>
  <c r="A1" i="200"/>
  <c r="C13" i="201"/>
  <c r="A13" i="201"/>
  <c r="A12" i="201"/>
  <c r="A11" i="201"/>
  <c r="A4" i="201"/>
  <c r="A3" i="201"/>
  <c r="A2" i="201"/>
  <c r="A1" i="201"/>
  <c r="C13" i="199"/>
  <c r="A13" i="199"/>
  <c r="A12" i="199"/>
  <c r="A11" i="199"/>
  <c r="A10" i="199"/>
  <c r="A9" i="199"/>
  <c r="A3" i="199"/>
  <c r="A2" i="199"/>
  <c r="A1" i="199"/>
  <c r="C14" i="163"/>
  <c r="C10" i="163"/>
  <c r="A3" i="163"/>
  <c r="A2" i="163"/>
  <c r="A1" i="163"/>
  <c r="C67" i="64"/>
  <c r="A67" i="64"/>
  <c r="C66" i="64"/>
  <c r="A66" i="64"/>
  <c r="A65" i="64"/>
  <c r="E64" i="64"/>
  <c r="D64" i="64"/>
  <c r="C64" i="64"/>
  <c r="A64" i="64"/>
  <c r="E63" i="64"/>
  <c r="D63" i="64"/>
  <c r="A63" i="64"/>
  <c r="E62" i="64"/>
  <c r="D62" i="64"/>
  <c r="A62" i="64"/>
  <c r="E61" i="64"/>
  <c r="D61" i="64"/>
  <c r="A61" i="64"/>
  <c r="E60" i="64"/>
  <c r="D60" i="64"/>
  <c r="A60" i="64"/>
  <c r="E59" i="64"/>
  <c r="D59" i="64"/>
  <c r="A59" i="64"/>
  <c r="E58" i="64"/>
  <c r="D58" i="64"/>
  <c r="A58" i="64"/>
  <c r="E57" i="64"/>
  <c r="D57" i="64"/>
  <c r="A57" i="64"/>
  <c r="E56" i="64"/>
  <c r="D56" i="64"/>
  <c r="A56" i="64"/>
  <c r="E55" i="64"/>
  <c r="D55" i="64"/>
  <c r="A55" i="64"/>
  <c r="E54" i="64"/>
  <c r="D54" i="64"/>
  <c r="A54" i="64"/>
  <c r="E53" i="64"/>
  <c r="D53" i="64"/>
  <c r="A53" i="64"/>
  <c r="E52" i="64"/>
  <c r="D52" i="64"/>
  <c r="A52" i="64"/>
  <c r="E51" i="64"/>
  <c r="D51" i="64"/>
  <c r="A51" i="64"/>
  <c r="E50" i="64"/>
  <c r="D50" i="64"/>
  <c r="A50" i="64"/>
  <c r="E49" i="64"/>
  <c r="D49" i="64"/>
  <c r="A49" i="64"/>
  <c r="E48" i="64"/>
  <c r="D48" i="64"/>
  <c r="A48" i="64"/>
  <c r="E47" i="64"/>
  <c r="D47" i="64"/>
  <c r="A47" i="64"/>
  <c r="E46" i="64"/>
  <c r="D46" i="64"/>
  <c r="A46" i="64"/>
  <c r="E45" i="64"/>
  <c r="D45" i="64"/>
  <c r="A45" i="64"/>
  <c r="E44" i="64"/>
  <c r="D44" i="64"/>
  <c r="A44" i="64"/>
  <c r="E43" i="64"/>
  <c r="D43" i="64"/>
  <c r="A43" i="64"/>
  <c r="E42" i="64"/>
  <c r="D42" i="64"/>
  <c r="A42" i="64"/>
  <c r="A41" i="64"/>
  <c r="A40" i="64"/>
  <c r="C39" i="64"/>
  <c r="A39" i="64"/>
  <c r="A38" i="64"/>
  <c r="C37" i="64"/>
  <c r="A37" i="64"/>
  <c r="A36" i="64"/>
  <c r="C35" i="64"/>
  <c r="A35" i="64"/>
  <c r="A34" i="64"/>
  <c r="G33" i="64"/>
  <c r="F33" i="64"/>
  <c r="E33" i="64"/>
  <c r="D33" i="64"/>
  <c r="C33" i="64"/>
  <c r="A33" i="64"/>
  <c r="G32" i="64"/>
  <c r="F32" i="64"/>
  <c r="A32" i="64"/>
  <c r="G31" i="64"/>
  <c r="A31" i="64"/>
  <c r="G30" i="64"/>
  <c r="F30" i="64"/>
  <c r="E30" i="64"/>
  <c r="D30" i="64"/>
  <c r="A30" i="64"/>
  <c r="A29" i="64"/>
  <c r="A28" i="64"/>
  <c r="C27" i="64"/>
  <c r="A27" i="64"/>
  <c r="A26" i="64"/>
  <c r="C25" i="64"/>
  <c r="A25" i="64"/>
  <c r="A24" i="64"/>
  <c r="C23" i="64"/>
  <c r="A23" i="64"/>
  <c r="A22" i="64"/>
  <c r="A21" i="64"/>
  <c r="A20" i="64"/>
  <c r="A19" i="64"/>
  <c r="A18" i="64"/>
  <c r="A17" i="64"/>
  <c r="A16" i="64"/>
  <c r="A15" i="64"/>
  <c r="C14" i="64"/>
  <c r="A14" i="64"/>
  <c r="A13" i="64"/>
  <c r="A12" i="64"/>
  <c r="A11" i="64"/>
  <c r="A4" i="64"/>
  <c r="A3" i="64"/>
  <c r="A2" i="64"/>
  <c r="A1" i="64"/>
  <c r="O85" i="6"/>
  <c r="N85" i="6"/>
  <c r="L85" i="6"/>
  <c r="K85" i="6"/>
  <c r="I85" i="6"/>
  <c r="D85" i="6"/>
  <c r="O84" i="6"/>
  <c r="N84" i="6"/>
  <c r="M84" i="6"/>
  <c r="L84" i="6"/>
  <c r="K84" i="6"/>
  <c r="J84" i="6"/>
  <c r="I84" i="6"/>
  <c r="H84" i="6"/>
  <c r="O83" i="6"/>
  <c r="N83" i="6"/>
  <c r="M83" i="6"/>
  <c r="L83" i="6"/>
  <c r="K83" i="6"/>
  <c r="J83" i="6"/>
  <c r="I83" i="6"/>
  <c r="H83" i="6"/>
  <c r="O82" i="6"/>
  <c r="N82" i="6"/>
  <c r="M82" i="6"/>
  <c r="L82" i="6"/>
  <c r="K82" i="6"/>
  <c r="J82" i="6"/>
  <c r="I82" i="6"/>
  <c r="H82" i="6"/>
  <c r="O81" i="6"/>
  <c r="N81" i="6"/>
  <c r="M81" i="6"/>
  <c r="L81" i="6"/>
  <c r="K81" i="6"/>
  <c r="J81" i="6"/>
  <c r="I81" i="6"/>
  <c r="H81" i="6"/>
  <c r="O80" i="6"/>
  <c r="N80" i="6"/>
  <c r="M80" i="6"/>
  <c r="L80" i="6"/>
  <c r="K80" i="6"/>
  <c r="J80" i="6"/>
  <c r="I80" i="6"/>
  <c r="H80" i="6"/>
  <c r="O79" i="6"/>
  <c r="N79" i="6"/>
  <c r="M79" i="6"/>
  <c r="L79" i="6"/>
  <c r="K79" i="6"/>
  <c r="J79" i="6"/>
  <c r="I79" i="6"/>
  <c r="H79" i="6"/>
  <c r="O78" i="6"/>
  <c r="N78" i="6"/>
  <c r="M78" i="6"/>
  <c r="L78" i="6"/>
  <c r="K78" i="6"/>
  <c r="J78" i="6"/>
  <c r="I78" i="6"/>
  <c r="H78" i="6"/>
  <c r="O77" i="6"/>
  <c r="N77" i="6"/>
  <c r="M77" i="6"/>
  <c r="L77" i="6"/>
  <c r="K77" i="6"/>
  <c r="J77" i="6"/>
  <c r="I77" i="6"/>
  <c r="H77" i="6"/>
  <c r="O76" i="6"/>
  <c r="N76" i="6"/>
  <c r="M76" i="6"/>
  <c r="L76" i="6"/>
  <c r="K76" i="6"/>
  <c r="J76" i="6"/>
  <c r="I76" i="6"/>
  <c r="H76" i="6"/>
  <c r="O75" i="6"/>
  <c r="N75" i="6"/>
  <c r="M75" i="6"/>
  <c r="L75" i="6"/>
  <c r="K75" i="6"/>
  <c r="J75" i="6"/>
  <c r="I75" i="6"/>
  <c r="H75" i="6"/>
  <c r="O74" i="6"/>
  <c r="N74" i="6"/>
  <c r="M74" i="6"/>
  <c r="L74" i="6"/>
  <c r="K74" i="6"/>
  <c r="J74" i="6"/>
  <c r="I74" i="6"/>
  <c r="H74" i="6"/>
  <c r="O73" i="6"/>
  <c r="N73" i="6"/>
  <c r="M73" i="6"/>
  <c r="L73" i="6"/>
  <c r="K73" i="6"/>
  <c r="J73" i="6"/>
  <c r="I73" i="6"/>
  <c r="H73" i="6"/>
  <c r="O72" i="6"/>
  <c r="N72" i="6"/>
  <c r="M72" i="6"/>
  <c r="L72" i="6"/>
  <c r="K72" i="6"/>
  <c r="J72" i="6"/>
  <c r="I72" i="6"/>
  <c r="H72" i="6"/>
  <c r="O63" i="6"/>
  <c r="N63" i="6"/>
  <c r="L63" i="6"/>
  <c r="K63" i="6"/>
  <c r="I63" i="6"/>
  <c r="H63" i="6"/>
  <c r="F63" i="6"/>
  <c r="D63" i="6"/>
  <c r="O62" i="6"/>
  <c r="N62" i="6"/>
  <c r="M62" i="6"/>
  <c r="L62" i="6"/>
  <c r="K62" i="6"/>
  <c r="J62" i="6"/>
  <c r="I62" i="6"/>
  <c r="H62" i="6"/>
  <c r="G62" i="6"/>
  <c r="O61" i="6"/>
  <c r="N61" i="6"/>
  <c r="M61" i="6"/>
  <c r="L61" i="6"/>
  <c r="K61" i="6"/>
  <c r="J61" i="6"/>
  <c r="I61" i="6"/>
  <c r="H61" i="6"/>
  <c r="G61" i="6"/>
  <c r="O60" i="6"/>
  <c r="N60" i="6"/>
  <c r="M60" i="6"/>
  <c r="L60" i="6"/>
  <c r="K60" i="6"/>
  <c r="J60" i="6"/>
  <c r="I60" i="6"/>
  <c r="H60" i="6"/>
  <c r="G60" i="6"/>
  <c r="O59" i="6"/>
  <c r="N59" i="6"/>
  <c r="M59" i="6"/>
  <c r="L59" i="6"/>
  <c r="K59" i="6"/>
  <c r="J59" i="6"/>
  <c r="I59" i="6"/>
  <c r="H59" i="6"/>
  <c r="G59" i="6"/>
  <c r="O58" i="6"/>
  <c r="N58" i="6"/>
  <c r="M58" i="6"/>
  <c r="L58" i="6"/>
  <c r="K58" i="6"/>
  <c r="J58" i="6"/>
  <c r="I58" i="6"/>
  <c r="H58" i="6"/>
  <c r="G58" i="6"/>
  <c r="O57" i="6"/>
  <c r="N57" i="6"/>
  <c r="M57" i="6"/>
  <c r="L57" i="6"/>
  <c r="K57" i="6"/>
  <c r="J57" i="6"/>
  <c r="I57" i="6"/>
  <c r="H57" i="6"/>
  <c r="G57" i="6"/>
  <c r="O56" i="6"/>
  <c r="N56" i="6"/>
  <c r="M56" i="6"/>
  <c r="L56" i="6"/>
  <c r="K56" i="6"/>
  <c r="J56" i="6"/>
  <c r="I56" i="6"/>
  <c r="H56" i="6"/>
  <c r="G56" i="6"/>
  <c r="O55" i="6"/>
  <c r="N55" i="6"/>
  <c r="M55" i="6"/>
  <c r="L55" i="6"/>
  <c r="K55" i="6"/>
  <c r="J55" i="6"/>
  <c r="I55" i="6"/>
  <c r="H55" i="6"/>
  <c r="G55" i="6"/>
  <c r="O54" i="6"/>
  <c r="N54" i="6"/>
  <c r="M54" i="6"/>
  <c r="L54" i="6"/>
  <c r="K54" i="6"/>
  <c r="J54" i="6"/>
  <c r="I54" i="6"/>
  <c r="H54" i="6"/>
  <c r="G54" i="6"/>
  <c r="O53" i="6"/>
  <c r="N53" i="6"/>
  <c r="M53" i="6"/>
  <c r="L53" i="6"/>
  <c r="K53" i="6"/>
  <c r="J53" i="6"/>
  <c r="I53" i="6"/>
  <c r="H53" i="6"/>
  <c r="G53" i="6"/>
  <c r="O52" i="6"/>
  <c r="N52" i="6"/>
  <c r="M52" i="6"/>
  <c r="L52" i="6"/>
  <c r="K52" i="6"/>
  <c r="J52" i="6"/>
  <c r="I52" i="6"/>
  <c r="H52" i="6"/>
  <c r="G52" i="6"/>
  <c r="O51" i="6"/>
  <c r="N51" i="6"/>
  <c r="M51" i="6"/>
  <c r="L51" i="6"/>
  <c r="K51" i="6"/>
  <c r="J51" i="6"/>
  <c r="I51" i="6"/>
  <c r="H51" i="6"/>
  <c r="G51" i="6"/>
  <c r="O50" i="6"/>
  <c r="N50" i="6"/>
  <c r="M50" i="6"/>
  <c r="L50" i="6"/>
  <c r="K50" i="6"/>
  <c r="J50" i="6"/>
  <c r="I50" i="6"/>
  <c r="H50" i="6"/>
  <c r="G50" i="6"/>
  <c r="O49" i="6"/>
  <c r="N49" i="6"/>
  <c r="M49" i="6"/>
  <c r="L49" i="6"/>
  <c r="K49" i="6"/>
  <c r="J49" i="6"/>
  <c r="I49" i="6"/>
  <c r="H49" i="6"/>
  <c r="G49" i="6"/>
  <c r="O48" i="6"/>
  <c r="N48" i="6"/>
  <c r="M48" i="6"/>
  <c r="L48" i="6"/>
  <c r="K48" i="6"/>
  <c r="J48" i="6"/>
  <c r="I48" i="6"/>
  <c r="H48" i="6"/>
  <c r="G48" i="6"/>
  <c r="O47" i="6"/>
  <c r="N47" i="6"/>
  <c r="M47" i="6"/>
  <c r="L47" i="6"/>
  <c r="K47" i="6"/>
  <c r="J47" i="6"/>
  <c r="I47" i="6"/>
  <c r="H47" i="6"/>
  <c r="G47" i="6"/>
  <c r="O46" i="6"/>
  <c r="N46" i="6"/>
  <c r="M46" i="6"/>
  <c r="L46" i="6"/>
  <c r="K46" i="6"/>
  <c r="J46" i="6"/>
  <c r="I46" i="6"/>
  <c r="H46" i="6"/>
  <c r="G46" i="6"/>
  <c r="O45" i="6"/>
  <c r="N45" i="6"/>
  <c r="M45" i="6"/>
  <c r="L45" i="6"/>
  <c r="K45" i="6"/>
  <c r="J45" i="6"/>
  <c r="I45" i="6"/>
  <c r="H45" i="6"/>
  <c r="G45" i="6"/>
  <c r="O44" i="6"/>
  <c r="N44" i="6"/>
  <c r="M44" i="6"/>
  <c r="L44" i="6"/>
  <c r="K44" i="6"/>
  <c r="J44" i="6"/>
  <c r="I44" i="6"/>
  <c r="H44" i="6"/>
  <c r="G44" i="6"/>
  <c r="O43" i="6"/>
  <c r="N43" i="6"/>
  <c r="M43" i="6"/>
  <c r="L43" i="6"/>
  <c r="K43" i="6"/>
  <c r="J43" i="6"/>
  <c r="I43" i="6"/>
  <c r="H43" i="6"/>
  <c r="G43" i="6"/>
  <c r="O42" i="6"/>
  <c r="N42" i="6"/>
  <c r="M42" i="6"/>
  <c r="L42" i="6"/>
  <c r="K42" i="6"/>
  <c r="J42" i="6"/>
  <c r="I42" i="6"/>
  <c r="H42" i="6"/>
  <c r="G42" i="6"/>
  <c r="O41" i="6"/>
  <c r="N41" i="6"/>
  <c r="M41" i="6"/>
  <c r="L41" i="6"/>
  <c r="K41" i="6"/>
  <c r="J41" i="6"/>
  <c r="I41" i="6"/>
  <c r="H41" i="6"/>
  <c r="G41" i="6"/>
  <c r="O39" i="6"/>
  <c r="N39" i="6"/>
  <c r="L39" i="6"/>
  <c r="K39" i="6"/>
  <c r="I39" i="6"/>
  <c r="D39" i="6"/>
  <c r="O38" i="6"/>
  <c r="N38" i="6"/>
  <c r="M38" i="6"/>
  <c r="L38" i="6"/>
  <c r="K38" i="6"/>
  <c r="J38" i="6"/>
  <c r="I38" i="6"/>
  <c r="H38" i="6"/>
  <c r="O37" i="6"/>
  <c r="N37" i="6"/>
  <c r="M37" i="6"/>
  <c r="L37" i="6"/>
  <c r="K37" i="6"/>
  <c r="J37" i="6"/>
  <c r="I37" i="6"/>
  <c r="H37" i="6"/>
  <c r="O36" i="6"/>
  <c r="N36" i="6"/>
  <c r="M36" i="6"/>
  <c r="L36" i="6"/>
  <c r="K36" i="6"/>
  <c r="J36" i="6"/>
  <c r="I36" i="6"/>
  <c r="H36" i="6"/>
  <c r="O35" i="6"/>
  <c r="N35" i="6"/>
  <c r="M35" i="6"/>
  <c r="L35" i="6"/>
  <c r="K35" i="6"/>
  <c r="J35" i="6"/>
  <c r="I35" i="6"/>
  <c r="H35" i="6"/>
  <c r="O34" i="6"/>
  <c r="N34" i="6"/>
  <c r="M34" i="6"/>
  <c r="L34" i="6"/>
  <c r="K34" i="6"/>
  <c r="J34" i="6"/>
  <c r="I34" i="6"/>
  <c r="H34" i="6"/>
  <c r="O33" i="6"/>
  <c r="N33" i="6"/>
  <c r="M33" i="6"/>
  <c r="L33" i="6"/>
  <c r="K33" i="6"/>
  <c r="J33" i="6"/>
  <c r="I33" i="6"/>
  <c r="H33" i="6"/>
  <c r="O32" i="6"/>
  <c r="N32" i="6"/>
  <c r="M32" i="6"/>
  <c r="L32" i="6"/>
  <c r="K32" i="6"/>
  <c r="J32" i="6"/>
  <c r="I32" i="6"/>
  <c r="H32" i="6"/>
  <c r="O31" i="6"/>
  <c r="N31" i="6"/>
  <c r="M31" i="6"/>
  <c r="L31" i="6"/>
  <c r="K31" i="6"/>
  <c r="J31" i="6"/>
  <c r="I31" i="6"/>
  <c r="H31" i="6"/>
  <c r="O30" i="6"/>
  <c r="N30" i="6"/>
  <c r="M30" i="6"/>
  <c r="L30" i="6"/>
  <c r="K30" i="6"/>
  <c r="J30" i="6"/>
  <c r="I30" i="6"/>
  <c r="H30" i="6"/>
  <c r="O29" i="6"/>
  <c r="N29" i="6"/>
  <c r="M29" i="6"/>
  <c r="L29" i="6"/>
  <c r="K29" i="6"/>
  <c r="J29" i="6"/>
  <c r="I29" i="6"/>
  <c r="H29" i="6"/>
  <c r="O28" i="6"/>
  <c r="N28" i="6"/>
  <c r="M28" i="6"/>
  <c r="L28" i="6"/>
  <c r="K28" i="6"/>
  <c r="J28" i="6"/>
  <c r="I28" i="6"/>
  <c r="H28" i="6"/>
  <c r="O27" i="6"/>
  <c r="N27" i="6"/>
  <c r="M27" i="6"/>
  <c r="L27" i="6"/>
  <c r="K27" i="6"/>
  <c r="J27" i="6"/>
  <c r="I27" i="6"/>
  <c r="H27" i="6"/>
  <c r="O26" i="6"/>
  <c r="N26" i="6"/>
  <c r="M26" i="6"/>
  <c r="L26" i="6"/>
  <c r="K26" i="6"/>
  <c r="J26" i="6"/>
  <c r="I26" i="6"/>
  <c r="H26" i="6"/>
  <c r="O25" i="6"/>
  <c r="N25" i="6"/>
  <c r="M25" i="6"/>
  <c r="L25" i="6"/>
  <c r="K25" i="6"/>
  <c r="J25" i="6"/>
  <c r="I25" i="6"/>
  <c r="H25" i="6"/>
  <c r="O24" i="6"/>
  <c r="N24" i="6"/>
  <c r="M24" i="6"/>
  <c r="L24" i="6"/>
  <c r="K24" i="6"/>
  <c r="J24" i="6"/>
  <c r="I24" i="6"/>
  <c r="H24" i="6"/>
  <c r="O23" i="6"/>
  <c r="N23" i="6"/>
  <c r="M23" i="6"/>
  <c r="L23" i="6"/>
  <c r="K23" i="6"/>
  <c r="J23" i="6"/>
  <c r="I23" i="6"/>
  <c r="H23" i="6"/>
  <c r="O22" i="6"/>
  <c r="N22" i="6"/>
  <c r="M22" i="6"/>
  <c r="L22" i="6"/>
  <c r="K22" i="6"/>
  <c r="J22" i="6"/>
  <c r="I22" i="6"/>
  <c r="H22" i="6"/>
  <c r="O21" i="6"/>
  <c r="N21" i="6"/>
  <c r="M21" i="6"/>
  <c r="L21" i="6"/>
  <c r="K21" i="6"/>
  <c r="J21" i="6"/>
  <c r="I21" i="6"/>
  <c r="H21" i="6"/>
  <c r="O20" i="6"/>
  <c r="N20" i="6"/>
  <c r="M20" i="6"/>
  <c r="L20" i="6"/>
  <c r="K20" i="6"/>
  <c r="J20" i="6"/>
  <c r="I20" i="6"/>
  <c r="H20" i="6"/>
  <c r="O19" i="6"/>
  <c r="N19" i="6"/>
  <c r="M19" i="6"/>
  <c r="L19" i="6"/>
  <c r="K19" i="6"/>
  <c r="J19" i="6"/>
  <c r="I19" i="6"/>
  <c r="H19" i="6"/>
  <c r="N16" i="6"/>
  <c r="K16" i="6"/>
  <c r="H16" i="6"/>
  <c r="N14" i="6"/>
  <c r="L14" i="6"/>
  <c r="K14" i="6"/>
  <c r="I14" i="6"/>
  <c r="H14" i="6"/>
  <c r="F14" i="6"/>
  <c r="D14" i="6"/>
  <c r="O12" i="6"/>
  <c r="N12" i="6"/>
  <c r="L12" i="6"/>
  <c r="K12" i="6"/>
  <c r="I12" i="6"/>
  <c r="H12" i="6"/>
  <c r="F12" i="6"/>
  <c r="D12" i="6"/>
  <c r="O10" i="6"/>
  <c r="N10" i="6"/>
  <c r="L10" i="6"/>
  <c r="K10" i="6"/>
  <c r="I10" i="6"/>
  <c r="D10" i="6"/>
  <c r="A4" i="6"/>
  <c r="A3" i="6"/>
  <c r="A2" i="6"/>
  <c r="A1" i="6"/>
  <c r="F117" i="18"/>
  <c r="E117" i="18"/>
  <c r="D117"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F66" i="18"/>
  <c r="F65" i="18"/>
  <c r="E64" i="18"/>
  <c r="E63" i="18"/>
  <c r="E62" i="18"/>
  <c r="E61" i="18"/>
  <c r="E60" i="18"/>
  <c r="F59" i="18"/>
  <c r="E58" i="18"/>
  <c r="E57" i="18"/>
  <c r="E56" i="18"/>
  <c r="E55" i="18"/>
  <c r="E54" i="18"/>
  <c r="E53" i="18"/>
  <c r="E52" i="18"/>
  <c r="E51" i="18"/>
  <c r="E50" i="18"/>
  <c r="E49" i="18"/>
  <c r="E48" i="18"/>
  <c r="E47" i="18"/>
  <c r="F46" i="18"/>
  <c r="F45" i="18"/>
  <c r="E44" i="18"/>
  <c r="E43" i="18"/>
  <c r="E42" i="18"/>
  <c r="E41" i="18"/>
  <c r="E40" i="18"/>
  <c r="E39" i="18"/>
  <c r="E38" i="18"/>
  <c r="E37" i="18"/>
  <c r="E36" i="18"/>
  <c r="E35" i="18"/>
  <c r="E34" i="18"/>
  <c r="E33" i="18"/>
  <c r="E32" i="18"/>
  <c r="E31" i="18"/>
  <c r="E30" i="18"/>
  <c r="E29" i="18"/>
  <c r="E28" i="18"/>
  <c r="E27" i="18"/>
  <c r="E26" i="18"/>
  <c r="E25" i="18"/>
  <c r="E24" i="18"/>
  <c r="E23" i="18"/>
  <c r="F19" i="18"/>
  <c r="E19" i="18"/>
  <c r="D19" i="18"/>
  <c r="F18" i="18"/>
  <c r="F17" i="18"/>
  <c r="E16" i="18"/>
  <c r="D13" i="18"/>
  <c r="E11" i="18"/>
  <c r="A4" i="18"/>
  <c r="A3" i="18"/>
  <c r="A2" i="18"/>
  <c r="A1" i="18"/>
  <c r="C14" i="73"/>
  <c r="C13" i="73"/>
  <c r="C12" i="73"/>
  <c r="C11" i="73"/>
  <c r="A4" i="73"/>
  <c r="A3" i="73"/>
  <c r="A2" i="73"/>
  <c r="A1" i="73"/>
  <c r="E57" i="187"/>
  <c r="A57" i="187"/>
  <c r="E56" i="187"/>
  <c r="A56" i="187"/>
  <c r="E55" i="187"/>
  <c r="A55" i="187"/>
  <c r="A54" i="187"/>
  <c r="E53" i="187"/>
  <c r="C53" i="187"/>
  <c r="A53" i="187"/>
  <c r="E52" i="187"/>
  <c r="A52" i="187"/>
  <c r="E51" i="187"/>
  <c r="A51" i="187"/>
  <c r="E50" i="187"/>
  <c r="A50" i="187"/>
  <c r="E49" i="187"/>
  <c r="A49" i="187"/>
  <c r="E48" i="187"/>
  <c r="A48" i="187"/>
  <c r="A47" i="187"/>
  <c r="A46" i="187"/>
  <c r="E45" i="187"/>
  <c r="A45" i="187"/>
  <c r="E44" i="187"/>
  <c r="A44" i="187"/>
  <c r="E43" i="187"/>
  <c r="A43" i="187"/>
  <c r="E42" i="187"/>
  <c r="A42" i="187"/>
  <c r="A41" i="187"/>
  <c r="A40" i="187"/>
  <c r="E39" i="187"/>
  <c r="A39" i="187"/>
  <c r="E38" i="187"/>
  <c r="A38" i="187"/>
  <c r="E37" i="187"/>
  <c r="A37" i="187"/>
  <c r="E36" i="187"/>
  <c r="A36" i="187"/>
  <c r="E35" i="187"/>
  <c r="A35" i="187"/>
  <c r="E34" i="187"/>
  <c r="A34" i="187"/>
  <c r="E33" i="187"/>
  <c r="A33" i="187"/>
  <c r="E32" i="187"/>
  <c r="A32" i="187"/>
  <c r="E31" i="187"/>
  <c r="A31" i="187"/>
  <c r="E30" i="187"/>
  <c r="A30" i="187"/>
  <c r="E29" i="187"/>
  <c r="A29" i="187"/>
  <c r="E28" i="187"/>
  <c r="A28" i="187"/>
  <c r="E27" i="187"/>
  <c r="A27" i="187"/>
  <c r="E26" i="187"/>
  <c r="A26" i="187"/>
  <c r="E25" i="187"/>
  <c r="A25" i="187"/>
  <c r="E24" i="187"/>
  <c r="A24" i="187"/>
  <c r="E23" i="187"/>
  <c r="A23" i="187"/>
  <c r="E22" i="187"/>
  <c r="A22" i="187"/>
  <c r="E21" i="187"/>
  <c r="A21" i="187"/>
  <c r="E20" i="187"/>
  <c r="A20" i="187"/>
  <c r="E19" i="187"/>
  <c r="A19" i="187"/>
  <c r="A18" i="187"/>
  <c r="E17" i="187"/>
  <c r="A17" i="187"/>
  <c r="E16" i="187"/>
  <c r="A16" i="187"/>
  <c r="E15" i="187"/>
  <c r="A15" i="187"/>
  <c r="E14" i="187"/>
  <c r="A14" i="187"/>
  <c r="A13" i="187"/>
  <c r="A12" i="187"/>
  <c r="A11" i="187"/>
  <c r="A4" i="187"/>
  <c r="A14" i="74"/>
  <c r="A13" i="74"/>
  <c r="C12" i="74"/>
  <c r="A12" i="74"/>
  <c r="C11" i="74"/>
  <c r="A11" i="74"/>
  <c r="A4" i="74"/>
  <c r="A3" i="74"/>
  <c r="A2" i="74"/>
  <c r="A1" i="74"/>
  <c r="A24" i="70"/>
  <c r="A23" i="70"/>
  <c r="C22" i="70"/>
  <c r="A22" i="70"/>
  <c r="C21" i="70"/>
  <c r="A21" i="70"/>
  <c r="C20" i="70"/>
  <c r="A20" i="70"/>
  <c r="A19" i="70"/>
  <c r="C18" i="70"/>
  <c r="A18" i="70"/>
  <c r="C17" i="70"/>
  <c r="A17" i="70"/>
  <c r="C16" i="70"/>
  <c r="A16" i="70"/>
  <c r="A15" i="70"/>
  <c r="A14" i="70"/>
  <c r="A13" i="70"/>
  <c r="A12" i="70"/>
  <c r="A11" i="70"/>
  <c r="A4" i="70"/>
  <c r="A3" i="70"/>
  <c r="A2" i="70"/>
  <c r="E30" i="181"/>
  <c r="D29" i="181"/>
  <c r="C28" i="181"/>
  <c r="J19" i="181"/>
  <c r="G19" i="181"/>
  <c r="J16" i="181"/>
  <c r="F16" i="181"/>
  <c r="E16" i="181"/>
  <c r="J13" i="181"/>
  <c r="D13" i="181"/>
  <c r="C13" i="181"/>
  <c r="A3" i="181"/>
  <c r="A2" i="181"/>
  <c r="A1" i="181"/>
  <c r="E14" i="3"/>
  <c r="C14" i="3"/>
  <c r="E13" i="3"/>
  <c r="E12" i="3"/>
  <c r="E11" i="3"/>
  <c r="E10" i="3"/>
  <c r="A4" i="3"/>
  <c r="A3" i="3"/>
  <c r="A2" i="3"/>
  <c r="A1" i="3"/>
  <c r="C16" i="32"/>
  <c r="C15" i="32"/>
  <c r="F14" i="32"/>
  <c r="E14" i="32"/>
  <c r="D14" i="32"/>
  <c r="C14" i="32"/>
  <c r="F13" i="32"/>
  <c r="E13" i="32"/>
  <c r="D13" i="32"/>
  <c r="C13" i="32"/>
  <c r="F12" i="32"/>
  <c r="E12" i="32"/>
  <c r="D12" i="32"/>
  <c r="C12" i="32"/>
  <c r="F11" i="32"/>
  <c r="E11" i="32"/>
  <c r="D11" i="32"/>
  <c r="C11" i="32"/>
  <c r="F10" i="32"/>
  <c r="E10" i="32"/>
  <c r="D10" i="32"/>
  <c r="C10" i="32"/>
  <c r="A4" i="32"/>
  <c r="A3" i="32"/>
  <c r="A2" i="32"/>
  <c r="A1" i="32"/>
  <c r="F190" i="31"/>
  <c r="E190" i="31"/>
  <c r="D190" i="31"/>
  <c r="A190" i="31"/>
  <c r="F189" i="31"/>
  <c r="E189" i="31"/>
  <c r="D189" i="31"/>
  <c r="A189" i="31"/>
  <c r="F188" i="31"/>
  <c r="A188" i="31"/>
  <c r="F187" i="31"/>
  <c r="A187" i="31"/>
  <c r="F186" i="31"/>
  <c r="A186" i="31"/>
  <c r="F185" i="31"/>
  <c r="A185" i="31"/>
  <c r="F184" i="31"/>
  <c r="A184" i="31"/>
  <c r="F183" i="31"/>
  <c r="A183" i="31"/>
  <c r="F182" i="31"/>
  <c r="A182" i="31"/>
  <c r="F181" i="31"/>
  <c r="A181" i="31"/>
  <c r="F180" i="31"/>
  <c r="A180" i="31"/>
  <c r="F179" i="31"/>
  <c r="A179" i="31"/>
  <c r="A178" i="31"/>
  <c r="A177" i="31"/>
  <c r="F176" i="31"/>
  <c r="E176" i="31"/>
  <c r="D176" i="31"/>
  <c r="A176" i="31"/>
  <c r="F175" i="31"/>
  <c r="A175" i="31"/>
  <c r="F174" i="31"/>
  <c r="A174" i="31"/>
  <c r="F173" i="31"/>
  <c r="A173" i="31"/>
  <c r="F172" i="31"/>
  <c r="A172" i="31"/>
  <c r="F171" i="31"/>
  <c r="A171" i="31"/>
  <c r="F170" i="31"/>
  <c r="A170" i="31"/>
  <c r="F169" i="31"/>
  <c r="A169" i="31"/>
  <c r="F168" i="31"/>
  <c r="A168" i="31"/>
  <c r="F167" i="31"/>
  <c r="A167" i="31"/>
  <c r="F166" i="31"/>
  <c r="A166" i="31"/>
  <c r="A165" i="31"/>
  <c r="AQ164" i="31"/>
  <c r="AP164" i="31"/>
  <c r="AO164" i="31"/>
  <c r="AN164" i="31"/>
  <c r="AL164" i="31"/>
  <c r="AK164" i="31"/>
  <c r="AJ164" i="31"/>
  <c r="AH164" i="31"/>
  <c r="AG164" i="31"/>
  <c r="AF164" i="31"/>
  <c r="AB164" i="31"/>
  <c r="AA164" i="31"/>
  <c r="Y164" i="31"/>
  <c r="X164" i="31"/>
  <c r="W164" i="31"/>
  <c r="V164" i="31"/>
  <c r="U164" i="31"/>
  <c r="S164" i="31"/>
  <c r="Q164" i="31"/>
  <c r="P164" i="31"/>
  <c r="O164" i="31"/>
  <c r="N164" i="31"/>
  <c r="M164" i="31"/>
  <c r="L164" i="31"/>
  <c r="A164" i="31"/>
  <c r="F163" i="31"/>
  <c r="E163" i="31"/>
  <c r="D163" i="31"/>
  <c r="A163" i="31"/>
  <c r="F162" i="31"/>
  <c r="A162" i="31"/>
  <c r="F161" i="31"/>
  <c r="A161" i="31"/>
  <c r="F160" i="31"/>
  <c r="A160" i="31"/>
  <c r="F159" i="31"/>
  <c r="A159" i="31"/>
  <c r="F158" i="31"/>
  <c r="A158" i="31"/>
  <c r="F157" i="31"/>
  <c r="A157" i="31"/>
  <c r="A156" i="31"/>
  <c r="A155" i="31"/>
  <c r="AU154" i="31"/>
  <c r="AQ154" i="31"/>
  <c r="AP154" i="31"/>
  <c r="AO154" i="31"/>
  <c r="AN154" i="31"/>
  <c r="AL154" i="31"/>
  <c r="AK154" i="31"/>
  <c r="AJ154" i="31"/>
  <c r="AH154" i="31"/>
  <c r="AG154" i="31"/>
  <c r="AF154" i="31"/>
  <c r="AB154" i="31"/>
  <c r="AA154" i="31"/>
  <c r="Y154" i="31"/>
  <c r="X154" i="31"/>
  <c r="W154" i="31"/>
  <c r="V154" i="31"/>
  <c r="U154" i="31"/>
  <c r="S154" i="31"/>
  <c r="Q154" i="31"/>
  <c r="P154" i="31"/>
  <c r="O154" i="31"/>
  <c r="N154" i="31"/>
  <c r="M154" i="31"/>
  <c r="L154" i="31"/>
  <c r="F154" i="31"/>
  <c r="E154" i="31"/>
  <c r="D154" i="31"/>
  <c r="A154" i="31"/>
  <c r="AQ153" i="31"/>
  <c r="AP153" i="31"/>
  <c r="AO153" i="31"/>
  <c r="AN153" i="31"/>
  <c r="AL153" i="31"/>
  <c r="AK153" i="31"/>
  <c r="AJ153" i="31"/>
  <c r="AH153" i="31"/>
  <c r="AG153" i="31"/>
  <c r="AF153" i="31"/>
  <c r="AB153" i="31"/>
  <c r="AA153" i="31"/>
  <c r="Y153" i="31"/>
  <c r="X153" i="31"/>
  <c r="W153" i="31"/>
  <c r="V153" i="31"/>
  <c r="U153" i="31"/>
  <c r="S153" i="31"/>
  <c r="Q153" i="31"/>
  <c r="P153" i="31"/>
  <c r="O153" i="31"/>
  <c r="N153" i="31"/>
  <c r="M153" i="31"/>
  <c r="L153" i="31"/>
  <c r="F153" i="31"/>
  <c r="E153" i="31"/>
  <c r="D153" i="31"/>
  <c r="A153" i="31"/>
  <c r="AU152" i="31"/>
  <c r="AQ152" i="31"/>
  <c r="AP152" i="31"/>
  <c r="AO152" i="31"/>
  <c r="AN152" i="31"/>
  <c r="AL152" i="31"/>
  <c r="AK152" i="31"/>
  <c r="AJ152" i="31"/>
  <c r="AH152" i="31"/>
  <c r="AG152" i="31"/>
  <c r="AF152" i="31"/>
  <c r="AB152" i="31"/>
  <c r="AA152" i="31"/>
  <c r="Y152" i="31"/>
  <c r="X152" i="31"/>
  <c r="W152" i="31"/>
  <c r="V152" i="31"/>
  <c r="U152" i="31"/>
  <c r="S152" i="31"/>
  <c r="Q152" i="31"/>
  <c r="P152" i="31"/>
  <c r="O152" i="31"/>
  <c r="N152" i="31"/>
  <c r="M152" i="31"/>
  <c r="L152" i="31"/>
  <c r="F152" i="31"/>
  <c r="E152" i="31"/>
  <c r="D152" i="31"/>
  <c r="A152" i="31"/>
  <c r="AR151" i="31"/>
  <c r="AH151" i="31"/>
  <c r="AD151" i="31"/>
  <c r="AC151" i="31"/>
  <c r="F151" i="31"/>
  <c r="A151" i="31"/>
  <c r="AR150" i="31"/>
  <c r="AH150" i="31"/>
  <c r="AD150" i="31"/>
  <c r="AC150" i="31"/>
  <c r="F150" i="31"/>
  <c r="A150" i="31"/>
  <c r="AR149" i="31"/>
  <c r="AH149" i="31"/>
  <c r="AD149" i="31"/>
  <c r="AC149" i="31"/>
  <c r="F149" i="31"/>
  <c r="A149" i="31"/>
  <c r="AR148" i="31"/>
  <c r="AJ148" i="31"/>
  <c r="AH148" i="31"/>
  <c r="AF148" i="31"/>
  <c r="AD148" i="31"/>
  <c r="AC148" i="31"/>
  <c r="F148" i="31"/>
  <c r="A148" i="31"/>
  <c r="AR147" i="31"/>
  <c r="AH147" i="31"/>
  <c r="AD147" i="31"/>
  <c r="AC147" i="31"/>
  <c r="F147" i="31"/>
  <c r="A147" i="31"/>
  <c r="AQ146" i="31"/>
  <c r="AP146" i="31"/>
  <c r="AO146" i="31"/>
  <c r="AN146" i="31"/>
  <c r="AL146" i="31"/>
  <c r="AK146" i="31"/>
  <c r="AJ146" i="31"/>
  <c r="AH146" i="31"/>
  <c r="AG146" i="31"/>
  <c r="AF146" i="31"/>
  <c r="AB146" i="31"/>
  <c r="AA146" i="31"/>
  <c r="Y146" i="31"/>
  <c r="X146" i="31"/>
  <c r="W146" i="31"/>
  <c r="V146" i="31"/>
  <c r="U146" i="31"/>
  <c r="S146" i="31"/>
  <c r="Q146" i="31"/>
  <c r="P146" i="31"/>
  <c r="O146" i="31"/>
  <c r="N146" i="31"/>
  <c r="M146" i="31"/>
  <c r="L146" i="31"/>
  <c r="F146" i="31"/>
  <c r="A146" i="31"/>
  <c r="A145" i="31"/>
  <c r="A144" i="31"/>
  <c r="AV143" i="31"/>
  <c r="AU143" i="31"/>
  <c r="AT143" i="31"/>
  <c r="AR143" i="31"/>
  <c r="AL143" i="31"/>
  <c r="AJ143" i="31"/>
  <c r="AH143" i="31"/>
  <c r="AF143" i="31"/>
  <c r="AD143" i="31"/>
  <c r="AC143" i="31"/>
  <c r="Y143" i="31"/>
  <c r="U143" i="31"/>
  <c r="M143" i="31"/>
  <c r="F143" i="31"/>
  <c r="A143" i="31"/>
  <c r="A142" i="31"/>
  <c r="A141" i="31"/>
  <c r="AR140" i="31"/>
  <c r="AH140" i="31"/>
  <c r="AD140" i="31"/>
  <c r="AC140" i="31"/>
  <c r="F140" i="31"/>
  <c r="A140" i="31"/>
  <c r="A139" i="31"/>
  <c r="AV138" i="31"/>
  <c r="AU138" i="31"/>
  <c r="AT138" i="31"/>
  <c r="AR138" i="31"/>
  <c r="AQ138" i="31"/>
  <c r="AP138" i="31"/>
  <c r="AO138" i="31"/>
  <c r="AN138" i="31"/>
  <c r="AM138" i="31"/>
  <c r="AL138" i="31"/>
  <c r="AK138" i="31"/>
  <c r="AJ138" i="31"/>
  <c r="AH138" i="31"/>
  <c r="AG138" i="31"/>
  <c r="AF138" i="31"/>
  <c r="AD138" i="31"/>
  <c r="AC138" i="31"/>
  <c r="AB138" i="31"/>
  <c r="AA138" i="31"/>
  <c r="Z138" i="31"/>
  <c r="Y138" i="31"/>
  <c r="X138" i="31"/>
  <c r="W138" i="31"/>
  <c r="V138" i="31"/>
  <c r="U138" i="31"/>
  <c r="T138" i="31"/>
  <c r="S138" i="31"/>
  <c r="R138" i="31"/>
  <c r="Q138" i="31"/>
  <c r="P138" i="31"/>
  <c r="O138" i="31"/>
  <c r="N138" i="31"/>
  <c r="M138" i="31"/>
  <c r="L138" i="31"/>
  <c r="K138" i="31"/>
  <c r="J138" i="31"/>
  <c r="I138" i="31"/>
  <c r="H138" i="31"/>
  <c r="F138" i="31"/>
  <c r="E138" i="31"/>
  <c r="D138" i="31"/>
  <c r="A138" i="31"/>
  <c r="AR137" i="31"/>
  <c r="AH137" i="31"/>
  <c r="AD137" i="31"/>
  <c r="AC137" i="31"/>
  <c r="F137" i="31"/>
  <c r="A137" i="31"/>
  <c r="AR136" i="31"/>
  <c r="AH136" i="31"/>
  <c r="AD136" i="31"/>
  <c r="AC136" i="31"/>
  <c r="F136" i="31"/>
  <c r="A136" i="31"/>
  <c r="AR135" i="31"/>
  <c r="AH135" i="31"/>
  <c r="AD135" i="31"/>
  <c r="AC135" i="31"/>
  <c r="F135" i="31"/>
  <c r="A135" i="31"/>
  <c r="AR134" i="31"/>
  <c r="AH134" i="31"/>
  <c r="AD134" i="31"/>
  <c r="AC134" i="31"/>
  <c r="F134" i="31"/>
  <c r="A134" i="31"/>
  <c r="AR133" i="31"/>
  <c r="AH133" i="31"/>
  <c r="AD133" i="31"/>
  <c r="AC133" i="31"/>
  <c r="F133" i="31"/>
  <c r="A133" i="31"/>
  <c r="AR132" i="31"/>
  <c r="AH132" i="31"/>
  <c r="AD132" i="31"/>
  <c r="AC132" i="31"/>
  <c r="F132" i="31"/>
  <c r="A132" i="31"/>
  <c r="AR131" i="31"/>
  <c r="AJ131" i="31"/>
  <c r="AH131" i="31"/>
  <c r="AF131" i="31"/>
  <c r="AD131" i="31"/>
  <c r="AC131" i="31"/>
  <c r="J131" i="31"/>
  <c r="F131" i="31"/>
  <c r="A131" i="31"/>
  <c r="A130" i="31"/>
  <c r="A129" i="31"/>
  <c r="AQ128" i="31"/>
  <c r="AP128" i="31"/>
  <c r="AO128" i="31"/>
  <c r="AN128" i="31"/>
  <c r="AL128" i="31"/>
  <c r="AK128" i="31"/>
  <c r="AJ128" i="31"/>
  <c r="AH128" i="31"/>
  <c r="AG128" i="31"/>
  <c r="AF128" i="31"/>
  <c r="AB128" i="31"/>
  <c r="AA128" i="31"/>
  <c r="Y128" i="31"/>
  <c r="X128" i="31"/>
  <c r="W128" i="31"/>
  <c r="V128" i="31"/>
  <c r="U128" i="31"/>
  <c r="T128" i="31"/>
  <c r="S128" i="31"/>
  <c r="R128" i="31"/>
  <c r="Q128" i="31"/>
  <c r="P128" i="31"/>
  <c r="O128" i="31"/>
  <c r="N128" i="31"/>
  <c r="M128" i="31"/>
  <c r="L128" i="31"/>
  <c r="F128" i="31"/>
  <c r="E128" i="31"/>
  <c r="D128" i="31"/>
  <c r="A128" i="31"/>
  <c r="A127" i="31"/>
  <c r="AU126" i="31"/>
  <c r="AQ126" i="31"/>
  <c r="AP126" i="31"/>
  <c r="AO126" i="31"/>
  <c r="AN126" i="31"/>
  <c r="AL126" i="31"/>
  <c r="AK126" i="31"/>
  <c r="AJ126" i="31"/>
  <c r="AH126" i="31"/>
  <c r="AG126" i="31"/>
  <c r="AF126" i="31"/>
  <c r="AB126" i="31"/>
  <c r="AA126" i="31"/>
  <c r="Y126" i="31"/>
  <c r="X126" i="31"/>
  <c r="W126" i="31"/>
  <c r="V126" i="31"/>
  <c r="U126" i="31"/>
  <c r="T126" i="31"/>
  <c r="S126" i="31"/>
  <c r="R126" i="31"/>
  <c r="Q126" i="31"/>
  <c r="P126" i="31"/>
  <c r="O126" i="31"/>
  <c r="N126" i="31"/>
  <c r="M126" i="31"/>
  <c r="L126" i="31"/>
  <c r="K126" i="31"/>
  <c r="J126" i="31"/>
  <c r="I126" i="31"/>
  <c r="H126" i="31"/>
  <c r="F126" i="31"/>
  <c r="E126" i="31"/>
  <c r="D126" i="31"/>
  <c r="A126" i="31"/>
  <c r="AR125" i="31"/>
  <c r="AH125" i="31"/>
  <c r="AD125" i="31"/>
  <c r="AC125" i="31"/>
  <c r="F125" i="31"/>
  <c r="A125" i="31"/>
  <c r="AQ124" i="31"/>
  <c r="AP124" i="31"/>
  <c r="AO124" i="31"/>
  <c r="AN124" i="31"/>
  <c r="AL124" i="31"/>
  <c r="AK124" i="31"/>
  <c r="AJ124" i="31"/>
  <c r="AH124" i="31"/>
  <c r="AG124" i="31"/>
  <c r="AF124" i="31"/>
  <c r="AB124" i="31"/>
  <c r="AA124" i="31"/>
  <c r="Y124" i="31"/>
  <c r="X124" i="31"/>
  <c r="W124" i="31"/>
  <c r="V124" i="31"/>
  <c r="U124" i="31"/>
  <c r="T124" i="31"/>
  <c r="S124" i="31"/>
  <c r="R124" i="31"/>
  <c r="Q124" i="31"/>
  <c r="P124" i="31"/>
  <c r="O124" i="31"/>
  <c r="N124" i="31"/>
  <c r="M124" i="31"/>
  <c r="L124" i="31"/>
  <c r="K124" i="31"/>
  <c r="J124" i="31"/>
  <c r="I124" i="31"/>
  <c r="H124" i="31"/>
  <c r="F124" i="31"/>
  <c r="E124" i="31"/>
  <c r="D124" i="31"/>
  <c r="A124" i="31"/>
  <c r="AR123" i="31"/>
  <c r="AQ123" i="31"/>
  <c r="AL123" i="31"/>
  <c r="AH123" i="31"/>
  <c r="AD123" i="31"/>
  <c r="AC123" i="31"/>
  <c r="AB123" i="31"/>
  <c r="U123" i="31"/>
  <c r="N123" i="31"/>
  <c r="M123" i="31"/>
  <c r="F123" i="31"/>
  <c r="A123" i="31"/>
  <c r="AR122" i="31"/>
  <c r="AQ122" i="31"/>
  <c r="AH122" i="31"/>
  <c r="AD122" i="31"/>
  <c r="AC122" i="31"/>
  <c r="AB122" i="31"/>
  <c r="N122" i="31"/>
  <c r="F122" i="31"/>
  <c r="A122" i="31"/>
  <c r="AR121" i="31"/>
  <c r="AQ121" i="31"/>
  <c r="AH121" i="31"/>
  <c r="AD121" i="31"/>
  <c r="AC121" i="31"/>
  <c r="AB121" i="31"/>
  <c r="O121" i="31"/>
  <c r="N121" i="31"/>
  <c r="F121" i="31"/>
  <c r="A121" i="31"/>
  <c r="AR120" i="31"/>
  <c r="AQ120" i="31"/>
  <c r="AH120" i="31"/>
  <c r="AD120" i="31"/>
  <c r="AC120" i="31"/>
  <c r="AB120" i="31"/>
  <c r="N120" i="31"/>
  <c r="L120" i="31"/>
  <c r="F120" i="31"/>
  <c r="A120" i="31"/>
  <c r="AR119" i="31"/>
  <c r="AQ119" i="31"/>
  <c r="AH119" i="31"/>
  <c r="AD119" i="31"/>
  <c r="AC119" i="31"/>
  <c r="AB119" i="31"/>
  <c r="N119" i="31"/>
  <c r="F119" i="31"/>
  <c r="A119" i="31"/>
  <c r="AQ118" i="31"/>
  <c r="AN118" i="31"/>
  <c r="AM118" i="31"/>
  <c r="AM124" i="31" s="1"/>
  <c r="AH118" i="31"/>
  <c r="AB118" i="31"/>
  <c r="Z118" i="31"/>
  <c r="X193" i="214" s="1"/>
  <c r="X118" i="31"/>
  <c r="N118" i="31"/>
  <c r="F118" i="31"/>
  <c r="A118" i="31"/>
  <c r="AR117" i="31"/>
  <c r="AQ117" i="31"/>
  <c r="AH117" i="31"/>
  <c r="AD117" i="31"/>
  <c r="AC117" i="31"/>
  <c r="AB117" i="31"/>
  <c r="N117" i="31"/>
  <c r="F117" i="31"/>
  <c r="A117" i="31"/>
  <c r="AR116" i="31"/>
  <c r="AQ116" i="31"/>
  <c r="AH116" i="31"/>
  <c r="AD116" i="31"/>
  <c r="AC116" i="31"/>
  <c r="AB116" i="31"/>
  <c r="N116" i="31"/>
  <c r="F116" i="31"/>
  <c r="A116" i="31"/>
  <c r="AR115" i="31"/>
  <c r="AQ115" i="31"/>
  <c r="AP115" i="31"/>
  <c r="AH115" i="31"/>
  <c r="AD115" i="31"/>
  <c r="AC115" i="31"/>
  <c r="AB115" i="31"/>
  <c r="W115" i="31"/>
  <c r="N115" i="31"/>
  <c r="F115" i="31"/>
  <c r="A115" i="31"/>
  <c r="AR114" i="31"/>
  <c r="AQ114" i="31"/>
  <c r="AH114" i="31"/>
  <c r="AD114" i="31"/>
  <c r="AC114" i="31"/>
  <c r="AB114" i="31"/>
  <c r="P114" i="31"/>
  <c r="N114" i="31"/>
  <c r="F114" i="31"/>
  <c r="A114" i="31"/>
  <c r="AR113" i="31"/>
  <c r="AQ113" i="31"/>
  <c r="AL113" i="31"/>
  <c r="AH113" i="31"/>
  <c r="AD113" i="31"/>
  <c r="AC113" i="31"/>
  <c r="AB113" i="31"/>
  <c r="U113" i="31"/>
  <c r="Q113" i="31"/>
  <c r="N113" i="31"/>
  <c r="F113" i="31"/>
  <c r="A113" i="31"/>
  <c r="A112" i="31"/>
  <c r="A111" i="31"/>
  <c r="AV110" i="31"/>
  <c r="AU110" i="31"/>
  <c r="AT110" i="31"/>
  <c r="AR110" i="31"/>
  <c r="AQ110" i="31"/>
  <c r="AP110" i="31"/>
  <c r="AO110" i="31"/>
  <c r="AN110" i="31"/>
  <c r="AM110" i="31"/>
  <c r="AL110" i="31"/>
  <c r="AK110" i="31"/>
  <c r="AJ110" i="31"/>
  <c r="AH110" i="31"/>
  <c r="AG110" i="31"/>
  <c r="AF110" i="31"/>
  <c r="AD110" i="31"/>
  <c r="AC110" i="31"/>
  <c r="AB110" i="31"/>
  <c r="AA110" i="31"/>
  <c r="Z110" i="31"/>
  <c r="Y110" i="31"/>
  <c r="X110" i="31"/>
  <c r="W110" i="31"/>
  <c r="V110" i="31"/>
  <c r="U110" i="31"/>
  <c r="T110" i="31"/>
  <c r="S110" i="31"/>
  <c r="R110" i="31"/>
  <c r="Q110" i="31"/>
  <c r="P110" i="31"/>
  <c r="O110" i="31"/>
  <c r="N110" i="31"/>
  <c r="M110" i="31"/>
  <c r="L110" i="31"/>
  <c r="K110" i="31"/>
  <c r="J110" i="31"/>
  <c r="I110" i="31"/>
  <c r="H110" i="31"/>
  <c r="F110" i="31"/>
  <c r="E110" i="31"/>
  <c r="D110" i="31"/>
  <c r="A110" i="31"/>
  <c r="AR109" i="31"/>
  <c r="AQ109" i="31"/>
  <c r="AH109" i="31"/>
  <c r="AD109" i="31"/>
  <c r="AC109" i="31"/>
  <c r="AB109" i="31"/>
  <c r="N109" i="31"/>
  <c r="F109" i="31"/>
  <c r="A109" i="31"/>
  <c r="AR108" i="31"/>
  <c r="AQ108" i="31"/>
  <c r="AH108" i="31"/>
  <c r="AD108" i="31"/>
  <c r="AC108" i="31"/>
  <c r="AB108" i="31"/>
  <c r="N108" i="31"/>
  <c r="L108" i="31"/>
  <c r="F108" i="31"/>
  <c r="A108" i="31"/>
  <c r="AR107" i="31"/>
  <c r="AQ107" i="31"/>
  <c r="AL107" i="31"/>
  <c r="AH107" i="31"/>
  <c r="AD107" i="31"/>
  <c r="AC107" i="31"/>
  <c r="AB107" i="31"/>
  <c r="U107" i="31"/>
  <c r="N107" i="31"/>
  <c r="F107" i="31"/>
  <c r="A107" i="31"/>
  <c r="AR106" i="31"/>
  <c r="AQ106" i="31"/>
  <c r="AH106" i="31"/>
  <c r="AD106" i="31"/>
  <c r="AC106" i="31"/>
  <c r="AB106" i="31"/>
  <c r="N106" i="31"/>
  <c r="F106" i="31"/>
  <c r="A106" i="31"/>
  <c r="A105" i="31"/>
  <c r="A104" i="31"/>
  <c r="AV103" i="31"/>
  <c r="AU103" i="31"/>
  <c r="AT103" i="31"/>
  <c r="AR103" i="31"/>
  <c r="AQ103" i="31"/>
  <c r="AP103" i="31"/>
  <c r="AO103" i="31"/>
  <c r="AN103" i="31"/>
  <c r="AM103" i="31"/>
  <c r="AL103" i="31"/>
  <c r="AK103" i="31"/>
  <c r="AJ103" i="31"/>
  <c r="AH103" i="31"/>
  <c r="AG103" i="31"/>
  <c r="AF103" i="31"/>
  <c r="AD103" i="31"/>
  <c r="AC103" i="31"/>
  <c r="AB103" i="31"/>
  <c r="AA103" i="31"/>
  <c r="Z103" i="31"/>
  <c r="Y103" i="31"/>
  <c r="X103" i="31"/>
  <c r="W103" i="31"/>
  <c r="V103" i="31"/>
  <c r="U103" i="31"/>
  <c r="T103" i="31"/>
  <c r="S103" i="31"/>
  <c r="R103" i="31"/>
  <c r="Q103" i="31"/>
  <c r="P103" i="31"/>
  <c r="O103" i="31"/>
  <c r="N103" i="31"/>
  <c r="M103" i="31"/>
  <c r="L103" i="31"/>
  <c r="K103" i="31"/>
  <c r="J103" i="31"/>
  <c r="I103" i="31"/>
  <c r="H103" i="31"/>
  <c r="F103" i="31"/>
  <c r="E103" i="31"/>
  <c r="D103" i="31"/>
  <c r="A103" i="31"/>
  <c r="AR102" i="31"/>
  <c r="AQ102" i="31"/>
  <c r="AL102" i="31"/>
  <c r="AH102" i="31"/>
  <c r="AD102" i="31"/>
  <c r="AC102" i="31"/>
  <c r="AB102" i="31"/>
  <c r="U102" i="31"/>
  <c r="N102" i="31"/>
  <c r="F102" i="31"/>
  <c r="A102" i="31"/>
  <c r="AR101" i="31"/>
  <c r="AQ101" i="31"/>
  <c r="AH101" i="31"/>
  <c r="AD101" i="31"/>
  <c r="AC101" i="31"/>
  <c r="AB101" i="31"/>
  <c r="N101" i="31"/>
  <c r="F101" i="31"/>
  <c r="A101" i="31"/>
  <c r="AR100" i="31"/>
  <c r="AQ100" i="31"/>
  <c r="AL100" i="31"/>
  <c r="AH100" i="31"/>
  <c r="AD100" i="31"/>
  <c r="AC100" i="31"/>
  <c r="AB100" i="31"/>
  <c r="U100" i="31"/>
  <c r="Q100" i="31"/>
  <c r="N100" i="31"/>
  <c r="H100" i="31"/>
  <c r="F100" i="31"/>
  <c r="A100" i="31"/>
  <c r="AR99" i="31"/>
  <c r="AQ99" i="31"/>
  <c r="AH99" i="31"/>
  <c r="AD99" i="31"/>
  <c r="AC99" i="31"/>
  <c r="AB99" i="31"/>
  <c r="N99" i="31"/>
  <c r="F99" i="31"/>
  <c r="A99" i="31"/>
  <c r="A98" i="31"/>
  <c r="A97" i="31"/>
  <c r="AV96" i="31"/>
  <c r="AU96" i="31"/>
  <c r="AR96" i="31"/>
  <c r="AQ96" i="31"/>
  <c r="AP96" i="31"/>
  <c r="AO96" i="31"/>
  <c r="AN96" i="31"/>
  <c r="AM96" i="31"/>
  <c r="AL96" i="31"/>
  <c r="AK96" i="31"/>
  <c r="AJ96" i="31"/>
  <c r="AH96" i="31"/>
  <c r="AG96" i="31"/>
  <c r="AF96" i="31"/>
  <c r="AB96" i="31"/>
  <c r="AA96" i="31"/>
  <c r="Z96" i="31"/>
  <c r="Y96" i="31"/>
  <c r="X96" i="31"/>
  <c r="W96" i="31"/>
  <c r="V96" i="31"/>
  <c r="U96" i="31"/>
  <c r="T96" i="31"/>
  <c r="S96" i="31"/>
  <c r="R96" i="31"/>
  <c r="Q96" i="31"/>
  <c r="P96" i="31"/>
  <c r="O96" i="31"/>
  <c r="N96" i="31"/>
  <c r="M96" i="31"/>
  <c r="L96" i="31"/>
  <c r="F96" i="31"/>
  <c r="E96" i="31"/>
  <c r="D96" i="31"/>
  <c r="A96" i="31"/>
  <c r="AR95" i="31"/>
  <c r="AQ95" i="31"/>
  <c r="AH95" i="31"/>
  <c r="AD95" i="31"/>
  <c r="AC95" i="31"/>
  <c r="AB95" i="31"/>
  <c r="N95" i="31"/>
  <c r="F95" i="31"/>
  <c r="A95" i="31"/>
  <c r="AR94" i="31"/>
  <c r="AQ94" i="31"/>
  <c r="AP94" i="31"/>
  <c r="AO94" i="31"/>
  <c r="AN94" i="31"/>
  <c r="AM94" i="31"/>
  <c r="AL94" i="31"/>
  <c r="AK94" i="31"/>
  <c r="AJ94" i="31"/>
  <c r="AH94" i="31"/>
  <c r="AG94" i="31"/>
  <c r="AF94" i="31"/>
  <c r="AB94" i="31"/>
  <c r="AA94" i="31"/>
  <c r="Z94" i="31"/>
  <c r="Y94" i="31"/>
  <c r="X94" i="31"/>
  <c r="W94" i="31"/>
  <c r="V94" i="31"/>
  <c r="U94" i="31"/>
  <c r="T94" i="31"/>
  <c r="S94" i="31"/>
  <c r="R94" i="31"/>
  <c r="Q94" i="31"/>
  <c r="P94" i="31"/>
  <c r="O94" i="31"/>
  <c r="N94" i="31"/>
  <c r="M94" i="31"/>
  <c r="L94" i="31"/>
  <c r="F94" i="31"/>
  <c r="A94" i="31"/>
  <c r="AR93" i="31"/>
  <c r="AQ93" i="31"/>
  <c r="AL93" i="31"/>
  <c r="AK93" i="31"/>
  <c r="AH93" i="31"/>
  <c r="AG93" i="31"/>
  <c r="AD93" i="31"/>
  <c r="AC93" i="31"/>
  <c r="AB93" i="31"/>
  <c r="U93" i="31"/>
  <c r="N93" i="31"/>
  <c r="M93" i="31"/>
  <c r="F93" i="31"/>
  <c r="A93" i="31"/>
  <c r="AR92" i="31"/>
  <c r="AQ92" i="31"/>
  <c r="AL92" i="31"/>
  <c r="AH92" i="31"/>
  <c r="AD92" i="31"/>
  <c r="AC92" i="31"/>
  <c r="AB92" i="31"/>
  <c r="U92" i="31"/>
  <c r="N92" i="31"/>
  <c r="M92" i="31"/>
  <c r="F92" i="31"/>
  <c r="A92" i="31"/>
  <c r="AR91" i="31"/>
  <c r="AQ91" i="31"/>
  <c r="AL91" i="31"/>
  <c r="AH91" i="31"/>
  <c r="AD91" i="31"/>
  <c r="AC91" i="31"/>
  <c r="AB91" i="31"/>
  <c r="U91" i="31"/>
  <c r="N91" i="31"/>
  <c r="F91" i="31"/>
  <c r="A91" i="31"/>
  <c r="A90" i="31"/>
  <c r="A89" i="31"/>
  <c r="AV88" i="31"/>
  <c r="AU88" i="31"/>
  <c r="AT88" i="31"/>
  <c r="AR88" i="31"/>
  <c r="AQ88" i="31"/>
  <c r="AP88" i="31"/>
  <c r="AO88" i="31"/>
  <c r="AN88" i="31"/>
  <c r="AM88" i="31"/>
  <c r="AL88" i="31"/>
  <c r="AK88" i="31"/>
  <c r="AJ88" i="31"/>
  <c r="AH88" i="31"/>
  <c r="AG88" i="31"/>
  <c r="AF88" i="31"/>
  <c r="AD88" i="31"/>
  <c r="AC88" i="31"/>
  <c r="AB88" i="31"/>
  <c r="AA88" i="31"/>
  <c r="Z88" i="31"/>
  <c r="Y88" i="31"/>
  <c r="X88" i="31"/>
  <c r="W88" i="31"/>
  <c r="V88" i="31"/>
  <c r="U88" i="31"/>
  <c r="T88" i="31"/>
  <c r="S88" i="31"/>
  <c r="R88" i="31"/>
  <c r="Q88" i="31"/>
  <c r="P88" i="31"/>
  <c r="O88" i="31"/>
  <c r="N88" i="31"/>
  <c r="M88" i="31"/>
  <c r="L88" i="31"/>
  <c r="K88" i="31"/>
  <c r="J88" i="31"/>
  <c r="I88" i="31"/>
  <c r="H88" i="31"/>
  <c r="F88" i="31"/>
  <c r="E88" i="31"/>
  <c r="D88" i="31"/>
  <c r="A88" i="31"/>
  <c r="AR87" i="31"/>
  <c r="AQ87" i="31"/>
  <c r="AP87" i="31"/>
  <c r="AO87" i="31"/>
  <c r="AN87" i="31"/>
  <c r="AM87" i="31"/>
  <c r="AL87" i="31"/>
  <c r="AK87" i="31"/>
  <c r="AJ87" i="31"/>
  <c r="AH87" i="31"/>
  <c r="AG87" i="31"/>
  <c r="AF87" i="31"/>
  <c r="AD87" i="31"/>
  <c r="AC87" i="31"/>
  <c r="AB87" i="31"/>
  <c r="AA87" i="31"/>
  <c r="Z87" i="31"/>
  <c r="Y87" i="31"/>
  <c r="X87" i="31"/>
  <c r="W87" i="31"/>
  <c r="V87" i="31"/>
  <c r="U87" i="31"/>
  <c r="T87" i="31"/>
  <c r="S87" i="31"/>
  <c r="R87" i="31"/>
  <c r="Q87" i="31"/>
  <c r="P87" i="31"/>
  <c r="O87" i="31"/>
  <c r="N87" i="31"/>
  <c r="M87" i="31"/>
  <c r="L87" i="31"/>
  <c r="K87" i="31"/>
  <c r="J87" i="31"/>
  <c r="I87" i="31"/>
  <c r="H87" i="31"/>
  <c r="F87" i="31"/>
  <c r="E87" i="31"/>
  <c r="D87" i="31"/>
  <c r="A87" i="31"/>
  <c r="AR86" i="31"/>
  <c r="AQ86" i="31"/>
  <c r="AL86" i="31"/>
  <c r="AH86" i="31"/>
  <c r="AD86" i="31"/>
  <c r="AC86" i="31"/>
  <c r="AB86" i="31"/>
  <c r="U86" i="31"/>
  <c r="N86" i="31"/>
  <c r="M86" i="31"/>
  <c r="F86" i="31"/>
  <c r="A86" i="31"/>
  <c r="AR85" i="31"/>
  <c r="AQ85" i="31"/>
  <c r="AL85" i="31"/>
  <c r="AH85" i="31"/>
  <c r="AD85" i="31"/>
  <c r="AC85" i="31"/>
  <c r="AB85" i="31"/>
  <c r="U85" i="31"/>
  <c r="N85" i="31"/>
  <c r="M85" i="31"/>
  <c r="F85" i="31"/>
  <c r="A85" i="31"/>
  <c r="AR84" i="31"/>
  <c r="AQ84" i="31"/>
  <c r="AL84" i="31"/>
  <c r="AH84" i="31"/>
  <c r="AD84" i="31"/>
  <c r="AC84" i="31"/>
  <c r="AB84" i="31"/>
  <c r="U84" i="31"/>
  <c r="N84" i="31"/>
  <c r="M84" i="31"/>
  <c r="F84" i="31"/>
  <c r="A84" i="31"/>
  <c r="AR83" i="31"/>
  <c r="AQ83" i="31"/>
  <c r="AL83" i="31"/>
  <c r="AH83" i="31"/>
  <c r="AD83" i="31"/>
  <c r="AC83" i="31"/>
  <c r="AB83" i="31"/>
  <c r="U83" i="31"/>
  <c r="N83" i="31"/>
  <c r="M83" i="31"/>
  <c r="F83" i="31"/>
  <c r="A83" i="31"/>
  <c r="AR82" i="31"/>
  <c r="AQ82" i="31"/>
  <c r="AL82" i="31"/>
  <c r="AH82" i="31"/>
  <c r="AD82" i="31"/>
  <c r="AC82" i="31"/>
  <c r="AB82" i="31"/>
  <c r="U82" i="31"/>
  <c r="N82" i="31"/>
  <c r="M82" i="31"/>
  <c r="F82" i="31"/>
  <c r="A82" i="31"/>
  <c r="AR81" i="31"/>
  <c r="AQ81" i="31"/>
  <c r="AL81" i="31"/>
  <c r="AH81" i="31"/>
  <c r="AD81" i="31"/>
  <c r="AC81" i="31"/>
  <c r="AB81" i="31"/>
  <c r="U81" i="31"/>
  <c r="N81" i="31"/>
  <c r="M81" i="31"/>
  <c r="F81" i="31"/>
  <c r="A81" i="31"/>
  <c r="AR80" i="31"/>
  <c r="AQ80" i="31"/>
  <c r="AL80" i="31"/>
  <c r="AH80" i="31"/>
  <c r="AD80" i="31"/>
  <c r="AC80" i="31"/>
  <c r="AB80" i="31"/>
  <c r="U80" i="31"/>
  <c r="N80" i="31"/>
  <c r="M80" i="31"/>
  <c r="F80" i="31"/>
  <c r="A80" i="31"/>
  <c r="AR79" i="31"/>
  <c r="AQ79" i="31"/>
  <c r="AL79" i="31"/>
  <c r="AH79" i="31"/>
  <c r="AD79" i="31"/>
  <c r="AC79" i="31"/>
  <c r="AB79" i="31"/>
  <c r="V79" i="31"/>
  <c r="U79" i="31"/>
  <c r="N79" i="31"/>
  <c r="M79" i="31"/>
  <c r="F79" i="31"/>
  <c r="A79" i="31"/>
  <c r="AR78" i="31"/>
  <c r="AQ78" i="31"/>
  <c r="AH78" i="31"/>
  <c r="AD78" i="31"/>
  <c r="AC78" i="31"/>
  <c r="AB78" i="31"/>
  <c r="N78" i="31"/>
  <c r="F78" i="31"/>
  <c r="A78" i="31"/>
  <c r="AR77" i="31"/>
  <c r="AQ77" i="31"/>
  <c r="AL77" i="31"/>
  <c r="AH77" i="31"/>
  <c r="AD77" i="31"/>
  <c r="AC77" i="31"/>
  <c r="AB77" i="31"/>
  <c r="U77" i="31"/>
  <c r="N77" i="31"/>
  <c r="F77" i="31"/>
  <c r="A77" i="31"/>
  <c r="A76" i="31"/>
  <c r="A75" i="31"/>
  <c r="AR74" i="31"/>
  <c r="AQ74" i="31"/>
  <c r="AP74" i="31"/>
  <c r="AO74" i="31"/>
  <c r="AN74" i="31"/>
  <c r="AM74" i="31"/>
  <c r="AL74" i="31"/>
  <c r="AK74" i="31"/>
  <c r="AJ74" i="31"/>
  <c r="AH74" i="31"/>
  <c r="AG74" i="31"/>
  <c r="AF74" i="31"/>
  <c r="AD74" i="31"/>
  <c r="AC74" i="31"/>
  <c r="AB74" i="31"/>
  <c r="AA74" i="31"/>
  <c r="Z74" i="31"/>
  <c r="Y74" i="31"/>
  <c r="X74" i="31"/>
  <c r="W74" i="31"/>
  <c r="V74" i="31"/>
  <c r="U74" i="31"/>
  <c r="T74" i="31"/>
  <c r="S74" i="31"/>
  <c r="R74" i="31"/>
  <c r="Q74" i="31"/>
  <c r="P74" i="31"/>
  <c r="O74" i="31"/>
  <c r="N74" i="31"/>
  <c r="M74" i="31"/>
  <c r="L74" i="31"/>
  <c r="K74" i="31"/>
  <c r="J74" i="31"/>
  <c r="I74" i="31"/>
  <c r="H74" i="31"/>
  <c r="F74" i="31"/>
  <c r="E74" i="31"/>
  <c r="D74" i="31"/>
  <c r="A74" i="31"/>
  <c r="AR73" i="31"/>
  <c r="AQ73" i="31"/>
  <c r="AH73" i="31"/>
  <c r="AD73" i="31"/>
  <c r="AC73" i="31"/>
  <c r="AB73" i="31"/>
  <c r="N73" i="31"/>
  <c r="F73" i="31"/>
  <c r="A73" i="31"/>
  <c r="AR72" i="31"/>
  <c r="AQ72" i="31"/>
  <c r="AH72" i="31"/>
  <c r="AD72" i="31"/>
  <c r="AC72" i="31"/>
  <c r="AB72" i="31"/>
  <c r="N72" i="31"/>
  <c r="F72" i="31"/>
  <c r="A72" i="31"/>
  <c r="AR71" i="31"/>
  <c r="AQ71" i="31"/>
  <c r="AL71" i="31"/>
  <c r="AK71" i="31"/>
  <c r="AH71" i="31"/>
  <c r="AG71" i="31"/>
  <c r="AD71" i="31"/>
  <c r="AC71" i="31"/>
  <c r="AB71" i="31"/>
  <c r="U71" i="31"/>
  <c r="N71" i="31"/>
  <c r="M71" i="31"/>
  <c r="F71" i="31"/>
  <c r="A71" i="31"/>
  <c r="AR70" i="31"/>
  <c r="AQ70" i="31"/>
  <c r="AL70" i="31"/>
  <c r="AH70" i="31"/>
  <c r="AD70" i="31"/>
  <c r="AC70" i="31"/>
  <c r="AB70" i="31"/>
  <c r="U70" i="31"/>
  <c r="N70" i="31"/>
  <c r="M70" i="31"/>
  <c r="F70" i="31"/>
  <c r="A70" i="31"/>
  <c r="AR69" i="31"/>
  <c r="AQ69" i="31"/>
  <c r="AL69" i="31"/>
  <c r="AH69" i="31"/>
  <c r="AD69" i="31"/>
  <c r="AC69" i="31"/>
  <c r="AB69" i="31"/>
  <c r="U69" i="31"/>
  <c r="N69" i="31"/>
  <c r="M69" i="31"/>
  <c r="F69" i="31"/>
  <c r="A69" i="31"/>
  <c r="AR68" i="31"/>
  <c r="AQ68" i="31"/>
  <c r="AL68" i="31"/>
  <c r="AH68" i="31"/>
  <c r="AD68" i="31"/>
  <c r="AC68" i="31"/>
  <c r="AB68" i="31"/>
  <c r="U68" i="31"/>
  <c r="N68" i="31"/>
  <c r="M68" i="31"/>
  <c r="F68" i="31"/>
  <c r="A68" i="31"/>
  <c r="AR67" i="31"/>
  <c r="AQ67" i="31"/>
  <c r="AL67" i="31"/>
  <c r="AH67" i="31"/>
  <c r="AD67" i="31"/>
  <c r="AC67" i="31"/>
  <c r="AB67" i="31"/>
  <c r="U67" i="31"/>
  <c r="N67" i="31"/>
  <c r="M67" i="31"/>
  <c r="F67" i="31"/>
  <c r="A67" i="31"/>
  <c r="AR66" i="31"/>
  <c r="AQ66" i="31"/>
  <c r="AL66" i="31"/>
  <c r="AH66" i="31"/>
  <c r="AD66" i="31"/>
  <c r="AC66" i="31"/>
  <c r="AB66" i="31"/>
  <c r="U66" i="31"/>
  <c r="N66" i="31"/>
  <c r="M66" i="31"/>
  <c r="F66" i="31"/>
  <c r="A66" i="31"/>
  <c r="AR65" i="31"/>
  <c r="AQ65" i="31"/>
  <c r="AL65" i="31"/>
  <c r="AH65" i="31"/>
  <c r="AD65" i="31"/>
  <c r="AC65" i="31"/>
  <c r="AB65" i="31"/>
  <c r="U65" i="31"/>
  <c r="N65" i="31"/>
  <c r="M65" i="31"/>
  <c r="F65" i="31"/>
  <c r="A65" i="31"/>
  <c r="AR64" i="31"/>
  <c r="AQ64" i="31"/>
  <c r="AL64" i="31"/>
  <c r="AH64" i="31"/>
  <c r="AD64" i="31"/>
  <c r="AC64" i="31"/>
  <c r="AB64" i="31"/>
  <c r="U64" i="31"/>
  <c r="N64" i="31"/>
  <c r="M64" i="31"/>
  <c r="F64" i="31"/>
  <c r="A64" i="31"/>
  <c r="AR63" i="31"/>
  <c r="AQ63" i="31"/>
  <c r="AL63" i="31"/>
  <c r="AH63" i="31"/>
  <c r="AD63" i="31"/>
  <c r="AC63" i="31"/>
  <c r="AB63" i="31"/>
  <c r="U63" i="31"/>
  <c r="N63" i="31"/>
  <c r="M63" i="31"/>
  <c r="F63" i="31"/>
  <c r="A63" i="31"/>
  <c r="AR62" i="31"/>
  <c r="AQ62" i="31"/>
  <c r="AL62" i="31"/>
  <c r="AH62" i="31"/>
  <c r="AD62" i="31"/>
  <c r="AC62" i="31"/>
  <c r="AB62" i="31"/>
  <c r="U62" i="31"/>
  <c r="N62" i="31"/>
  <c r="F62" i="31"/>
  <c r="A62" i="31"/>
  <c r="A61" i="31"/>
  <c r="A60" i="31"/>
  <c r="A59" i="31"/>
  <c r="AV58" i="31"/>
  <c r="AU58" i="31"/>
  <c r="AT58" i="31"/>
  <c r="AR58" i="31"/>
  <c r="AQ58" i="31"/>
  <c r="AL58" i="31"/>
  <c r="AH58" i="31"/>
  <c r="AD58" i="31"/>
  <c r="AC58" i="31"/>
  <c r="AB58" i="31"/>
  <c r="U58" i="31"/>
  <c r="N58" i="31"/>
  <c r="F58" i="31"/>
  <c r="A58" i="31"/>
  <c r="A57" i="31"/>
  <c r="A56" i="31"/>
  <c r="AR55" i="31"/>
  <c r="AQ55" i="31"/>
  <c r="AP55" i="31"/>
  <c r="AO55" i="31"/>
  <c r="AN55" i="31"/>
  <c r="AM55" i="31"/>
  <c r="AL55" i="31"/>
  <c r="AK55" i="31"/>
  <c r="AJ55" i="31"/>
  <c r="AH55" i="31"/>
  <c r="AG55" i="31"/>
  <c r="AF55" i="31"/>
  <c r="AB55" i="31"/>
  <c r="AA55" i="31"/>
  <c r="Z55" i="31"/>
  <c r="Y55" i="31"/>
  <c r="X55" i="31"/>
  <c r="W55" i="31"/>
  <c r="V55" i="31"/>
  <c r="U55" i="31"/>
  <c r="T55" i="31"/>
  <c r="S55" i="31"/>
  <c r="Q55" i="31"/>
  <c r="P55" i="31"/>
  <c r="O55" i="31"/>
  <c r="N55" i="31"/>
  <c r="M55" i="31"/>
  <c r="L55" i="31"/>
  <c r="F55" i="31"/>
  <c r="E55" i="31"/>
  <c r="D55" i="31"/>
  <c r="A55" i="31"/>
  <c r="AV54" i="31"/>
  <c r="AU54" i="31"/>
  <c r="AR54" i="31"/>
  <c r="AQ54" i="31"/>
  <c r="AP54" i="31"/>
  <c r="AO54" i="31"/>
  <c r="AN54" i="31"/>
  <c r="AM54" i="31"/>
  <c r="AL54" i="31"/>
  <c r="AK54" i="31"/>
  <c r="AJ54" i="31"/>
  <c r="AH54" i="31"/>
  <c r="AG54" i="31"/>
  <c r="AF54" i="31"/>
  <c r="AB54" i="31"/>
  <c r="AA54" i="31"/>
  <c r="Z54" i="31"/>
  <c r="Y54" i="31"/>
  <c r="X54" i="31"/>
  <c r="W54" i="31"/>
  <c r="V54" i="31"/>
  <c r="U54" i="31"/>
  <c r="T54" i="31"/>
  <c r="S54" i="31"/>
  <c r="Q54" i="31"/>
  <c r="P54" i="31"/>
  <c r="O54" i="31"/>
  <c r="N54" i="31"/>
  <c r="M54" i="31"/>
  <c r="L54" i="31"/>
  <c r="F54" i="31"/>
  <c r="A54" i="31"/>
  <c r="A53" i="31"/>
  <c r="AR52" i="31"/>
  <c r="AQ52" i="31"/>
  <c r="AP52" i="31"/>
  <c r="AO52" i="31"/>
  <c r="AN52" i="31"/>
  <c r="AM52" i="31"/>
  <c r="AL52" i="31"/>
  <c r="AK52" i="31"/>
  <c r="AJ52" i="31"/>
  <c r="AH52" i="31"/>
  <c r="AG52" i="31"/>
  <c r="AF52" i="31"/>
  <c r="AD52" i="31"/>
  <c r="AC52" i="31"/>
  <c r="AB52" i="31"/>
  <c r="AA52" i="31"/>
  <c r="Z52" i="31"/>
  <c r="Y52" i="31"/>
  <c r="X52" i="31"/>
  <c r="W52" i="31"/>
  <c r="V52" i="31"/>
  <c r="U52" i="31"/>
  <c r="T52" i="31"/>
  <c r="S52" i="31"/>
  <c r="R52" i="31"/>
  <c r="Q52" i="31"/>
  <c r="P52" i="31"/>
  <c r="O52" i="31"/>
  <c r="N52" i="31"/>
  <c r="M52" i="31"/>
  <c r="L52" i="31"/>
  <c r="K52" i="31"/>
  <c r="J52" i="31"/>
  <c r="I52" i="31"/>
  <c r="H52" i="31"/>
  <c r="F52" i="31"/>
  <c r="E52" i="31"/>
  <c r="D52" i="31"/>
  <c r="A52" i="31"/>
  <c r="AR51" i="31"/>
  <c r="AH51" i="31"/>
  <c r="AD51" i="31"/>
  <c r="AC51" i="31"/>
  <c r="A51" i="31"/>
  <c r="AR50" i="31"/>
  <c r="AH50" i="31"/>
  <c r="AD50" i="31"/>
  <c r="AC50" i="31"/>
  <c r="A50" i="31"/>
  <c r="AR49" i="31"/>
  <c r="AH49" i="31"/>
  <c r="AD49" i="31"/>
  <c r="AC49" i="31"/>
  <c r="A49" i="31"/>
  <c r="AR48" i="31"/>
  <c r="AH48" i="31"/>
  <c r="AD48" i="31"/>
  <c r="AC48" i="31"/>
  <c r="A48" i="31"/>
  <c r="AR47" i="31"/>
  <c r="AH47" i="31"/>
  <c r="AD47" i="31"/>
  <c r="AC47" i="31"/>
  <c r="A47" i="31"/>
  <c r="AR46" i="31"/>
  <c r="AH46" i="31"/>
  <c r="AD46" i="31"/>
  <c r="AC46" i="31"/>
  <c r="A46" i="31"/>
  <c r="AR45" i="31"/>
  <c r="AH45" i="31"/>
  <c r="AD45" i="31"/>
  <c r="AC45" i="31"/>
  <c r="A45" i="31"/>
  <c r="AR44" i="31"/>
  <c r="AH44" i="31"/>
  <c r="AD44" i="31"/>
  <c r="AC44" i="31"/>
  <c r="A44" i="31"/>
  <c r="AR43" i="31"/>
  <c r="AH43" i="31"/>
  <c r="AD43" i="31"/>
  <c r="AC43" i="31"/>
  <c r="A43" i="31"/>
  <c r="AR42" i="31"/>
  <c r="AH42" i="31"/>
  <c r="AD42" i="31"/>
  <c r="AC42" i="31"/>
  <c r="A42" i="31"/>
  <c r="AR41" i="31"/>
  <c r="AH41" i="31"/>
  <c r="AD41" i="31"/>
  <c r="AC41" i="31"/>
  <c r="A41" i="31"/>
  <c r="A40" i="31"/>
  <c r="A39" i="31"/>
  <c r="AV38" i="31"/>
  <c r="AU38" i="31"/>
  <c r="AT38" i="31"/>
  <c r="AR38" i="31"/>
  <c r="AQ38" i="31"/>
  <c r="AP38" i="31"/>
  <c r="AO38" i="31"/>
  <c r="AN38" i="31"/>
  <c r="AM38" i="31"/>
  <c r="AL38" i="31"/>
  <c r="AK38" i="31"/>
  <c r="AJ38" i="31"/>
  <c r="AH38" i="31"/>
  <c r="AG38" i="31"/>
  <c r="AF38" i="31"/>
  <c r="AD38" i="31"/>
  <c r="AC38" i="31"/>
  <c r="AB38" i="31"/>
  <c r="AA38" i="31"/>
  <c r="Z38" i="31"/>
  <c r="Y38" i="31"/>
  <c r="X38" i="31"/>
  <c r="W38" i="31"/>
  <c r="V38" i="31"/>
  <c r="U38" i="31"/>
  <c r="T38" i="31"/>
  <c r="S38" i="31"/>
  <c r="R38" i="31"/>
  <c r="Q38" i="31"/>
  <c r="P38" i="31"/>
  <c r="O38" i="31"/>
  <c r="N38" i="31"/>
  <c r="M38" i="31"/>
  <c r="L38" i="31"/>
  <c r="K38" i="31"/>
  <c r="J38" i="31"/>
  <c r="I38" i="31"/>
  <c r="H38" i="31"/>
  <c r="F38" i="31"/>
  <c r="E38" i="31"/>
  <c r="D38" i="31"/>
  <c r="A38" i="31"/>
  <c r="AR37" i="31"/>
  <c r="AH37" i="31"/>
  <c r="AD37" i="31"/>
  <c r="AC37" i="31"/>
  <c r="F37" i="31"/>
  <c r="A37" i="31"/>
  <c r="AR36" i="31"/>
  <c r="AH36" i="31"/>
  <c r="AD36" i="31"/>
  <c r="AC36" i="31"/>
  <c r="F36" i="31"/>
  <c r="A36" i="31"/>
  <c r="AR35" i="31"/>
  <c r="AH35" i="31"/>
  <c r="AD35" i="31"/>
  <c r="AC35" i="31"/>
  <c r="F35" i="31"/>
  <c r="A35" i="31"/>
  <c r="AR34" i="31"/>
  <c r="AH34" i="31"/>
  <c r="AD34" i="31"/>
  <c r="AC34" i="31"/>
  <c r="F34" i="31"/>
  <c r="A34" i="31"/>
  <c r="AR33" i="31"/>
  <c r="AH33" i="31"/>
  <c r="AD33" i="31"/>
  <c r="AC33" i="31"/>
  <c r="F33" i="31"/>
  <c r="A33" i="31"/>
  <c r="AR32" i="31"/>
  <c r="AH32" i="31"/>
  <c r="AD32" i="31"/>
  <c r="AC32" i="31"/>
  <c r="H32" i="31"/>
  <c r="F32" i="31"/>
  <c r="A32" i="31"/>
  <c r="A31" i="31"/>
  <c r="A30" i="31"/>
  <c r="AV29" i="31"/>
  <c r="AU29" i="31"/>
  <c r="AR29" i="31"/>
  <c r="AQ29" i="31"/>
  <c r="AP29" i="31"/>
  <c r="AO29" i="31"/>
  <c r="AN29" i="31"/>
  <c r="AM29" i="31"/>
  <c r="AL29" i="31"/>
  <c r="AK29" i="31"/>
  <c r="AJ29" i="31"/>
  <c r="AH29" i="31"/>
  <c r="AG29" i="31"/>
  <c r="AF29" i="31"/>
  <c r="AB29" i="31"/>
  <c r="AA29" i="31"/>
  <c r="Z29" i="31"/>
  <c r="Y29" i="31"/>
  <c r="X29" i="31"/>
  <c r="W29" i="31"/>
  <c r="V29" i="31"/>
  <c r="U29" i="31"/>
  <c r="T29" i="31"/>
  <c r="S29" i="31"/>
  <c r="R29" i="31"/>
  <c r="Q29" i="31"/>
  <c r="P29" i="31"/>
  <c r="O29" i="31"/>
  <c r="N29" i="31"/>
  <c r="M29" i="31"/>
  <c r="L29" i="31"/>
  <c r="F29" i="31"/>
  <c r="E29" i="31"/>
  <c r="D29" i="31"/>
  <c r="A29" i="31"/>
  <c r="AR28" i="31"/>
  <c r="AQ28" i="31"/>
  <c r="AP28" i="31"/>
  <c r="AO28" i="31"/>
  <c r="AN28" i="31"/>
  <c r="AM28" i="31"/>
  <c r="AL28" i="31"/>
  <c r="AK28" i="31"/>
  <c r="AJ28" i="31"/>
  <c r="AH28" i="31"/>
  <c r="AG28" i="31"/>
  <c r="AF28" i="31"/>
  <c r="AB28" i="31"/>
  <c r="AA28" i="31"/>
  <c r="Z28" i="31"/>
  <c r="Y28" i="31"/>
  <c r="X28" i="31"/>
  <c r="W28" i="31"/>
  <c r="V28" i="31"/>
  <c r="U28" i="31"/>
  <c r="T28" i="31"/>
  <c r="S28" i="31"/>
  <c r="R28" i="31"/>
  <c r="Q28" i="31"/>
  <c r="P28" i="31"/>
  <c r="O28" i="31"/>
  <c r="N28" i="31"/>
  <c r="M28" i="31"/>
  <c r="L28" i="31"/>
  <c r="F28" i="31"/>
  <c r="E28" i="31"/>
  <c r="D28" i="31"/>
  <c r="A28" i="31"/>
  <c r="AR27" i="31"/>
  <c r="AH27" i="31"/>
  <c r="AD27" i="31"/>
  <c r="AC27" i="31"/>
  <c r="H27" i="31"/>
  <c r="F27" i="31"/>
  <c r="A27" i="31"/>
  <c r="AR26" i="31"/>
  <c r="AH26" i="31"/>
  <c r="AD26" i="31"/>
  <c r="AC26" i="31"/>
  <c r="F26" i="31"/>
  <c r="A26" i="31"/>
  <c r="AR25" i="31"/>
  <c r="AH25" i="31"/>
  <c r="AD25" i="31"/>
  <c r="AC25" i="31"/>
  <c r="F25" i="31"/>
  <c r="A25" i="31"/>
  <c r="AR24" i="31"/>
  <c r="AH24" i="31"/>
  <c r="AD24" i="31"/>
  <c r="AC24" i="31"/>
  <c r="F24" i="31"/>
  <c r="A24" i="31"/>
  <c r="AR23" i="31"/>
  <c r="AH23" i="31"/>
  <c r="AD23" i="31"/>
  <c r="AC23" i="31"/>
  <c r="F23" i="31"/>
  <c r="A23" i="31"/>
  <c r="AR22" i="31"/>
  <c r="AH22" i="31"/>
  <c r="F22" i="31"/>
  <c r="A22" i="31"/>
  <c r="AR21" i="31"/>
  <c r="AH21" i="31"/>
  <c r="AD21" i="31"/>
  <c r="AC21" i="31"/>
  <c r="F21" i="31"/>
  <c r="A21" i="31"/>
  <c r="A20" i="31"/>
  <c r="A19" i="31"/>
  <c r="AR18" i="31"/>
  <c r="AQ18" i="31"/>
  <c r="AP18" i="31"/>
  <c r="AO18" i="31"/>
  <c r="AN18" i="31"/>
  <c r="AM18" i="31"/>
  <c r="AL18" i="31"/>
  <c r="AK18" i="31"/>
  <c r="AJ18" i="31"/>
  <c r="AH18" i="31"/>
  <c r="AG18" i="31"/>
  <c r="AF18" i="31"/>
  <c r="AB18" i="31"/>
  <c r="AA18" i="31"/>
  <c r="Z18" i="31"/>
  <c r="Y18" i="31"/>
  <c r="X18" i="31"/>
  <c r="W18" i="31"/>
  <c r="V18" i="31"/>
  <c r="U18" i="31"/>
  <c r="T18" i="31"/>
  <c r="S18" i="31"/>
  <c r="R18" i="31"/>
  <c r="Q18" i="31"/>
  <c r="P18" i="31"/>
  <c r="O18" i="31"/>
  <c r="N18" i="31"/>
  <c r="M18" i="31"/>
  <c r="L18" i="31"/>
  <c r="J18" i="31"/>
  <c r="F18" i="31"/>
  <c r="E18" i="31"/>
  <c r="D18" i="31"/>
  <c r="A18" i="31"/>
  <c r="AR17" i="31"/>
  <c r="AH17" i="31"/>
  <c r="J17" i="31"/>
  <c r="F17" i="31"/>
  <c r="A17" i="31"/>
  <c r="AR16" i="31"/>
  <c r="AK16" i="31"/>
  <c r="AH16" i="31"/>
  <c r="AG16" i="31"/>
  <c r="J16" i="31"/>
  <c r="F16" i="31"/>
  <c r="A16" i="31"/>
  <c r="A15" i="31"/>
  <c r="A14" i="31"/>
  <c r="S13" i="31"/>
  <c r="A13" i="31"/>
  <c r="A12" i="31"/>
  <c r="G11" i="31"/>
  <c r="F11" i="31"/>
  <c r="E11" i="31"/>
  <c r="A11" i="31"/>
  <c r="G10" i="31"/>
  <c r="F10" i="31"/>
  <c r="E10" i="31"/>
  <c r="A10" i="31"/>
  <c r="A4" i="31"/>
  <c r="A3" i="31"/>
  <c r="A2" i="31"/>
  <c r="A1" i="31"/>
  <c r="A44" i="184"/>
  <c r="A43" i="184"/>
  <c r="A42" i="184"/>
  <c r="A41" i="184"/>
  <c r="A40" i="184"/>
  <c r="A39" i="184"/>
  <c r="A38" i="184"/>
  <c r="A37" i="184"/>
  <c r="A36" i="184"/>
  <c r="A35" i="184"/>
  <c r="A34" i="184"/>
  <c r="A33" i="184"/>
  <c r="A32" i="184"/>
  <c r="A31" i="184"/>
  <c r="A30" i="184"/>
  <c r="A29" i="184"/>
  <c r="A28" i="184"/>
  <c r="A27" i="184"/>
  <c r="A26" i="184"/>
  <c r="A25" i="184"/>
  <c r="A24" i="184"/>
  <c r="A23" i="184"/>
  <c r="A22" i="184"/>
  <c r="A21" i="184"/>
  <c r="A20" i="184"/>
  <c r="A18" i="184"/>
  <c r="A17" i="184"/>
  <c r="A16" i="184"/>
  <c r="A15" i="184"/>
  <c r="A14" i="184"/>
  <c r="A13" i="184"/>
  <c r="A5" i="184"/>
  <c r="A4" i="184"/>
  <c r="A3" i="184"/>
  <c r="A2" i="184"/>
  <c r="A1" i="88"/>
  <c r="J63" i="60"/>
  <c r="I63" i="60"/>
  <c r="H63" i="60"/>
  <c r="E63" i="60"/>
  <c r="D63" i="60"/>
  <c r="C63" i="60"/>
  <c r="A63" i="60"/>
  <c r="J62" i="60"/>
  <c r="E62" i="60"/>
  <c r="A62" i="60"/>
  <c r="A61" i="60"/>
  <c r="A60" i="60"/>
  <c r="A59" i="60"/>
  <c r="I58" i="60"/>
  <c r="H58" i="60"/>
  <c r="D58" i="60"/>
  <c r="C58" i="60"/>
  <c r="A58" i="60"/>
  <c r="J57" i="60"/>
  <c r="I57" i="60"/>
  <c r="H57" i="60"/>
  <c r="E57" i="60"/>
  <c r="D57" i="60"/>
  <c r="C57" i="60"/>
  <c r="A57" i="60"/>
  <c r="J56" i="60"/>
  <c r="E56" i="60"/>
  <c r="B56" i="60"/>
  <c r="A56" i="60"/>
  <c r="J55" i="60"/>
  <c r="E55" i="60"/>
  <c r="B55" i="60"/>
  <c r="A55" i="60"/>
  <c r="J54" i="60"/>
  <c r="E54" i="60"/>
  <c r="B54" i="60"/>
  <c r="A54" i="60"/>
  <c r="J53" i="60"/>
  <c r="E53" i="60"/>
  <c r="B53" i="60"/>
  <c r="A53" i="60"/>
  <c r="J52" i="60"/>
  <c r="E52" i="60"/>
  <c r="B52" i="60"/>
  <c r="A52" i="60"/>
  <c r="J51" i="60"/>
  <c r="E51" i="60"/>
  <c r="B51" i="60"/>
  <c r="A51" i="60"/>
  <c r="J50" i="60"/>
  <c r="E50" i="60"/>
  <c r="B50" i="60"/>
  <c r="A50" i="60"/>
  <c r="J49" i="60"/>
  <c r="E49" i="60"/>
  <c r="B49" i="60"/>
  <c r="A49" i="60"/>
  <c r="J48" i="60"/>
  <c r="E48" i="60"/>
  <c r="B48" i="60"/>
  <c r="A48" i="60"/>
  <c r="J47" i="60"/>
  <c r="E47" i="60"/>
  <c r="B47" i="60"/>
  <c r="A47" i="60"/>
  <c r="J46" i="60"/>
  <c r="E46" i="60"/>
  <c r="B46" i="60"/>
  <c r="A46" i="60"/>
  <c r="J45" i="60"/>
  <c r="E45" i="60"/>
  <c r="B45" i="60"/>
  <c r="A45" i="60"/>
  <c r="A44" i="60"/>
  <c r="A43" i="60"/>
  <c r="A42" i="60"/>
  <c r="A41" i="60"/>
  <c r="J40" i="60"/>
  <c r="I40" i="60"/>
  <c r="H40" i="60"/>
  <c r="E40" i="60"/>
  <c r="D40" i="60"/>
  <c r="C40" i="60"/>
  <c r="A40" i="60"/>
  <c r="J39" i="60"/>
  <c r="E39" i="60"/>
  <c r="A39" i="60"/>
  <c r="A38" i="60"/>
  <c r="A37" i="60"/>
  <c r="A36" i="60"/>
  <c r="J35" i="60"/>
  <c r="I35" i="60"/>
  <c r="H35" i="60"/>
  <c r="E35" i="60"/>
  <c r="D35" i="60"/>
  <c r="C35" i="60"/>
  <c r="A35" i="60"/>
  <c r="J34" i="60"/>
  <c r="I34" i="60"/>
  <c r="H34" i="60"/>
  <c r="E34" i="60"/>
  <c r="D34" i="60"/>
  <c r="C34" i="60"/>
  <c r="A34" i="60"/>
  <c r="J33" i="60"/>
  <c r="I33" i="60"/>
  <c r="H33" i="60"/>
  <c r="E33" i="60"/>
  <c r="D33" i="60"/>
  <c r="C33" i="60"/>
  <c r="A33" i="60"/>
  <c r="J32" i="60"/>
  <c r="E32" i="60"/>
  <c r="B32" i="60"/>
  <c r="A32" i="60"/>
  <c r="J31" i="60"/>
  <c r="E31" i="60"/>
  <c r="B31" i="60"/>
  <c r="A31" i="60"/>
  <c r="J30" i="60"/>
  <c r="E30" i="60"/>
  <c r="B30" i="60"/>
  <c r="A30" i="60"/>
  <c r="J29" i="60"/>
  <c r="E29" i="60"/>
  <c r="B29" i="60"/>
  <c r="A29" i="60"/>
  <c r="J28" i="60"/>
  <c r="E28" i="60"/>
  <c r="B28" i="60"/>
  <c r="A28" i="60"/>
  <c r="J27" i="60"/>
  <c r="E27" i="60"/>
  <c r="B27" i="60"/>
  <c r="A27" i="60"/>
  <c r="J26" i="60"/>
  <c r="E26" i="60"/>
  <c r="B26" i="60"/>
  <c r="A26" i="60"/>
  <c r="J25" i="60"/>
  <c r="E25" i="60"/>
  <c r="B25" i="60"/>
  <c r="A25" i="60"/>
  <c r="J24" i="60"/>
  <c r="E24" i="60"/>
  <c r="B24" i="60"/>
  <c r="A24" i="60"/>
  <c r="J23" i="60"/>
  <c r="E23" i="60"/>
  <c r="B23" i="60"/>
  <c r="A23" i="60"/>
  <c r="J22" i="60"/>
  <c r="E22" i="60"/>
  <c r="B22" i="60"/>
  <c r="A22" i="60"/>
  <c r="J21" i="60"/>
  <c r="E21" i="60"/>
  <c r="B21" i="60"/>
  <c r="A21" i="60"/>
  <c r="J20" i="60"/>
  <c r="E20" i="60"/>
  <c r="A20" i="60"/>
  <c r="A19" i="60"/>
  <c r="A18" i="60"/>
  <c r="A17" i="60"/>
  <c r="J16" i="60"/>
  <c r="I16" i="60"/>
  <c r="H16" i="60"/>
  <c r="E16" i="60"/>
  <c r="D16" i="60"/>
  <c r="C16" i="60"/>
  <c r="A16" i="60"/>
  <c r="A15" i="60"/>
  <c r="J14" i="60"/>
  <c r="I14" i="60"/>
  <c r="H14" i="60"/>
  <c r="E14" i="60"/>
  <c r="D14" i="60"/>
  <c r="C14" i="60"/>
  <c r="A14" i="60"/>
  <c r="J13" i="60"/>
  <c r="I13" i="60"/>
  <c r="H13" i="60"/>
  <c r="E13" i="60"/>
  <c r="D13" i="60"/>
  <c r="C13" i="60"/>
  <c r="A13" i="60"/>
  <c r="J12" i="60"/>
  <c r="I12" i="60"/>
  <c r="H12" i="60"/>
  <c r="E12" i="60"/>
  <c r="D12" i="60"/>
  <c r="C12" i="60"/>
  <c r="A12" i="60"/>
  <c r="J11" i="60"/>
  <c r="I11" i="60"/>
  <c r="H11" i="60"/>
  <c r="E11" i="60"/>
  <c r="D11" i="60"/>
  <c r="C11" i="60"/>
  <c r="A11" i="60"/>
  <c r="A3" i="60"/>
  <c r="A2" i="60"/>
  <c r="A1" i="60"/>
  <c r="AM38" i="4"/>
  <c r="AL38" i="4"/>
  <c r="AK38" i="4"/>
  <c r="AJ38" i="4"/>
  <c r="AH38" i="4"/>
  <c r="AG38" i="4"/>
  <c r="AF38" i="4"/>
  <c r="AD38" i="4"/>
  <c r="AC38" i="4"/>
  <c r="AB38" i="4"/>
  <c r="Y38" i="4"/>
  <c r="X38" i="4"/>
  <c r="V38" i="4"/>
  <c r="U38" i="4"/>
  <c r="T38" i="4"/>
  <c r="S38" i="4"/>
  <c r="R38" i="4"/>
  <c r="N38" i="4"/>
  <c r="L38" i="4"/>
  <c r="K38" i="4"/>
  <c r="J38" i="4"/>
  <c r="I38" i="4"/>
  <c r="H38" i="4"/>
  <c r="G38" i="4"/>
  <c r="A38" i="4"/>
  <c r="A37" i="4"/>
  <c r="AM36" i="4"/>
  <c r="AL36" i="4"/>
  <c r="AK36" i="4"/>
  <c r="AJ36" i="4"/>
  <c r="AH36" i="4"/>
  <c r="AG36" i="4"/>
  <c r="AF36" i="4"/>
  <c r="AD36" i="4"/>
  <c r="AC36" i="4"/>
  <c r="AB36" i="4"/>
  <c r="Y36" i="4"/>
  <c r="X36" i="4"/>
  <c r="V36" i="4"/>
  <c r="U36" i="4"/>
  <c r="T36" i="4"/>
  <c r="S36" i="4"/>
  <c r="R36" i="4"/>
  <c r="Q36" i="4"/>
  <c r="O36" i="4"/>
  <c r="N36" i="4"/>
  <c r="M36" i="4"/>
  <c r="L36" i="4"/>
  <c r="K36" i="4"/>
  <c r="J36" i="4"/>
  <c r="I36" i="4"/>
  <c r="H36" i="4"/>
  <c r="G36" i="4"/>
  <c r="F36" i="4"/>
  <c r="E36" i="4"/>
  <c r="D36" i="4"/>
  <c r="C36" i="4"/>
  <c r="A36" i="4"/>
  <c r="AD35" i="4"/>
  <c r="O35" i="4"/>
  <c r="A35" i="4"/>
  <c r="AN34" i="4"/>
  <c r="AF34" i="4"/>
  <c r="AD34" i="4"/>
  <c r="AB34" i="4"/>
  <c r="Z34" i="4"/>
  <c r="O34" i="4"/>
  <c r="E34" i="4"/>
  <c r="A34" i="4"/>
  <c r="AN33" i="4"/>
  <c r="AD33" i="4"/>
  <c r="Z33" i="4"/>
  <c r="O33" i="4"/>
  <c r="E33" i="4"/>
  <c r="A33" i="4"/>
  <c r="AN32" i="4"/>
  <c r="AF32" i="4"/>
  <c r="AD32" i="4"/>
  <c r="AB32" i="4"/>
  <c r="Z32" i="4"/>
  <c r="O32" i="4"/>
  <c r="E32" i="4"/>
  <c r="A32" i="4"/>
  <c r="AN31" i="4"/>
  <c r="AF31" i="4"/>
  <c r="AD31" i="4"/>
  <c r="AB31" i="4"/>
  <c r="Z31" i="4"/>
  <c r="O31" i="4"/>
  <c r="E31" i="4"/>
  <c r="A31" i="4"/>
  <c r="A30" i="4"/>
  <c r="A29" i="4"/>
  <c r="AM28" i="4"/>
  <c r="AL28" i="4"/>
  <c r="AK28" i="4"/>
  <c r="AJ28" i="4"/>
  <c r="AH28" i="4"/>
  <c r="AG28" i="4"/>
  <c r="AF28" i="4"/>
  <c r="AD28" i="4"/>
  <c r="AC28" i="4"/>
  <c r="AB28" i="4"/>
  <c r="Y28" i="4"/>
  <c r="X28" i="4"/>
  <c r="V28" i="4"/>
  <c r="U28" i="4"/>
  <c r="T28" i="4"/>
  <c r="S28" i="4"/>
  <c r="R28" i="4"/>
  <c r="N28" i="4"/>
  <c r="L28" i="4"/>
  <c r="K28" i="4"/>
  <c r="J28" i="4"/>
  <c r="I28" i="4"/>
  <c r="H28" i="4"/>
  <c r="G28" i="4"/>
  <c r="A28" i="4"/>
  <c r="AN27" i="4"/>
  <c r="AD27" i="4"/>
  <c r="O27" i="4"/>
  <c r="A27" i="4"/>
  <c r="AM26" i="4"/>
  <c r="AL26" i="4"/>
  <c r="AK26" i="4"/>
  <c r="AJ26" i="4"/>
  <c r="AH26" i="4"/>
  <c r="AG26" i="4"/>
  <c r="AF26" i="4"/>
  <c r="AD26" i="4"/>
  <c r="AC26" i="4"/>
  <c r="AB26" i="4"/>
  <c r="Y26" i="4"/>
  <c r="X26" i="4"/>
  <c r="V26" i="4"/>
  <c r="U26" i="4"/>
  <c r="T26" i="4"/>
  <c r="S26" i="4"/>
  <c r="R26" i="4"/>
  <c r="N26" i="4"/>
  <c r="L26" i="4"/>
  <c r="K26" i="4"/>
  <c r="J26" i="4"/>
  <c r="I26" i="4"/>
  <c r="H26" i="4"/>
  <c r="G26" i="4"/>
  <c r="A26" i="4"/>
  <c r="AM25" i="4"/>
  <c r="AL25" i="4"/>
  <c r="AK25" i="4"/>
  <c r="AJ25" i="4"/>
  <c r="AH25" i="4"/>
  <c r="AG25" i="4"/>
  <c r="AF25" i="4"/>
  <c r="AD25" i="4"/>
  <c r="AC25" i="4"/>
  <c r="AB25" i="4"/>
  <c r="Y25" i="4"/>
  <c r="X25" i="4"/>
  <c r="V25" i="4"/>
  <c r="U25" i="4"/>
  <c r="T25" i="4"/>
  <c r="S25" i="4"/>
  <c r="R25" i="4"/>
  <c r="N25" i="4"/>
  <c r="L25" i="4"/>
  <c r="K25" i="4"/>
  <c r="J25" i="4"/>
  <c r="I25" i="4"/>
  <c r="H25" i="4"/>
  <c r="G25" i="4"/>
  <c r="A25" i="4"/>
  <c r="AN24" i="4"/>
  <c r="AM24" i="4"/>
  <c r="AL24" i="4"/>
  <c r="AK24" i="4"/>
  <c r="AJ24" i="4"/>
  <c r="AI24" i="4"/>
  <c r="AH24" i="4"/>
  <c r="AG24" i="4"/>
  <c r="AF24" i="4"/>
  <c r="AD24" i="4"/>
  <c r="AC24" i="4"/>
  <c r="AB24" i="4"/>
  <c r="Z24" i="4"/>
  <c r="Y24" i="4"/>
  <c r="X24" i="4"/>
  <c r="W24" i="4"/>
  <c r="V24" i="4"/>
  <c r="U24" i="4"/>
  <c r="T24" i="4"/>
  <c r="S24" i="4"/>
  <c r="R24" i="4"/>
  <c r="Q24" i="4"/>
  <c r="O24" i="4"/>
  <c r="N24" i="4"/>
  <c r="M24" i="4"/>
  <c r="L24" i="4"/>
  <c r="K24" i="4"/>
  <c r="J24" i="4"/>
  <c r="I24" i="4"/>
  <c r="H24" i="4"/>
  <c r="G24" i="4"/>
  <c r="F24" i="4"/>
  <c r="E24" i="4"/>
  <c r="D24" i="4"/>
  <c r="C24" i="4"/>
  <c r="A24" i="4"/>
  <c r="AN23" i="4"/>
  <c r="AD23" i="4"/>
  <c r="Z23" i="4"/>
  <c r="O23" i="4"/>
  <c r="A23" i="4"/>
  <c r="AN22" i="4"/>
  <c r="AM22" i="4"/>
  <c r="AL22" i="4"/>
  <c r="AK22" i="4"/>
  <c r="AJ22" i="4"/>
  <c r="AI22" i="4"/>
  <c r="AH22" i="4"/>
  <c r="AG22" i="4"/>
  <c r="AF22" i="4"/>
  <c r="AD22" i="4"/>
  <c r="AC22" i="4"/>
  <c r="AB22" i="4"/>
  <c r="Z22" i="4"/>
  <c r="Y22" i="4"/>
  <c r="X22" i="4"/>
  <c r="W22" i="4"/>
  <c r="V22" i="4"/>
  <c r="U22" i="4"/>
  <c r="T22" i="4"/>
  <c r="S22" i="4"/>
  <c r="R22" i="4"/>
  <c r="Q22" i="4"/>
  <c r="O22" i="4"/>
  <c r="N22" i="4"/>
  <c r="M22" i="4"/>
  <c r="L22" i="4"/>
  <c r="K22" i="4"/>
  <c r="J22" i="4"/>
  <c r="I22" i="4"/>
  <c r="H22" i="4"/>
  <c r="G22" i="4"/>
  <c r="F22" i="4"/>
  <c r="E22" i="4"/>
  <c r="D22" i="4"/>
  <c r="C22" i="4"/>
  <c r="A22" i="4"/>
  <c r="AM21" i="4"/>
  <c r="AL21" i="4"/>
  <c r="AK21" i="4"/>
  <c r="AJ21" i="4"/>
  <c r="AH21" i="4"/>
  <c r="AG21" i="4"/>
  <c r="AF21" i="4"/>
  <c r="AD21" i="4"/>
  <c r="AC21" i="4"/>
  <c r="AB21" i="4"/>
  <c r="Y21" i="4"/>
  <c r="X21" i="4"/>
  <c r="V21" i="4"/>
  <c r="U21" i="4"/>
  <c r="T21" i="4"/>
  <c r="S21" i="4"/>
  <c r="R21" i="4"/>
  <c r="Q21" i="4"/>
  <c r="O21" i="4"/>
  <c r="N21" i="4"/>
  <c r="M21" i="4"/>
  <c r="L21" i="4"/>
  <c r="K21" i="4"/>
  <c r="J21" i="4"/>
  <c r="I21" i="4"/>
  <c r="H21" i="4"/>
  <c r="G21" i="4"/>
  <c r="F21" i="4"/>
  <c r="E21" i="4"/>
  <c r="D21" i="4"/>
  <c r="C21" i="4"/>
  <c r="A21" i="4"/>
  <c r="AN20" i="4"/>
  <c r="AM20" i="4"/>
  <c r="AL20" i="4"/>
  <c r="AK20" i="4"/>
  <c r="AJ20" i="4"/>
  <c r="AI20" i="4"/>
  <c r="AH20" i="4"/>
  <c r="AG20" i="4"/>
  <c r="AF20" i="4"/>
  <c r="AD20" i="4"/>
  <c r="AC20" i="4"/>
  <c r="AB20" i="4"/>
  <c r="Z20" i="4"/>
  <c r="Y20" i="4"/>
  <c r="X20" i="4"/>
  <c r="W20" i="4"/>
  <c r="V20" i="4"/>
  <c r="U20" i="4"/>
  <c r="T20" i="4"/>
  <c r="S20" i="4"/>
  <c r="R20" i="4"/>
  <c r="Q20" i="4"/>
  <c r="O20" i="4"/>
  <c r="N20" i="4"/>
  <c r="M20" i="4"/>
  <c r="L20" i="4"/>
  <c r="K20" i="4"/>
  <c r="J20" i="4"/>
  <c r="I20" i="4"/>
  <c r="H20" i="4"/>
  <c r="G20" i="4"/>
  <c r="F20" i="4"/>
  <c r="E20" i="4"/>
  <c r="D20" i="4"/>
  <c r="C20" i="4"/>
  <c r="A20" i="4"/>
  <c r="AN19" i="4"/>
  <c r="AM19" i="4"/>
  <c r="AL19" i="4"/>
  <c r="AK19" i="4"/>
  <c r="AJ19" i="4"/>
  <c r="AI19" i="4"/>
  <c r="AH19" i="4"/>
  <c r="AG19" i="4"/>
  <c r="AF19" i="4"/>
  <c r="AD19" i="4"/>
  <c r="AC19" i="4"/>
  <c r="AB19" i="4"/>
  <c r="Z19" i="4"/>
  <c r="Y19" i="4"/>
  <c r="X19" i="4"/>
  <c r="W19" i="4"/>
  <c r="V19" i="4"/>
  <c r="U19" i="4"/>
  <c r="T19" i="4"/>
  <c r="S19" i="4"/>
  <c r="R19" i="4"/>
  <c r="Q19" i="4"/>
  <c r="O19" i="4"/>
  <c r="N19" i="4"/>
  <c r="M19" i="4"/>
  <c r="L19" i="4"/>
  <c r="K19" i="4"/>
  <c r="J19" i="4"/>
  <c r="I19" i="4"/>
  <c r="H19" i="4"/>
  <c r="G19" i="4"/>
  <c r="F19" i="4"/>
  <c r="E19" i="4"/>
  <c r="D19" i="4"/>
  <c r="C19" i="4"/>
  <c r="A19" i="4"/>
  <c r="AN18" i="4"/>
  <c r="AM18" i="4"/>
  <c r="AL18" i="4"/>
  <c r="AK18" i="4"/>
  <c r="AJ18" i="4"/>
  <c r="AI18" i="4"/>
  <c r="AH18" i="4"/>
  <c r="AG18" i="4"/>
  <c r="AF18" i="4"/>
  <c r="AD18" i="4"/>
  <c r="AC18" i="4"/>
  <c r="AB18" i="4"/>
  <c r="Z18" i="4"/>
  <c r="Y18" i="4"/>
  <c r="X18" i="4"/>
  <c r="W18" i="4"/>
  <c r="V18" i="4"/>
  <c r="U18" i="4"/>
  <c r="T18" i="4"/>
  <c r="S18" i="4"/>
  <c r="R18" i="4"/>
  <c r="Q18" i="4"/>
  <c r="N18" i="4"/>
  <c r="M18" i="4"/>
  <c r="L18" i="4"/>
  <c r="K18" i="4"/>
  <c r="J18" i="4"/>
  <c r="I18" i="4"/>
  <c r="H18" i="4"/>
  <c r="G18" i="4"/>
  <c r="A18" i="4"/>
  <c r="AN17" i="4"/>
  <c r="AM17" i="4"/>
  <c r="AL17" i="4"/>
  <c r="AK17" i="4"/>
  <c r="AJ17" i="4"/>
  <c r="AI17" i="4"/>
  <c r="AH17" i="4"/>
  <c r="AG17" i="4"/>
  <c r="AF17" i="4"/>
  <c r="AD17" i="4"/>
  <c r="AC17" i="4"/>
  <c r="AB17" i="4"/>
  <c r="Z17" i="4"/>
  <c r="Y17" i="4"/>
  <c r="X17" i="4"/>
  <c r="W17" i="4"/>
  <c r="V17" i="4"/>
  <c r="U17" i="4"/>
  <c r="T17" i="4"/>
  <c r="S17" i="4"/>
  <c r="R17" i="4"/>
  <c r="Q17" i="4"/>
  <c r="O17" i="4"/>
  <c r="N17" i="4"/>
  <c r="M17" i="4"/>
  <c r="L17" i="4"/>
  <c r="K17" i="4"/>
  <c r="J17" i="4"/>
  <c r="I17" i="4"/>
  <c r="H17" i="4"/>
  <c r="G17" i="4"/>
  <c r="F17" i="4"/>
  <c r="E17" i="4"/>
  <c r="D17" i="4"/>
  <c r="C17" i="4"/>
  <c r="A17" i="4"/>
  <c r="AN16" i="4"/>
  <c r="AM16" i="4"/>
  <c r="AL16" i="4"/>
  <c r="AK16" i="4"/>
  <c r="AJ16" i="4"/>
  <c r="AI16" i="4"/>
  <c r="AH16" i="4"/>
  <c r="AG16" i="4"/>
  <c r="AF16" i="4"/>
  <c r="AD16" i="4"/>
  <c r="AC16" i="4"/>
  <c r="AB16" i="4"/>
  <c r="Z16" i="4"/>
  <c r="Y16" i="4"/>
  <c r="X16" i="4"/>
  <c r="W16" i="4"/>
  <c r="V16" i="4"/>
  <c r="U16" i="4"/>
  <c r="T16" i="4"/>
  <c r="S16" i="4"/>
  <c r="R16" i="4"/>
  <c r="Q16" i="4"/>
  <c r="O16" i="4"/>
  <c r="N16" i="4"/>
  <c r="M16" i="4"/>
  <c r="L16" i="4"/>
  <c r="K16" i="4"/>
  <c r="J16" i="4"/>
  <c r="I16" i="4"/>
  <c r="H16" i="4"/>
  <c r="G16" i="4"/>
  <c r="F16" i="4"/>
  <c r="E16" i="4"/>
  <c r="D16" i="4"/>
  <c r="C16" i="4"/>
  <c r="A16" i="4"/>
  <c r="AN15" i="4"/>
  <c r="AM15" i="4"/>
  <c r="AL15" i="4"/>
  <c r="AK15" i="4"/>
  <c r="AJ15" i="4"/>
  <c r="AI15" i="4"/>
  <c r="AH15" i="4"/>
  <c r="AG15" i="4"/>
  <c r="AF15" i="4"/>
  <c r="AD15" i="4"/>
  <c r="AC15" i="4"/>
  <c r="AB15" i="4"/>
  <c r="Z15" i="4"/>
  <c r="Y15" i="4"/>
  <c r="X15" i="4"/>
  <c r="W15" i="4"/>
  <c r="V15" i="4"/>
  <c r="U15" i="4"/>
  <c r="T15" i="4"/>
  <c r="S15" i="4"/>
  <c r="R15" i="4"/>
  <c r="Q15" i="4"/>
  <c r="N15" i="4"/>
  <c r="L15" i="4"/>
  <c r="K15" i="4"/>
  <c r="J15" i="4"/>
  <c r="I15" i="4"/>
  <c r="H15" i="4"/>
  <c r="G15" i="4"/>
  <c r="A15" i="4"/>
  <c r="AN14" i="4"/>
  <c r="AM14" i="4"/>
  <c r="AL14" i="4"/>
  <c r="AK14" i="4"/>
  <c r="AJ14" i="4"/>
  <c r="AI14" i="4"/>
  <c r="AH14" i="4"/>
  <c r="AG14" i="4"/>
  <c r="AF14" i="4"/>
  <c r="AD14" i="4"/>
  <c r="AC14" i="4"/>
  <c r="AB14" i="4"/>
  <c r="Z14" i="4"/>
  <c r="Y14" i="4"/>
  <c r="X14" i="4"/>
  <c r="W14" i="4"/>
  <c r="V14" i="4"/>
  <c r="U14" i="4"/>
  <c r="T14" i="4"/>
  <c r="S14" i="4"/>
  <c r="R14" i="4"/>
  <c r="Q14" i="4"/>
  <c r="O14" i="4"/>
  <c r="N14" i="4"/>
  <c r="M14" i="4"/>
  <c r="L14" i="4"/>
  <c r="K14" i="4"/>
  <c r="J14" i="4"/>
  <c r="I14" i="4"/>
  <c r="H14" i="4"/>
  <c r="G14" i="4"/>
  <c r="F14" i="4"/>
  <c r="E14" i="4"/>
  <c r="D14" i="4"/>
  <c r="C14" i="4"/>
  <c r="A14" i="4"/>
  <c r="A13" i="4"/>
  <c r="A12" i="4"/>
  <c r="AN11" i="4"/>
  <c r="AM11" i="4"/>
  <c r="AL11" i="4"/>
  <c r="AK11" i="4"/>
  <c r="AJ11" i="4"/>
  <c r="AI11" i="4"/>
  <c r="AH11" i="4"/>
  <c r="AG11" i="4"/>
  <c r="AF11" i="4"/>
  <c r="AD11" i="4"/>
  <c r="AC11" i="4"/>
  <c r="AB11" i="4"/>
  <c r="Z11" i="4"/>
  <c r="Y11" i="4"/>
  <c r="X11" i="4"/>
  <c r="W11" i="4"/>
  <c r="V11" i="4"/>
  <c r="U11" i="4"/>
  <c r="T11" i="4"/>
  <c r="S11" i="4"/>
  <c r="R11" i="4"/>
  <c r="Q11" i="4"/>
  <c r="N11" i="4"/>
  <c r="M11" i="4"/>
  <c r="L11" i="4"/>
  <c r="K11" i="4"/>
  <c r="J11" i="4"/>
  <c r="I11" i="4"/>
  <c r="H11" i="4"/>
  <c r="G11" i="4"/>
  <c r="A11" i="4"/>
  <c r="AN10" i="4"/>
  <c r="AM10" i="4"/>
  <c r="AL10" i="4"/>
  <c r="AK10" i="4"/>
  <c r="AJ10" i="4"/>
  <c r="AI10" i="4"/>
  <c r="AH10" i="4"/>
  <c r="AG10" i="4"/>
  <c r="AF10" i="4"/>
  <c r="AD10" i="4"/>
  <c r="AC10" i="4"/>
  <c r="AB10" i="4"/>
  <c r="Z10" i="4"/>
  <c r="Y10" i="4"/>
  <c r="X10" i="4"/>
  <c r="W10" i="4"/>
  <c r="V10" i="4"/>
  <c r="U10" i="4"/>
  <c r="T10" i="4"/>
  <c r="S10" i="4"/>
  <c r="R10" i="4"/>
  <c r="Q10" i="4"/>
  <c r="N10" i="4"/>
  <c r="M10" i="4"/>
  <c r="L10" i="4"/>
  <c r="K10" i="4"/>
  <c r="J10" i="4"/>
  <c r="I10" i="4"/>
  <c r="H10" i="4"/>
  <c r="G10" i="4"/>
  <c r="A10" i="4"/>
  <c r="AN9" i="4"/>
  <c r="AM9" i="4"/>
  <c r="AL9" i="4"/>
  <c r="AK9" i="4"/>
  <c r="AJ9" i="4"/>
  <c r="AI9" i="4"/>
  <c r="AH9" i="4"/>
  <c r="AG9" i="4"/>
  <c r="AF9" i="4"/>
  <c r="AD9" i="4"/>
  <c r="AC9" i="4"/>
  <c r="AB9" i="4"/>
  <c r="Z9" i="4"/>
  <c r="Y9" i="4"/>
  <c r="X9" i="4"/>
  <c r="W9" i="4"/>
  <c r="V9" i="4"/>
  <c r="U9" i="4"/>
  <c r="T9" i="4"/>
  <c r="S9" i="4"/>
  <c r="R9" i="4"/>
  <c r="Q9" i="4"/>
  <c r="N9" i="4"/>
  <c r="M9" i="4"/>
  <c r="L9" i="4"/>
  <c r="K9" i="4"/>
  <c r="J9" i="4"/>
  <c r="I9" i="4"/>
  <c r="H9" i="4"/>
  <c r="G9" i="4"/>
  <c r="A9" i="4"/>
  <c r="AN8" i="4"/>
  <c r="AM8" i="4"/>
  <c r="AL8" i="4"/>
  <c r="AK8" i="4"/>
  <c r="AJ8" i="4"/>
  <c r="AI8" i="4"/>
  <c r="AH8" i="4"/>
  <c r="AG8" i="4"/>
  <c r="AF8" i="4"/>
  <c r="AD8" i="4"/>
  <c r="AC8" i="4"/>
  <c r="AB8" i="4"/>
  <c r="Z8" i="4"/>
  <c r="Y8" i="4"/>
  <c r="X8" i="4"/>
  <c r="W8" i="4"/>
  <c r="V8" i="4"/>
  <c r="U8" i="4"/>
  <c r="T8" i="4"/>
  <c r="S8" i="4"/>
  <c r="R8" i="4"/>
  <c r="Q8" i="4"/>
  <c r="N8" i="4"/>
  <c r="M8" i="4"/>
  <c r="L8" i="4"/>
  <c r="K8" i="4"/>
  <c r="J8" i="4"/>
  <c r="I8" i="4"/>
  <c r="H8" i="4"/>
  <c r="G8" i="4"/>
  <c r="E8" i="4"/>
  <c r="A8" i="4"/>
  <c r="AM6" i="4"/>
  <c r="AL6" i="4"/>
  <c r="AK6" i="4"/>
  <c r="AJ6" i="4"/>
  <c r="AI6" i="4"/>
  <c r="AH6" i="4"/>
  <c r="AG6" i="4"/>
  <c r="AF6" i="4"/>
  <c r="AC6" i="4"/>
  <c r="AB6" i="4"/>
  <c r="Y6" i="4"/>
  <c r="X6" i="4"/>
  <c r="W6" i="4"/>
  <c r="V6" i="4"/>
  <c r="U6" i="4"/>
  <c r="T6" i="4"/>
  <c r="S6" i="4"/>
  <c r="R6" i="4"/>
  <c r="Q6" i="4"/>
  <c r="N6" i="4"/>
  <c r="M6" i="4"/>
  <c r="L6" i="4"/>
  <c r="K6" i="4"/>
  <c r="J6" i="4"/>
  <c r="I6" i="4"/>
  <c r="H6" i="4"/>
  <c r="G6" i="4"/>
  <c r="F6" i="4"/>
  <c r="E6" i="4"/>
  <c r="D6" i="4"/>
  <c r="C6" i="4"/>
  <c r="AM5" i="4"/>
  <c r="AL5" i="4"/>
  <c r="AK5" i="4"/>
  <c r="AJ5" i="4"/>
  <c r="AI5" i="4"/>
  <c r="AH5" i="4"/>
  <c r="AG5" i="4"/>
  <c r="AF5" i="4"/>
  <c r="AC5" i="4"/>
  <c r="AB5" i="4"/>
  <c r="Y5" i="4"/>
  <c r="X5" i="4"/>
  <c r="W5" i="4"/>
  <c r="V5" i="4"/>
  <c r="U5" i="4"/>
  <c r="T5" i="4"/>
  <c r="S5" i="4"/>
  <c r="R5" i="4"/>
  <c r="Q5" i="4"/>
  <c r="N5" i="4"/>
  <c r="M5" i="4"/>
  <c r="L5" i="4"/>
  <c r="K5" i="4"/>
  <c r="J5" i="4"/>
  <c r="I5" i="4"/>
  <c r="H5" i="4"/>
  <c r="G5" i="4"/>
  <c r="F5" i="4"/>
  <c r="E5" i="4"/>
  <c r="D5" i="4"/>
  <c r="C5" i="4"/>
  <c r="A3" i="4"/>
  <c r="A2" i="4"/>
  <c r="A1" i="4"/>
  <c r="C33" i="2"/>
  <c r="E26" i="2"/>
  <c r="C26" i="2"/>
  <c r="E24" i="2"/>
  <c r="C24" i="2"/>
  <c r="E22" i="2"/>
  <c r="C22" i="2"/>
  <c r="E20" i="2"/>
  <c r="C20" i="2"/>
  <c r="B20" i="2"/>
  <c r="E18" i="2"/>
  <c r="C18" i="2"/>
  <c r="E16" i="2"/>
  <c r="C16" i="2"/>
  <c r="E14" i="2"/>
  <c r="C14" i="2"/>
  <c r="F12" i="2"/>
  <c r="D12" i="2"/>
  <c r="C10" i="2"/>
  <c r="A3" i="2"/>
  <c r="A2" i="2"/>
  <c r="A1" i="2"/>
  <c r="A21" i="26"/>
  <c r="A20" i="26"/>
  <c r="A19" i="26"/>
  <c r="A18" i="26"/>
  <c r="A17" i="26"/>
  <c r="A16" i="26"/>
  <c r="A15" i="26"/>
  <c r="F14" i="26"/>
  <c r="D14" i="26"/>
  <c r="C14" i="26"/>
  <c r="A14" i="26"/>
  <c r="A13" i="26"/>
  <c r="A12" i="26"/>
  <c r="A11" i="26"/>
  <c r="F10" i="26"/>
  <c r="D10" i="26"/>
  <c r="C10" i="26"/>
  <c r="A10" i="26"/>
  <c r="A3" i="26"/>
  <c r="A2" i="26"/>
  <c r="A1" i="26"/>
  <c r="D38" i="165"/>
  <c r="D37" i="165"/>
  <c r="M36" i="165"/>
  <c r="K36" i="165"/>
  <c r="J36" i="165"/>
  <c r="I36" i="165"/>
  <c r="G36" i="165"/>
  <c r="E36" i="165"/>
  <c r="D36" i="165"/>
  <c r="C36" i="165"/>
  <c r="M35" i="165"/>
  <c r="K35" i="165"/>
  <c r="J35" i="165"/>
  <c r="I35" i="165"/>
  <c r="G35" i="165"/>
  <c r="E35" i="165"/>
  <c r="D35" i="165"/>
  <c r="C35" i="165"/>
  <c r="M34" i="165"/>
  <c r="K34" i="165"/>
  <c r="J34" i="165"/>
  <c r="I34" i="165"/>
  <c r="G34" i="165"/>
  <c r="E34" i="165"/>
  <c r="D34" i="165"/>
  <c r="C34" i="165"/>
  <c r="M33" i="165"/>
  <c r="K33" i="165"/>
  <c r="J33" i="165"/>
  <c r="I33" i="165"/>
  <c r="G33" i="165"/>
  <c r="E33" i="165"/>
  <c r="D33" i="165"/>
  <c r="C33" i="165"/>
  <c r="D30" i="165"/>
  <c r="D28" i="165"/>
  <c r="D27" i="165"/>
  <c r="M26" i="165"/>
  <c r="K26" i="165"/>
  <c r="J26" i="165"/>
  <c r="I26" i="165"/>
  <c r="G26" i="165"/>
  <c r="E26" i="165"/>
  <c r="D26" i="165"/>
  <c r="C26" i="165"/>
  <c r="M25" i="165"/>
  <c r="K25" i="165"/>
  <c r="J25" i="165"/>
  <c r="I25" i="165"/>
  <c r="G25" i="165"/>
  <c r="E25" i="165"/>
  <c r="D25" i="165"/>
  <c r="C25" i="165"/>
  <c r="M24" i="165"/>
  <c r="K24" i="165"/>
  <c r="J24" i="165"/>
  <c r="I24" i="165"/>
  <c r="G24" i="165"/>
  <c r="E24" i="165"/>
  <c r="D24" i="165"/>
  <c r="C24" i="165"/>
  <c r="D23" i="165"/>
  <c r="M22" i="165"/>
  <c r="K22" i="165"/>
  <c r="J22" i="165"/>
  <c r="I22" i="165"/>
  <c r="G22" i="165"/>
  <c r="E22" i="165"/>
  <c r="D22" i="165"/>
  <c r="C22" i="165"/>
  <c r="M21" i="165"/>
  <c r="K21" i="165"/>
  <c r="J21" i="165"/>
  <c r="I21" i="165"/>
  <c r="G21" i="165"/>
  <c r="E21" i="165"/>
  <c r="D21" i="165"/>
  <c r="C21" i="165"/>
  <c r="J20" i="165"/>
  <c r="D20" i="165"/>
  <c r="M19" i="165"/>
  <c r="K19" i="165"/>
  <c r="J19" i="165"/>
  <c r="I19" i="165"/>
  <c r="G19" i="165"/>
  <c r="E19" i="165"/>
  <c r="D19" i="165"/>
  <c r="C19" i="165"/>
  <c r="M18" i="165"/>
  <c r="K18" i="165"/>
  <c r="J18" i="165"/>
  <c r="I18" i="165"/>
  <c r="G18" i="165"/>
  <c r="E18" i="165"/>
  <c r="D18" i="165"/>
  <c r="C18" i="165"/>
  <c r="J17" i="165"/>
  <c r="D17" i="165"/>
  <c r="M16" i="165"/>
  <c r="K16" i="165"/>
  <c r="J16" i="165"/>
  <c r="I16" i="165"/>
  <c r="G16" i="165"/>
  <c r="E16" i="165"/>
  <c r="D16" i="165"/>
  <c r="C16" i="165"/>
  <c r="J13" i="165"/>
  <c r="D13" i="165"/>
  <c r="J12" i="165"/>
  <c r="D12" i="165"/>
  <c r="J11" i="165"/>
  <c r="D11" i="165"/>
  <c r="J10" i="165"/>
  <c r="D10" i="165"/>
  <c r="A3" i="165"/>
  <c r="A2" i="165"/>
  <c r="A1" i="165"/>
  <c r="C40" i="1"/>
  <c r="E38" i="1"/>
  <c r="D38" i="1"/>
  <c r="C38" i="1"/>
  <c r="E37" i="1"/>
  <c r="D37" i="1"/>
  <c r="C37" i="1"/>
  <c r="I36" i="1"/>
  <c r="G36" i="1"/>
  <c r="F36" i="1"/>
  <c r="E36" i="1"/>
  <c r="D36" i="1"/>
  <c r="C36" i="1"/>
  <c r="I35" i="1"/>
  <c r="G35" i="1"/>
  <c r="F35" i="1"/>
  <c r="E35" i="1"/>
  <c r="D35" i="1"/>
  <c r="C35" i="1"/>
  <c r="I34" i="1"/>
  <c r="G34" i="1"/>
  <c r="F34" i="1"/>
  <c r="E34" i="1"/>
  <c r="D34" i="1"/>
  <c r="C34" i="1"/>
  <c r="I33" i="1"/>
  <c r="G33" i="1"/>
  <c r="F33" i="1"/>
  <c r="E33" i="1"/>
  <c r="D33" i="1"/>
  <c r="C33" i="1"/>
  <c r="C30" i="1"/>
  <c r="C28" i="1"/>
  <c r="C27" i="1"/>
  <c r="I26" i="1"/>
  <c r="G26" i="1"/>
  <c r="F26" i="1"/>
  <c r="E26" i="1"/>
  <c r="D26" i="1"/>
  <c r="C26" i="1"/>
  <c r="I25" i="1"/>
  <c r="G25" i="1"/>
  <c r="F25" i="1"/>
  <c r="E25" i="1"/>
  <c r="D25" i="1"/>
  <c r="I24" i="1"/>
  <c r="G24" i="1"/>
  <c r="F24" i="1"/>
  <c r="E24" i="1"/>
  <c r="D24" i="1"/>
  <c r="C24" i="1"/>
  <c r="E23" i="1"/>
  <c r="D23" i="1"/>
  <c r="C23" i="1"/>
  <c r="I22" i="1"/>
  <c r="G22" i="1"/>
  <c r="F22" i="1"/>
  <c r="E22" i="1"/>
  <c r="D22" i="1"/>
  <c r="C22" i="1"/>
  <c r="I21" i="1"/>
  <c r="G21" i="1"/>
  <c r="F21" i="1"/>
  <c r="E21" i="1"/>
  <c r="D21" i="1"/>
  <c r="C21" i="1"/>
  <c r="F20" i="1"/>
  <c r="C20" i="1"/>
  <c r="I19" i="1"/>
  <c r="G19" i="1"/>
  <c r="F19" i="1"/>
  <c r="E19" i="1"/>
  <c r="D19" i="1"/>
  <c r="C19" i="1"/>
  <c r="I18" i="1"/>
  <c r="G18" i="1"/>
  <c r="F18" i="1"/>
  <c r="E18" i="1"/>
  <c r="D18" i="1"/>
  <c r="C18" i="1"/>
  <c r="F17" i="1"/>
  <c r="C17" i="1"/>
  <c r="I16" i="1"/>
  <c r="G16" i="1"/>
  <c r="F16" i="1"/>
  <c r="E16" i="1"/>
  <c r="D16" i="1"/>
  <c r="C16" i="1"/>
  <c r="F13" i="1"/>
  <c r="C13" i="1"/>
  <c r="F12" i="1"/>
  <c r="C12" i="1"/>
  <c r="F11" i="1"/>
  <c r="C11" i="1"/>
  <c r="F10" i="1"/>
  <c r="C10" i="1"/>
  <c r="A3" i="1"/>
  <c r="A2" i="1"/>
  <c r="A1" i="1"/>
  <c r="A1" i="87"/>
  <c r="J23" i="178"/>
  <c r="I23" i="178"/>
  <c r="H23" i="178"/>
  <c r="E23" i="178"/>
  <c r="D23" i="178"/>
  <c r="C23" i="178"/>
  <c r="J22" i="178"/>
  <c r="E22" i="178"/>
  <c r="J21" i="178"/>
  <c r="E21" i="178"/>
  <c r="J20" i="178"/>
  <c r="E20" i="178"/>
  <c r="J19" i="178"/>
  <c r="E19" i="178"/>
  <c r="J18" i="178"/>
  <c r="E18" i="178"/>
  <c r="J17" i="178"/>
  <c r="E17" i="178"/>
  <c r="J16" i="178"/>
  <c r="E16" i="178"/>
  <c r="J15" i="178"/>
  <c r="E15" i="178"/>
  <c r="J14" i="178"/>
  <c r="E14" i="178"/>
  <c r="J13" i="178"/>
  <c r="E13" i="178"/>
  <c r="J12" i="178"/>
  <c r="E12" i="178"/>
  <c r="J11" i="178"/>
  <c r="E11" i="178"/>
  <c r="A4" i="178"/>
  <c r="A3" i="178"/>
  <c r="A2" i="178"/>
  <c r="A1" i="178"/>
  <c r="O35" i="177"/>
  <c r="N35" i="177"/>
  <c r="M35" i="177"/>
  <c r="L35" i="177"/>
  <c r="K35" i="177"/>
  <c r="J35" i="177"/>
  <c r="I35" i="177"/>
  <c r="H35" i="177"/>
  <c r="G35" i="177"/>
  <c r="F35" i="177"/>
  <c r="E35" i="177"/>
  <c r="D35" i="177"/>
  <c r="O34" i="177"/>
  <c r="N34" i="177"/>
  <c r="M34" i="177"/>
  <c r="L34" i="177"/>
  <c r="K34" i="177"/>
  <c r="J34" i="177"/>
  <c r="I34" i="177"/>
  <c r="H34" i="177"/>
  <c r="G34" i="177"/>
  <c r="F34" i="177"/>
  <c r="E34" i="177"/>
  <c r="D34" i="177"/>
  <c r="O33" i="177"/>
  <c r="N33" i="177"/>
  <c r="M33" i="177"/>
  <c r="L33" i="177"/>
  <c r="K33" i="177"/>
  <c r="J33" i="177"/>
  <c r="I33" i="177"/>
  <c r="H33" i="177"/>
  <c r="G33" i="177"/>
  <c r="F33" i="177"/>
  <c r="E33" i="177"/>
  <c r="D33" i="177"/>
  <c r="O32" i="177"/>
  <c r="N32" i="177"/>
  <c r="M32" i="177"/>
  <c r="L32" i="177"/>
  <c r="K32" i="177"/>
  <c r="J32" i="177"/>
  <c r="I32" i="177"/>
  <c r="H32" i="177"/>
  <c r="G32" i="177"/>
  <c r="F32" i="177"/>
  <c r="E32" i="177"/>
  <c r="D32" i="177"/>
  <c r="P31" i="177"/>
  <c r="P26" i="177"/>
  <c r="O26" i="177"/>
  <c r="N26" i="177"/>
  <c r="M26" i="177"/>
  <c r="L26" i="177"/>
  <c r="K26" i="177"/>
  <c r="J26" i="177"/>
  <c r="I26" i="177"/>
  <c r="H26" i="177"/>
  <c r="G26" i="177"/>
  <c r="F26" i="177"/>
  <c r="E26" i="177"/>
  <c r="D26" i="177"/>
  <c r="P25" i="177"/>
  <c r="O25" i="177"/>
  <c r="N25" i="177"/>
  <c r="M25" i="177"/>
  <c r="L25" i="177"/>
  <c r="K25" i="177"/>
  <c r="J25" i="177"/>
  <c r="I25" i="177"/>
  <c r="H25" i="177"/>
  <c r="G25" i="177"/>
  <c r="F25" i="177"/>
  <c r="E25" i="177"/>
  <c r="D25" i="177"/>
  <c r="P24" i="177"/>
  <c r="P23" i="177"/>
  <c r="P22" i="177"/>
  <c r="P21" i="177"/>
  <c r="P20" i="177"/>
  <c r="P19" i="177"/>
  <c r="P18" i="177"/>
  <c r="P15" i="177"/>
  <c r="O15" i="177"/>
  <c r="N15" i="177"/>
  <c r="M15" i="177"/>
  <c r="L15" i="177"/>
  <c r="K15" i="177"/>
  <c r="J15" i="177"/>
  <c r="I15" i="177"/>
  <c r="H15" i="177"/>
  <c r="G15" i="177"/>
  <c r="F15" i="177"/>
  <c r="E15" i="177"/>
  <c r="D15" i="177"/>
  <c r="P14" i="177"/>
  <c r="P13" i="177"/>
  <c r="A4" i="177"/>
  <c r="A3" i="177"/>
  <c r="A2" i="177"/>
  <c r="A1" i="177"/>
  <c r="C202" i="195"/>
  <c r="P76" i="176"/>
  <c r="O76" i="176"/>
  <c r="N76" i="176"/>
  <c r="M76" i="176"/>
  <c r="L76" i="176"/>
  <c r="K76" i="176"/>
  <c r="J76" i="176"/>
  <c r="I76" i="176"/>
  <c r="H76" i="176"/>
  <c r="G76" i="176"/>
  <c r="F76" i="176"/>
  <c r="E76" i="176"/>
  <c r="D76" i="176"/>
  <c r="P75" i="176"/>
  <c r="O75" i="176"/>
  <c r="N75" i="176"/>
  <c r="M75" i="176"/>
  <c r="L75" i="176"/>
  <c r="K75" i="176"/>
  <c r="J75" i="176"/>
  <c r="I75" i="176"/>
  <c r="H75" i="176"/>
  <c r="G75" i="176"/>
  <c r="F75" i="176"/>
  <c r="E75" i="176"/>
  <c r="D75" i="176"/>
  <c r="P74" i="176"/>
  <c r="O74" i="176"/>
  <c r="N74" i="176"/>
  <c r="M74" i="176"/>
  <c r="L74" i="176"/>
  <c r="K74" i="176"/>
  <c r="J74" i="176"/>
  <c r="I74" i="176"/>
  <c r="H74" i="176"/>
  <c r="G74" i="176"/>
  <c r="F74" i="176"/>
  <c r="E74" i="176"/>
  <c r="D74" i="176"/>
  <c r="P73" i="176"/>
  <c r="O73" i="176"/>
  <c r="N73" i="176"/>
  <c r="M73" i="176"/>
  <c r="L73" i="176"/>
  <c r="K73" i="176"/>
  <c r="J73" i="176"/>
  <c r="I73" i="176"/>
  <c r="H73" i="176"/>
  <c r="G73" i="176"/>
  <c r="F73" i="176"/>
  <c r="E73" i="176"/>
  <c r="D73" i="176"/>
  <c r="T72" i="176"/>
  <c r="S72" i="176"/>
  <c r="R72" i="176"/>
  <c r="Q72" i="176"/>
  <c r="P72" i="176"/>
  <c r="O72" i="176"/>
  <c r="N72" i="176"/>
  <c r="M72" i="176"/>
  <c r="L72" i="176"/>
  <c r="K72" i="176"/>
  <c r="J72" i="176"/>
  <c r="I72" i="176"/>
  <c r="H72" i="176"/>
  <c r="G72" i="176"/>
  <c r="F72" i="176"/>
  <c r="E72" i="176"/>
  <c r="D72" i="176"/>
  <c r="P70" i="176"/>
  <c r="O70" i="176"/>
  <c r="N70" i="176"/>
  <c r="M70" i="176"/>
  <c r="L70" i="176"/>
  <c r="K70" i="176"/>
  <c r="J70" i="176"/>
  <c r="I70" i="176"/>
  <c r="H70" i="176"/>
  <c r="G70" i="176"/>
  <c r="F70" i="176"/>
  <c r="E70" i="176"/>
  <c r="D70" i="176"/>
  <c r="P69" i="176"/>
  <c r="O69" i="176"/>
  <c r="N69" i="176"/>
  <c r="M69" i="176"/>
  <c r="L69" i="176"/>
  <c r="K69" i="176"/>
  <c r="J69" i="176"/>
  <c r="I69" i="176"/>
  <c r="H69" i="176"/>
  <c r="G69" i="176"/>
  <c r="F69" i="176"/>
  <c r="E69" i="176"/>
  <c r="D69" i="176"/>
  <c r="T68" i="176"/>
  <c r="S68" i="176"/>
  <c r="R68" i="176"/>
  <c r="Q68" i="176"/>
  <c r="P68" i="176"/>
  <c r="O68" i="176"/>
  <c r="N68" i="176"/>
  <c r="M68" i="176"/>
  <c r="L68" i="176"/>
  <c r="K68" i="176"/>
  <c r="J68" i="176"/>
  <c r="I68" i="176"/>
  <c r="H68" i="176"/>
  <c r="G68" i="176"/>
  <c r="F68" i="176"/>
  <c r="E68" i="176"/>
  <c r="D68" i="176"/>
  <c r="P66" i="176"/>
  <c r="O66" i="176"/>
  <c r="N66" i="176"/>
  <c r="M66" i="176"/>
  <c r="L66" i="176"/>
  <c r="K66" i="176"/>
  <c r="J66" i="176"/>
  <c r="I66" i="176"/>
  <c r="H66" i="176"/>
  <c r="G66" i="176"/>
  <c r="F66" i="176"/>
  <c r="E66" i="176"/>
  <c r="D66" i="176"/>
  <c r="P65" i="176"/>
  <c r="O65" i="176"/>
  <c r="N65" i="176"/>
  <c r="M65" i="176"/>
  <c r="L65" i="176"/>
  <c r="K65" i="176"/>
  <c r="J65" i="176"/>
  <c r="I65" i="176"/>
  <c r="H65" i="176"/>
  <c r="G65" i="176"/>
  <c r="F65" i="176"/>
  <c r="E65" i="176"/>
  <c r="D65" i="176"/>
  <c r="P64" i="176"/>
  <c r="O64" i="176"/>
  <c r="N64" i="176"/>
  <c r="M64" i="176"/>
  <c r="L64" i="176"/>
  <c r="K64" i="176"/>
  <c r="J64" i="176"/>
  <c r="I64" i="176"/>
  <c r="H64" i="176"/>
  <c r="G64" i="176"/>
  <c r="F64" i="176"/>
  <c r="E64" i="176"/>
  <c r="D64" i="176"/>
  <c r="T63" i="176"/>
  <c r="S63" i="176"/>
  <c r="R63" i="176"/>
  <c r="Q63" i="176"/>
  <c r="P63" i="176"/>
  <c r="O63" i="176"/>
  <c r="N63" i="176"/>
  <c r="M63" i="176"/>
  <c r="L63" i="176"/>
  <c r="K63" i="176"/>
  <c r="J63" i="176"/>
  <c r="I63" i="176"/>
  <c r="H63" i="176"/>
  <c r="G63" i="176"/>
  <c r="F63" i="176"/>
  <c r="E63" i="176"/>
  <c r="D63" i="176"/>
  <c r="P61" i="176"/>
  <c r="O61" i="176"/>
  <c r="N61" i="176"/>
  <c r="M61" i="176"/>
  <c r="L61" i="176"/>
  <c r="K61" i="176"/>
  <c r="J61" i="176"/>
  <c r="I61" i="176"/>
  <c r="H61" i="176"/>
  <c r="G61" i="176"/>
  <c r="F61" i="176"/>
  <c r="E61" i="176"/>
  <c r="D61" i="176"/>
  <c r="P60" i="176"/>
  <c r="O60" i="176"/>
  <c r="N60" i="176"/>
  <c r="M60" i="176"/>
  <c r="L60" i="176"/>
  <c r="K60" i="176"/>
  <c r="J60" i="176"/>
  <c r="I60" i="176"/>
  <c r="H60" i="176"/>
  <c r="G60" i="176"/>
  <c r="F60" i="176"/>
  <c r="E60" i="176"/>
  <c r="D60" i="176"/>
  <c r="P59" i="176"/>
  <c r="O59" i="176"/>
  <c r="N59" i="176"/>
  <c r="M59" i="176"/>
  <c r="L59" i="176"/>
  <c r="K59" i="176"/>
  <c r="J59" i="176"/>
  <c r="I59" i="176"/>
  <c r="H59" i="176"/>
  <c r="G59" i="176"/>
  <c r="F59" i="176"/>
  <c r="E59" i="176"/>
  <c r="D59" i="176"/>
  <c r="T58" i="176"/>
  <c r="S58" i="176"/>
  <c r="R58" i="176"/>
  <c r="Q58" i="176"/>
  <c r="P58" i="176"/>
  <c r="O58" i="176"/>
  <c r="N58" i="176"/>
  <c r="M58" i="176"/>
  <c r="L58" i="176"/>
  <c r="K58" i="176"/>
  <c r="J58" i="176"/>
  <c r="I58" i="176"/>
  <c r="H58" i="176"/>
  <c r="G58" i="176"/>
  <c r="F58" i="176"/>
  <c r="E58" i="176"/>
  <c r="D58" i="176"/>
  <c r="T56" i="176"/>
  <c r="S56" i="176"/>
  <c r="R56" i="176"/>
  <c r="Q56" i="176"/>
  <c r="P56" i="176"/>
  <c r="O56" i="176"/>
  <c r="N56" i="176"/>
  <c r="M56" i="176"/>
  <c r="L56" i="176"/>
  <c r="K56" i="176"/>
  <c r="J56" i="176"/>
  <c r="I56" i="176"/>
  <c r="H56" i="176"/>
  <c r="G56" i="176"/>
  <c r="F56" i="176"/>
  <c r="E56" i="176"/>
  <c r="D56" i="176"/>
  <c r="T55" i="176"/>
  <c r="S55" i="176"/>
  <c r="R55" i="176"/>
  <c r="Q55" i="176"/>
  <c r="P55" i="176"/>
  <c r="O55" i="176"/>
  <c r="N55" i="176"/>
  <c r="M55" i="176"/>
  <c r="L55" i="176"/>
  <c r="K55" i="176"/>
  <c r="J55" i="176"/>
  <c r="I55" i="176"/>
  <c r="H55" i="176"/>
  <c r="G55" i="176"/>
  <c r="F55" i="176"/>
  <c r="E55" i="176"/>
  <c r="D55" i="176"/>
  <c r="O50" i="176"/>
  <c r="N50" i="176"/>
  <c r="M50" i="176"/>
  <c r="L50" i="176"/>
  <c r="K50" i="176"/>
  <c r="J50" i="176"/>
  <c r="I50" i="176"/>
  <c r="H50" i="176"/>
  <c r="G50" i="176"/>
  <c r="F50" i="176"/>
  <c r="E50" i="176"/>
  <c r="D50" i="176"/>
  <c r="O49" i="176"/>
  <c r="N49" i="176"/>
  <c r="M49" i="176"/>
  <c r="L49" i="176"/>
  <c r="K49" i="176"/>
  <c r="J49" i="176"/>
  <c r="I49" i="176"/>
  <c r="H49" i="176"/>
  <c r="G49" i="176"/>
  <c r="F49" i="176"/>
  <c r="E49" i="176"/>
  <c r="D49" i="176"/>
  <c r="O48" i="176"/>
  <c r="N48" i="176"/>
  <c r="M48" i="176"/>
  <c r="L48" i="176"/>
  <c r="K48" i="176"/>
  <c r="J48" i="176"/>
  <c r="I48" i="176"/>
  <c r="H48" i="176"/>
  <c r="G48" i="176"/>
  <c r="F48" i="176"/>
  <c r="E48" i="176"/>
  <c r="D48" i="176"/>
  <c r="O47" i="176"/>
  <c r="N47" i="176"/>
  <c r="M47" i="176"/>
  <c r="L47" i="176"/>
  <c r="K47" i="176"/>
  <c r="J47" i="176"/>
  <c r="I47" i="176"/>
  <c r="H47" i="176"/>
  <c r="G47" i="176"/>
  <c r="F47" i="176"/>
  <c r="E47" i="176"/>
  <c r="D47" i="176"/>
  <c r="O46" i="176"/>
  <c r="N46" i="176"/>
  <c r="M46" i="176"/>
  <c r="L46" i="176"/>
  <c r="K46" i="176"/>
  <c r="J46" i="176"/>
  <c r="I46" i="176"/>
  <c r="H46" i="176"/>
  <c r="G46" i="176"/>
  <c r="F46" i="176"/>
  <c r="E46" i="176"/>
  <c r="D46" i="176"/>
  <c r="Q45" i="176"/>
  <c r="P45" i="176"/>
  <c r="O45" i="176"/>
  <c r="N45" i="176"/>
  <c r="M45" i="176"/>
  <c r="L45" i="176"/>
  <c r="K45" i="176"/>
  <c r="J45" i="176"/>
  <c r="I45" i="176"/>
  <c r="H45" i="176"/>
  <c r="G45" i="176"/>
  <c r="F45" i="176"/>
  <c r="E45" i="176"/>
  <c r="D45" i="176"/>
  <c r="P44" i="176"/>
  <c r="O44" i="176"/>
  <c r="N44" i="176"/>
  <c r="M44" i="176"/>
  <c r="L44" i="176"/>
  <c r="K44" i="176"/>
  <c r="J44" i="176"/>
  <c r="I44" i="176"/>
  <c r="H44" i="176"/>
  <c r="G44" i="176"/>
  <c r="F44" i="176"/>
  <c r="E44" i="176"/>
  <c r="D44" i="176"/>
  <c r="D44" i="176" a="1"/>
  <c r="P43" i="176"/>
  <c r="O43" i="176"/>
  <c r="N43" i="176"/>
  <c r="M43" i="176"/>
  <c r="L43" i="176"/>
  <c r="K43" i="176"/>
  <c r="J43" i="176"/>
  <c r="I43" i="176"/>
  <c r="H43" i="176"/>
  <c r="G43" i="176"/>
  <c r="F43" i="176"/>
  <c r="E43" i="176"/>
  <c r="D43" i="176"/>
  <c r="D43" i="176" a="1"/>
  <c r="P42" i="176"/>
  <c r="O42" i="176"/>
  <c r="N42" i="176"/>
  <c r="M42" i="176"/>
  <c r="L42" i="176"/>
  <c r="K42" i="176"/>
  <c r="J42" i="176"/>
  <c r="I42" i="176"/>
  <c r="H42" i="176"/>
  <c r="G42" i="176"/>
  <c r="F42" i="176"/>
  <c r="E42" i="176"/>
  <c r="D42" i="176"/>
  <c r="D42" i="176" a="1"/>
  <c r="P41" i="176"/>
  <c r="O41" i="176"/>
  <c r="N41" i="176"/>
  <c r="M41" i="176"/>
  <c r="L41" i="176"/>
  <c r="K41" i="176"/>
  <c r="J41" i="176"/>
  <c r="I41" i="176"/>
  <c r="H41" i="176"/>
  <c r="G41" i="176"/>
  <c r="F41" i="176"/>
  <c r="E41" i="176"/>
  <c r="D41" i="176"/>
  <c r="D41" i="176" a="1"/>
  <c r="O39" i="176"/>
  <c r="N39" i="176"/>
  <c r="M39" i="176"/>
  <c r="L39" i="176"/>
  <c r="K39" i="176"/>
  <c r="J39" i="176"/>
  <c r="I39" i="176"/>
  <c r="H39" i="176"/>
  <c r="G39" i="176"/>
  <c r="F39" i="176"/>
  <c r="E39" i="176"/>
  <c r="D39" i="176"/>
  <c r="O38" i="176"/>
  <c r="N38" i="176"/>
  <c r="M38" i="176"/>
  <c r="L38" i="176"/>
  <c r="K38" i="176"/>
  <c r="J38" i="176"/>
  <c r="I38" i="176"/>
  <c r="H38" i="176"/>
  <c r="G38" i="176"/>
  <c r="F38" i="176"/>
  <c r="E38" i="176"/>
  <c r="D38" i="176"/>
  <c r="O37" i="176"/>
  <c r="N37" i="176"/>
  <c r="M37" i="176"/>
  <c r="L37" i="176"/>
  <c r="K37" i="176"/>
  <c r="J37" i="176"/>
  <c r="I37" i="176"/>
  <c r="H37" i="176"/>
  <c r="G37" i="176"/>
  <c r="F37" i="176"/>
  <c r="E37" i="176"/>
  <c r="D37" i="176"/>
  <c r="Q36" i="176"/>
  <c r="P36" i="176"/>
  <c r="O36" i="176"/>
  <c r="N36" i="176"/>
  <c r="M36" i="176"/>
  <c r="L36" i="176"/>
  <c r="K36" i="176"/>
  <c r="J36" i="176"/>
  <c r="I36" i="176"/>
  <c r="H36" i="176"/>
  <c r="G36" i="176"/>
  <c r="F36" i="176"/>
  <c r="E36" i="176"/>
  <c r="D36" i="176"/>
  <c r="P35" i="176"/>
  <c r="O35" i="176"/>
  <c r="N35" i="176"/>
  <c r="M35" i="176"/>
  <c r="L35" i="176"/>
  <c r="K35" i="176"/>
  <c r="J35" i="176"/>
  <c r="I35" i="176"/>
  <c r="H35" i="176"/>
  <c r="G35" i="176"/>
  <c r="F35" i="176"/>
  <c r="E35" i="176"/>
  <c r="D35" i="176"/>
  <c r="D35" i="176" a="1"/>
  <c r="P34" i="176"/>
  <c r="O34" i="176"/>
  <c r="N34" i="176"/>
  <c r="M34" i="176"/>
  <c r="L34" i="176"/>
  <c r="K34" i="176"/>
  <c r="J34" i="176"/>
  <c r="I34" i="176"/>
  <c r="H34" i="176"/>
  <c r="G34" i="176"/>
  <c r="F34" i="176"/>
  <c r="E34" i="176"/>
  <c r="D34" i="176"/>
  <c r="D34" i="176" a="1"/>
  <c r="O32" i="176"/>
  <c r="N32" i="176"/>
  <c r="M32" i="176"/>
  <c r="L32" i="176"/>
  <c r="K32" i="176"/>
  <c r="J32" i="176"/>
  <c r="I32" i="176"/>
  <c r="H32" i="176"/>
  <c r="G32" i="176"/>
  <c r="F32" i="176"/>
  <c r="E32" i="176"/>
  <c r="D32" i="176"/>
  <c r="O31" i="176"/>
  <c r="N31" i="176"/>
  <c r="M31" i="176"/>
  <c r="L31" i="176"/>
  <c r="K31" i="176"/>
  <c r="J31" i="176"/>
  <c r="I31" i="176"/>
  <c r="H31" i="176"/>
  <c r="G31" i="176"/>
  <c r="F31" i="176"/>
  <c r="E31" i="176"/>
  <c r="D31" i="176"/>
  <c r="O30" i="176"/>
  <c r="N30" i="176"/>
  <c r="M30" i="176"/>
  <c r="L30" i="176"/>
  <c r="K30" i="176"/>
  <c r="J30" i="176"/>
  <c r="I30" i="176"/>
  <c r="H30" i="176"/>
  <c r="G30" i="176"/>
  <c r="F30" i="176"/>
  <c r="E30" i="176"/>
  <c r="D30" i="176"/>
  <c r="O29" i="176"/>
  <c r="N29" i="176"/>
  <c r="M29" i="176"/>
  <c r="L29" i="176"/>
  <c r="K29" i="176"/>
  <c r="J29" i="176"/>
  <c r="I29" i="176"/>
  <c r="H29" i="176"/>
  <c r="G29" i="176"/>
  <c r="F29" i="176"/>
  <c r="E29" i="176"/>
  <c r="D29" i="176"/>
  <c r="Q28" i="176"/>
  <c r="P28" i="176"/>
  <c r="O28" i="176"/>
  <c r="N28" i="176"/>
  <c r="M28" i="176"/>
  <c r="L28" i="176"/>
  <c r="K28" i="176"/>
  <c r="J28" i="176"/>
  <c r="I28" i="176"/>
  <c r="H28" i="176"/>
  <c r="G28" i="176"/>
  <c r="F28" i="176"/>
  <c r="E28" i="176"/>
  <c r="D28" i="176"/>
  <c r="P27" i="176"/>
  <c r="O27" i="176"/>
  <c r="N27" i="176"/>
  <c r="M27" i="176"/>
  <c r="L27" i="176"/>
  <c r="K27" i="176"/>
  <c r="J27" i="176"/>
  <c r="I27" i="176"/>
  <c r="H27" i="176"/>
  <c r="G27" i="176"/>
  <c r="F27" i="176"/>
  <c r="E27" i="176"/>
  <c r="D27" i="176"/>
  <c r="D27" i="176" a="1"/>
  <c r="P26" i="176"/>
  <c r="O26" i="176"/>
  <c r="N26" i="176"/>
  <c r="M26" i="176"/>
  <c r="L26" i="176"/>
  <c r="K26" i="176"/>
  <c r="J26" i="176"/>
  <c r="I26" i="176"/>
  <c r="H26" i="176"/>
  <c r="G26" i="176"/>
  <c r="F26" i="176"/>
  <c r="E26" i="176"/>
  <c r="D26" i="176"/>
  <c r="P25" i="176"/>
  <c r="O25" i="176"/>
  <c r="N25" i="176"/>
  <c r="M25" i="176"/>
  <c r="L25" i="176"/>
  <c r="K25" i="176"/>
  <c r="J25" i="176"/>
  <c r="I25" i="176"/>
  <c r="H25" i="176"/>
  <c r="G25" i="176"/>
  <c r="F25" i="176"/>
  <c r="E25" i="176"/>
  <c r="D25" i="176"/>
  <c r="D25" i="176" a="1"/>
  <c r="O23" i="176"/>
  <c r="N23" i="176"/>
  <c r="M23" i="176"/>
  <c r="L23" i="176"/>
  <c r="K23" i="176"/>
  <c r="J23" i="176"/>
  <c r="I23" i="176"/>
  <c r="H23" i="176"/>
  <c r="G23" i="176"/>
  <c r="F23" i="176"/>
  <c r="E23" i="176"/>
  <c r="D23" i="176"/>
  <c r="O22" i="176"/>
  <c r="N22" i="176"/>
  <c r="M22" i="176"/>
  <c r="L22" i="176"/>
  <c r="K22" i="176"/>
  <c r="J22" i="176"/>
  <c r="I22" i="176"/>
  <c r="H22" i="176"/>
  <c r="G22" i="176"/>
  <c r="F22" i="176"/>
  <c r="E22" i="176"/>
  <c r="D22" i="176"/>
  <c r="O21" i="176"/>
  <c r="N21" i="176"/>
  <c r="M21" i="176"/>
  <c r="L21" i="176"/>
  <c r="K21" i="176"/>
  <c r="J21" i="176"/>
  <c r="I21" i="176"/>
  <c r="H21" i="176"/>
  <c r="G21" i="176"/>
  <c r="F21" i="176"/>
  <c r="E21" i="176"/>
  <c r="D21" i="176"/>
  <c r="O20" i="176"/>
  <c r="N20" i="176"/>
  <c r="M20" i="176"/>
  <c r="L20" i="176"/>
  <c r="K20" i="176"/>
  <c r="J20" i="176"/>
  <c r="I20" i="176"/>
  <c r="H20" i="176"/>
  <c r="G20" i="176"/>
  <c r="F20" i="176"/>
  <c r="E20" i="176"/>
  <c r="D20" i="176"/>
  <c r="Q19" i="176"/>
  <c r="P19" i="176"/>
  <c r="O19" i="176"/>
  <c r="N19" i="176"/>
  <c r="M19" i="176"/>
  <c r="L19" i="176"/>
  <c r="K19" i="176"/>
  <c r="J19" i="176"/>
  <c r="I19" i="176"/>
  <c r="H19" i="176"/>
  <c r="G19" i="176"/>
  <c r="F19" i="176"/>
  <c r="E19" i="176"/>
  <c r="D19" i="176"/>
  <c r="P18" i="176"/>
  <c r="O18" i="176"/>
  <c r="N18" i="176"/>
  <c r="M18" i="176"/>
  <c r="L18" i="176"/>
  <c r="K18" i="176"/>
  <c r="J18" i="176"/>
  <c r="I18" i="176"/>
  <c r="H18" i="176"/>
  <c r="G18" i="176"/>
  <c r="F18" i="176"/>
  <c r="E18" i="176"/>
  <c r="D18" i="176"/>
  <c r="D18" i="176" a="1"/>
  <c r="P17" i="176"/>
  <c r="O17" i="176"/>
  <c r="N17" i="176"/>
  <c r="M17" i="176"/>
  <c r="L17" i="176"/>
  <c r="K17" i="176"/>
  <c r="J17" i="176"/>
  <c r="I17" i="176"/>
  <c r="H17" i="176"/>
  <c r="G17" i="176"/>
  <c r="F17" i="176"/>
  <c r="E17" i="176"/>
  <c r="D17" i="176"/>
  <c r="D17" i="176" a="1"/>
  <c r="P16" i="176"/>
  <c r="O16" i="176"/>
  <c r="N16" i="176"/>
  <c r="M16" i="176"/>
  <c r="L16" i="176"/>
  <c r="K16" i="176"/>
  <c r="J16" i="176"/>
  <c r="I16" i="176"/>
  <c r="H16" i="176"/>
  <c r="G16" i="176"/>
  <c r="F16" i="176"/>
  <c r="E16" i="176"/>
  <c r="D16" i="176"/>
  <c r="D16" i="176" a="1"/>
  <c r="O14" i="176"/>
  <c r="N14" i="176"/>
  <c r="M14" i="176"/>
  <c r="L14" i="176"/>
  <c r="K14" i="176"/>
  <c r="J14" i="176"/>
  <c r="I14" i="176"/>
  <c r="H14" i="176"/>
  <c r="G14" i="176"/>
  <c r="F14" i="176"/>
  <c r="E14" i="176"/>
  <c r="D14" i="176"/>
  <c r="Q13" i="176"/>
  <c r="P13" i="176"/>
  <c r="O13" i="176"/>
  <c r="N13" i="176"/>
  <c r="M13" i="176"/>
  <c r="L13" i="176"/>
  <c r="K13" i="176"/>
  <c r="J13" i="176"/>
  <c r="I13" i="176"/>
  <c r="H13" i="176"/>
  <c r="G13" i="176"/>
  <c r="F13" i="176"/>
  <c r="E13" i="176"/>
  <c r="D13" i="176"/>
  <c r="O12" i="176"/>
  <c r="N12" i="176"/>
  <c r="M12" i="176"/>
  <c r="L12" i="176"/>
  <c r="K12" i="176"/>
  <c r="J12" i="176"/>
  <c r="I12" i="176"/>
  <c r="H12" i="176"/>
  <c r="G12" i="176"/>
  <c r="F12" i="176"/>
  <c r="E12" i="176"/>
  <c r="D12" i="176"/>
  <c r="Q11" i="176"/>
  <c r="P11" i="176"/>
  <c r="O11" i="176"/>
  <c r="N11" i="176"/>
  <c r="M11" i="176"/>
  <c r="L11" i="176"/>
  <c r="K11" i="176"/>
  <c r="J11" i="176"/>
  <c r="I11" i="176"/>
  <c r="H11" i="176"/>
  <c r="G11" i="176"/>
  <c r="F11" i="176"/>
  <c r="E11" i="176"/>
  <c r="D11" i="176"/>
  <c r="B4" i="176"/>
  <c r="B3" i="176"/>
  <c r="B2" i="176"/>
  <c r="B1" i="176"/>
  <c r="Q395" i="175"/>
  <c r="P395" i="175"/>
  <c r="O395" i="175"/>
  <c r="N395" i="175"/>
  <c r="M395" i="175"/>
  <c r="L395" i="175"/>
  <c r="K395" i="175"/>
  <c r="J395" i="175"/>
  <c r="I395" i="175"/>
  <c r="H395" i="175"/>
  <c r="G395" i="175"/>
  <c r="F395" i="175"/>
  <c r="E395" i="175"/>
  <c r="Q394" i="175"/>
  <c r="P394" i="175"/>
  <c r="O394" i="175"/>
  <c r="N394" i="175"/>
  <c r="M394" i="175"/>
  <c r="L394" i="175"/>
  <c r="K394" i="175"/>
  <c r="J394" i="175"/>
  <c r="I394" i="175"/>
  <c r="H394" i="175"/>
  <c r="G394" i="175"/>
  <c r="F394" i="175"/>
  <c r="E394" i="175"/>
  <c r="Q393" i="175"/>
  <c r="P393" i="175"/>
  <c r="O393" i="175"/>
  <c r="N393" i="175"/>
  <c r="M393" i="175"/>
  <c r="L393" i="175"/>
  <c r="K393" i="175"/>
  <c r="J393" i="175"/>
  <c r="I393" i="175"/>
  <c r="H393" i="175"/>
  <c r="G393" i="175"/>
  <c r="F393" i="175"/>
  <c r="E393" i="175"/>
  <c r="Q391" i="175"/>
  <c r="Q390" i="175"/>
  <c r="P390" i="175"/>
  <c r="O390" i="175"/>
  <c r="N390" i="175"/>
  <c r="M390" i="175"/>
  <c r="L390" i="175"/>
  <c r="K390" i="175"/>
  <c r="J390" i="175"/>
  <c r="I390" i="175"/>
  <c r="H390" i="175"/>
  <c r="G390" i="175"/>
  <c r="F390" i="175"/>
  <c r="E390" i="175"/>
  <c r="C390" i="175"/>
  <c r="Q389" i="175"/>
  <c r="P389" i="175"/>
  <c r="O389" i="175"/>
  <c r="N389" i="175"/>
  <c r="M389" i="175"/>
  <c r="L389" i="175"/>
  <c r="K389" i="175"/>
  <c r="J389" i="175"/>
  <c r="I389" i="175"/>
  <c r="H389" i="175"/>
  <c r="G389" i="175"/>
  <c r="F389" i="175"/>
  <c r="E389" i="175"/>
  <c r="C389" i="175"/>
  <c r="Q388" i="175"/>
  <c r="P388" i="175"/>
  <c r="O388" i="175"/>
  <c r="N388" i="175"/>
  <c r="M388" i="175"/>
  <c r="L388" i="175"/>
  <c r="K388" i="175"/>
  <c r="J388" i="175"/>
  <c r="I388" i="175"/>
  <c r="H388" i="175"/>
  <c r="G388" i="175"/>
  <c r="F388" i="175"/>
  <c r="E388" i="175"/>
  <c r="C388" i="175"/>
  <c r="Q387" i="175"/>
  <c r="P387" i="175"/>
  <c r="O387" i="175"/>
  <c r="N387" i="175"/>
  <c r="M387" i="175"/>
  <c r="L387" i="175"/>
  <c r="K387" i="175"/>
  <c r="J387" i="175"/>
  <c r="I387" i="175"/>
  <c r="H387" i="175"/>
  <c r="G387" i="175"/>
  <c r="F387" i="175"/>
  <c r="E387" i="175"/>
  <c r="C387" i="175"/>
  <c r="Q386" i="175"/>
  <c r="P386" i="175"/>
  <c r="O386" i="175"/>
  <c r="N386" i="175"/>
  <c r="M386" i="175"/>
  <c r="L386" i="175"/>
  <c r="K386" i="175"/>
  <c r="J386" i="175"/>
  <c r="I386" i="175"/>
  <c r="H386" i="175"/>
  <c r="G386" i="175"/>
  <c r="F386" i="175"/>
  <c r="E386" i="175"/>
  <c r="C386" i="175"/>
  <c r="Q385" i="175"/>
  <c r="P385" i="175"/>
  <c r="O385" i="175"/>
  <c r="N385" i="175"/>
  <c r="M385" i="175"/>
  <c r="L385" i="175"/>
  <c r="K385" i="175"/>
  <c r="J385" i="175"/>
  <c r="I385" i="175"/>
  <c r="H385" i="175"/>
  <c r="G385" i="175"/>
  <c r="F385" i="175"/>
  <c r="E385" i="175"/>
  <c r="C385" i="175"/>
  <c r="Q384" i="175"/>
  <c r="P384" i="175"/>
  <c r="O384" i="175"/>
  <c r="N384" i="175"/>
  <c r="M384" i="175"/>
  <c r="L384" i="175"/>
  <c r="K384" i="175"/>
  <c r="J384" i="175"/>
  <c r="I384" i="175"/>
  <c r="H384" i="175"/>
  <c r="G384" i="175"/>
  <c r="F384" i="175"/>
  <c r="E384" i="175"/>
  <c r="C384" i="175"/>
  <c r="Q383" i="175"/>
  <c r="P383" i="175"/>
  <c r="O383" i="175"/>
  <c r="N383" i="175"/>
  <c r="M383" i="175"/>
  <c r="L383" i="175"/>
  <c r="K383" i="175"/>
  <c r="J383" i="175"/>
  <c r="I383" i="175"/>
  <c r="H383" i="175"/>
  <c r="G383" i="175"/>
  <c r="F383" i="175"/>
  <c r="E383" i="175"/>
  <c r="C383" i="175"/>
  <c r="Q382" i="175"/>
  <c r="P382" i="175"/>
  <c r="O382" i="175"/>
  <c r="N382" i="175"/>
  <c r="M382" i="175"/>
  <c r="L382" i="175"/>
  <c r="K382" i="175"/>
  <c r="J382" i="175"/>
  <c r="I382" i="175"/>
  <c r="H382" i="175"/>
  <c r="G382" i="175"/>
  <c r="F382" i="175"/>
  <c r="E382" i="175"/>
  <c r="C382" i="175"/>
  <c r="Q381" i="175"/>
  <c r="P381" i="175"/>
  <c r="O381" i="175"/>
  <c r="N381" i="175"/>
  <c r="M381" i="175"/>
  <c r="L381" i="175"/>
  <c r="K381" i="175"/>
  <c r="J381" i="175"/>
  <c r="I381" i="175"/>
  <c r="H381" i="175"/>
  <c r="G381" i="175"/>
  <c r="F381" i="175"/>
  <c r="E381" i="175"/>
  <c r="C381" i="175"/>
  <c r="Q380" i="175"/>
  <c r="P380" i="175"/>
  <c r="O380" i="175"/>
  <c r="N380" i="175"/>
  <c r="M380" i="175"/>
  <c r="L380" i="175"/>
  <c r="K380" i="175"/>
  <c r="J380" i="175"/>
  <c r="I380" i="175"/>
  <c r="H380" i="175"/>
  <c r="G380" i="175"/>
  <c r="F380" i="175"/>
  <c r="E380" i="175"/>
  <c r="C380" i="175"/>
  <c r="Q379" i="175"/>
  <c r="P379" i="175"/>
  <c r="O379" i="175"/>
  <c r="N379" i="175"/>
  <c r="M379" i="175"/>
  <c r="L379" i="175"/>
  <c r="K379" i="175"/>
  <c r="J379" i="175"/>
  <c r="I379" i="175"/>
  <c r="H379" i="175"/>
  <c r="G379" i="175"/>
  <c r="F379" i="175"/>
  <c r="E379" i="175"/>
  <c r="C379" i="175"/>
  <c r="Q378" i="175"/>
  <c r="P378" i="175"/>
  <c r="O378" i="175"/>
  <c r="N378" i="175"/>
  <c r="M378" i="175"/>
  <c r="L378" i="175"/>
  <c r="K378" i="175"/>
  <c r="J378" i="175"/>
  <c r="I378" i="175"/>
  <c r="H378" i="175"/>
  <c r="G378" i="175"/>
  <c r="F378" i="175"/>
  <c r="E378" i="175"/>
  <c r="C378" i="175"/>
  <c r="Q377" i="175"/>
  <c r="P377" i="175"/>
  <c r="O377" i="175"/>
  <c r="N377" i="175"/>
  <c r="M377" i="175"/>
  <c r="L377" i="175"/>
  <c r="K377" i="175"/>
  <c r="J377" i="175"/>
  <c r="I377" i="175"/>
  <c r="H377" i="175"/>
  <c r="G377" i="175"/>
  <c r="F377" i="175"/>
  <c r="E377" i="175"/>
  <c r="C377" i="175"/>
  <c r="Q376" i="175"/>
  <c r="P376" i="175"/>
  <c r="O376" i="175"/>
  <c r="N376" i="175"/>
  <c r="M376" i="175"/>
  <c r="L376" i="175"/>
  <c r="K376" i="175"/>
  <c r="J376" i="175"/>
  <c r="I376" i="175"/>
  <c r="H376" i="175"/>
  <c r="G376" i="175"/>
  <c r="F376" i="175"/>
  <c r="E376" i="175"/>
  <c r="C376" i="175"/>
  <c r="Q375" i="175"/>
  <c r="P375" i="175"/>
  <c r="O375" i="175"/>
  <c r="N375" i="175"/>
  <c r="M375" i="175"/>
  <c r="L375" i="175"/>
  <c r="K375" i="175"/>
  <c r="J375" i="175"/>
  <c r="I375" i="175"/>
  <c r="H375" i="175"/>
  <c r="G375" i="175"/>
  <c r="F375" i="175"/>
  <c r="E375" i="175"/>
  <c r="C375" i="175"/>
  <c r="Q374" i="175"/>
  <c r="P374" i="175"/>
  <c r="O374" i="175"/>
  <c r="N374" i="175"/>
  <c r="M374" i="175"/>
  <c r="L374" i="175"/>
  <c r="K374" i="175"/>
  <c r="J374" i="175"/>
  <c r="I374" i="175"/>
  <c r="H374" i="175"/>
  <c r="G374" i="175"/>
  <c r="F374" i="175"/>
  <c r="E374" i="175"/>
  <c r="C374" i="175"/>
  <c r="Q373" i="175"/>
  <c r="P373" i="175"/>
  <c r="O373" i="175"/>
  <c r="N373" i="175"/>
  <c r="M373" i="175"/>
  <c r="L373" i="175"/>
  <c r="K373" i="175"/>
  <c r="J373" i="175"/>
  <c r="I373" i="175"/>
  <c r="H373" i="175"/>
  <c r="G373" i="175"/>
  <c r="F373" i="175"/>
  <c r="E373" i="175"/>
  <c r="C373" i="175"/>
  <c r="Q370" i="175"/>
  <c r="Q369" i="175"/>
  <c r="P369" i="175"/>
  <c r="O369" i="175"/>
  <c r="N369" i="175"/>
  <c r="M369" i="175"/>
  <c r="L369" i="175"/>
  <c r="K369" i="175"/>
  <c r="J369" i="175"/>
  <c r="I369" i="175"/>
  <c r="H369" i="175"/>
  <c r="G369" i="175"/>
  <c r="F369" i="175"/>
  <c r="E369" i="175"/>
  <c r="C369" i="175"/>
  <c r="Q368" i="175"/>
  <c r="C368" i="175"/>
  <c r="Q367" i="175"/>
  <c r="P367" i="175"/>
  <c r="O367" i="175"/>
  <c r="C367" i="175"/>
  <c r="Q366" i="175"/>
  <c r="C366" i="175"/>
  <c r="Q365" i="175"/>
  <c r="C365" i="175"/>
  <c r="Q364" i="175"/>
  <c r="C364" i="175"/>
  <c r="Q363" i="175"/>
  <c r="C363" i="175"/>
  <c r="Q362" i="175"/>
  <c r="C362" i="175"/>
  <c r="Q361" i="175"/>
  <c r="C361" i="175"/>
  <c r="Q360" i="175"/>
  <c r="C360" i="175"/>
  <c r="Q359" i="175"/>
  <c r="C359" i="175"/>
  <c r="Q358" i="175"/>
  <c r="P358" i="175"/>
  <c r="O358" i="175"/>
  <c r="N358" i="175"/>
  <c r="M358" i="175"/>
  <c r="L358" i="175"/>
  <c r="K358" i="175"/>
  <c r="J358" i="175"/>
  <c r="I358" i="175"/>
  <c r="H358" i="175"/>
  <c r="G358" i="175"/>
  <c r="F358" i="175"/>
  <c r="E358" i="175"/>
  <c r="C358" i="175"/>
  <c r="Q357" i="175"/>
  <c r="C357" i="175"/>
  <c r="Q356" i="175"/>
  <c r="P356" i="175"/>
  <c r="O356" i="175"/>
  <c r="C356" i="175"/>
  <c r="Q355" i="175"/>
  <c r="C355" i="175"/>
  <c r="Q354" i="175"/>
  <c r="C354" i="175"/>
  <c r="Q353" i="175"/>
  <c r="C353" i="175"/>
  <c r="Q350" i="175"/>
  <c r="Q349" i="175"/>
  <c r="P349" i="175"/>
  <c r="O349" i="175"/>
  <c r="N349" i="175"/>
  <c r="M349" i="175"/>
  <c r="L349" i="175"/>
  <c r="K349" i="175"/>
  <c r="J349" i="175"/>
  <c r="I349" i="175"/>
  <c r="H349" i="175"/>
  <c r="G349" i="175"/>
  <c r="F349" i="175"/>
  <c r="E349" i="175"/>
  <c r="C349" i="175"/>
  <c r="Q348" i="175"/>
  <c r="C348" i="175"/>
  <c r="Q347" i="175"/>
  <c r="P347" i="175"/>
  <c r="O347" i="175"/>
  <c r="C347" i="175"/>
  <c r="Q346" i="175"/>
  <c r="C346" i="175"/>
  <c r="Q345" i="175"/>
  <c r="C345" i="175"/>
  <c r="Q344" i="175"/>
  <c r="C344" i="175"/>
  <c r="Q343" i="175"/>
  <c r="C343" i="175"/>
  <c r="Q342" i="175"/>
  <c r="C342" i="175"/>
  <c r="Q341" i="175"/>
  <c r="C341" i="175"/>
  <c r="Q340" i="175"/>
  <c r="C340" i="175"/>
  <c r="Q339" i="175"/>
  <c r="C339" i="175"/>
  <c r="Q338" i="175"/>
  <c r="P338" i="175"/>
  <c r="O338" i="175"/>
  <c r="N338" i="175"/>
  <c r="M338" i="175"/>
  <c r="L338" i="175"/>
  <c r="K338" i="175"/>
  <c r="J338" i="175"/>
  <c r="I338" i="175"/>
  <c r="H338" i="175"/>
  <c r="G338" i="175"/>
  <c r="F338" i="175"/>
  <c r="E338" i="175"/>
  <c r="C338" i="175"/>
  <c r="Q337" i="175"/>
  <c r="C337" i="175"/>
  <c r="Q336" i="175"/>
  <c r="P336" i="175"/>
  <c r="C336" i="175"/>
  <c r="Q335" i="175"/>
  <c r="C335" i="175"/>
  <c r="Q334" i="175"/>
  <c r="C334" i="175"/>
  <c r="Q333" i="175"/>
  <c r="C333" i="175"/>
  <c r="Q330" i="175"/>
  <c r="Q329" i="175"/>
  <c r="P329" i="175"/>
  <c r="O329" i="175"/>
  <c r="N329" i="175"/>
  <c r="M329" i="175"/>
  <c r="L329" i="175"/>
  <c r="K329" i="175"/>
  <c r="J329" i="175"/>
  <c r="I329" i="175"/>
  <c r="H329" i="175"/>
  <c r="G329" i="175"/>
  <c r="F329" i="175"/>
  <c r="E329" i="175"/>
  <c r="C329" i="175"/>
  <c r="Q328" i="175"/>
  <c r="C328" i="175"/>
  <c r="Q327" i="175"/>
  <c r="P327" i="175"/>
  <c r="O327" i="175"/>
  <c r="C327" i="175"/>
  <c r="Q326" i="175"/>
  <c r="C326" i="175"/>
  <c r="Q325" i="175"/>
  <c r="C325" i="175"/>
  <c r="Q324" i="175"/>
  <c r="C324" i="175"/>
  <c r="Q323" i="175"/>
  <c r="C323" i="175"/>
  <c r="Q322" i="175"/>
  <c r="C322" i="175"/>
  <c r="Q321" i="175"/>
  <c r="C321" i="175"/>
  <c r="Q320" i="175"/>
  <c r="C320" i="175"/>
  <c r="Q319" i="175"/>
  <c r="C319" i="175"/>
  <c r="Q318" i="175"/>
  <c r="P318" i="175"/>
  <c r="O318" i="175"/>
  <c r="N318" i="175"/>
  <c r="M318" i="175"/>
  <c r="L318" i="175"/>
  <c r="K318" i="175"/>
  <c r="J318" i="175"/>
  <c r="I318" i="175"/>
  <c r="H318" i="175"/>
  <c r="G318" i="175"/>
  <c r="F318" i="175"/>
  <c r="E318" i="175"/>
  <c r="C318" i="175"/>
  <c r="Q317" i="175"/>
  <c r="C317" i="175"/>
  <c r="Q316" i="175"/>
  <c r="P316" i="175"/>
  <c r="O316" i="175"/>
  <c r="C316" i="175"/>
  <c r="Q315" i="175"/>
  <c r="C315" i="175"/>
  <c r="Q314" i="175"/>
  <c r="C314" i="175"/>
  <c r="Q313" i="175"/>
  <c r="C313" i="175"/>
  <c r="Q310" i="175"/>
  <c r="Q309" i="175"/>
  <c r="P309" i="175"/>
  <c r="O309" i="175"/>
  <c r="N309" i="175"/>
  <c r="M309" i="175"/>
  <c r="L309" i="175"/>
  <c r="K309" i="175"/>
  <c r="J309" i="175"/>
  <c r="I309" i="175"/>
  <c r="H309" i="175"/>
  <c r="G309" i="175"/>
  <c r="F309" i="175"/>
  <c r="E309" i="175"/>
  <c r="C309" i="175"/>
  <c r="Q308" i="175"/>
  <c r="C308" i="175"/>
  <c r="Q307" i="175"/>
  <c r="C307" i="175"/>
  <c r="Q306" i="175"/>
  <c r="C306" i="175"/>
  <c r="Q305" i="175"/>
  <c r="C305" i="175"/>
  <c r="Q304" i="175"/>
  <c r="C304" i="175"/>
  <c r="Q303" i="175"/>
  <c r="C303" i="175"/>
  <c r="Q302" i="175"/>
  <c r="C302" i="175"/>
  <c r="Q301" i="175"/>
  <c r="C301" i="175"/>
  <c r="Q300" i="175"/>
  <c r="C300" i="175"/>
  <c r="Q299" i="175"/>
  <c r="C299" i="175"/>
  <c r="Q298" i="175"/>
  <c r="P298" i="175"/>
  <c r="O298" i="175"/>
  <c r="N298" i="175"/>
  <c r="M298" i="175"/>
  <c r="L298" i="175"/>
  <c r="K298" i="175"/>
  <c r="J298" i="175"/>
  <c r="I298" i="175"/>
  <c r="H298" i="175"/>
  <c r="G298" i="175"/>
  <c r="F298" i="175"/>
  <c r="E298" i="175"/>
  <c r="C298" i="175"/>
  <c r="Q297" i="175"/>
  <c r="C297" i="175"/>
  <c r="Q296" i="175"/>
  <c r="C296" i="175"/>
  <c r="Q295" i="175"/>
  <c r="C295" i="175"/>
  <c r="Q294" i="175"/>
  <c r="C294" i="175"/>
  <c r="Q293" i="175"/>
  <c r="C293" i="175"/>
  <c r="Q290" i="175"/>
  <c r="Q289" i="175"/>
  <c r="P289" i="175"/>
  <c r="O289" i="175"/>
  <c r="N289" i="175"/>
  <c r="M289" i="175"/>
  <c r="L289" i="175"/>
  <c r="K289" i="175"/>
  <c r="J289" i="175"/>
  <c r="I289" i="175"/>
  <c r="H289" i="175"/>
  <c r="G289" i="175"/>
  <c r="F289" i="175"/>
  <c r="E289" i="175"/>
  <c r="C289" i="175"/>
  <c r="Q288" i="175"/>
  <c r="C288" i="175"/>
  <c r="Q287" i="175"/>
  <c r="P287" i="175"/>
  <c r="O287" i="175"/>
  <c r="C287" i="175"/>
  <c r="Q286" i="175"/>
  <c r="C286" i="175"/>
  <c r="Q285" i="175"/>
  <c r="C285" i="175"/>
  <c r="Q284" i="175"/>
  <c r="C284" i="175"/>
  <c r="Q283" i="175"/>
  <c r="C283" i="175"/>
  <c r="Q282" i="175"/>
  <c r="C282" i="175"/>
  <c r="Q281" i="175"/>
  <c r="C281" i="175"/>
  <c r="Q280" i="175"/>
  <c r="C280" i="175"/>
  <c r="Q279" i="175"/>
  <c r="C279" i="175"/>
  <c r="Q278" i="175"/>
  <c r="P278" i="175"/>
  <c r="O278" i="175"/>
  <c r="N278" i="175"/>
  <c r="M278" i="175"/>
  <c r="L278" i="175"/>
  <c r="K278" i="175"/>
  <c r="J278" i="175"/>
  <c r="I278" i="175"/>
  <c r="H278" i="175"/>
  <c r="G278" i="175"/>
  <c r="F278" i="175"/>
  <c r="E278" i="175"/>
  <c r="C278" i="175"/>
  <c r="Q277" i="175"/>
  <c r="C277" i="175"/>
  <c r="Q276" i="175"/>
  <c r="P276" i="175"/>
  <c r="O276" i="175"/>
  <c r="C276" i="175"/>
  <c r="Q275" i="175"/>
  <c r="C275" i="175"/>
  <c r="Q274" i="175"/>
  <c r="C274" i="175"/>
  <c r="Q273" i="175"/>
  <c r="C273" i="175"/>
  <c r="Q270" i="175"/>
  <c r="Q269" i="175"/>
  <c r="P269" i="175"/>
  <c r="O269" i="175"/>
  <c r="N269" i="175"/>
  <c r="M269" i="175"/>
  <c r="L269" i="175"/>
  <c r="K269" i="175"/>
  <c r="J269" i="175"/>
  <c r="I269" i="175"/>
  <c r="H269" i="175"/>
  <c r="G269" i="175"/>
  <c r="F269" i="175"/>
  <c r="E269" i="175"/>
  <c r="C269" i="175"/>
  <c r="Q268" i="175"/>
  <c r="C268" i="175"/>
  <c r="Q267" i="175"/>
  <c r="P267" i="175"/>
  <c r="O267" i="175"/>
  <c r="C267" i="175"/>
  <c r="Q266" i="175"/>
  <c r="C266" i="175"/>
  <c r="Q265" i="175"/>
  <c r="C265" i="175"/>
  <c r="Q264" i="175"/>
  <c r="C264" i="175"/>
  <c r="Q263" i="175"/>
  <c r="C263" i="175"/>
  <c r="Q262" i="175"/>
  <c r="C262" i="175"/>
  <c r="Q261" i="175"/>
  <c r="C261" i="175"/>
  <c r="Q260" i="175"/>
  <c r="C260" i="175"/>
  <c r="Q259" i="175"/>
  <c r="C259" i="175"/>
  <c r="Q258" i="175"/>
  <c r="P258" i="175"/>
  <c r="O258" i="175"/>
  <c r="N258" i="175"/>
  <c r="M258" i="175"/>
  <c r="L258" i="175"/>
  <c r="K258" i="175"/>
  <c r="J258" i="175"/>
  <c r="I258" i="175"/>
  <c r="H258" i="175"/>
  <c r="G258" i="175"/>
  <c r="F258" i="175"/>
  <c r="E258" i="175"/>
  <c r="C258" i="175"/>
  <c r="Q257" i="175"/>
  <c r="C257" i="175"/>
  <c r="Q256" i="175"/>
  <c r="P256" i="175"/>
  <c r="O256" i="175"/>
  <c r="C256" i="175"/>
  <c r="Q255" i="175"/>
  <c r="C255" i="175"/>
  <c r="Q254" i="175"/>
  <c r="C254" i="175"/>
  <c r="Q253" i="175"/>
  <c r="C253" i="175"/>
  <c r="Q250" i="175"/>
  <c r="Q249" i="175"/>
  <c r="P249" i="175"/>
  <c r="O249" i="175"/>
  <c r="N249" i="175"/>
  <c r="M249" i="175"/>
  <c r="L249" i="175"/>
  <c r="K249" i="175"/>
  <c r="J249" i="175"/>
  <c r="I249" i="175"/>
  <c r="H249" i="175"/>
  <c r="G249" i="175"/>
  <c r="F249" i="175"/>
  <c r="E249" i="175"/>
  <c r="C249" i="175"/>
  <c r="Q248" i="175"/>
  <c r="C248" i="175"/>
  <c r="Q247" i="175"/>
  <c r="P247" i="175"/>
  <c r="O247" i="175"/>
  <c r="C247" i="175"/>
  <c r="Q246" i="175"/>
  <c r="C246" i="175"/>
  <c r="Q245" i="175"/>
  <c r="C245" i="175"/>
  <c r="Q244" i="175"/>
  <c r="C244" i="175"/>
  <c r="Q243" i="175"/>
  <c r="C243" i="175"/>
  <c r="Q242" i="175"/>
  <c r="C242" i="175"/>
  <c r="Q241" i="175"/>
  <c r="C241" i="175"/>
  <c r="Q240" i="175"/>
  <c r="C240" i="175"/>
  <c r="Q239" i="175"/>
  <c r="C239" i="175"/>
  <c r="Q238" i="175"/>
  <c r="P238" i="175"/>
  <c r="O238" i="175"/>
  <c r="N238" i="175"/>
  <c r="M238" i="175"/>
  <c r="L238" i="175"/>
  <c r="K238" i="175"/>
  <c r="J238" i="175"/>
  <c r="I238" i="175"/>
  <c r="H238" i="175"/>
  <c r="G238" i="175"/>
  <c r="F238" i="175"/>
  <c r="E238" i="175"/>
  <c r="C238" i="175"/>
  <c r="Q237" i="175"/>
  <c r="C237" i="175"/>
  <c r="Q236" i="175"/>
  <c r="P236" i="175"/>
  <c r="O236" i="175"/>
  <c r="C236" i="175"/>
  <c r="Q235" i="175"/>
  <c r="C235" i="175"/>
  <c r="Q234" i="175"/>
  <c r="C234" i="175"/>
  <c r="Q233" i="175"/>
  <c r="C233" i="175"/>
  <c r="Q230" i="175"/>
  <c r="Q229" i="175"/>
  <c r="P229" i="175"/>
  <c r="O229" i="175"/>
  <c r="N229" i="175"/>
  <c r="M229" i="175"/>
  <c r="L229" i="175"/>
  <c r="K229" i="175"/>
  <c r="J229" i="175"/>
  <c r="I229" i="175"/>
  <c r="H229" i="175"/>
  <c r="G229" i="175"/>
  <c r="F229" i="175"/>
  <c r="E229" i="175"/>
  <c r="C229" i="175"/>
  <c r="Q228" i="175"/>
  <c r="C228" i="175"/>
  <c r="Q227" i="175"/>
  <c r="P227" i="175"/>
  <c r="O227" i="175"/>
  <c r="C227" i="175"/>
  <c r="Q226" i="175"/>
  <c r="C226" i="175"/>
  <c r="Q225" i="175"/>
  <c r="C225" i="175"/>
  <c r="Q224" i="175"/>
  <c r="C224" i="175"/>
  <c r="Q223" i="175"/>
  <c r="C223" i="175"/>
  <c r="Q222" i="175"/>
  <c r="C222" i="175"/>
  <c r="Q221" i="175"/>
  <c r="C221" i="175"/>
  <c r="Q220" i="175"/>
  <c r="C220" i="175"/>
  <c r="Q219" i="175"/>
  <c r="C219" i="175"/>
  <c r="Q218" i="175"/>
  <c r="P218" i="175"/>
  <c r="O218" i="175"/>
  <c r="N218" i="175"/>
  <c r="M218" i="175"/>
  <c r="L218" i="175"/>
  <c r="K218" i="175"/>
  <c r="J218" i="175"/>
  <c r="I218" i="175"/>
  <c r="H218" i="175"/>
  <c r="G218" i="175"/>
  <c r="F218" i="175"/>
  <c r="E218" i="175"/>
  <c r="C218" i="175"/>
  <c r="Q217" i="175"/>
  <c r="C217" i="175"/>
  <c r="Q216" i="175"/>
  <c r="P216" i="175"/>
  <c r="O216" i="175"/>
  <c r="C216" i="175"/>
  <c r="Q215" i="175"/>
  <c r="C215" i="175"/>
  <c r="Q214" i="175"/>
  <c r="C214" i="175"/>
  <c r="Q213" i="175"/>
  <c r="C213" i="175"/>
  <c r="Q210" i="175"/>
  <c r="Q209" i="175"/>
  <c r="P209" i="175"/>
  <c r="O209" i="175"/>
  <c r="N209" i="175"/>
  <c r="M209" i="175"/>
  <c r="L209" i="175"/>
  <c r="K209" i="175"/>
  <c r="J209" i="175"/>
  <c r="I209" i="175"/>
  <c r="H209" i="175"/>
  <c r="G209" i="175"/>
  <c r="F209" i="175"/>
  <c r="E209" i="175"/>
  <c r="C209" i="175"/>
  <c r="Q208" i="175"/>
  <c r="C208" i="175"/>
  <c r="Q207" i="175"/>
  <c r="P207" i="175"/>
  <c r="O207" i="175"/>
  <c r="C207" i="175"/>
  <c r="Q206" i="175"/>
  <c r="C206" i="175"/>
  <c r="Q205" i="175"/>
  <c r="C205" i="175"/>
  <c r="Q204" i="175"/>
  <c r="C204" i="175"/>
  <c r="Q203" i="175"/>
  <c r="C203" i="175"/>
  <c r="Q202" i="175"/>
  <c r="C202" i="175"/>
  <c r="Q201" i="175"/>
  <c r="C201" i="175"/>
  <c r="Q200" i="175"/>
  <c r="C200" i="175"/>
  <c r="Q199" i="175"/>
  <c r="C199" i="175"/>
  <c r="Q198" i="175"/>
  <c r="P198" i="175"/>
  <c r="O198" i="175"/>
  <c r="N198" i="175"/>
  <c r="M198" i="175"/>
  <c r="L198" i="175"/>
  <c r="K198" i="175"/>
  <c r="J198" i="175"/>
  <c r="I198" i="175"/>
  <c r="H198" i="175"/>
  <c r="G198" i="175"/>
  <c r="F198" i="175"/>
  <c r="E198" i="175"/>
  <c r="C198" i="175"/>
  <c r="Q197" i="175"/>
  <c r="C197" i="175"/>
  <c r="Q196" i="175"/>
  <c r="P196" i="175"/>
  <c r="O196" i="175"/>
  <c r="C196" i="175"/>
  <c r="Q195" i="175"/>
  <c r="C195" i="175"/>
  <c r="Q194" i="175"/>
  <c r="C194" i="175"/>
  <c r="Q193" i="175"/>
  <c r="C193" i="175"/>
  <c r="Q190" i="175"/>
  <c r="Q189" i="175"/>
  <c r="P189" i="175"/>
  <c r="O189" i="175"/>
  <c r="N189" i="175"/>
  <c r="M189" i="175"/>
  <c r="L189" i="175"/>
  <c r="K189" i="175"/>
  <c r="J189" i="175"/>
  <c r="I189" i="175"/>
  <c r="H189" i="175"/>
  <c r="G189" i="175"/>
  <c r="F189" i="175"/>
  <c r="E189" i="175"/>
  <c r="C189" i="175"/>
  <c r="Q188" i="175"/>
  <c r="C188" i="175"/>
  <c r="Q187" i="175"/>
  <c r="P187" i="175"/>
  <c r="O187" i="175"/>
  <c r="C187" i="175"/>
  <c r="Q186" i="175"/>
  <c r="C186" i="175"/>
  <c r="Q185" i="175"/>
  <c r="C185" i="175"/>
  <c r="Q184" i="175"/>
  <c r="C184" i="175"/>
  <c r="Q183" i="175"/>
  <c r="C183" i="175"/>
  <c r="Q182" i="175"/>
  <c r="C182" i="175"/>
  <c r="Q181" i="175"/>
  <c r="C181" i="175"/>
  <c r="Q180" i="175"/>
  <c r="C180" i="175"/>
  <c r="Q179" i="175"/>
  <c r="C179" i="175"/>
  <c r="Q178" i="175"/>
  <c r="P178" i="175"/>
  <c r="O178" i="175"/>
  <c r="N178" i="175"/>
  <c r="M178" i="175"/>
  <c r="L178" i="175"/>
  <c r="K178" i="175"/>
  <c r="J178" i="175"/>
  <c r="I178" i="175"/>
  <c r="H178" i="175"/>
  <c r="G178" i="175"/>
  <c r="F178" i="175"/>
  <c r="E178" i="175"/>
  <c r="C178" i="175"/>
  <c r="Q177" i="175"/>
  <c r="C177" i="175"/>
  <c r="Q176" i="175"/>
  <c r="P176" i="175"/>
  <c r="O176" i="175"/>
  <c r="C176" i="175"/>
  <c r="Q175" i="175"/>
  <c r="C175" i="175"/>
  <c r="Q174" i="175"/>
  <c r="C174" i="175"/>
  <c r="Q173" i="175"/>
  <c r="C173" i="175"/>
  <c r="Q170" i="175"/>
  <c r="Q169" i="175"/>
  <c r="P169" i="175"/>
  <c r="O169" i="175"/>
  <c r="N169" i="175"/>
  <c r="M169" i="175"/>
  <c r="L169" i="175"/>
  <c r="K169" i="175"/>
  <c r="J169" i="175"/>
  <c r="I169" i="175"/>
  <c r="H169" i="175"/>
  <c r="G169" i="175"/>
  <c r="F169" i="175"/>
  <c r="E169" i="175"/>
  <c r="C169" i="175"/>
  <c r="Q168" i="175"/>
  <c r="C168" i="175"/>
  <c r="Q167" i="175"/>
  <c r="P167" i="175"/>
  <c r="O167" i="175"/>
  <c r="C167" i="175"/>
  <c r="Q166" i="175"/>
  <c r="C166" i="175"/>
  <c r="Q165" i="175"/>
  <c r="C165" i="175"/>
  <c r="Q164" i="175"/>
  <c r="C164" i="175"/>
  <c r="Q163" i="175"/>
  <c r="C163" i="175"/>
  <c r="Q162" i="175"/>
  <c r="C162" i="175"/>
  <c r="Q161" i="175"/>
  <c r="C161" i="175"/>
  <c r="Q160" i="175"/>
  <c r="C160" i="175"/>
  <c r="Q159" i="175"/>
  <c r="C159" i="175"/>
  <c r="Q158" i="175"/>
  <c r="P158" i="175"/>
  <c r="O158" i="175"/>
  <c r="N158" i="175"/>
  <c r="M158" i="175"/>
  <c r="L158" i="175"/>
  <c r="K158" i="175"/>
  <c r="J158" i="175"/>
  <c r="I158" i="175"/>
  <c r="H158" i="175"/>
  <c r="G158" i="175"/>
  <c r="F158" i="175"/>
  <c r="E158" i="175"/>
  <c r="C158" i="175"/>
  <c r="Q157" i="175"/>
  <c r="C157" i="175"/>
  <c r="Q156" i="175"/>
  <c r="P156" i="175"/>
  <c r="O156" i="175"/>
  <c r="C156" i="175"/>
  <c r="Q155" i="175"/>
  <c r="C155" i="175"/>
  <c r="Q154" i="175"/>
  <c r="C154" i="175"/>
  <c r="Q153" i="175"/>
  <c r="C153" i="175"/>
  <c r="Q150" i="175"/>
  <c r="Q149" i="175"/>
  <c r="P149" i="175"/>
  <c r="O149" i="175"/>
  <c r="N149" i="175"/>
  <c r="M149" i="175"/>
  <c r="L149" i="175"/>
  <c r="K149" i="175"/>
  <c r="J149" i="175"/>
  <c r="I149" i="175"/>
  <c r="H149" i="175"/>
  <c r="G149" i="175"/>
  <c r="F149" i="175"/>
  <c r="E149" i="175"/>
  <c r="C149" i="175"/>
  <c r="Q148" i="175"/>
  <c r="C148" i="175"/>
  <c r="Q147" i="175"/>
  <c r="P147" i="175"/>
  <c r="O147" i="175"/>
  <c r="C147" i="175"/>
  <c r="Q146" i="175"/>
  <c r="C146" i="175"/>
  <c r="Q145" i="175"/>
  <c r="C145" i="175"/>
  <c r="Q144" i="175"/>
  <c r="C144" i="175"/>
  <c r="Q143" i="175"/>
  <c r="C143" i="175"/>
  <c r="Q142" i="175"/>
  <c r="C142" i="175"/>
  <c r="Q141" i="175"/>
  <c r="C141" i="175"/>
  <c r="Q140" i="175"/>
  <c r="C140" i="175"/>
  <c r="Q139" i="175"/>
  <c r="C139" i="175"/>
  <c r="Q138" i="175"/>
  <c r="P138" i="175"/>
  <c r="O138" i="175"/>
  <c r="N138" i="175"/>
  <c r="M138" i="175"/>
  <c r="L138" i="175"/>
  <c r="K138" i="175"/>
  <c r="J138" i="175"/>
  <c r="I138" i="175"/>
  <c r="H138" i="175"/>
  <c r="G138" i="175"/>
  <c r="F138" i="175"/>
  <c r="E138" i="175"/>
  <c r="C138" i="175"/>
  <c r="Q137" i="175"/>
  <c r="C137" i="175"/>
  <c r="Q136" i="175"/>
  <c r="P136" i="175"/>
  <c r="O136" i="175"/>
  <c r="C136" i="175"/>
  <c r="Q135" i="175"/>
  <c r="C135" i="175"/>
  <c r="Q134" i="175"/>
  <c r="C134" i="175"/>
  <c r="Q133" i="175"/>
  <c r="C133" i="175"/>
  <c r="Q132" i="175"/>
  <c r="C132" i="175"/>
  <c r="Q129" i="175"/>
  <c r="Q128" i="175"/>
  <c r="P128" i="175"/>
  <c r="O128" i="175"/>
  <c r="N128" i="175"/>
  <c r="M128" i="175"/>
  <c r="L128" i="175"/>
  <c r="K128" i="175"/>
  <c r="J128" i="175"/>
  <c r="I128" i="175"/>
  <c r="H128" i="175"/>
  <c r="G128" i="175"/>
  <c r="F128" i="175"/>
  <c r="E128" i="175"/>
  <c r="C128" i="175"/>
  <c r="Q127" i="175"/>
  <c r="C127" i="175"/>
  <c r="Q126" i="175"/>
  <c r="P126" i="175"/>
  <c r="O126" i="175"/>
  <c r="C126" i="175"/>
  <c r="Q125" i="175"/>
  <c r="C125" i="175"/>
  <c r="Q124" i="175"/>
  <c r="C124" i="175"/>
  <c r="Q123" i="175"/>
  <c r="C123" i="175"/>
  <c r="Q122" i="175"/>
  <c r="C122" i="175"/>
  <c r="Q121" i="175"/>
  <c r="C121" i="175"/>
  <c r="Q120" i="175"/>
  <c r="C120" i="175"/>
  <c r="Q119" i="175"/>
  <c r="C119" i="175"/>
  <c r="Q118" i="175"/>
  <c r="C118" i="175"/>
  <c r="Q117" i="175"/>
  <c r="P117" i="175"/>
  <c r="O117" i="175"/>
  <c r="N117" i="175"/>
  <c r="M117" i="175"/>
  <c r="L117" i="175"/>
  <c r="K117" i="175"/>
  <c r="J117" i="175"/>
  <c r="I117" i="175"/>
  <c r="H117" i="175"/>
  <c r="G117" i="175"/>
  <c r="F117" i="175"/>
  <c r="E117" i="175"/>
  <c r="C117" i="175"/>
  <c r="Q116" i="175"/>
  <c r="C116" i="175"/>
  <c r="Q115" i="175"/>
  <c r="P115" i="175"/>
  <c r="O115" i="175"/>
  <c r="C115" i="175"/>
  <c r="Q114" i="175"/>
  <c r="C114" i="175"/>
  <c r="Q113" i="175"/>
  <c r="C113" i="175"/>
  <c r="Q112" i="175"/>
  <c r="C112" i="175"/>
  <c r="Q109" i="175"/>
  <c r="Q108" i="175"/>
  <c r="P108" i="175"/>
  <c r="O108" i="175"/>
  <c r="N108" i="175"/>
  <c r="M108" i="175"/>
  <c r="L108" i="175"/>
  <c r="K108" i="175"/>
  <c r="J108" i="175"/>
  <c r="I108" i="175"/>
  <c r="H108" i="175"/>
  <c r="G108" i="175"/>
  <c r="F108" i="175"/>
  <c r="E108" i="175"/>
  <c r="C108" i="175"/>
  <c r="Q107" i="175"/>
  <c r="C107" i="175"/>
  <c r="Q106" i="175"/>
  <c r="P106" i="175"/>
  <c r="O106" i="175"/>
  <c r="C106" i="175"/>
  <c r="Q105" i="175"/>
  <c r="C105" i="175"/>
  <c r="Q104" i="175"/>
  <c r="C104" i="175"/>
  <c r="Q103" i="175"/>
  <c r="C103" i="175"/>
  <c r="Q102" i="175"/>
  <c r="C102" i="175"/>
  <c r="Q101" i="175"/>
  <c r="C101" i="175"/>
  <c r="Q100" i="175"/>
  <c r="C100" i="175"/>
  <c r="Q99" i="175"/>
  <c r="C99" i="175"/>
  <c r="Q98" i="175"/>
  <c r="C98" i="175"/>
  <c r="Q97" i="175"/>
  <c r="P97" i="175"/>
  <c r="O97" i="175"/>
  <c r="N97" i="175"/>
  <c r="M97" i="175"/>
  <c r="L97" i="175"/>
  <c r="K97" i="175"/>
  <c r="J97" i="175"/>
  <c r="I97" i="175"/>
  <c r="H97" i="175"/>
  <c r="G97" i="175"/>
  <c r="F97" i="175"/>
  <c r="E97" i="175"/>
  <c r="C97" i="175"/>
  <c r="Q96" i="175"/>
  <c r="C96" i="175"/>
  <c r="Q95" i="175"/>
  <c r="P95" i="175"/>
  <c r="O95" i="175"/>
  <c r="C95" i="175"/>
  <c r="Q94" i="175"/>
  <c r="C94" i="175"/>
  <c r="Q93" i="175"/>
  <c r="C93" i="175"/>
  <c r="Q92" i="175"/>
  <c r="C92" i="175"/>
  <c r="Q89" i="175"/>
  <c r="Q88" i="175"/>
  <c r="P88" i="175"/>
  <c r="O88" i="175"/>
  <c r="N88" i="175"/>
  <c r="M88" i="175"/>
  <c r="L88" i="175"/>
  <c r="K88" i="175"/>
  <c r="J88" i="175"/>
  <c r="I88" i="175"/>
  <c r="H88" i="175"/>
  <c r="G88" i="175"/>
  <c r="F88" i="175"/>
  <c r="E88" i="175"/>
  <c r="C88" i="175"/>
  <c r="Q87" i="175"/>
  <c r="C87" i="175"/>
  <c r="Q86" i="175"/>
  <c r="C86" i="175"/>
  <c r="Q85" i="175"/>
  <c r="C85" i="175"/>
  <c r="Q84" i="175"/>
  <c r="C84" i="175"/>
  <c r="Q83" i="175"/>
  <c r="P83" i="175"/>
  <c r="C83" i="175"/>
  <c r="Q82" i="175"/>
  <c r="P82" i="175"/>
  <c r="C82" i="175"/>
  <c r="Q81" i="175"/>
  <c r="P81" i="175"/>
  <c r="C81" i="175"/>
  <c r="Q80" i="175"/>
  <c r="C80" i="175"/>
  <c r="Q79" i="175"/>
  <c r="P79" i="175"/>
  <c r="C79" i="175"/>
  <c r="Q78" i="175"/>
  <c r="C78" i="175"/>
  <c r="Q77" i="175"/>
  <c r="P77" i="175"/>
  <c r="O77" i="175"/>
  <c r="N77" i="175"/>
  <c r="M77" i="175"/>
  <c r="L77" i="175"/>
  <c r="K77" i="175"/>
  <c r="J77" i="175"/>
  <c r="I77" i="175"/>
  <c r="H77" i="175"/>
  <c r="G77" i="175"/>
  <c r="F77" i="175"/>
  <c r="E77" i="175"/>
  <c r="C77" i="175"/>
  <c r="Q76" i="175"/>
  <c r="C76" i="175"/>
  <c r="Q75" i="175"/>
  <c r="C75" i="175"/>
  <c r="Q74" i="175"/>
  <c r="P74" i="175"/>
  <c r="C74" i="175"/>
  <c r="Q73" i="175"/>
  <c r="C73" i="175"/>
  <c r="Q72" i="175"/>
  <c r="C72" i="175"/>
  <c r="Q69" i="175"/>
  <c r="Q68" i="175"/>
  <c r="P68" i="175"/>
  <c r="O68" i="175"/>
  <c r="N68" i="175"/>
  <c r="M68" i="175"/>
  <c r="L68" i="175"/>
  <c r="K68" i="175"/>
  <c r="J68" i="175"/>
  <c r="I68" i="175"/>
  <c r="H68" i="175"/>
  <c r="G68" i="175"/>
  <c r="F68" i="175"/>
  <c r="E68" i="175"/>
  <c r="C68" i="175"/>
  <c r="Q67" i="175"/>
  <c r="C67" i="175"/>
  <c r="Q66" i="175"/>
  <c r="C66" i="175"/>
  <c r="Q65" i="175"/>
  <c r="C65" i="175"/>
  <c r="Q64" i="175"/>
  <c r="C64" i="175"/>
  <c r="Q63" i="175"/>
  <c r="C63" i="175"/>
  <c r="Q62" i="175"/>
  <c r="C62" i="175"/>
  <c r="Q61" i="175"/>
  <c r="P61" i="175"/>
  <c r="O61" i="175"/>
  <c r="C61" i="175"/>
  <c r="Q60" i="175"/>
  <c r="C60" i="175"/>
  <c r="Q59" i="175"/>
  <c r="C59" i="175"/>
  <c r="Q58" i="175"/>
  <c r="C58" i="175"/>
  <c r="Q57" i="175"/>
  <c r="P57" i="175"/>
  <c r="O57" i="175"/>
  <c r="N57" i="175"/>
  <c r="M57" i="175"/>
  <c r="L57" i="175"/>
  <c r="K57" i="175"/>
  <c r="J57" i="175"/>
  <c r="I57" i="175"/>
  <c r="H57" i="175"/>
  <c r="G57" i="175"/>
  <c r="F57" i="175"/>
  <c r="E57" i="175"/>
  <c r="C57" i="175"/>
  <c r="Q56" i="175"/>
  <c r="C56" i="175"/>
  <c r="Q55" i="175"/>
  <c r="C55" i="175"/>
  <c r="Q54" i="175"/>
  <c r="C54" i="175"/>
  <c r="Q53" i="175"/>
  <c r="C53" i="175"/>
  <c r="Q52" i="175"/>
  <c r="C52" i="175"/>
  <c r="Q48" i="175"/>
  <c r="P48" i="175"/>
  <c r="O48" i="175"/>
  <c r="N48" i="175"/>
  <c r="M48" i="175"/>
  <c r="L48" i="175"/>
  <c r="K48" i="175"/>
  <c r="J48" i="175"/>
  <c r="I48" i="175"/>
  <c r="H48" i="175"/>
  <c r="G48" i="175"/>
  <c r="F48" i="175"/>
  <c r="E48" i="175"/>
  <c r="C48" i="175"/>
  <c r="Q47" i="175"/>
  <c r="C47" i="175"/>
  <c r="Q46" i="175"/>
  <c r="C46" i="175"/>
  <c r="Q45" i="175"/>
  <c r="C45" i="175"/>
  <c r="Q44" i="175"/>
  <c r="C44" i="175"/>
  <c r="Q43" i="175"/>
  <c r="C43" i="175"/>
  <c r="Q42" i="175"/>
  <c r="C42" i="175"/>
  <c r="Q41" i="175"/>
  <c r="P41" i="175"/>
  <c r="O41" i="175"/>
  <c r="K41" i="175"/>
  <c r="C41" i="175"/>
  <c r="Q40" i="175"/>
  <c r="K40" i="175"/>
  <c r="C40" i="175"/>
  <c r="Q39" i="175"/>
  <c r="C39" i="175"/>
  <c r="Q38" i="175"/>
  <c r="C38" i="175"/>
  <c r="Q37" i="175"/>
  <c r="P37" i="175"/>
  <c r="O37" i="175"/>
  <c r="N37" i="175"/>
  <c r="M37" i="175"/>
  <c r="L37" i="175"/>
  <c r="K37" i="175"/>
  <c r="J37" i="175"/>
  <c r="I37" i="175"/>
  <c r="H37" i="175"/>
  <c r="G37" i="175"/>
  <c r="F37" i="175"/>
  <c r="E37" i="175"/>
  <c r="C37" i="175"/>
  <c r="Q36" i="175"/>
  <c r="C36" i="175"/>
  <c r="Q35" i="175"/>
  <c r="C35" i="175"/>
  <c r="Q34" i="175"/>
  <c r="P34" i="175"/>
  <c r="O34" i="175"/>
  <c r="C34" i="175"/>
  <c r="Q33" i="175"/>
  <c r="C33" i="175"/>
  <c r="Q32" i="175"/>
  <c r="C32" i="175"/>
  <c r="Q29" i="175"/>
  <c r="Q28" i="175"/>
  <c r="P28" i="175"/>
  <c r="O28" i="175"/>
  <c r="N28" i="175"/>
  <c r="M28" i="175"/>
  <c r="L28" i="175"/>
  <c r="K28" i="175"/>
  <c r="J28" i="175"/>
  <c r="I28" i="175"/>
  <c r="H28" i="175"/>
  <c r="G28" i="175"/>
  <c r="F28" i="175"/>
  <c r="E28" i="175"/>
  <c r="C28" i="175"/>
  <c r="Q27" i="175"/>
  <c r="C27" i="175"/>
  <c r="Q26" i="175"/>
  <c r="C26" i="175"/>
  <c r="Q25" i="175"/>
  <c r="C25" i="175"/>
  <c r="Q24" i="175"/>
  <c r="C24" i="175"/>
  <c r="Q23" i="175"/>
  <c r="C23" i="175"/>
  <c r="Q22" i="175"/>
  <c r="C22" i="175"/>
  <c r="Q21" i="175"/>
  <c r="P21" i="175"/>
  <c r="O21" i="175"/>
  <c r="C21" i="175"/>
  <c r="Q20" i="175"/>
  <c r="C20" i="175"/>
  <c r="Q19" i="175"/>
  <c r="C19" i="175"/>
  <c r="Q18" i="175"/>
  <c r="C18" i="175"/>
  <c r="Q17" i="175"/>
  <c r="P17" i="175"/>
  <c r="O17" i="175"/>
  <c r="N17" i="175"/>
  <c r="M17" i="175"/>
  <c r="L17" i="175"/>
  <c r="K17" i="175"/>
  <c r="J17" i="175"/>
  <c r="I17" i="175"/>
  <c r="H17" i="175"/>
  <c r="G17" i="175"/>
  <c r="F17" i="175"/>
  <c r="E17" i="175"/>
  <c r="C17" i="175"/>
  <c r="Q16" i="175"/>
  <c r="C16" i="175"/>
  <c r="Q15" i="175"/>
  <c r="C15" i="175"/>
  <c r="Q14" i="175"/>
  <c r="P14" i="175"/>
  <c r="O14" i="175"/>
  <c r="C14" i="175"/>
  <c r="Q13" i="175"/>
  <c r="C13" i="175"/>
  <c r="Q12" i="175"/>
  <c r="C12" i="175"/>
  <c r="B4" i="175"/>
  <c r="B3" i="175"/>
  <c r="B2" i="175"/>
  <c r="B1" i="175"/>
  <c r="M21" i="191"/>
  <c r="K21" i="191"/>
  <c r="I21" i="191"/>
  <c r="G21" i="191"/>
  <c r="M19" i="191"/>
  <c r="K19" i="191"/>
  <c r="I19" i="191"/>
  <c r="G19" i="191"/>
  <c r="M18" i="191"/>
  <c r="K18" i="191"/>
  <c r="I18" i="191"/>
  <c r="G18" i="191"/>
  <c r="M17" i="191"/>
  <c r="K17" i="191"/>
  <c r="I17" i="191"/>
  <c r="G17" i="191"/>
  <c r="M16" i="191"/>
  <c r="K16" i="191"/>
  <c r="I16" i="191"/>
  <c r="G16" i="191"/>
  <c r="M14" i="191"/>
  <c r="K14" i="191"/>
  <c r="I14" i="191"/>
  <c r="G14" i="191"/>
  <c r="M13" i="191"/>
  <c r="K13" i="191"/>
  <c r="I13" i="191"/>
  <c r="G13" i="191"/>
  <c r="M12" i="191"/>
  <c r="K12" i="191"/>
  <c r="I12" i="191"/>
  <c r="G12" i="191"/>
  <c r="Q56" i="193"/>
  <c r="M56" i="193"/>
  <c r="I56" i="193"/>
  <c r="D56" i="193"/>
  <c r="Q55" i="193"/>
  <c r="M55" i="193"/>
  <c r="I55" i="193"/>
  <c r="D55" i="193"/>
  <c r="M54" i="193"/>
  <c r="I54" i="193"/>
  <c r="D54" i="193"/>
  <c r="M53" i="193"/>
  <c r="I53" i="193"/>
  <c r="D53" i="193"/>
  <c r="M52" i="193"/>
  <c r="I52" i="193"/>
  <c r="D52" i="193"/>
  <c r="M51" i="193"/>
  <c r="I51" i="193"/>
  <c r="D51" i="193"/>
  <c r="M50" i="193"/>
  <c r="I50" i="193"/>
  <c r="D50" i="193"/>
  <c r="M49" i="193"/>
  <c r="I49" i="193"/>
  <c r="D49" i="193"/>
  <c r="M48" i="193"/>
  <c r="I48" i="193"/>
  <c r="D48" i="193"/>
  <c r="M47" i="193"/>
  <c r="I47" i="193"/>
  <c r="D47" i="193"/>
  <c r="M46" i="193"/>
  <c r="I46" i="193"/>
  <c r="D46" i="193"/>
  <c r="Q45" i="193"/>
  <c r="M45" i="193"/>
  <c r="I45" i="193"/>
  <c r="D45" i="193"/>
  <c r="L43" i="193"/>
  <c r="G43" i="193"/>
  <c r="C43" i="193"/>
  <c r="M40" i="193"/>
  <c r="L40" i="193"/>
  <c r="I40" i="193"/>
  <c r="D40" i="193"/>
  <c r="M39" i="193"/>
  <c r="I39" i="193"/>
  <c r="D39" i="193"/>
  <c r="M38" i="193"/>
  <c r="I38" i="193"/>
  <c r="D38" i="193"/>
  <c r="M37" i="193"/>
  <c r="I37" i="193"/>
  <c r="D37" i="193"/>
  <c r="M36" i="193"/>
  <c r="I36" i="193"/>
  <c r="D36" i="193"/>
  <c r="M35" i="193"/>
  <c r="I35" i="193"/>
  <c r="D35" i="193"/>
  <c r="M34" i="193"/>
  <c r="I34" i="193"/>
  <c r="D34" i="193"/>
  <c r="M33" i="193"/>
  <c r="I33" i="193"/>
  <c r="D33" i="193"/>
  <c r="M32" i="193"/>
  <c r="I32" i="193"/>
  <c r="D32" i="193"/>
  <c r="M31" i="193"/>
  <c r="I31" i="193"/>
  <c r="D31" i="193"/>
  <c r="M25" i="193"/>
  <c r="I25" i="193"/>
  <c r="D25" i="193"/>
  <c r="M24" i="193"/>
  <c r="I24" i="193"/>
  <c r="H24" i="193"/>
  <c r="D24" i="193"/>
  <c r="M23" i="193"/>
  <c r="I23" i="193"/>
  <c r="H23" i="193"/>
  <c r="D23" i="193"/>
  <c r="M22" i="193"/>
  <c r="I22" i="193"/>
  <c r="H22" i="193"/>
  <c r="D22" i="193"/>
  <c r="M21" i="193"/>
  <c r="I21" i="193"/>
  <c r="H21" i="193"/>
  <c r="D21" i="193"/>
  <c r="M20" i="193"/>
  <c r="I20" i="193"/>
  <c r="H20" i="193"/>
  <c r="D20" i="193"/>
  <c r="M19" i="193"/>
  <c r="I19" i="193"/>
  <c r="H19" i="193"/>
  <c r="D19" i="193"/>
  <c r="M18" i="193"/>
  <c r="I18" i="193"/>
  <c r="H18" i="193"/>
  <c r="D18" i="193"/>
  <c r="M17" i="193"/>
  <c r="I17" i="193"/>
  <c r="H17" i="193"/>
  <c r="D17" i="193"/>
  <c r="M16" i="193"/>
  <c r="I16" i="193"/>
  <c r="H16" i="193"/>
  <c r="G16" i="193"/>
  <c r="D16" i="193"/>
  <c r="I12" i="193"/>
  <c r="B4" i="193"/>
  <c r="B3" i="193"/>
  <c r="B2" i="193"/>
  <c r="F2" i="193" s="1"/>
  <c r="K2" i="193" s="1"/>
  <c r="B1" i="193"/>
  <c r="B4" i="192"/>
  <c r="B3" i="192"/>
  <c r="B2" i="192"/>
  <c r="B1" i="192"/>
  <c r="H91" i="190"/>
  <c r="H90" i="190"/>
  <c r="H89" i="190"/>
  <c r="H88" i="190"/>
  <c r="H87" i="190"/>
  <c r="H86" i="190"/>
  <c r="H85" i="190"/>
  <c r="H84" i="190"/>
  <c r="H83" i="190"/>
  <c r="H82" i="190"/>
  <c r="H81" i="190"/>
  <c r="I80" i="190"/>
  <c r="H80" i="190"/>
  <c r="H77" i="190"/>
  <c r="H76" i="190"/>
  <c r="H75" i="190"/>
  <c r="H74" i="190"/>
  <c r="H73" i="190"/>
  <c r="H72" i="190"/>
  <c r="H71" i="190"/>
  <c r="H70" i="190"/>
  <c r="H69" i="190"/>
  <c r="H68" i="190"/>
  <c r="H67" i="190"/>
  <c r="I66" i="190"/>
  <c r="H66" i="190"/>
  <c r="G63" i="190"/>
  <c r="G62" i="190"/>
  <c r="G61" i="190"/>
  <c r="G60" i="190"/>
  <c r="G59" i="190"/>
  <c r="G58" i="190"/>
  <c r="G57" i="190"/>
  <c r="G56" i="190"/>
  <c r="G55" i="190"/>
  <c r="G54" i="190"/>
  <c r="G53" i="190"/>
  <c r="H52" i="190"/>
  <c r="G52" i="190"/>
  <c r="G49" i="190"/>
  <c r="G48" i="190"/>
  <c r="G47" i="190"/>
  <c r="G46" i="190"/>
  <c r="G45" i="190"/>
  <c r="G44" i="190"/>
  <c r="G43" i="190"/>
  <c r="G42" i="190"/>
  <c r="G41" i="190"/>
  <c r="G40" i="190"/>
  <c r="G39" i="190"/>
  <c r="H38" i="190"/>
  <c r="G38" i="190"/>
  <c r="G35" i="190"/>
  <c r="G34" i="190"/>
  <c r="G33" i="190"/>
  <c r="G32" i="190"/>
  <c r="D32" i="190"/>
  <c r="G31" i="190"/>
  <c r="G30" i="190"/>
  <c r="D30" i="190"/>
  <c r="G29" i="190"/>
  <c r="G28" i="190"/>
  <c r="G27" i="190"/>
  <c r="G26" i="190"/>
  <c r="D26" i="190"/>
  <c r="G25" i="190"/>
  <c r="H24" i="190"/>
  <c r="G24" i="190"/>
  <c r="G21" i="190"/>
  <c r="G20" i="190"/>
  <c r="G19" i="190"/>
  <c r="G18" i="190"/>
  <c r="G17" i="190"/>
  <c r="G16" i="190"/>
  <c r="G15" i="190"/>
  <c r="G14" i="190"/>
  <c r="G13" i="190"/>
  <c r="G12" i="190"/>
  <c r="G11" i="190"/>
  <c r="H10" i="190"/>
  <c r="G10" i="190"/>
  <c r="N20" i="189"/>
  <c r="M20" i="189"/>
  <c r="L20" i="189"/>
  <c r="K20" i="189"/>
  <c r="J20" i="189"/>
  <c r="I20" i="189"/>
  <c r="H20" i="189"/>
  <c r="G20" i="189"/>
  <c r="F20" i="189"/>
  <c r="E20" i="189"/>
  <c r="D20" i="189"/>
  <c r="C20" i="189"/>
  <c r="P19" i="189"/>
  <c r="O19" i="189"/>
  <c r="P18" i="189"/>
  <c r="O18" i="189"/>
  <c r="P17" i="189"/>
  <c r="O17" i="189"/>
  <c r="P16" i="189"/>
  <c r="O16" i="189"/>
  <c r="P15" i="189"/>
  <c r="O15" i="189"/>
  <c r="P14" i="189"/>
  <c r="O14" i="189"/>
  <c r="P13" i="189"/>
  <c r="O13" i="189"/>
  <c r="P12" i="189"/>
  <c r="O12" i="189"/>
  <c r="P11" i="189"/>
  <c r="O11" i="189"/>
  <c r="P10" i="189"/>
  <c r="O10" i="189"/>
  <c r="R332" i="174"/>
  <c r="Q332" i="174"/>
  <c r="P332" i="174"/>
  <c r="O332" i="174"/>
  <c r="N332" i="174"/>
  <c r="M332" i="174"/>
  <c r="L332" i="174"/>
  <c r="K332" i="174"/>
  <c r="J332" i="174"/>
  <c r="I332" i="174"/>
  <c r="H332" i="174"/>
  <c r="G332" i="174"/>
  <c r="F332" i="174"/>
  <c r="R331" i="174"/>
  <c r="Q331" i="174"/>
  <c r="P331" i="174"/>
  <c r="O331" i="174"/>
  <c r="N331" i="174"/>
  <c r="M331" i="174"/>
  <c r="L331" i="174"/>
  <c r="K331" i="174"/>
  <c r="J331" i="174"/>
  <c r="I331" i="174"/>
  <c r="H331" i="174"/>
  <c r="G331" i="174"/>
  <c r="F331" i="174"/>
  <c r="R330" i="174"/>
  <c r="Q330" i="174"/>
  <c r="P330" i="174"/>
  <c r="O330" i="174"/>
  <c r="N330" i="174"/>
  <c r="M330" i="174"/>
  <c r="L330" i="174"/>
  <c r="K330" i="174"/>
  <c r="J330" i="174"/>
  <c r="I330" i="174"/>
  <c r="H330" i="174"/>
  <c r="G330" i="174"/>
  <c r="F330" i="174"/>
  <c r="S328" i="174"/>
  <c r="S326" i="174"/>
  <c r="S325" i="174"/>
  <c r="S324" i="174"/>
  <c r="S323" i="174"/>
  <c r="S322" i="174"/>
  <c r="S321" i="174"/>
  <c r="S320" i="174"/>
  <c r="S319" i="174"/>
  <c r="S318" i="174"/>
  <c r="S317" i="174"/>
  <c r="S316" i="174"/>
  <c r="S315" i="174"/>
  <c r="S314" i="174"/>
  <c r="S313" i="174"/>
  <c r="S312" i="174"/>
  <c r="S311" i="174"/>
  <c r="S310" i="174"/>
  <c r="S309" i="174"/>
  <c r="S308" i="174"/>
  <c r="S307" i="174"/>
  <c r="S306" i="174"/>
  <c r="S305" i="174"/>
  <c r="S304" i="174"/>
  <c r="S303" i="174"/>
  <c r="S302" i="174"/>
  <c r="S301" i="174"/>
  <c r="S300" i="174"/>
  <c r="S299" i="174"/>
  <c r="S298" i="174"/>
  <c r="S297" i="174"/>
  <c r="S296" i="174"/>
  <c r="S295" i="174"/>
  <c r="S294" i="174"/>
  <c r="S293" i="174"/>
  <c r="S292" i="174"/>
  <c r="S291" i="174"/>
  <c r="S290" i="174"/>
  <c r="S289" i="174"/>
  <c r="S288" i="174"/>
  <c r="S287" i="174"/>
  <c r="S286" i="174"/>
  <c r="S285" i="174"/>
  <c r="S284" i="174"/>
  <c r="S283" i="174"/>
  <c r="S282" i="174"/>
  <c r="S281" i="174"/>
  <c r="S280" i="174"/>
  <c r="S279" i="174"/>
  <c r="S278" i="174"/>
  <c r="S277" i="174"/>
  <c r="S276" i="174"/>
  <c r="S275" i="174"/>
  <c r="S274" i="174"/>
  <c r="S273" i="174"/>
  <c r="S272" i="174"/>
  <c r="S271" i="174"/>
  <c r="S270" i="174"/>
  <c r="S269" i="174"/>
  <c r="S268" i="174"/>
  <c r="S267" i="174"/>
  <c r="S266" i="174"/>
  <c r="S265" i="174"/>
  <c r="S264" i="174"/>
  <c r="S263" i="174"/>
  <c r="S262" i="174"/>
  <c r="S261" i="174"/>
  <c r="S260" i="174"/>
  <c r="S259" i="174"/>
  <c r="S258" i="174"/>
  <c r="S257" i="174"/>
  <c r="S256" i="174"/>
  <c r="S255" i="174"/>
  <c r="S254" i="174"/>
  <c r="S253" i="174"/>
  <c r="S252" i="174"/>
  <c r="S251" i="174"/>
  <c r="S250" i="174"/>
  <c r="S249" i="174"/>
  <c r="S248" i="174"/>
  <c r="S247" i="174"/>
  <c r="S246" i="174"/>
  <c r="S245" i="174"/>
  <c r="S244" i="174"/>
  <c r="S243" i="174"/>
  <c r="S242" i="174"/>
  <c r="S241" i="174"/>
  <c r="S240" i="174"/>
  <c r="S239" i="174"/>
  <c r="S238" i="174"/>
  <c r="S237" i="174"/>
  <c r="S236" i="174"/>
  <c r="S235" i="174"/>
  <c r="S234" i="174"/>
  <c r="S233" i="174"/>
  <c r="S232" i="174"/>
  <c r="S231" i="174"/>
  <c r="S230" i="174"/>
  <c r="S229" i="174"/>
  <c r="S228" i="174"/>
  <c r="S227" i="174"/>
  <c r="S226" i="174"/>
  <c r="S225" i="174"/>
  <c r="S224" i="174"/>
  <c r="S223" i="174"/>
  <c r="S222" i="174"/>
  <c r="S221" i="174"/>
  <c r="S220" i="174"/>
  <c r="S219" i="174"/>
  <c r="S218" i="174"/>
  <c r="S217" i="174"/>
  <c r="S216" i="174"/>
  <c r="S215" i="174"/>
  <c r="S214" i="174"/>
  <c r="S213" i="174"/>
  <c r="S212" i="174"/>
  <c r="S211" i="174"/>
  <c r="S210" i="174"/>
  <c r="S209" i="174"/>
  <c r="S208" i="174"/>
  <c r="S207" i="174"/>
  <c r="S206" i="174"/>
  <c r="S205" i="174"/>
  <c r="S204" i="174"/>
  <c r="S203" i="174"/>
  <c r="S202" i="174"/>
  <c r="S201" i="174"/>
  <c r="S200" i="174"/>
  <c r="S199" i="174"/>
  <c r="S198" i="174"/>
  <c r="S197" i="174"/>
  <c r="S196" i="174"/>
  <c r="S195" i="174"/>
  <c r="S194" i="174"/>
  <c r="S193" i="174"/>
  <c r="S192" i="174"/>
  <c r="S191" i="174"/>
  <c r="S190" i="174"/>
  <c r="S189" i="174"/>
  <c r="S188" i="174"/>
  <c r="S187" i="174"/>
  <c r="S186" i="174"/>
  <c r="S185" i="174"/>
  <c r="S184" i="174"/>
  <c r="S183" i="174"/>
  <c r="S182" i="174"/>
  <c r="S181" i="174"/>
  <c r="S180" i="174"/>
  <c r="S179" i="174"/>
  <c r="S178" i="174"/>
  <c r="S177" i="174"/>
  <c r="S176" i="174"/>
  <c r="S175" i="174"/>
  <c r="S174" i="174"/>
  <c r="S173" i="174"/>
  <c r="S172" i="174"/>
  <c r="S171" i="174"/>
  <c r="S170" i="174"/>
  <c r="S169" i="174"/>
  <c r="S168" i="174"/>
  <c r="S167" i="174"/>
  <c r="S166" i="174"/>
  <c r="S165" i="174"/>
  <c r="S164" i="174"/>
  <c r="S163" i="174"/>
  <c r="S162" i="174"/>
  <c r="S160" i="174"/>
  <c r="S159" i="174"/>
  <c r="S158" i="174"/>
  <c r="S157" i="174"/>
  <c r="S156" i="174"/>
  <c r="S155" i="174"/>
  <c r="S154" i="174"/>
  <c r="S153" i="174"/>
  <c r="S152" i="174"/>
  <c r="S151" i="174"/>
  <c r="S150" i="174"/>
  <c r="S149" i="174"/>
  <c r="S148" i="174"/>
  <c r="S147" i="174"/>
  <c r="S146" i="174"/>
  <c r="S145" i="174"/>
  <c r="S144" i="174"/>
  <c r="S143" i="174"/>
  <c r="S142" i="174"/>
  <c r="S141" i="174"/>
  <c r="S140" i="174"/>
  <c r="S139" i="174"/>
  <c r="S138" i="174"/>
  <c r="S137" i="174"/>
  <c r="S136" i="174"/>
  <c r="S135" i="174"/>
  <c r="S134" i="174"/>
  <c r="S133" i="174"/>
  <c r="S132" i="174"/>
  <c r="S131" i="174"/>
  <c r="S130" i="174"/>
  <c r="S129" i="174"/>
  <c r="S128" i="174"/>
  <c r="S127" i="174"/>
  <c r="S126" i="174"/>
  <c r="S125" i="174"/>
  <c r="S124" i="174"/>
  <c r="S123" i="174"/>
  <c r="S122" i="174"/>
  <c r="S121" i="174"/>
  <c r="S120" i="174"/>
  <c r="S119" i="174"/>
  <c r="S118" i="174"/>
  <c r="S117" i="174"/>
  <c r="S116" i="174"/>
  <c r="S115" i="174"/>
  <c r="S114" i="174"/>
  <c r="S113" i="174"/>
  <c r="S112" i="174"/>
  <c r="S111" i="174"/>
  <c r="S110" i="174"/>
  <c r="S109" i="174"/>
  <c r="S108" i="174"/>
  <c r="S107" i="174"/>
  <c r="S106" i="174"/>
  <c r="S105" i="174"/>
  <c r="S104" i="174"/>
  <c r="S103" i="174"/>
  <c r="S102" i="174"/>
  <c r="S101" i="174"/>
  <c r="S100" i="174"/>
  <c r="S99" i="174"/>
  <c r="S98" i="174"/>
  <c r="S97" i="174"/>
  <c r="S96" i="174"/>
  <c r="S95" i="174"/>
  <c r="S94" i="174"/>
  <c r="S93" i="174"/>
  <c r="S92" i="174"/>
  <c r="S91" i="174"/>
  <c r="S90" i="174"/>
  <c r="S89" i="174"/>
  <c r="S88" i="174"/>
  <c r="S87" i="174"/>
  <c r="S86" i="174"/>
  <c r="S85" i="174"/>
  <c r="S84" i="174"/>
  <c r="S83" i="174"/>
  <c r="S82" i="174"/>
  <c r="S81" i="174"/>
  <c r="S80" i="174"/>
  <c r="S79" i="174"/>
  <c r="S78" i="174"/>
  <c r="S77" i="174"/>
  <c r="S76" i="174"/>
  <c r="S75" i="174"/>
  <c r="S74" i="174"/>
  <c r="S73" i="174"/>
  <c r="S72" i="174"/>
  <c r="S71" i="174"/>
  <c r="S70" i="174"/>
  <c r="S69" i="174"/>
  <c r="S68" i="174"/>
  <c r="S67" i="174"/>
  <c r="S66" i="174"/>
  <c r="S65" i="174"/>
  <c r="S64" i="174"/>
  <c r="S63" i="174"/>
  <c r="S62" i="174"/>
  <c r="S61" i="174"/>
  <c r="S60" i="174"/>
  <c r="S59" i="174"/>
  <c r="S58" i="174"/>
  <c r="S57" i="174"/>
  <c r="S56" i="174"/>
  <c r="S55" i="174"/>
  <c r="S54" i="174"/>
  <c r="S53" i="174"/>
  <c r="S52" i="174"/>
  <c r="S51" i="174"/>
  <c r="S50" i="174"/>
  <c r="S49" i="174"/>
  <c r="S48" i="174"/>
  <c r="S47" i="174"/>
  <c r="S46" i="174"/>
  <c r="S45" i="174"/>
  <c r="S44" i="174"/>
  <c r="S43" i="174"/>
  <c r="S42" i="174"/>
  <c r="S41" i="174"/>
  <c r="S40" i="174"/>
  <c r="S39" i="174"/>
  <c r="S38" i="174"/>
  <c r="S37" i="174"/>
  <c r="S36" i="174"/>
  <c r="S35" i="174"/>
  <c r="S34" i="174"/>
  <c r="S33" i="174"/>
  <c r="S32" i="174"/>
  <c r="S31" i="174"/>
  <c r="S30" i="174"/>
  <c r="S29" i="174"/>
  <c r="S28" i="174"/>
  <c r="S27" i="174"/>
  <c r="S26" i="174"/>
  <c r="S25" i="174"/>
  <c r="S24" i="174"/>
  <c r="S23" i="174"/>
  <c r="S22" i="174"/>
  <c r="S21" i="174"/>
  <c r="S20" i="174"/>
  <c r="S19" i="174"/>
  <c r="S18" i="174"/>
  <c r="S17" i="174"/>
  <c r="S16" i="174"/>
  <c r="S15" i="174"/>
  <c r="S14" i="174"/>
  <c r="S13" i="174"/>
  <c r="S12" i="174"/>
  <c r="S11" i="174"/>
  <c r="S10" i="174"/>
  <c r="B4" i="174"/>
  <c r="B4" i="189" s="1"/>
  <c r="B3" i="174"/>
  <c r="B3" i="189" s="1"/>
  <c r="B2" i="174"/>
  <c r="B2" i="189" s="1"/>
  <c r="B1" i="174"/>
  <c r="B1" i="189" s="1"/>
  <c r="A4" i="183"/>
  <c r="A3" i="183"/>
  <c r="A2" i="183"/>
  <c r="A1" i="183"/>
  <c r="A1" i="86"/>
  <c r="C185" i="169"/>
  <c r="C184" i="169"/>
  <c r="C183" i="169"/>
  <c r="C181" i="169"/>
  <c r="C180" i="169"/>
  <c r="C179" i="169"/>
  <c r="C178" i="169"/>
  <c r="C177" i="169"/>
  <c r="C175" i="169"/>
  <c r="A173" i="169"/>
  <c r="D172" i="169"/>
  <c r="A172" i="169"/>
  <c r="D171" i="169"/>
  <c r="A171" i="169"/>
  <c r="D170" i="169"/>
  <c r="A170" i="169"/>
  <c r="D169" i="169"/>
  <c r="A169" i="169"/>
  <c r="D168" i="169"/>
  <c r="A168" i="169"/>
  <c r="A167" i="169"/>
  <c r="M166" i="169"/>
  <c r="A166" i="169"/>
  <c r="U165" i="169"/>
  <c r="M165" i="169"/>
  <c r="F165" i="169"/>
  <c r="A165" i="169"/>
  <c r="A164" i="169"/>
  <c r="X163" i="169"/>
  <c r="D163" i="169"/>
  <c r="C163" i="169"/>
  <c r="A163" i="169"/>
  <c r="X162" i="169"/>
  <c r="D162" i="169"/>
  <c r="A162" i="169"/>
  <c r="X161" i="169"/>
  <c r="D161" i="169"/>
  <c r="A161" i="169"/>
  <c r="A160" i="169"/>
  <c r="A159" i="169"/>
  <c r="X158" i="169"/>
  <c r="W158" i="169"/>
  <c r="D158" i="169"/>
  <c r="C158" i="169"/>
  <c r="A158" i="169"/>
  <c r="X157" i="169"/>
  <c r="W157" i="169"/>
  <c r="D157" i="169"/>
  <c r="C157" i="169"/>
  <c r="A157" i="169"/>
  <c r="X156" i="169"/>
  <c r="D156" i="169"/>
  <c r="A156" i="169"/>
  <c r="X155" i="169"/>
  <c r="D155" i="169"/>
  <c r="A155" i="169"/>
  <c r="X154" i="169"/>
  <c r="D154" i="169"/>
  <c r="A154" i="169"/>
  <c r="X153" i="169"/>
  <c r="D153" i="169"/>
  <c r="A153" i="169"/>
  <c r="X152" i="169"/>
  <c r="W152" i="169"/>
  <c r="D152" i="169"/>
  <c r="C152" i="169"/>
  <c r="A152" i="169"/>
  <c r="A151" i="169"/>
  <c r="A150" i="169"/>
  <c r="A149" i="169"/>
  <c r="M148" i="169"/>
  <c r="A148" i="169"/>
  <c r="A147" i="169"/>
  <c r="X146" i="169"/>
  <c r="F146" i="169"/>
  <c r="D146" i="169"/>
  <c r="A146" i="169"/>
  <c r="A145" i="169"/>
  <c r="A144" i="169"/>
  <c r="A143" i="169"/>
  <c r="A142" i="169"/>
  <c r="A141" i="169"/>
  <c r="A140" i="169"/>
  <c r="A139" i="169"/>
  <c r="A138" i="169"/>
  <c r="A137" i="169"/>
  <c r="A136" i="169"/>
  <c r="A135" i="169"/>
  <c r="W134" i="169"/>
  <c r="U134" i="169"/>
  <c r="S134" i="169"/>
  <c r="Q134" i="169"/>
  <c r="P134" i="169"/>
  <c r="O134" i="169"/>
  <c r="C134" i="169"/>
  <c r="A134" i="169"/>
  <c r="W133" i="169"/>
  <c r="U133" i="169"/>
  <c r="S133" i="169"/>
  <c r="Q133" i="169"/>
  <c r="P133" i="169"/>
  <c r="O133" i="169"/>
  <c r="C133" i="169"/>
  <c r="A133" i="169"/>
  <c r="W132" i="169"/>
  <c r="U132" i="169"/>
  <c r="S132" i="169"/>
  <c r="Q132" i="169"/>
  <c r="P132" i="169"/>
  <c r="O132" i="169"/>
  <c r="C132" i="169"/>
  <c r="A132" i="169"/>
  <c r="W131" i="169"/>
  <c r="U131" i="169"/>
  <c r="S131" i="169"/>
  <c r="Q131" i="169"/>
  <c r="P131" i="169"/>
  <c r="O131" i="169"/>
  <c r="C131" i="169"/>
  <c r="A131" i="169"/>
  <c r="W130" i="169"/>
  <c r="Q130" i="169"/>
  <c r="P130" i="169"/>
  <c r="O130" i="169"/>
  <c r="C130" i="169"/>
  <c r="A130" i="169"/>
  <c r="P129" i="169"/>
  <c r="A129" i="169"/>
  <c r="W128" i="169"/>
  <c r="Q128" i="169"/>
  <c r="P128" i="169"/>
  <c r="O128" i="169"/>
  <c r="C128" i="169"/>
  <c r="A128" i="169"/>
  <c r="A127" i="169"/>
  <c r="A126" i="169"/>
  <c r="A125" i="169"/>
  <c r="Q124" i="169"/>
  <c r="M124" i="169"/>
  <c r="A124" i="169"/>
  <c r="X123" i="169"/>
  <c r="F123" i="169"/>
  <c r="D123" i="169"/>
  <c r="A123" i="169"/>
  <c r="X122" i="169"/>
  <c r="F122" i="169"/>
  <c r="D122" i="169"/>
  <c r="A122" i="169"/>
  <c r="X121" i="169"/>
  <c r="M121" i="169"/>
  <c r="D121" i="169"/>
  <c r="A121" i="169"/>
  <c r="X120" i="169"/>
  <c r="F120" i="169"/>
  <c r="D120" i="169"/>
  <c r="A120" i="169"/>
  <c r="A119" i="169"/>
  <c r="A118" i="169"/>
  <c r="A117" i="169"/>
  <c r="A116" i="169"/>
  <c r="A115" i="169"/>
  <c r="A114" i="169"/>
  <c r="A113" i="169"/>
  <c r="A112" i="169"/>
  <c r="A111" i="169"/>
  <c r="A110" i="169"/>
  <c r="A109" i="169"/>
  <c r="A108" i="169"/>
  <c r="A107" i="169"/>
  <c r="W106" i="169"/>
  <c r="U106" i="169"/>
  <c r="S106" i="169"/>
  <c r="Q106" i="169"/>
  <c r="P106" i="169"/>
  <c r="O106" i="169"/>
  <c r="C106" i="169"/>
  <c r="A106" i="169"/>
  <c r="W105" i="169"/>
  <c r="U105" i="169"/>
  <c r="S105" i="169"/>
  <c r="Q105" i="169"/>
  <c r="P105" i="169"/>
  <c r="O105" i="169"/>
  <c r="C105" i="169"/>
  <c r="A105" i="169"/>
  <c r="W104" i="169"/>
  <c r="Q104" i="169"/>
  <c r="P104" i="169"/>
  <c r="O104" i="169"/>
  <c r="C104" i="169"/>
  <c r="A104" i="169"/>
  <c r="A103" i="169"/>
  <c r="A102" i="169"/>
  <c r="A101" i="169"/>
  <c r="Q100" i="169"/>
  <c r="M100" i="169"/>
  <c r="A100" i="169"/>
  <c r="X99" i="169"/>
  <c r="F99" i="169"/>
  <c r="D99" i="169"/>
  <c r="A99" i="169"/>
  <c r="X98" i="169"/>
  <c r="F98" i="169"/>
  <c r="D98" i="169"/>
  <c r="A98" i="169"/>
  <c r="X97" i="169"/>
  <c r="M97" i="169"/>
  <c r="D97" i="169"/>
  <c r="A97" i="169"/>
  <c r="X96" i="169"/>
  <c r="F96" i="169"/>
  <c r="D96" i="169"/>
  <c r="A96" i="169"/>
  <c r="A95" i="169"/>
  <c r="A94" i="169"/>
  <c r="A93" i="169"/>
  <c r="A92" i="169"/>
  <c r="A91" i="169"/>
  <c r="A90" i="169"/>
  <c r="A89" i="169"/>
  <c r="A88" i="169"/>
  <c r="A87" i="169"/>
  <c r="A86" i="169"/>
  <c r="A85" i="169"/>
  <c r="A84" i="169"/>
  <c r="A83" i="169"/>
  <c r="W82" i="169"/>
  <c r="U82" i="169"/>
  <c r="S82" i="169"/>
  <c r="Q82" i="169"/>
  <c r="P82" i="169"/>
  <c r="O82" i="169"/>
  <c r="C82" i="169"/>
  <c r="A82" i="169"/>
  <c r="W81" i="169"/>
  <c r="U81" i="169"/>
  <c r="S81" i="169"/>
  <c r="Q81" i="169"/>
  <c r="P81" i="169"/>
  <c r="O81" i="169"/>
  <c r="C81" i="169"/>
  <c r="A81" i="169"/>
  <c r="W80" i="169"/>
  <c r="U80" i="169"/>
  <c r="S80" i="169"/>
  <c r="Q80" i="169"/>
  <c r="P80" i="169"/>
  <c r="O80" i="169"/>
  <c r="C80" i="169"/>
  <c r="A80" i="169"/>
  <c r="W79" i="169"/>
  <c r="Q79" i="169"/>
  <c r="P79" i="169"/>
  <c r="O79" i="169"/>
  <c r="C79" i="169"/>
  <c r="A79" i="169"/>
  <c r="A78" i="169"/>
  <c r="A77" i="169"/>
  <c r="A76" i="169"/>
  <c r="Q75" i="169"/>
  <c r="M75" i="169"/>
  <c r="A75" i="169"/>
  <c r="X74" i="169"/>
  <c r="F74" i="169"/>
  <c r="D74" i="169"/>
  <c r="A74" i="169"/>
  <c r="X73" i="169"/>
  <c r="F73" i="169"/>
  <c r="D73" i="169"/>
  <c r="A73" i="169"/>
  <c r="X72" i="169"/>
  <c r="M72" i="169"/>
  <c r="D72" i="169"/>
  <c r="A72" i="169"/>
  <c r="A71" i="169"/>
  <c r="A70" i="169"/>
  <c r="A69" i="169"/>
  <c r="A68" i="169"/>
  <c r="A67" i="169"/>
  <c r="A66" i="169"/>
  <c r="A65" i="169"/>
  <c r="A64" i="169"/>
  <c r="A63" i="169"/>
  <c r="A62" i="169"/>
  <c r="A61" i="169"/>
  <c r="A60" i="169"/>
  <c r="A59" i="169"/>
  <c r="W58" i="169"/>
  <c r="U58" i="169"/>
  <c r="S58" i="169"/>
  <c r="Q58" i="169"/>
  <c r="P58" i="169"/>
  <c r="O58" i="169"/>
  <c r="C58" i="169"/>
  <c r="A58" i="169"/>
  <c r="W57" i="169"/>
  <c r="U57" i="169"/>
  <c r="S57" i="169"/>
  <c r="Q57" i="169"/>
  <c r="P57" i="169"/>
  <c r="O57" i="169"/>
  <c r="C57" i="169"/>
  <c r="A57" i="169"/>
  <c r="W56" i="169"/>
  <c r="U56" i="169"/>
  <c r="S56" i="169"/>
  <c r="Q56" i="169"/>
  <c r="P56" i="169"/>
  <c r="O56" i="169"/>
  <c r="C56" i="169"/>
  <c r="A56" i="169"/>
  <c r="W55" i="169"/>
  <c r="Q55" i="169"/>
  <c r="P55" i="169"/>
  <c r="O55" i="169"/>
  <c r="C55" i="169"/>
  <c r="A55" i="169"/>
  <c r="A54" i="169"/>
  <c r="A53" i="169"/>
  <c r="A52" i="169"/>
  <c r="Q51" i="169"/>
  <c r="M51" i="169"/>
  <c r="A51" i="169"/>
  <c r="X50" i="169"/>
  <c r="F50" i="169"/>
  <c r="D50" i="169"/>
  <c r="A50" i="169"/>
  <c r="X49" i="169"/>
  <c r="F49" i="169"/>
  <c r="D49" i="169"/>
  <c r="A49" i="169"/>
  <c r="X48" i="169"/>
  <c r="M48" i="169"/>
  <c r="D48" i="169"/>
  <c r="A48" i="169"/>
  <c r="A47" i="169"/>
  <c r="A46" i="169"/>
  <c r="A45" i="169"/>
  <c r="A44" i="169"/>
  <c r="A43" i="169"/>
  <c r="A42" i="169"/>
  <c r="A41" i="169"/>
  <c r="A40" i="169"/>
  <c r="A39" i="169"/>
  <c r="A38" i="169"/>
  <c r="A37" i="169"/>
  <c r="A36" i="169"/>
  <c r="A35" i="169"/>
  <c r="W34" i="169"/>
  <c r="U34" i="169"/>
  <c r="S34" i="169"/>
  <c r="Q34" i="169"/>
  <c r="P34" i="169"/>
  <c r="O34" i="169"/>
  <c r="M34" i="169"/>
  <c r="L34" i="169"/>
  <c r="K34" i="169"/>
  <c r="C34" i="169"/>
  <c r="A34" i="169"/>
  <c r="W33" i="169"/>
  <c r="Q33" i="169"/>
  <c r="P33" i="169"/>
  <c r="O33" i="169"/>
  <c r="C33" i="169"/>
  <c r="A33" i="169"/>
  <c r="A32" i="169"/>
  <c r="A31" i="169"/>
  <c r="A30" i="169"/>
  <c r="Q29" i="169"/>
  <c r="M29" i="169"/>
  <c r="A29" i="169"/>
  <c r="X28" i="169"/>
  <c r="F28" i="169"/>
  <c r="D28" i="169"/>
  <c r="A28" i="169"/>
  <c r="X27" i="169"/>
  <c r="F27" i="169"/>
  <c r="D27" i="169"/>
  <c r="A27" i="169"/>
  <c r="X26" i="169"/>
  <c r="M26" i="169"/>
  <c r="D26" i="169"/>
  <c r="A26" i="169"/>
  <c r="A25" i="169"/>
  <c r="A24" i="169"/>
  <c r="A23" i="169"/>
  <c r="A22" i="169"/>
  <c r="A21" i="169"/>
  <c r="A20" i="169"/>
  <c r="A19" i="169"/>
  <c r="A18" i="169"/>
  <c r="A17" i="169"/>
  <c r="A16" i="169"/>
  <c r="A15" i="169"/>
  <c r="A14" i="169"/>
  <c r="A13" i="169"/>
  <c r="W12" i="169"/>
  <c r="U12" i="169"/>
  <c r="S12" i="169"/>
  <c r="Q12" i="169"/>
  <c r="P12" i="169"/>
  <c r="O12" i="169"/>
  <c r="M12" i="169"/>
  <c r="L12" i="169"/>
  <c r="K12" i="169"/>
  <c r="C12" i="169"/>
  <c r="A12" i="169"/>
  <c r="W11" i="169"/>
  <c r="Q11" i="169"/>
  <c r="P11" i="169"/>
  <c r="O11" i="169"/>
  <c r="C11" i="169"/>
  <c r="A11" i="169"/>
  <c r="A10" i="169"/>
  <c r="A3" i="169"/>
  <c r="A2" i="169"/>
  <c r="A1" i="169"/>
  <c r="A1" i="85"/>
  <c r="I122" i="213"/>
  <c r="H122" i="213"/>
  <c r="G122" i="213"/>
  <c r="F122" i="213"/>
  <c r="E122" i="213"/>
  <c r="D122" i="213"/>
  <c r="C122" i="213"/>
  <c r="G121" i="213"/>
  <c r="D121" i="213"/>
  <c r="C121" i="213"/>
  <c r="B121" i="213"/>
  <c r="G120" i="213"/>
  <c r="D120" i="213"/>
  <c r="C120" i="213"/>
  <c r="B120" i="213"/>
  <c r="G119" i="213"/>
  <c r="D119" i="213"/>
  <c r="C119" i="213"/>
  <c r="B119" i="213"/>
  <c r="G118" i="213"/>
  <c r="D118" i="213"/>
  <c r="C118" i="213"/>
  <c r="B118" i="213"/>
  <c r="B117" i="213"/>
  <c r="B116" i="213"/>
  <c r="G114" i="213"/>
  <c r="D114" i="213"/>
  <c r="I102" i="213"/>
  <c r="H102" i="213"/>
  <c r="G102" i="213"/>
  <c r="F102" i="213"/>
  <c r="E102" i="213"/>
  <c r="D102" i="213"/>
  <c r="C102" i="213"/>
  <c r="G101" i="213"/>
  <c r="D101" i="213"/>
  <c r="C101" i="213"/>
  <c r="B101" i="213"/>
  <c r="G100" i="213"/>
  <c r="D100" i="213"/>
  <c r="C100" i="213"/>
  <c r="B100" i="213"/>
  <c r="B99" i="213"/>
  <c r="G97" i="213"/>
  <c r="D97" i="213"/>
  <c r="I89" i="213"/>
  <c r="H89" i="213"/>
  <c r="G89" i="213"/>
  <c r="F89" i="213"/>
  <c r="E89" i="213"/>
  <c r="D89" i="213"/>
  <c r="C89" i="213"/>
  <c r="G88" i="213"/>
  <c r="D88" i="213"/>
  <c r="C88" i="213"/>
  <c r="B88" i="213"/>
  <c r="G87" i="213"/>
  <c r="D87" i="213"/>
  <c r="C87" i="213"/>
  <c r="B87" i="213"/>
  <c r="G86" i="213"/>
  <c r="D86" i="213"/>
  <c r="C86" i="213"/>
  <c r="B86" i="213"/>
  <c r="B85" i="213"/>
  <c r="G83" i="213"/>
  <c r="D83" i="213"/>
  <c r="I74" i="213"/>
  <c r="H74" i="213"/>
  <c r="G74" i="213"/>
  <c r="F74" i="213"/>
  <c r="E74" i="213"/>
  <c r="D74" i="213"/>
  <c r="C74" i="213"/>
  <c r="G73" i="213"/>
  <c r="D73" i="213"/>
  <c r="C73" i="213"/>
  <c r="B73" i="213"/>
  <c r="G72" i="213"/>
  <c r="D72" i="213"/>
  <c r="C72" i="213"/>
  <c r="B72" i="213"/>
  <c r="G71" i="213"/>
  <c r="D71" i="213"/>
  <c r="C71" i="213"/>
  <c r="B71" i="213"/>
  <c r="B70" i="213"/>
  <c r="G68" i="213"/>
  <c r="D68" i="213"/>
  <c r="I59" i="213"/>
  <c r="H59" i="213"/>
  <c r="G59" i="213"/>
  <c r="F59" i="213"/>
  <c r="E59" i="213"/>
  <c r="D59" i="213"/>
  <c r="C59" i="213"/>
  <c r="B59" i="213"/>
  <c r="G57" i="213"/>
  <c r="D57" i="213"/>
  <c r="I50" i="213"/>
  <c r="H50" i="213"/>
  <c r="G50" i="213"/>
  <c r="F50" i="213"/>
  <c r="E50" i="213"/>
  <c r="D50" i="213"/>
  <c r="C50" i="213"/>
  <c r="B50" i="213"/>
  <c r="G48" i="213"/>
  <c r="D48" i="213"/>
  <c r="I40" i="213"/>
  <c r="H40" i="213"/>
  <c r="G40" i="213"/>
  <c r="F40" i="213"/>
  <c r="E40" i="213"/>
  <c r="D40" i="213"/>
  <c r="C40" i="213"/>
  <c r="B40" i="213"/>
  <c r="I39" i="213"/>
  <c r="I38" i="213"/>
  <c r="H38" i="213"/>
  <c r="G38" i="213"/>
  <c r="F38" i="213"/>
  <c r="E38" i="213"/>
  <c r="D38" i="213"/>
  <c r="C38" i="213"/>
  <c r="B38" i="213"/>
  <c r="I37" i="213"/>
  <c r="D37" i="213"/>
  <c r="C37" i="213"/>
  <c r="B37" i="213"/>
  <c r="I36" i="213"/>
  <c r="H36" i="213"/>
  <c r="G36" i="213"/>
  <c r="F36" i="213"/>
  <c r="E36" i="213"/>
  <c r="D36" i="213"/>
  <c r="C36" i="213"/>
  <c r="B36" i="213"/>
  <c r="I35" i="213"/>
  <c r="I34" i="213"/>
  <c r="H34" i="213"/>
  <c r="G34" i="213"/>
  <c r="F34" i="213"/>
  <c r="E34" i="213"/>
  <c r="D34" i="213"/>
  <c r="C34" i="213"/>
  <c r="B34" i="213"/>
  <c r="I33" i="213"/>
  <c r="D33" i="213"/>
  <c r="C33" i="213"/>
  <c r="B33" i="213"/>
  <c r="I32" i="213"/>
  <c r="D28" i="213"/>
  <c r="D26" i="213"/>
  <c r="B26" i="213"/>
  <c r="D25" i="213"/>
  <c r="B25" i="213"/>
  <c r="D24" i="213"/>
  <c r="B24" i="213"/>
  <c r="D23" i="213"/>
  <c r="B23" i="213"/>
  <c r="D20" i="213"/>
  <c r="B20" i="213"/>
  <c r="D19" i="213"/>
  <c r="B19" i="213"/>
  <c r="D16" i="213"/>
  <c r="B16" i="213"/>
  <c r="D15" i="213"/>
  <c r="B15" i="213"/>
  <c r="D14" i="213"/>
  <c r="B14" i="213"/>
  <c r="D11" i="213"/>
  <c r="B11" i="213"/>
  <c r="D10" i="213"/>
  <c r="B10" i="213"/>
  <c r="D9" i="213"/>
  <c r="B9" i="213"/>
  <c r="D6" i="213"/>
  <c r="B6" i="213"/>
  <c r="D4" i="213"/>
  <c r="B4" i="213"/>
  <c r="E91" i="212"/>
  <c r="D91" i="212"/>
  <c r="E90" i="212"/>
  <c r="D90" i="212"/>
  <c r="E85" i="212"/>
  <c r="D85" i="212"/>
  <c r="E84" i="212"/>
  <c r="D84" i="212"/>
  <c r="D78" i="212"/>
  <c r="D77" i="212"/>
  <c r="E67" i="212"/>
  <c r="D67" i="212"/>
  <c r="C67" i="212"/>
  <c r="E66" i="212"/>
  <c r="D66" i="212"/>
  <c r="C66" i="212"/>
  <c r="E65" i="212"/>
  <c r="D65" i="212"/>
  <c r="C65" i="212"/>
  <c r="B65" i="212"/>
  <c r="E64" i="212"/>
  <c r="D64" i="212"/>
  <c r="C64" i="212"/>
  <c r="B64" i="212"/>
  <c r="E63" i="212"/>
  <c r="D63" i="212"/>
  <c r="C63" i="212"/>
  <c r="B63" i="212"/>
  <c r="E62" i="212"/>
  <c r="D62" i="212"/>
  <c r="C62" i="212"/>
  <c r="B62" i="212"/>
  <c r="E61" i="212"/>
  <c r="D61" i="212"/>
  <c r="C61" i="212"/>
  <c r="B61" i="212"/>
  <c r="E60" i="212"/>
  <c r="D60" i="212"/>
  <c r="C60" i="212"/>
  <c r="B60" i="212"/>
  <c r="G55" i="212"/>
  <c r="F55" i="212"/>
  <c r="E55" i="212"/>
  <c r="D55" i="212"/>
  <c r="B55" i="212"/>
  <c r="G54" i="212"/>
  <c r="F54" i="212"/>
  <c r="E54" i="212"/>
  <c r="D54" i="212"/>
  <c r="B54" i="212"/>
  <c r="G53" i="212"/>
  <c r="F53" i="212"/>
  <c r="E53" i="212"/>
  <c r="D53" i="212"/>
  <c r="B53" i="212"/>
  <c r="G52" i="212"/>
  <c r="F52" i="212"/>
  <c r="E52" i="212"/>
  <c r="D52" i="212"/>
  <c r="B52" i="212"/>
  <c r="G51" i="212"/>
  <c r="F51" i="212"/>
  <c r="E51" i="212"/>
  <c r="D51" i="212"/>
  <c r="B51" i="212"/>
  <c r="G50" i="212"/>
  <c r="F50" i="212"/>
  <c r="E50" i="212"/>
  <c r="D50" i="212"/>
  <c r="B44" i="212"/>
  <c r="E43" i="212"/>
  <c r="D43" i="212"/>
  <c r="B43" i="212"/>
  <c r="E42" i="212"/>
  <c r="D42" i="212"/>
  <c r="B42" i="212"/>
  <c r="E41" i="212"/>
  <c r="D41" i="212"/>
  <c r="B41" i="212"/>
  <c r="E40" i="212"/>
  <c r="D40" i="212"/>
  <c r="B40" i="212"/>
  <c r="E39" i="212"/>
  <c r="D39" i="212"/>
  <c r="B39" i="212"/>
  <c r="E38" i="212"/>
  <c r="D38" i="212"/>
  <c r="B38" i="212"/>
  <c r="E33" i="212"/>
  <c r="D33" i="212"/>
  <c r="E32" i="212"/>
  <c r="D32" i="212"/>
  <c r="E31" i="212"/>
  <c r="D31" i="212"/>
  <c r="E30" i="212"/>
  <c r="D30" i="212"/>
  <c r="E29" i="212"/>
  <c r="D29" i="212"/>
  <c r="E28" i="212"/>
  <c r="D28" i="212"/>
  <c r="E22" i="212"/>
  <c r="D22" i="212"/>
  <c r="D17" i="212"/>
  <c r="A1" i="212"/>
  <c r="Q171" i="81"/>
  <c r="P171" i="81"/>
  <c r="A1" i="81"/>
  <c r="B4" i="79"/>
  <c r="B2" i="79"/>
  <c r="A1" i="79"/>
  <c r="Z122" i="223"/>
  <c r="Y122" i="223"/>
  <c r="X122" i="223"/>
  <c r="W122" i="223"/>
  <c r="V122" i="223"/>
  <c r="U122" i="223"/>
  <c r="T122" i="223"/>
  <c r="S122" i="223"/>
  <c r="R122" i="223"/>
  <c r="Q122" i="223"/>
  <c r="P122" i="223"/>
  <c r="O122" i="223"/>
  <c r="N122" i="223"/>
  <c r="M122" i="223"/>
  <c r="L122" i="223"/>
  <c r="K122" i="223"/>
  <c r="J122" i="223"/>
  <c r="I122" i="223"/>
  <c r="H122" i="223"/>
  <c r="G122" i="223"/>
  <c r="F122" i="223"/>
  <c r="E122" i="223"/>
  <c r="D122" i="223"/>
  <c r="C122" i="223"/>
  <c r="A122" i="223"/>
  <c r="Z121" i="223"/>
  <c r="Y121" i="223"/>
  <c r="X121" i="223"/>
  <c r="W121" i="223"/>
  <c r="V121" i="223"/>
  <c r="U121" i="223"/>
  <c r="T121" i="223"/>
  <c r="S121" i="223"/>
  <c r="R121" i="223"/>
  <c r="Q121" i="223"/>
  <c r="P121" i="223"/>
  <c r="O121" i="223"/>
  <c r="N121" i="223"/>
  <c r="M121" i="223"/>
  <c r="L121" i="223"/>
  <c r="K121" i="223"/>
  <c r="J121" i="223"/>
  <c r="I121" i="223"/>
  <c r="H121" i="223"/>
  <c r="G121" i="223"/>
  <c r="F121" i="223"/>
  <c r="E121" i="223"/>
  <c r="D121" i="223"/>
  <c r="C121" i="223"/>
  <c r="A121" i="223"/>
  <c r="Z120" i="223"/>
  <c r="Y120" i="223"/>
  <c r="X120" i="223"/>
  <c r="W120" i="223"/>
  <c r="V120" i="223"/>
  <c r="U120" i="223"/>
  <c r="T120" i="223"/>
  <c r="S120" i="223"/>
  <c r="R120" i="223"/>
  <c r="Q120" i="223"/>
  <c r="P120" i="223"/>
  <c r="O120" i="223"/>
  <c r="N120" i="223"/>
  <c r="M120" i="223"/>
  <c r="L120" i="223"/>
  <c r="K120" i="223"/>
  <c r="J120" i="223"/>
  <c r="I120" i="223"/>
  <c r="H120" i="223"/>
  <c r="G120" i="223"/>
  <c r="F120" i="223"/>
  <c r="E120" i="223"/>
  <c r="D120" i="223"/>
  <c r="C120" i="223"/>
  <c r="A120" i="223"/>
  <c r="Z119" i="223"/>
  <c r="Y119" i="223"/>
  <c r="X119" i="223"/>
  <c r="W119" i="223"/>
  <c r="V119" i="223"/>
  <c r="U119" i="223"/>
  <c r="T119" i="223"/>
  <c r="S119" i="223"/>
  <c r="R119" i="223"/>
  <c r="Q119" i="223"/>
  <c r="P119" i="223"/>
  <c r="O119" i="223"/>
  <c r="N119" i="223"/>
  <c r="M119" i="223"/>
  <c r="L119" i="223"/>
  <c r="K119" i="223"/>
  <c r="J119" i="223"/>
  <c r="I119" i="223"/>
  <c r="H119" i="223"/>
  <c r="G119" i="223"/>
  <c r="F119" i="223"/>
  <c r="E119" i="223"/>
  <c r="D119" i="223"/>
  <c r="C119" i="223"/>
  <c r="A119" i="223"/>
  <c r="Z118" i="223"/>
  <c r="Y118" i="223"/>
  <c r="X118" i="223"/>
  <c r="W118" i="223"/>
  <c r="V118" i="223"/>
  <c r="U118" i="223"/>
  <c r="T118" i="223"/>
  <c r="S118" i="223"/>
  <c r="R118" i="223"/>
  <c r="Q118" i="223"/>
  <c r="P118" i="223"/>
  <c r="O118" i="223"/>
  <c r="N118" i="223"/>
  <c r="M118" i="223"/>
  <c r="L118" i="223"/>
  <c r="K118" i="223"/>
  <c r="J118" i="223"/>
  <c r="I118" i="223"/>
  <c r="H118" i="223"/>
  <c r="G118" i="223"/>
  <c r="F118" i="223"/>
  <c r="E118" i="223"/>
  <c r="D118" i="223"/>
  <c r="C118" i="223"/>
  <c r="A118" i="223"/>
  <c r="A117" i="223"/>
  <c r="A116" i="223"/>
  <c r="Z115" i="223"/>
  <c r="Y115" i="223"/>
  <c r="X115" i="223"/>
  <c r="W115" i="223"/>
  <c r="V115" i="223"/>
  <c r="U115" i="223"/>
  <c r="T115" i="223"/>
  <c r="S115" i="223"/>
  <c r="R115" i="223"/>
  <c r="Q115" i="223"/>
  <c r="P115" i="223"/>
  <c r="O115" i="223"/>
  <c r="N115" i="223"/>
  <c r="M115" i="223"/>
  <c r="L115" i="223"/>
  <c r="K115" i="223"/>
  <c r="J115" i="223"/>
  <c r="I115" i="223"/>
  <c r="H115" i="223"/>
  <c r="G115" i="223"/>
  <c r="F115" i="223"/>
  <c r="E115" i="223"/>
  <c r="D115" i="223"/>
  <c r="C115" i="223"/>
  <c r="A115" i="223"/>
  <c r="Z114" i="223"/>
  <c r="Y114" i="223"/>
  <c r="X114" i="223"/>
  <c r="W114" i="223"/>
  <c r="V114" i="223"/>
  <c r="U114" i="223"/>
  <c r="T114" i="223"/>
  <c r="S114" i="223"/>
  <c r="R114" i="223"/>
  <c r="Q114" i="223"/>
  <c r="P114" i="223"/>
  <c r="O114" i="223"/>
  <c r="N114" i="223"/>
  <c r="M114" i="223"/>
  <c r="L114" i="223"/>
  <c r="K114" i="223"/>
  <c r="J114" i="223"/>
  <c r="I114" i="223"/>
  <c r="H114" i="223"/>
  <c r="G114" i="223"/>
  <c r="F114" i="223"/>
  <c r="E114" i="223"/>
  <c r="D114" i="223"/>
  <c r="C114" i="223"/>
  <c r="A114" i="223"/>
  <c r="Z113" i="223"/>
  <c r="Y113" i="223"/>
  <c r="X113" i="223"/>
  <c r="W113" i="223"/>
  <c r="V113" i="223"/>
  <c r="U113" i="223"/>
  <c r="T113" i="223"/>
  <c r="S113" i="223"/>
  <c r="R113" i="223"/>
  <c r="Q113" i="223"/>
  <c r="P113" i="223"/>
  <c r="O113" i="223"/>
  <c r="N113" i="223"/>
  <c r="M113" i="223"/>
  <c r="L113" i="223"/>
  <c r="K113" i="223"/>
  <c r="J113" i="223"/>
  <c r="I113" i="223"/>
  <c r="H113" i="223"/>
  <c r="G113" i="223"/>
  <c r="F113" i="223"/>
  <c r="E113" i="223"/>
  <c r="D113" i="223"/>
  <c r="C113" i="223"/>
  <c r="A113" i="223"/>
  <c r="A112" i="223"/>
  <c r="A111" i="223"/>
  <c r="Z110" i="223"/>
  <c r="Y110" i="223"/>
  <c r="X110" i="223"/>
  <c r="W110" i="223"/>
  <c r="V110" i="223"/>
  <c r="U110" i="223"/>
  <c r="T110" i="223"/>
  <c r="S110" i="223"/>
  <c r="R110" i="223"/>
  <c r="Q110" i="223"/>
  <c r="P110" i="223"/>
  <c r="O110" i="223"/>
  <c r="N110" i="223"/>
  <c r="M110" i="223"/>
  <c r="L110" i="223"/>
  <c r="K110" i="223"/>
  <c r="J110" i="223"/>
  <c r="I110" i="223"/>
  <c r="H110" i="223"/>
  <c r="G110" i="223"/>
  <c r="F110" i="223"/>
  <c r="E110" i="223"/>
  <c r="D110" i="223"/>
  <c r="C110" i="223"/>
  <c r="A110" i="223"/>
  <c r="Z109" i="223"/>
  <c r="Y109" i="223"/>
  <c r="X109" i="223"/>
  <c r="W109" i="223"/>
  <c r="V109" i="223"/>
  <c r="U109" i="223"/>
  <c r="T109" i="223"/>
  <c r="S109" i="223"/>
  <c r="R109" i="223"/>
  <c r="Q109" i="223"/>
  <c r="P109" i="223"/>
  <c r="O109" i="223"/>
  <c r="N109" i="223"/>
  <c r="M109" i="223"/>
  <c r="L109" i="223"/>
  <c r="K109" i="223"/>
  <c r="J109" i="223"/>
  <c r="I109" i="223"/>
  <c r="H109" i="223"/>
  <c r="G109" i="223"/>
  <c r="F109" i="223"/>
  <c r="E109" i="223"/>
  <c r="D109" i="223"/>
  <c r="C109" i="223"/>
  <c r="A109" i="223"/>
  <c r="Z108" i="223"/>
  <c r="Y108" i="223"/>
  <c r="X108" i="223"/>
  <c r="W108" i="223"/>
  <c r="V108" i="223"/>
  <c r="U108" i="223"/>
  <c r="T108" i="223"/>
  <c r="S108" i="223"/>
  <c r="R108" i="223"/>
  <c r="Q108" i="223"/>
  <c r="P108" i="223"/>
  <c r="O108" i="223"/>
  <c r="N108" i="223"/>
  <c r="M108" i="223"/>
  <c r="L108" i="223"/>
  <c r="K108" i="223"/>
  <c r="J108" i="223"/>
  <c r="I108" i="223"/>
  <c r="H108" i="223"/>
  <c r="G108" i="223"/>
  <c r="F108" i="223"/>
  <c r="E108" i="223"/>
  <c r="D108" i="223"/>
  <c r="C108" i="223"/>
  <c r="A108" i="223"/>
  <c r="A107" i="223"/>
  <c r="A106" i="223"/>
  <c r="A105" i="223"/>
  <c r="N104" i="223"/>
  <c r="M104" i="223"/>
  <c r="L104" i="223"/>
  <c r="K104" i="223"/>
  <c r="J104" i="223"/>
  <c r="I104" i="223"/>
  <c r="H104" i="223"/>
  <c r="G104" i="223"/>
  <c r="F104" i="223"/>
  <c r="E104" i="223"/>
  <c r="D104" i="223"/>
  <c r="C104" i="223"/>
  <c r="A104" i="223"/>
  <c r="N103" i="223"/>
  <c r="M103" i="223"/>
  <c r="L103" i="223"/>
  <c r="K103" i="223"/>
  <c r="J103" i="223"/>
  <c r="I103" i="223"/>
  <c r="H103" i="223"/>
  <c r="G103" i="223"/>
  <c r="F103" i="223"/>
  <c r="E103" i="223"/>
  <c r="D103" i="223"/>
  <c r="C103" i="223"/>
  <c r="A103" i="223"/>
  <c r="N102" i="223"/>
  <c r="M102" i="223"/>
  <c r="L102" i="223"/>
  <c r="K102" i="223"/>
  <c r="J102" i="223"/>
  <c r="I102" i="223"/>
  <c r="H102" i="223"/>
  <c r="G102" i="223"/>
  <c r="F102" i="223"/>
  <c r="E102" i="223"/>
  <c r="D102" i="223"/>
  <c r="C102" i="223"/>
  <c r="A102" i="223"/>
  <c r="N101" i="223"/>
  <c r="M101" i="223"/>
  <c r="L101" i="223"/>
  <c r="K101" i="223"/>
  <c r="J101" i="223"/>
  <c r="I101" i="223"/>
  <c r="H101" i="223"/>
  <c r="G101" i="223"/>
  <c r="F101" i="223"/>
  <c r="E101" i="223"/>
  <c r="D101" i="223"/>
  <c r="C101" i="223"/>
  <c r="A101" i="223"/>
  <c r="N100" i="223"/>
  <c r="M100" i="223"/>
  <c r="L100" i="223"/>
  <c r="K100" i="223"/>
  <c r="J100" i="223"/>
  <c r="I100" i="223"/>
  <c r="H100" i="223"/>
  <c r="G100" i="223"/>
  <c r="F100" i="223"/>
  <c r="E100" i="223"/>
  <c r="D100" i="223"/>
  <c r="C100" i="223"/>
  <c r="A100" i="223"/>
  <c r="N99" i="223"/>
  <c r="M99" i="223"/>
  <c r="L99" i="223"/>
  <c r="K99" i="223"/>
  <c r="J99" i="223"/>
  <c r="I99" i="223"/>
  <c r="H99" i="223"/>
  <c r="G99" i="223"/>
  <c r="F99" i="223"/>
  <c r="E99" i="223"/>
  <c r="D99" i="223"/>
  <c r="C99" i="223"/>
  <c r="A99" i="223"/>
  <c r="N98" i="223"/>
  <c r="M98" i="223"/>
  <c r="L98" i="223"/>
  <c r="K98" i="223"/>
  <c r="J98" i="223"/>
  <c r="I98" i="223"/>
  <c r="H98" i="223"/>
  <c r="G98" i="223"/>
  <c r="F98" i="223"/>
  <c r="E98" i="223"/>
  <c r="D98" i="223"/>
  <c r="C98" i="223"/>
  <c r="A98" i="223"/>
  <c r="N97" i="223"/>
  <c r="M97" i="223"/>
  <c r="L97" i="223"/>
  <c r="K97" i="223"/>
  <c r="J97" i="223"/>
  <c r="I97" i="223"/>
  <c r="H97" i="223"/>
  <c r="G97" i="223"/>
  <c r="F97" i="223"/>
  <c r="E97" i="223"/>
  <c r="D97" i="223"/>
  <c r="C97" i="223"/>
  <c r="A97" i="223"/>
  <c r="A96" i="223"/>
  <c r="A95" i="223"/>
  <c r="Z94" i="223"/>
  <c r="Y94" i="223"/>
  <c r="X94" i="223"/>
  <c r="W94" i="223"/>
  <c r="V94" i="223"/>
  <c r="U94" i="223"/>
  <c r="T94" i="223"/>
  <c r="S94" i="223"/>
  <c r="R94" i="223"/>
  <c r="Q94" i="223"/>
  <c r="P94" i="223"/>
  <c r="O94" i="223"/>
  <c r="N94" i="223"/>
  <c r="M94" i="223"/>
  <c r="L94" i="223"/>
  <c r="K94" i="223"/>
  <c r="J94" i="223"/>
  <c r="I94" i="223"/>
  <c r="H94" i="223"/>
  <c r="G94" i="223"/>
  <c r="F94" i="223"/>
  <c r="E94" i="223"/>
  <c r="D94" i="223"/>
  <c r="C94" i="223"/>
  <c r="A94" i="223"/>
  <c r="Z93" i="223"/>
  <c r="Y93" i="223"/>
  <c r="X93" i="223"/>
  <c r="W93" i="223"/>
  <c r="V93" i="223"/>
  <c r="U93" i="223"/>
  <c r="T93" i="223"/>
  <c r="S93" i="223"/>
  <c r="R93" i="223"/>
  <c r="Q93" i="223"/>
  <c r="P93" i="223"/>
  <c r="O93" i="223"/>
  <c r="N93" i="223"/>
  <c r="M93" i="223"/>
  <c r="L93" i="223"/>
  <c r="K93" i="223"/>
  <c r="J93" i="223"/>
  <c r="I93" i="223"/>
  <c r="H93" i="223"/>
  <c r="G93" i="223"/>
  <c r="F93" i="223"/>
  <c r="E93" i="223"/>
  <c r="D93" i="223"/>
  <c r="C93" i="223"/>
  <c r="A93" i="223"/>
  <c r="Z92" i="223"/>
  <c r="Y92" i="223"/>
  <c r="X92" i="223"/>
  <c r="W92" i="223"/>
  <c r="V92" i="223"/>
  <c r="U92" i="223"/>
  <c r="T92" i="223"/>
  <c r="S92" i="223"/>
  <c r="R92" i="223"/>
  <c r="Q92" i="223"/>
  <c r="P92" i="223"/>
  <c r="O92" i="223"/>
  <c r="N92" i="223"/>
  <c r="M92" i="223"/>
  <c r="L92" i="223"/>
  <c r="K92" i="223"/>
  <c r="J92" i="223"/>
  <c r="I92" i="223"/>
  <c r="H92" i="223"/>
  <c r="G92" i="223"/>
  <c r="F92" i="223"/>
  <c r="E92" i="223"/>
  <c r="D92" i="223"/>
  <c r="C92" i="223"/>
  <c r="A92" i="223"/>
  <c r="Z91" i="223"/>
  <c r="Y91" i="223"/>
  <c r="X91" i="223"/>
  <c r="W91" i="223"/>
  <c r="V91" i="223"/>
  <c r="U91" i="223"/>
  <c r="T91" i="223"/>
  <c r="S91" i="223"/>
  <c r="R91" i="223"/>
  <c r="Q91" i="223"/>
  <c r="P91" i="223"/>
  <c r="O91" i="223"/>
  <c r="N91" i="223"/>
  <c r="M91" i="223"/>
  <c r="L91" i="223"/>
  <c r="K91" i="223"/>
  <c r="J91" i="223"/>
  <c r="I91" i="223"/>
  <c r="H91" i="223"/>
  <c r="G91" i="223"/>
  <c r="F91" i="223"/>
  <c r="E91" i="223"/>
  <c r="D91" i="223"/>
  <c r="C91" i="223"/>
  <c r="A91" i="223"/>
  <c r="Z90" i="223"/>
  <c r="Y90" i="223"/>
  <c r="X90" i="223"/>
  <c r="W90" i="223"/>
  <c r="V90" i="223"/>
  <c r="U90" i="223"/>
  <c r="T90" i="223"/>
  <c r="S90" i="223"/>
  <c r="R90" i="223"/>
  <c r="Q90" i="223"/>
  <c r="P90" i="223"/>
  <c r="O90" i="223"/>
  <c r="N90" i="223"/>
  <c r="M90" i="223"/>
  <c r="L90" i="223"/>
  <c r="K90" i="223"/>
  <c r="J90" i="223"/>
  <c r="I90" i="223"/>
  <c r="H90" i="223"/>
  <c r="G90" i="223"/>
  <c r="F90" i="223"/>
  <c r="E90" i="223"/>
  <c r="D90" i="223"/>
  <c r="C90" i="223"/>
  <c r="A90" i="223"/>
  <c r="A89" i="223"/>
  <c r="A88" i="223"/>
  <c r="Z87" i="223"/>
  <c r="Y87" i="223"/>
  <c r="X87" i="223"/>
  <c r="W87" i="223"/>
  <c r="V87" i="223"/>
  <c r="U87" i="223"/>
  <c r="T87" i="223"/>
  <c r="S87" i="223"/>
  <c r="R87" i="223"/>
  <c r="Q87" i="223"/>
  <c r="P87" i="223"/>
  <c r="O87" i="223"/>
  <c r="N87" i="223"/>
  <c r="M87" i="223"/>
  <c r="L87" i="223"/>
  <c r="K87" i="223"/>
  <c r="J87" i="223"/>
  <c r="I87" i="223"/>
  <c r="H87" i="223"/>
  <c r="G87" i="223"/>
  <c r="F87" i="223"/>
  <c r="E87" i="223"/>
  <c r="D87" i="223"/>
  <c r="C87" i="223"/>
  <c r="A87" i="223"/>
  <c r="Z86" i="223"/>
  <c r="Y86" i="223"/>
  <c r="X86" i="223"/>
  <c r="W86" i="223"/>
  <c r="V86" i="223"/>
  <c r="U86" i="223"/>
  <c r="T86" i="223"/>
  <c r="S86" i="223"/>
  <c r="R86" i="223"/>
  <c r="Q86" i="223"/>
  <c r="P86" i="223"/>
  <c r="O86" i="223"/>
  <c r="N86" i="223"/>
  <c r="M86" i="223"/>
  <c r="L86" i="223"/>
  <c r="K86" i="223"/>
  <c r="J86" i="223"/>
  <c r="I86" i="223"/>
  <c r="H86" i="223"/>
  <c r="G86" i="223"/>
  <c r="F86" i="223"/>
  <c r="E86" i="223"/>
  <c r="D86" i="223"/>
  <c r="C86" i="223"/>
  <c r="A86" i="223"/>
  <c r="Z85" i="223"/>
  <c r="Y85" i="223"/>
  <c r="X85" i="223"/>
  <c r="W85" i="223"/>
  <c r="V85" i="223"/>
  <c r="U85" i="223"/>
  <c r="T85" i="223"/>
  <c r="S85" i="223"/>
  <c r="R85" i="223"/>
  <c r="Q85" i="223"/>
  <c r="P85" i="223"/>
  <c r="O85" i="223"/>
  <c r="N85" i="223"/>
  <c r="M85" i="223"/>
  <c r="L85" i="223"/>
  <c r="K85" i="223"/>
  <c r="J85" i="223"/>
  <c r="I85" i="223"/>
  <c r="H85" i="223"/>
  <c r="G85" i="223"/>
  <c r="F85" i="223"/>
  <c r="E85" i="223"/>
  <c r="D85" i="223"/>
  <c r="C85" i="223"/>
  <c r="A85" i="223"/>
  <c r="Z84" i="223"/>
  <c r="Y84" i="223"/>
  <c r="X84" i="223"/>
  <c r="W84" i="223"/>
  <c r="V84" i="223"/>
  <c r="U84" i="223"/>
  <c r="T84" i="223"/>
  <c r="S84" i="223"/>
  <c r="R84" i="223"/>
  <c r="Q84" i="223"/>
  <c r="P84" i="223"/>
  <c r="O84" i="223"/>
  <c r="N84" i="223"/>
  <c r="M84" i="223"/>
  <c r="L84" i="223"/>
  <c r="K84" i="223"/>
  <c r="J84" i="223"/>
  <c r="I84" i="223"/>
  <c r="H84" i="223"/>
  <c r="G84" i="223"/>
  <c r="F84" i="223"/>
  <c r="E84" i="223"/>
  <c r="D84" i="223"/>
  <c r="C84" i="223"/>
  <c r="A84" i="223"/>
  <c r="Z83" i="223"/>
  <c r="Y83" i="223"/>
  <c r="X83" i="223"/>
  <c r="W83" i="223"/>
  <c r="V83" i="223"/>
  <c r="U83" i="223"/>
  <c r="T83" i="223"/>
  <c r="S83" i="223"/>
  <c r="R83" i="223"/>
  <c r="Q83" i="223"/>
  <c r="P83" i="223"/>
  <c r="O83" i="223"/>
  <c r="N83" i="223"/>
  <c r="M83" i="223"/>
  <c r="L83" i="223"/>
  <c r="K83" i="223"/>
  <c r="J83" i="223"/>
  <c r="I83" i="223"/>
  <c r="H83" i="223"/>
  <c r="G83" i="223"/>
  <c r="F83" i="223"/>
  <c r="E83" i="223"/>
  <c r="D83" i="223"/>
  <c r="C83" i="223"/>
  <c r="A83" i="223"/>
  <c r="A82" i="223"/>
  <c r="A81" i="223"/>
  <c r="Z80" i="223"/>
  <c r="Y80" i="223"/>
  <c r="X80" i="223"/>
  <c r="W80" i="223"/>
  <c r="V80" i="223"/>
  <c r="U80" i="223"/>
  <c r="T80" i="223"/>
  <c r="S80" i="223"/>
  <c r="R80" i="223"/>
  <c r="Q80" i="223"/>
  <c r="P80" i="223"/>
  <c r="O80" i="223"/>
  <c r="N80" i="223"/>
  <c r="M80" i="223"/>
  <c r="L80" i="223"/>
  <c r="K80" i="223"/>
  <c r="J80" i="223"/>
  <c r="I80" i="223"/>
  <c r="H80" i="223"/>
  <c r="G80" i="223"/>
  <c r="F80" i="223"/>
  <c r="E80" i="223"/>
  <c r="D80" i="223"/>
  <c r="C80" i="223"/>
  <c r="A80" i="223"/>
  <c r="Z79" i="223"/>
  <c r="Y79" i="223"/>
  <c r="X79" i="223"/>
  <c r="W79" i="223"/>
  <c r="V79" i="223"/>
  <c r="U79" i="223"/>
  <c r="T79" i="223"/>
  <c r="S79" i="223"/>
  <c r="R79" i="223"/>
  <c r="Q79" i="223"/>
  <c r="P79" i="223"/>
  <c r="O79" i="223"/>
  <c r="N79" i="223"/>
  <c r="M79" i="223"/>
  <c r="L79" i="223"/>
  <c r="K79" i="223"/>
  <c r="J79" i="223"/>
  <c r="I79" i="223"/>
  <c r="H79" i="223"/>
  <c r="G79" i="223"/>
  <c r="F79" i="223"/>
  <c r="E79" i="223"/>
  <c r="D79" i="223"/>
  <c r="C79" i="223"/>
  <c r="A79" i="223"/>
  <c r="Z78" i="223"/>
  <c r="Y78" i="223"/>
  <c r="X78" i="223"/>
  <c r="W78" i="223"/>
  <c r="V78" i="223"/>
  <c r="U78" i="223"/>
  <c r="T78" i="223"/>
  <c r="S78" i="223"/>
  <c r="R78" i="223"/>
  <c r="Q78" i="223"/>
  <c r="P78" i="223"/>
  <c r="O78" i="223"/>
  <c r="N78" i="223"/>
  <c r="M78" i="223"/>
  <c r="L78" i="223"/>
  <c r="K78" i="223"/>
  <c r="J78" i="223"/>
  <c r="I78" i="223"/>
  <c r="H78" i="223"/>
  <c r="G78" i="223"/>
  <c r="F78" i="223"/>
  <c r="E78" i="223"/>
  <c r="D78" i="223"/>
  <c r="C78" i="223"/>
  <c r="A78" i="223"/>
  <c r="A77" i="223"/>
  <c r="A76" i="223"/>
  <c r="A75" i="223"/>
  <c r="A74" i="223"/>
  <c r="A73" i="223"/>
  <c r="A72" i="223"/>
  <c r="A71" i="223"/>
  <c r="A70" i="223"/>
  <c r="C69" i="223"/>
  <c r="A69" i="223"/>
  <c r="C68" i="223"/>
  <c r="A68" i="223"/>
  <c r="E67" i="223"/>
  <c r="A67" i="223"/>
  <c r="E66" i="223"/>
  <c r="C66" i="223"/>
  <c r="A66" i="223"/>
  <c r="A65" i="223"/>
  <c r="C64" i="223"/>
  <c r="A64" i="223"/>
  <c r="C63" i="223"/>
  <c r="A63" i="223"/>
  <c r="A62" i="223"/>
  <c r="C61" i="223"/>
  <c r="A61" i="223"/>
  <c r="C60" i="223"/>
  <c r="A60" i="223"/>
  <c r="C59" i="223"/>
  <c r="A59" i="223"/>
  <c r="A58" i="223"/>
  <c r="C57" i="223"/>
  <c r="A57" i="223"/>
  <c r="A56" i="223"/>
  <c r="C55" i="223"/>
  <c r="A55" i="223"/>
  <c r="A54" i="223"/>
  <c r="C53" i="223"/>
  <c r="A53" i="223"/>
  <c r="A52" i="223"/>
  <c r="A51" i="223"/>
  <c r="C50" i="223"/>
  <c r="A50" i="223"/>
  <c r="A49" i="223"/>
  <c r="C48" i="223"/>
  <c r="A48" i="223"/>
  <c r="C47" i="223"/>
  <c r="A47" i="223"/>
  <c r="C46" i="223"/>
  <c r="A46" i="223"/>
  <c r="A45" i="223"/>
  <c r="A44" i="223"/>
  <c r="C43" i="223"/>
  <c r="A43" i="223"/>
  <c r="C42" i="223"/>
  <c r="A42" i="223"/>
  <c r="C41" i="223"/>
  <c r="A41" i="223"/>
  <c r="A40" i="223"/>
  <c r="C39" i="223"/>
  <c r="A39" i="223"/>
  <c r="C38" i="223"/>
  <c r="A38" i="223"/>
  <c r="E37" i="223"/>
  <c r="A37" i="223"/>
  <c r="E36" i="223"/>
  <c r="C36" i="223"/>
  <c r="A36" i="223"/>
  <c r="A35" i="223"/>
  <c r="C34" i="223"/>
  <c r="A34" i="223"/>
  <c r="C33" i="223"/>
  <c r="A33" i="223"/>
  <c r="A32" i="223"/>
  <c r="C31" i="223"/>
  <c r="A31" i="223"/>
  <c r="C30" i="223"/>
  <c r="A30" i="223"/>
  <c r="C29" i="223"/>
  <c r="A29" i="223"/>
  <c r="A28" i="223"/>
  <c r="C27" i="223"/>
  <c r="A27" i="223"/>
  <c r="A26" i="223"/>
  <c r="C25" i="223"/>
  <c r="A25" i="223"/>
  <c r="A24" i="223"/>
  <c r="C23" i="223"/>
  <c r="A23" i="223"/>
  <c r="A22" i="223"/>
  <c r="A21" i="223"/>
  <c r="C20" i="223"/>
  <c r="A20" i="223"/>
  <c r="A19" i="223"/>
  <c r="C18" i="223"/>
  <c r="A18" i="223"/>
  <c r="C17" i="223"/>
  <c r="A17" i="223"/>
  <c r="C16" i="223"/>
  <c r="A16" i="223"/>
  <c r="C15" i="223"/>
  <c r="A15" i="223"/>
  <c r="A14" i="223"/>
  <c r="C13" i="223"/>
  <c r="A13" i="223"/>
  <c r="C12" i="223"/>
  <c r="A12" i="223"/>
  <c r="C11" i="223"/>
  <c r="A11" i="223"/>
  <c r="A4" i="223"/>
  <c r="A3" i="223"/>
  <c r="A2" i="223"/>
  <c r="A1" i="223"/>
  <c r="L31" i="222"/>
  <c r="I29" i="222"/>
  <c r="I28" i="222"/>
  <c r="I27" i="222"/>
  <c r="I26" i="222"/>
  <c r="I25" i="222"/>
  <c r="C22" i="222"/>
  <c r="C19" i="222"/>
  <c r="A19" i="222"/>
  <c r="A18" i="222"/>
  <c r="C17" i="222"/>
  <c r="A17" i="222"/>
  <c r="C16" i="222"/>
  <c r="A16" i="222"/>
  <c r="A15" i="222"/>
  <c r="A14" i="222"/>
  <c r="A13" i="222"/>
  <c r="A12" i="222"/>
  <c r="A4" i="222"/>
  <c r="A3" i="222"/>
  <c r="A2" i="222"/>
  <c r="A1" i="222"/>
  <c r="C25" i="221"/>
  <c r="C18" i="221"/>
  <c r="C17" i="221"/>
  <c r="C14" i="221"/>
  <c r="C12" i="221"/>
  <c r="A3" i="221"/>
  <c r="A2" i="221"/>
  <c r="A1" i="221"/>
  <c r="N102" i="219"/>
  <c r="M102" i="219"/>
  <c r="N100" i="219"/>
  <c r="M100" i="219"/>
  <c r="N98" i="219"/>
  <c r="M98" i="219"/>
  <c r="L98" i="219"/>
  <c r="K98" i="219"/>
  <c r="J98" i="219"/>
  <c r="I98" i="219"/>
  <c r="H98" i="219"/>
  <c r="G98" i="219"/>
  <c r="F98" i="219"/>
  <c r="E98" i="219"/>
  <c r="D98" i="219"/>
  <c r="A98" i="219"/>
  <c r="A97" i="219"/>
  <c r="N96" i="219"/>
  <c r="M96" i="219"/>
  <c r="L96" i="219"/>
  <c r="K96" i="219"/>
  <c r="J96" i="219"/>
  <c r="I96" i="219"/>
  <c r="H96" i="219"/>
  <c r="G96" i="219"/>
  <c r="F96" i="219"/>
  <c r="E96" i="219"/>
  <c r="D96" i="219"/>
  <c r="A96" i="219"/>
  <c r="D95" i="219"/>
  <c r="A95" i="219"/>
  <c r="N94" i="219"/>
  <c r="M94" i="219"/>
  <c r="L94" i="219"/>
  <c r="K94" i="219"/>
  <c r="J94" i="219"/>
  <c r="I94" i="219"/>
  <c r="H94" i="219"/>
  <c r="G94" i="219"/>
  <c r="F94" i="219"/>
  <c r="E94" i="219"/>
  <c r="D94" i="219"/>
  <c r="A94" i="219"/>
  <c r="N93" i="219"/>
  <c r="M93" i="219"/>
  <c r="L93" i="219"/>
  <c r="D93" i="219"/>
  <c r="A93" i="219"/>
  <c r="N92" i="219"/>
  <c r="M92" i="219"/>
  <c r="L92" i="219"/>
  <c r="D92" i="219"/>
  <c r="A92" i="219"/>
  <c r="N91" i="219"/>
  <c r="M91" i="219"/>
  <c r="L91" i="219"/>
  <c r="F91" i="219"/>
  <c r="D91" i="219"/>
  <c r="A91" i="219"/>
  <c r="N90" i="219"/>
  <c r="M90" i="219"/>
  <c r="L90" i="219"/>
  <c r="G90" i="219"/>
  <c r="D90" i="219"/>
  <c r="A90" i="219"/>
  <c r="N89" i="219"/>
  <c r="M89" i="219"/>
  <c r="L89" i="219"/>
  <c r="D89" i="219"/>
  <c r="A89" i="219"/>
  <c r="N88" i="219"/>
  <c r="M88" i="219"/>
  <c r="L88" i="219"/>
  <c r="D88" i="219"/>
  <c r="A88" i="219"/>
  <c r="N87" i="219"/>
  <c r="M87" i="219"/>
  <c r="L87" i="219"/>
  <c r="D87" i="219"/>
  <c r="A87" i="219"/>
  <c r="N86" i="219"/>
  <c r="M86" i="219"/>
  <c r="L86" i="219"/>
  <c r="D86" i="219"/>
  <c r="A86" i="219"/>
  <c r="N85" i="219"/>
  <c r="M85" i="219"/>
  <c r="L85" i="219"/>
  <c r="I85" i="219"/>
  <c r="D85" i="219"/>
  <c r="A85" i="219"/>
  <c r="N84" i="219"/>
  <c r="M84" i="219"/>
  <c r="L84" i="219"/>
  <c r="D84" i="219"/>
  <c r="A84" i="219"/>
  <c r="N83" i="219"/>
  <c r="M83" i="219"/>
  <c r="L83" i="219"/>
  <c r="D83" i="219"/>
  <c r="A83" i="219"/>
  <c r="A82" i="219"/>
  <c r="A81" i="219"/>
  <c r="N80" i="219"/>
  <c r="M80" i="219"/>
  <c r="L80" i="219"/>
  <c r="K80" i="219"/>
  <c r="J80" i="219"/>
  <c r="I80" i="219"/>
  <c r="H80" i="219"/>
  <c r="G80" i="219"/>
  <c r="F80" i="219"/>
  <c r="E80" i="219"/>
  <c r="D80" i="219"/>
  <c r="A80" i="219"/>
  <c r="N79" i="219"/>
  <c r="M79" i="219"/>
  <c r="L79" i="219"/>
  <c r="D79" i="219"/>
  <c r="A79" i="219"/>
  <c r="N78" i="219"/>
  <c r="M78" i="219"/>
  <c r="L78" i="219"/>
  <c r="D78" i="219"/>
  <c r="A78" i="219"/>
  <c r="N77" i="219"/>
  <c r="M77" i="219"/>
  <c r="L77" i="219"/>
  <c r="D77" i="219"/>
  <c r="A77" i="219"/>
  <c r="N76" i="219"/>
  <c r="M76" i="219"/>
  <c r="L76" i="219"/>
  <c r="D76" i="219"/>
  <c r="A76" i="219"/>
  <c r="A75" i="219"/>
  <c r="A74" i="219"/>
  <c r="N73" i="219"/>
  <c r="M73" i="219"/>
  <c r="L73" i="219"/>
  <c r="K73" i="219"/>
  <c r="J73" i="219"/>
  <c r="I73" i="219"/>
  <c r="H73" i="219"/>
  <c r="G73" i="219"/>
  <c r="F73" i="219"/>
  <c r="E73" i="219"/>
  <c r="D73" i="219"/>
  <c r="A73" i="219"/>
  <c r="N72" i="219"/>
  <c r="M72" i="219"/>
  <c r="L72" i="219"/>
  <c r="D72" i="219"/>
  <c r="A72" i="219"/>
  <c r="N71" i="219"/>
  <c r="M71" i="219"/>
  <c r="L71" i="219"/>
  <c r="D71" i="219"/>
  <c r="A71" i="219"/>
  <c r="N70" i="219"/>
  <c r="M70" i="219"/>
  <c r="L70" i="219"/>
  <c r="K70" i="219"/>
  <c r="D70" i="219"/>
  <c r="A70" i="219"/>
  <c r="N69" i="219"/>
  <c r="M69" i="219"/>
  <c r="L69" i="219"/>
  <c r="D69" i="219"/>
  <c r="A69" i="219"/>
  <c r="A68" i="219"/>
  <c r="A67" i="219"/>
  <c r="N66" i="219"/>
  <c r="M66" i="219"/>
  <c r="L66" i="219"/>
  <c r="K66" i="219"/>
  <c r="J66" i="219"/>
  <c r="I66" i="219"/>
  <c r="H66" i="219"/>
  <c r="G66" i="219"/>
  <c r="F66" i="219"/>
  <c r="E66" i="219"/>
  <c r="D66" i="219"/>
  <c r="A66" i="219"/>
  <c r="N65" i="219"/>
  <c r="M65" i="219"/>
  <c r="L65" i="219"/>
  <c r="D65" i="219"/>
  <c r="A65" i="219"/>
  <c r="N64" i="219"/>
  <c r="M64" i="219"/>
  <c r="L64" i="219"/>
  <c r="H64" i="219"/>
  <c r="D64" i="219"/>
  <c r="A64" i="219"/>
  <c r="N63" i="219"/>
  <c r="M63" i="219"/>
  <c r="L63" i="219"/>
  <c r="D63" i="219"/>
  <c r="A63" i="219"/>
  <c r="N62" i="219"/>
  <c r="M62" i="219"/>
  <c r="L62" i="219"/>
  <c r="D62" i="219"/>
  <c r="A62" i="219"/>
  <c r="N61" i="219"/>
  <c r="M61" i="219"/>
  <c r="L61" i="219"/>
  <c r="D61" i="219"/>
  <c r="A61" i="219"/>
  <c r="A60" i="219"/>
  <c r="A59" i="219"/>
  <c r="N58" i="219"/>
  <c r="M58" i="219"/>
  <c r="L58" i="219"/>
  <c r="K58" i="219"/>
  <c r="J58" i="219"/>
  <c r="I58" i="219"/>
  <c r="H58" i="219"/>
  <c r="G58" i="219"/>
  <c r="F58" i="219"/>
  <c r="E58" i="219"/>
  <c r="D58" i="219"/>
  <c r="A58" i="219"/>
  <c r="N57" i="219"/>
  <c r="M57" i="219"/>
  <c r="L57" i="219"/>
  <c r="K57" i="219"/>
  <c r="J57" i="219"/>
  <c r="I57" i="219"/>
  <c r="H57" i="219"/>
  <c r="G57" i="219"/>
  <c r="F57" i="219"/>
  <c r="E57" i="219"/>
  <c r="D57" i="219"/>
  <c r="A57" i="219"/>
  <c r="N56" i="219"/>
  <c r="M56" i="219"/>
  <c r="L56" i="219"/>
  <c r="D56" i="219"/>
  <c r="A56" i="219"/>
  <c r="N55" i="219"/>
  <c r="M55" i="219"/>
  <c r="L55" i="219"/>
  <c r="D55" i="219"/>
  <c r="A55" i="219"/>
  <c r="N54" i="219"/>
  <c r="M54" i="219"/>
  <c r="L54" i="219"/>
  <c r="D54" i="219"/>
  <c r="A54" i="219"/>
  <c r="N53" i="219"/>
  <c r="M53" i="219"/>
  <c r="L53" i="219"/>
  <c r="D53" i="219"/>
  <c r="A53" i="219"/>
  <c r="N52" i="219"/>
  <c r="M52" i="219"/>
  <c r="L52" i="219"/>
  <c r="D52" i="219"/>
  <c r="A52" i="219"/>
  <c r="N51" i="219"/>
  <c r="M51" i="219"/>
  <c r="L51" i="219"/>
  <c r="D51" i="219"/>
  <c r="A51" i="219"/>
  <c r="N50" i="219"/>
  <c r="M50" i="219"/>
  <c r="L50" i="219"/>
  <c r="D50" i="219"/>
  <c r="A50" i="219"/>
  <c r="N49" i="219"/>
  <c r="M49" i="219"/>
  <c r="L49" i="219"/>
  <c r="J49" i="219"/>
  <c r="D49" i="219"/>
  <c r="A49" i="219"/>
  <c r="N48" i="219"/>
  <c r="M48" i="219"/>
  <c r="L48" i="219"/>
  <c r="D48" i="219"/>
  <c r="A48" i="219"/>
  <c r="N47" i="219"/>
  <c r="M47" i="219"/>
  <c r="L47" i="219"/>
  <c r="D47" i="219"/>
  <c r="A47" i="219"/>
  <c r="A46" i="219"/>
  <c r="A45" i="219"/>
  <c r="N44" i="219"/>
  <c r="M44" i="219"/>
  <c r="L44" i="219"/>
  <c r="K44" i="219"/>
  <c r="J44" i="219"/>
  <c r="I44" i="219"/>
  <c r="H44" i="219"/>
  <c r="G44" i="219"/>
  <c r="F44" i="219"/>
  <c r="E44" i="219"/>
  <c r="D44" i="219"/>
  <c r="A44" i="219"/>
  <c r="N43" i="219"/>
  <c r="M43" i="219"/>
  <c r="L43" i="219"/>
  <c r="D43" i="219"/>
  <c r="A43" i="219"/>
  <c r="N42" i="219"/>
  <c r="M42" i="219"/>
  <c r="L42" i="219"/>
  <c r="D42" i="219"/>
  <c r="A42" i="219"/>
  <c r="N41" i="219"/>
  <c r="M41" i="219"/>
  <c r="L41" i="219"/>
  <c r="D41" i="219"/>
  <c r="A41" i="219"/>
  <c r="N40" i="219"/>
  <c r="M40" i="219"/>
  <c r="L40" i="219"/>
  <c r="D40" i="219"/>
  <c r="A40" i="219"/>
  <c r="N39" i="219"/>
  <c r="M39" i="219"/>
  <c r="L39" i="219"/>
  <c r="D39" i="219"/>
  <c r="A39" i="219"/>
  <c r="N38" i="219"/>
  <c r="M38" i="219"/>
  <c r="L38" i="219"/>
  <c r="D38" i="219"/>
  <c r="A38" i="219"/>
  <c r="N37" i="219"/>
  <c r="M37" i="219"/>
  <c r="L37" i="219"/>
  <c r="D37" i="219"/>
  <c r="A37" i="219"/>
  <c r="N36" i="219"/>
  <c r="M36" i="219"/>
  <c r="L36" i="219"/>
  <c r="D36" i="219"/>
  <c r="A36" i="219"/>
  <c r="N35" i="219"/>
  <c r="M35" i="219"/>
  <c r="L35" i="219"/>
  <c r="D35" i="219"/>
  <c r="A35" i="219"/>
  <c r="N34" i="219"/>
  <c r="M34" i="219"/>
  <c r="L34" i="219"/>
  <c r="D34" i="219"/>
  <c r="A34" i="219"/>
  <c r="N33" i="219"/>
  <c r="M33" i="219"/>
  <c r="L33" i="219"/>
  <c r="D33" i="219"/>
  <c r="A33" i="219"/>
  <c r="N32" i="219"/>
  <c r="M32" i="219"/>
  <c r="L32" i="219"/>
  <c r="D32" i="219"/>
  <c r="A32" i="219"/>
  <c r="A31" i="219"/>
  <c r="A30" i="219"/>
  <c r="A29" i="219"/>
  <c r="N28" i="219"/>
  <c r="M28" i="219"/>
  <c r="L28" i="219"/>
  <c r="D28" i="219"/>
  <c r="A28" i="219"/>
  <c r="A27" i="219"/>
  <c r="A26" i="219"/>
  <c r="A25" i="219"/>
  <c r="H24" i="219"/>
  <c r="G24" i="219"/>
  <c r="F24" i="219"/>
  <c r="E24" i="219"/>
  <c r="D24" i="219"/>
  <c r="A24" i="219"/>
  <c r="A23" i="219"/>
  <c r="H22" i="219"/>
  <c r="G22" i="219"/>
  <c r="F22" i="219"/>
  <c r="E22" i="219"/>
  <c r="D22" i="219"/>
  <c r="C22" i="219"/>
  <c r="A22" i="219"/>
  <c r="A21" i="219"/>
  <c r="G20" i="219"/>
  <c r="F20" i="219"/>
  <c r="E20" i="219"/>
  <c r="D20" i="219"/>
  <c r="C20" i="219"/>
  <c r="A20" i="219"/>
  <c r="A19" i="219"/>
  <c r="A18" i="219"/>
  <c r="A17" i="219"/>
  <c r="A16" i="219"/>
  <c r="A15" i="219"/>
  <c r="A14" i="219"/>
  <c r="A13" i="219"/>
  <c r="A12" i="219"/>
  <c r="G11" i="219"/>
  <c r="A4" i="219"/>
  <c r="A3" i="219"/>
  <c r="A2" i="219"/>
  <c r="A1" i="219"/>
  <c r="N92" i="218"/>
  <c r="K92" i="218"/>
  <c r="N91" i="218"/>
  <c r="K91" i="218"/>
  <c r="O89" i="218"/>
  <c r="N89" i="218"/>
  <c r="L89" i="218"/>
  <c r="K89" i="218"/>
  <c r="I89" i="218"/>
  <c r="D89" i="218"/>
  <c r="O88" i="218"/>
  <c r="N88" i="218"/>
  <c r="L88" i="218"/>
  <c r="K88" i="218"/>
  <c r="I88" i="218"/>
  <c r="H88" i="218"/>
  <c r="O87" i="218"/>
  <c r="N87" i="218"/>
  <c r="L87" i="218"/>
  <c r="K87" i="218"/>
  <c r="I87" i="218"/>
  <c r="H87" i="218"/>
  <c r="O86" i="218"/>
  <c r="N86" i="218"/>
  <c r="L86" i="218"/>
  <c r="K86" i="218"/>
  <c r="I86" i="218"/>
  <c r="H86" i="218"/>
  <c r="O85" i="218"/>
  <c r="N85" i="218"/>
  <c r="L85" i="218"/>
  <c r="K85" i="218"/>
  <c r="I85" i="218"/>
  <c r="H85" i="218"/>
  <c r="O84" i="218"/>
  <c r="N84" i="218"/>
  <c r="L84" i="218"/>
  <c r="K84" i="218"/>
  <c r="I84" i="218"/>
  <c r="H84" i="218"/>
  <c r="O83" i="218"/>
  <c r="N83" i="218"/>
  <c r="L83" i="218"/>
  <c r="K83" i="218"/>
  <c r="I83" i="218"/>
  <c r="H83" i="218"/>
  <c r="O82" i="218"/>
  <c r="N82" i="218"/>
  <c r="L82" i="218"/>
  <c r="K82" i="218"/>
  <c r="I82" i="218"/>
  <c r="H82" i="218"/>
  <c r="O81" i="218"/>
  <c r="N81" i="218"/>
  <c r="L81" i="218"/>
  <c r="K81" i="218"/>
  <c r="I81" i="218"/>
  <c r="H81" i="218"/>
  <c r="O80" i="218"/>
  <c r="N80" i="218"/>
  <c r="L80" i="218"/>
  <c r="K80" i="218"/>
  <c r="I80" i="218"/>
  <c r="H80" i="218"/>
  <c r="O79" i="218"/>
  <c r="N79" i="218"/>
  <c r="L79" i="218"/>
  <c r="K79" i="218"/>
  <c r="I79" i="218"/>
  <c r="H79" i="218"/>
  <c r="O78" i="218"/>
  <c r="N78" i="218"/>
  <c r="L78" i="218"/>
  <c r="K78" i="218"/>
  <c r="I78" i="218"/>
  <c r="H78" i="218"/>
  <c r="O77" i="218"/>
  <c r="N77" i="218"/>
  <c r="L77" i="218"/>
  <c r="K77" i="218"/>
  <c r="I77" i="218"/>
  <c r="H77" i="218"/>
  <c r="O76" i="218"/>
  <c r="N76" i="218"/>
  <c r="L76" i="218"/>
  <c r="K76" i="218"/>
  <c r="I76" i="218"/>
  <c r="H76" i="218"/>
  <c r="I67" i="218"/>
  <c r="H67" i="218"/>
  <c r="F67" i="218"/>
  <c r="D67" i="218"/>
  <c r="M66" i="218"/>
  <c r="J66" i="218"/>
  <c r="K66" i="218" s="1"/>
  <c r="L66" i="218" s="1"/>
  <c r="I66" i="218"/>
  <c r="H66" i="218"/>
  <c r="G66" i="218"/>
  <c r="M65" i="218"/>
  <c r="K65" i="218"/>
  <c r="L65" i="218" s="1"/>
  <c r="J65" i="218"/>
  <c r="I65" i="218"/>
  <c r="H65" i="218"/>
  <c r="G65" i="218"/>
  <c r="M64" i="218"/>
  <c r="L64" i="218"/>
  <c r="K64" i="218"/>
  <c r="J64" i="218"/>
  <c r="I64" i="218"/>
  <c r="H64" i="218"/>
  <c r="G64" i="218"/>
  <c r="M63" i="218"/>
  <c r="J63" i="218"/>
  <c r="K63" i="218" s="1"/>
  <c r="L63" i="218" s="1"/>
  <c r="I63" i="218"/>
  <c r="H63" i="218"/>
  <c r="G63" i="218"/>
  <c r="M62" i="218"/>
  <c r="K62" i="218"/>
  <c r="L62" i="218" s="1"/>
  <c r="J62" i="218"/>
  <c r="I62" i="218"/>
  <c r="H62" i="218"/>
  <c r="G62" i="218"/>
  <c r="M61" i="218"/>
  <c r="L61" i="218"/>
  <c r="N61" i="218" s="1"/>
  <c r="O61" i="218" s="1"/>
  <c r="K61" i="218"/>
  <c r="J61" i="218"/>
  <c r="I61" i="218"/>
  <c r="H61" i="218"/>
  <c r="G61" i="218"/>
  <c r="M60" i="218"/>
  <c r="L60" i="218"/>
  <c r="K60" i="218"/>
  <c r="J60" i="218"/>
  <c r="I60" i="218"/>
  <c r="H60" i="218"/>
  <c r="G60" i="218"/>
  <c r="N59" i="218"/>
  <c r="M59" i="218"/>
  <c r="L59" i="218"/>
  <c r="O59" i="218" s="1"/>
  <c r="K59" i="218"/>
  <c r="J59" i="218"/>
  <c r="I59" i="218"/>
  <c r="H59" i="218"/>
  <c r="G59" i="218"/>
  <c r="M58" i="218"/>
  <c r="J58" i="218"/>
  <c r="K58" i="218" s="1"/>
  <c r="L58" i="218" s="1"/>
  <c r="I58" i="218"/>
  <c r="H58" i="218"/>
  <c r="G58" i="218"/>
  <c r="M57" i="218"/>
  <c r="K57" i="218"/>
  <c r="L57" i="218" s="1"/>
  <c r="J57" i="218"/>
  <c r="I57" i="218"/>
  <c r="H57" i="218"/>
  <c r="G57" i="218"/>
  <c r="M56" i="218"/>
  <c r="L56" i="218"/>
  <c r="K56" i="218"/>
  <c r="J56" i="218"/>
  <c r="I56" i="218"/>
  <c r="H56" i="218"/>
  <c r="G56" i="218"/>
  <c r="M55" i="218"/>
  <c r="J55" i="218"/>
  <c r="K55" i="218" s="1"/>
  <c r="L55" i="218" s="1"/>
  <c r="I55" i="218"/>
  <c r="H55" i="218"/>
  <c r="G55" i="218"/>
  <c r="M54" i="218"/>
  <c r="K54" i="218"/>
  <c r="L54" i="218" s="1"/>
  <c r="J54" i="218"/>
  <c r="I54" i="218"/>
  <c r="H54" i="218"/>
  <c r="G54" i="218"/>
  <c r="M53" i="218"/>
  <c r="L53" i="218"/>
  <c r="N53" i="218" s="1"/>
  <c r="O53" i="218" s="1"/>
  <c r="K53" i="218"/>
  <c r="J53" i="218"/>
  <c r="I53" i="218"/>
  <c r="H53" i="218"/>
  <c r="G53" i="218"/>
  <c r="M52" i="218"/>
  <c r="L52" i="218"/>
  <c r="K52" i="218"/>
  <c r="J52" i="218"/>
  <c r="I52" i="218"/>
  <c r="H52" i="218"/>
  <c r="G52" i="218"/>
  <c r="N51" i="218"/>
  <c r="M51" i="218"/>
  <c r="L51" i="218"/>
  <c r="O51" i="218" s="1"/>
  <c r="K51" i="218"/>
  <c r="J51" i="218"/>
  <c r="I51" i="218"/>
  <c r="H51" i="218"/>
  <c r="G51" i="218"/>
  <c r="M50" i="218"/>
  <c r="J50" i="218"/>
  <c r="K50" i="218" s="1"/>
  <c r="L50" i="218" s="1"/>
  <c r="I50" i="218"/>
  <c r="H50" i="218"/>
  <c r="G50" i="218"/>
  <c r="M49" i="218"/>
  <c r="K49" i="218"/>
  <c r="L49" i="218" s="1"/>
  <c r="J49" i="218"/>
  <c r="I49" i="218"/>
  <c r="H49" i="218"/>
  <c r="G49" i="218"/>
  <c r="M48" i="218"/>
  <c r="L48" i="218"/>
  <c r="K48" i="218"/>
  <c r="J48" i="218"/>
  <c r="I48" i="218"/>
  <c r="H48" i="218"/>
  <c r="G48" i="218"/>
  <c r="M47" i="218"/>
  <c r="J47" i="218"/>
  <c r="K47" i="218" s="1"/>
  <c r="L47" i="218" s="1"/>
  <c r="I47" i="218"/>
  <c r="H47" i="218"/>
  <c r="G47" i="218"/>
  <c r="M46" i="218"/>
  <c r="K46" i="218"/>
  <c r="L46" i="218" s="1"/>
  <c r="J46" i="218"/>
  <c r="I46" i="218"/>
  <c r="H46" i="218"/>
  <c r="G46" i="218"/>
  <c r="M45" i="218"/>
  <c r="L45" i="218"/>
  <c r="N45" i="218" s="1"/>
  <c r="K45" i="218"/>
  <c r="J45" i="218"/>
  <c r="I45" i="218"/>
  <c r="H45" i="218"/>
  <c r="G45" i="218"/>
  <c r="I43" i="218"/>
  <c r="D43" i="218"/>
  <c r="M42" i="218"/>
  <c r="J42" i="218"/>
  <c r="K42" i="218" s="1"/>
  <c r="L42" i="218" s="1"/>
  <c r="N42" i="218" s="1"/>
  <c r="O42" i="218" s="1"/>
  <c r="I42" i="218"/>
  <c r="H42" i="218"/>
  <c r="M41" i="218"/>
  <c r="J41" i="218"/>
  <c r="K41" i="218" s="1"/>
  <c r="L41" i="218" s="1"/>
  <c r="N41" i="218" s="1"/>
  <c r="O41" i="218" s="1"/>
  <c r="I41" i="218"/>
  <c r="H41" i="218"/>
  <c r="M40" i="218"/>
  <c r="J40" i="218"/>
  <c r="K40" i="218" s="1"/>
  <c r="L40" i="218" s="1"/>
  <c r="N40" i="218" s="1"/>
  <c r="O40" i="218" s="1"/>
  <c r="I40" i="218"/>
  <c r="H40" i="218"/>
  <c r="M39" i="218"/>
  <c r="J39" i="218"/>
  <c r="K39" i="218" s="1"/>
  <c r="L39" i="218" s="1"/>
  <c r="N39" i="218" s="1"/>
  <c r="O39" i="218" s="1"/>
  <c r="I39" i="218"/>
  <c r="H39" i="218"/>
  <c r="M38" i="218"/>
  <c r="J38" i="218"/>
  <c r="K38" i="218" s="1"/>
  <c r="L38" i="218" s="1"/>
  <c r="N38" i="218" s="1"/>
  <c r="O38" i="218" s="1"/>
  <c r="I38" i="218"/>
  <c r="H38" i="218"/>
  <c r="M37" i="218"/>
  <c r="J37" i="218"/>
  <c r="K37" i="218" s="1"/>
  <c r="L37" i="218" s="1"/>
  <c r="N37" i="218" s="1"/>
  <c r="O37" i="218" s="1"/>
  <c r="I37" i="218"/>
  <c r="H37" i="218"/>
  <c r="M36" i="218"/>
  <c r="J36" i="218"/>
  <c r="K36" i="218" s="1"/>
  <c r="L36" i="218" s="1"/>
  <c r="N36" i="218" s="1"/>
  <c r="O36" i="218" s="1"/>
  <c r="I36" i="218"/>
  <c r="H36" i="218"/>
  <c r="M35" i="218"/>
  <c r="J35" i="218"/>
  <c r="K35" i="218" s="1"/>
  <c r="L35" i="218" s="1"/>
  <c r="N35" i="218" s="1"/>
  <c r="O35" i="218" s="1"/>
  <c r="I35" i="218"/>
  <c r="H35" i="218"/>
  <c r="M34" i="218"/>
  <c r="J34" i="218"/>
  <c r="K34" i="218" s="1"/>
  <c r="L34" i="218" s="1"/>
  <c r="N34" i="218" s="1"/>
  <c r="O34" i="218" s="1"/>
  <c r="I34" i="218"/>
  <c r="H34" i="218"/>
  <c r="M33" i="218"/>
  <c r="J33" i="218"/>
  <c r="K33" i="218" s="1"/>
  <c r="L33" i="218" s="1"/>
  <c r="N33" i="218" s="1"/>
  <c r="O33" i="218" s="1"/>
  <c r="I33" i="218"/>
  <c r="H33" i="218"/>
  <c r="M32" i="218"/>
  <c r="J32" i="218"/>
  <c r="K32" i="218" s="1"/>
  <c r="L32" i="218" s="1"/>
  <c r="N32" i="218" s="1"/>
  <c r="O32" i="218" s="1"/>
  <c r="I32" i="218"/>
  <c r="H32" i="218"/>
  <c r="M31" i="218"/>
  <c r="J31" i="218"/>
  <c r="K31" i="218" s="1"/>
  <c r="L31" i="218" s="1"/>
  <c r="N31" i="218" s="1"/>
  <c r="O31" i="218" s="1"/>
  <c r="I31" i="218"/>
  <c r="H31" i="218"/>
  <c r="M30" i="218"/>
  <c r="K30" i="218"/>
  <c r="L30" i="218" s="1"/>
  <c r="N30" i="218" s="1"/>
  <c r="O30" i="218" s="1"/>
  <c r="J30" i="218"/>
  <c r="I30" i="218"/>
  <c r="H30" i="218"/>
  <c r="M29" i="218"/>
  <c r="J29" i="218"/>
  <c r="K29" i="218" s="1"/>
  <c r="L29" i="218" s="1"/>
  <c r="N29" i="218" s="1"/>
  <c r="O29" i="218" s="1"/>
  <c r="I29" i="218"/>
  <c r="H29" i="218"/>
  <c r="M28" i="218"/>
  <c r="J28" i="218"/>
  <c r="K28" i="218" s="1"/>
  <c r="L28" i="218" s="1"/>
  <c r="N28" i="218" s="1"/>
  <c r="O28" i="218" s="1"/>
  <c r="I28" i="218"/>
  <c r="H28" i="218"/>
  <c r="M27" i="218"/>
  <c r="J27" i="218"/>
  <c r="K27" i="218" s="1"/>
  <c r="L27" i="218" s="1"/>
  <c r="N27" i="218" s="1"/>
  <c r="O27" i="218" s="1"/>
  <c r="I27" i="218"/>
  <c r="H27" i="218"/>
  <c r="M26" i="218"/>
  <c r="J26" i="218"/>
  <c r="K26" i="218" s="1"/>
  <c r="L26" i="218" s="1"/>
  <c r="N26" i="218" s="1"/>
  <c r="O26" i="218" s="1"/>
  <c r="I26" i="218"/>
  <c r="H26" i="218"/>
  <c r="M25" i="218"/>
  <c r="K25" i="218"/>
  <c r="L25" i="218" s="1"/>
  <c r="N25" i="218" s="1"/>
  <c r="O25" i="218" s="1"/>
  <c r="J25" i="218"/>
  <c r="I25" i="218"/>
  <c r="H25" i="218"/>
  <c r="M24" i="218"/>
  <c r="J24" i="218"/>
  <c r="K24" i="218" s="1"/>
  <c r="L24" i="218" s="1"/>
  <c r="N24" i="218" s="1"/>
  <c r="O24" i="218" s="1"/>
  <c r="I24" i="218"/>
  <c r="H24" i="218"/>
  <c r="M23" i="218"/>
  <c r="J23" i="218"/>
  <c r="K23" i="218" s="1"/>
  <c r="L23" i="218" s="1"/>
  <c r="I23" i="218"/>
  <c r="H23" i="218"/>
  <c r="N19" i="218"/>
  <c r="K19" i="218"/>
  <c r="H19" i="218"/>
  <c r="H18" i="218"/>
  <c r="H16" i="218"/>
  <c r="N15" i="218"/>
  <c r="K15" i="218"/>
  <c r="H15" i="218"/>
  <c r="I14" i="218"/>
  <c r="H14" i="218"/>
  <c r="F14" i="218"/>
  <c r="D14" i="218"/>
  <c r="M12" i="218"/>
  <c r="L12" i="218"/>
  <c r="K12" i="218"/>
  <c r="I12" i="218"/>
  <c r="H12" i="218"/>
  <c r="F12" i="218"/>
  <c r="D12" i="218"/>
  <c r="K10" i="218"/>
  <c r="K14" i="218" s="1"/>
  <c r="I10" i="218"/>
  <c r="D10" i="218"/>
  <c r="A4" i="218"/>
  <c r="A3" i="218"/>
  <c r="A2" i="218"/>
  <c r="A1" i="218"/>
  <c r="X65" i="217"/>
  <c r="S65" i="217"/>
  <c r="Z64" i="217"/>
  <c r="Q64" i="217" s="1"/>
  <c r="S64" i="217"/>
  <c r="G64" i="217"/>
  <c r="Z63" i="217"/>
  <c r="Q63" i="217" s="1"/>
  <c r="S63" i="217"/>
  <c r="G63" i="217"/>
  <c r="Z62" i="217"/>
  <c r="Q62" i="217" s="1"/>
  <c r="S62" i="217"/>
  <c r="G62" i="217"/>
  <c r="Z61" i="217"/>
  <c r="Q61" i="217" s="1"/>
  <c r="S61" i="217"/>
  <c r="G61" i="217"/>
  <c r="Z60" i="217"/>
  <c r="Q60" i="217" s="1"/>
  <c r="S60" i="217"/>
  <c r="G60" i="217"/>
  <c r="S59" i="217"/>
  <c r="G59" i="217"/>
  <c r="Z58" i="217"/>
  <c r="S58" i="217"/>
  <c r="Q58" i="217"/>
  <c r="G58" i="217"/>
  <c r="Z53" i="217"/>
  <c r="Q53" i="217" s="1"/>
  <c r="S53" i="217"/>
  <c r="G53" i="217"/>
  <c r="AR52" i="217"/>
  <c r="Z52" i="217"/>
  <c r="S52" i="217"/>
  <c r="Q52" i="217"/>
  <c r="G52" i="217"/>
  <c r="L46" i="217"/>
  <c r="J46" i="217"/>
  <c r="Z44" i="217"/>
  <c r="S44" i="217"/>
  <c r="Q44" i="217"/>
  <c r="G44" i="217"/>
  <c r="Z39" i="217"/>
  <c r="S39" i="217"/>
  <c r="Q39" i="217"/>
  <c r="G39" i="217"/>
  <c r="X38" i="217"/>
  <c r="Z38" i="217" s="1"/>
  <c r="S38" i="217"/>
  <c r="G38" i="217"/>
  <c r="Z37" i="217"/>
  <c r="Q37" i="217" s="1"/>
  <c r="S37" i="217"/>
  <c r="G37" i="217"/>
  <c r="Z36" i="217"/>
  <c r="Q36" i="217" s="1"/>
  <c r="S36" i="217"/>
  <c r="G36" i="217"/>
  <c r="AP35" i="217"/>
  <c r="S35" i="217"/>
  <c r="G35" i="217"/>
  <c r="Z34" i="217"/>
  <c r="Q34" i="217" s="1"/>
  <c r="S34" i="217"/>
  <c r="G34" i="217"/>
  <c r="Z33" i="217"/>
  <c r="Q33" i="217" s="1"/>
  <c r="S33" i="217"/>
  <c r="G33" i="217"/>
  <c r="Z32" i="217"/>
  <c r="S32" i="217"/>
  <c r="G32" i="217"/>
  <c r="AR31" i="217"/>
  <c r="AP31" i="217"/>
  <c r="Z31" i="217"/>
  <c r="S31" i="217"/>
  <c r="Q31" i="217"/>
  <c r="G31" i="217"/>
  <c r="AR30" i="217"/>
  <c r="Z30" i="217"/>
  <c r="Q30" i="217" s="1"/>
  <c r="S30" i="217"/>
  <c r="G30" i="217"/>
  <c r="S29" i="217"/>
  <c r="G29" i="217"/>
  <c r="Z28" i="217"/>
  <c r="Q28" i="217" s="1"/>
  <c r="S28" i="217"/>
  <c r="G28" i="217"/>
  <c r="AR27" i="217"/>
  <c r="Z27" i="217"/>
  <c r="S27" i="217"/>
  <c r="G27" i="217"/>
  <c r="AS24" i="217"/>
  <c r="AR24" i="217"/>
  <c r="AQ24" i="217"/>
  <c r="AP24" i="217"/>
  <c r="AB24" i="217"/>
  <c r="L24" i="217"/>
  <c r="J24" i="217"/>
  <c r="AL23" i="217"/>
  <c r="AK23" i="217"/>
  <c r="AM23" i="217" s="1"/>
  <c r="AS22" i="217"/>
  <c r="AR22" i="217"/>
  <c r="AQ22" i="217"/>
  <c r="AP22" i="217"/>
  <c r="AL22" i="217"/>
  <c r="AL14" i="217" s="1"/>
  <c r="AM14" i="217" s="1"/>
  <c r="AK22" i="217"/>
  <c r="Z22" i="217"/>
  <c r="S22" i="217"/>
  <c r="Q22" i="217"/>
  <c r="AR21" i="217"/>
  <c r="AQ21" i="217"/>
  <c r="AP21" i="217"/>
  <c r="AM21" i="217"/>
  <c r="AL21" i="217"/>
  <c r="AK21" i="217"/>
  <c r="Z21" i="217"/>
  <c r="Q21" i="217" s="1"/>
  <c r="S21" i="217"/>
  <c r="G21" i="217"/>
  <c r="AR20" i="217"/>
  <c r="AQ20" i="217"/>
  <c r="AP20" i="217"/>
  <c r="Z20" i="217"/>
  <c r="S20" i="217"/>
  <c r="Q20" i="217"/>
  <c r="G20" i="217"/>
  <c r="AR19" i="217"/>
  <c r="AQ19" i="217"/>
  <c r="AP19" i="217"/>
  <c r="Z19" i="217"/>
  <c r="AQ18" i="217" s="1"/>
  <c r="S19" i="217"/>
  <c r="G19" i="217"/>
  <c r="AR18" i="217"/>
  <c r="AP18" i="217"/>
  <c r="X18" i="217"/>
  <c r="S18" i="217"/>
  <c r="G18" i="217"/>
  <c r="AR17" i="217"/>
  <c r="Z17" i="217"/>
  <c r="Q17" i="217" s="1"/>
  <c r="S17" i="217"/>
  <c r="G17" i="217"/>
  <c r="Z16" i="217"/>
  <c r="Q16" i="217" s="1"/>
  <c r="S16" i="217"/>
  <c r="G16" i="217"/>
  <c r="AM15" i="217"/>
  <c r="Z15" i="217"/>
  <c r="Q15" i="217" s="1"/>
  <c r="S15" i="217"/>
  <c r="G15" i="217"/>
  <c r="Z14" i="217"/>
  <c r="S14" i="217"/>
  <c r="Q14" i="217"/>
  <c r="G14" i="217"/>
  <c r="AL13" i="217"/>
  <c r="AM13" i="217" s="1"/>
  <c r="S13" i="217"/>
  <c r="Q13" i="217"/>
  <c r="G13" i="217"/>
  <c r="Z12" i="217"/>
  <c r="Q12" i="217" s="1"/>
  <c r="S12" i="217"/>
  <c r="G12" i="217"/>
  <c r="Z11" i="217"/>
  <c r="Q11" i="217" s="1"/>
  <c r="S11" i="217"/>
  <c r="G11" i="217"/>
  <c r="Z10" i="217"/>
  <c r="Q10" i="217" s="1"/>
  <c r="S10" i="217"/>
  <c r="G10" i="217"/>
  <c r="B10" i="217"/>
  <c r="L7" i="217"/>
  <c r="J7" i="217"/>
  <c r="J48" i="217" s="1"/>
  <c r="AK4" i="217"/>
  <c r="X201" i="214" l="1"/>
  <c r="AA193" i="214"/>
  <c r="AM126" i="31"/>
  <c r="AR124" i="31"/>
  <c r="E213" i="203"/>
  <c r="AR118" i="31"/>
  <c r="Z124" i="31"/>
  <c r="P203" i="203"/>
  <c r="AC118" i="31"/>
  <c r="AD118" i="31" s="1"/>
  <c r="E129" i="203"/>
  <c r="E188" i="203" s="1"/>
  <c r="E20" i="205"/>
  <c r="D21" i="205"/>
  <c r="O47" i="218"/>
  <c r="N47" i="218"/>
  <c r="N57" i="218"/>
  <c r="O57" i="218" s="1"/>
  <c r="N66" i="218"/>
  <c r="O66" i="218" s="1"/>
  <c r="O62" i="218"/>
  <c r="N62" i="218"/>
  <c r="N50" i="218"/>
  <c r="O50" i="218" s="1"/>
  <c r="O56" i="218"/>
  <c r="N46" i="218"/>
  <c r="O46" i="218"/>
  <c r="O55" i="218"/>
  <c r="N55" i="218"/>
  <c r="O65" i="218"/>
  <c r="N65" i="218"/>
  <c r="K67" i="218"/>
  <c r="O45" i="218"/>
  <c r="O49" i="218"/>
  <c r="N49" i="218"/>
  <c r="O58" i="218"/>
  <c r="N58" i="218"/>
  <c r="N54" i="218"/>
  <c r="O54" i="218"/>
  <c r="N63" i="218"/>
  <c r="O63" i="218" s="1"/>
  <c r="O48" i="218"/>
  <c r="N12" i="218"/>
  <c r="O12" i="218" s="1"/>
  <c r="N48" i="218"/>
  <c r="N56" i="218"/>
  <c r="N64" i="218"/>
  <c r="O64" i="218" s="1"/>
  <c r="L67" i="218"/>
  <c r="N52" i="218"/>
  <c r="N67" i="218" s="1"/>
  <c r="N60" i="218"/>
  <c r="O60" i="218" s="1"/>
  <c r="K18" i="218"/>
  <c r="K20" i="218" s="1"/>
  <c r="X29" i="217" s="1"/>
  <c r="K16" i="218"/>
  <c r="L10" i="218"/>
  <c r="L14" i="218" s="1"/>
  <c r="L43" i="218"/>
  <c r="N23" i="218"/>
  <c r="K43" i="218"/>
  <c r="D47" i="169"/>
  <c r="X47" i="169" s="1"/>
  <c r="O2" i="193"/>
  <c r="D81" i="169"/>
  <c r="I81" i="169" s="1"/>
  <c r="D43" i="169"/>
  <c r="F43" i="169" s="1"/>
  <c r="X43" i="169" s="1"/>
  <c r="D69" i="169"/>
  <c r="X69" i="169" s="1"/>
  <c r="D117" i="169"/>
  <c r="X117" i="169" s="1"/>
  <c r="AQ35" i="217"/>
  <c r="Q38" i="217"/>
  <c r="AQ31" i="217"/>
  <c r="Q19" i="217"/>
  <c r="Q7" i="217"/>
  <c r="AR23" i="217"/>
  <c r="AM22" i="217"/>
  <c r="AM24" i="217" s="1"/>
  <c r="X24" i="217"/>
  <c r="AP23" i="217" s="1"/>
  <c r="L48" i="217"/>
  <c r="AM16" i="217"/>
  <c r="U15" i="217" s="1"/>
  <c r="U22" i="217"/>
  <c r="U30" i="217"/>
  <c r="U44" i="217"/>
  <c r="U61" i="217"/>
  <c r="U21" i="217"/>
  <c r="S24" i="217"/>
  <c r="U12" i="217"/>
  <c r="U17" i="217"/>
  <c r="U63" i="217"/>
  <c r="U10" i="217"/>
  <c r="AP62" i="217"/>
  <c r="Z65" i="217"/>
  <c r="U31" i="217"/>
  <c r="Q32" i="217"/>
  <c r="AQ30" i="217"/>
  <c r="U60" i="217"/>
  <c r="U16" i="217"/>
  <c r="S7" i="217"/>
  <c r="AP17" i="217"/>
  <c r="AP30" i="217"/>
  <c r="Q27" i="217"/>
  <c r="Z18" i="217"/>
  <c r="Z24" i="217" s="1"/>
  <c r="J68" i="217"/>
  <c r="D16" i="169"/>
  <c r="F16" i="169" s="1"/>
  <c r="F10" i="181" s="1"/>
  <c r="D21" i="169"/>
  <c r="F21" i="169" s="1"/>
  <c r="D39" i="169"/>
  <c r="D65" i="169"/>
  <c r="F65" i="169" s="1"/>
  <c r="X65" i="169" s="1"/>
  <c r="D138" i="169"/>
  <c r="D142" i="169"/>
  <c r="X142" i="169" s="1"/>
  <c r="D44" i="169"/>
  <c r="F44" i="169" s="1"/>
  <c r="D70" i="169"/>
  <c r="X70" i="169" s="1"/>
  <c r="D118" i="169"/>
  <c r="X118" i="169" s="1"/>
  <c r="D147" i="169"/>
  <c r="I147" i="169" s="1"/>
  <c r="D12" i="169"/>
  <c r="I12" i="169" s="1"/>
  <c r="X12" i="169" s="1"/>
  <c r="D17" i="169"/>
  <c r="F17" i="169" s="1"/>
  <c r="D86" i="169"/>
  <c r="D139" i="169"/>
  <c r="D33" i="169"/>
  <c r="I33" i="169" s="1"/>
  <c r="D41" i="169"/>
  <c r="F41" i="169" s="1"/>
  <c r="X41" i="169" s="1"/>
  <c r="D45" i="169"/>
  <c r="X45" i="169" s="1"/>
  <c r="D67" i="169"/>
  <c r="F67" i="169" s="1"/>
  <c r="X67" i="169" s="1"/>
  <c r="D71" i="169"/>
  <c r="X71" i="169" s="1"/>
  <c r="D128" i="169"/>
  <c r="D131" i="169"/>
  <c r="I131" i="169" s="1"/>
  <c r="X131" i="169" s="1"/>
  <c r="D24" i="169"/>
  <c r="X24" i="169" s="1"/>
  <c r="D55" i="169"/>
  <c r="I55" i="169" s="1"/>
  <c r="D87" i="169"/>
  <c r="F87" i="169" s="1"/>
  <c r="D94" i="169"/>
  <c r="X94" i="169" s="1"/>
  <c r="D106" i="169"/>
  <c r="I106" i="169" s="1"/>
  <c r="D115" i="169"/>
  <c r="F115" i="169" s="1"/>
  <c r="X115" i="169" s="1"/>
  <c r="D130" i="169"/>
  <c r="I130" i="169" s="1"/>
  <c r="X130" i="169" s="1"/>
  <c r="D133" i="169"/>
  <c r="I133" i="169" s="1"/>
  <c r="D140" i="169"/>
  <c r="F140" i="169" s="1"/>
  <c r="D12" i="181" s="1"/>
  <c r="D42" i="169"/>
  <c r="F42" i="169" s="1"/>
  <c r="D46" i="169"/>
  <c r="X46" i="169" s="1"/>
  <c r="D68" i="169"/>
  <c r="F68" i="169" s="1"/>
  <c r="D20" i="169"/>
  <c r="D25" i="169"/>
  <c r="X25" i="169" s="1"/>
  <c r="D80" i="169"/>
  <c r="D137" i="169"/>
  <c r="D141" i="169"/>
  <c r="X141" i="169" s="1"/>
  <c r="D11" i="169"/>
  <c r="I11" i="169" s="1"/>
  <c r="F39" i="169"/>
  <c r="X39" i="169" s="1"/>
  <c r="D56" i="169"/>
  <c r="D62" i="169"/>
  <c r="F62" i="169" s="1"/>
  <c r="D82" i="169"/>
  <c r="I82" i="169" s="1"/>
  <c r="X82" i="169" s="1"/>
  <c r="D88" i="169"/>
  <c r="D91" i="169"/>
  <c r="F91" i="169" s="1"/>
  <c r="C11" i="181" s="1"/>
  <c r="D109" i="169"/>
  <c r="F109" i="169" s="1"/>
  <c r="D112" i="169"/>
  <c r="U112" i="169" s="1"/>
  <c r="U124" i="169" s="1"/>
  <c r="D132" i="169"/>
  <c r="I132" i="169" s="1"/>
  <c r="D145" i="169"/>
  <c r="X145" i="169" s="1"/>
  <c r="D37" i="169"/>
  <c r="D40" i="169"/>
  <c r="U40" i="169" s="1"/>
  <c r="U51" i="169" s="1"/>
  <c r="D57" i="169"/>
  <c r="D63" i="169"/>
  <c r="F63" i="169" s="1"/>
  <c r="X63" i="169" s="1"/>
  <c r="D66" i="169"/>
  <c r="F66" i="169" s="1"/>
  <c r="D85" i="169"/>
  <c r="F85" i="169" s="1"/>
  <c r="D92" i="169"/>
  <c r="F92" i="169" s="1"/>
  <c r="X92" i="169" s="1"/>
  <c r="D95" i="169"/>
  <c r="X95" i="169" s="1"/>
  <c r="D113" i="169"/>
  <c r="F113" i="169" s="1"/>
  <c r="X113" i="169" s="1"/>
  <c r="D116" i="169"/>
  <c r="F116" i="169" s="1"/>
  <c r="X116" i="169" s="1"/>
  <c r="D119" i="169"/>
  <c r="X119" i="169" s="1"/>
  <c r="D134" i="169"/>
  <c r="I134" i="169" s="1"/>
  <c r="F139" i="169"/>
  <c r="C12" i="181" s="1"/>
  <c r="X81" i="169"/>
  <c r="D18" i="169"/>
  <c r="U18" i="169" s="1"/>
  <c r="D22" i="169"/>
  <c r="F22" i="169" s="1"/>
  <c r="D10" i="181" s="1"/>
  <c r="D58" i="169"/>
  <c r="I58" i="169" s="1"/>
  <c r="D89" i="169"/>
  <c r="F89" i="169" s="1"/>
  <c r="D110" i="169"/>
  <c r="F110" i="169" s="1"/>
  <c r="D129" i="169"/>
  <c r="C129" i="169" s="1"/>
  <c r="O129" i="169" s="1"/>
  <c r="Q129" i="169" s="1"/>
  <c r="D143" i="169"/>
  <c r="X143" i="169" s="1"/>
  <c r="B1" i="190"/>
  <c r="D15" i="169"/>
  <c r="F15" i="169" s="1"/>
  <c r="E10" i="181" s="1"/>
  <c r="D19" i="169"/>
  <c r="F19" i="169" s="1"/>
  <c r="I10" i="181" s="1"/>
  <c r="D23" i="169"/>
  <c r="X23" i="169" s="1"/>
  <c r="D34" i="169"/>
  <c r="I34" i="169" s="1"/>
  <c r="X34" i="169" s="1"/>
  <c r="D38" i="169"/>
  <c r="F38" i="169" s="1"/>
  <c r="D61" i="169"/>
  <c r="F61" i="169" s="1"/>
  <c r="D64" i="169"/>
  <c r="U64" i="169" s="1"/>
  <c r="U75" i="169" s="1"/>
  <c r="D79" i="169"/>
  <c r="I80" i="169"/>
  <c r="X80" i="169" s="1"/>
  <c r="D90" i="169"/>
  <c r="F90" i="169" s="1"/>
  <c r="X90" i="169" s="1"/>
  <c r="D93" i="169"/>
  <c r="X93" i="169" s="1"/>
  <c r="D104" i="169"/>
  <c r="D105" i="169"/>
  <c r="D111" i="169"/>
  <c r="F111" i="169" s="1"/>
  <c r="X111" i="169" s="1"/>
  <c r="D114" i="169"/>
  <c r="F114" i="169" s="1"/>
  <c r="X114" i="169" s="1"/>
  <c r="I128" i="169"/>
  <c r="F137" i="169"/>
  <c r="X137" i="169" s="1"/>
  <c r="D144" i="169"/>
  <c r="X144" i="169" s="1"/>
  <c r="B4" i="190"/>
  <c r="X17" i="169"/>
  <c r="H10" i="181"/>
  <c r="C10" i="181"/>
  <c r="X21" i="169"/>
  <c r="I57" i="169"/>
  <c r="X57" i="169" s="1"/>
  <c r="F86" i="169"/>
  <c r="X86" i="169" s="1"/>
  <c r="X147" i="169"/>
  <c r="F20" i="169"/>
  <c r="G10" i="181" s="1"/>
  <c r="X62" i="169"/>
  <c r="X66" i="169"/>
  <c r="U138" i="169"/>
  <c r="X138" i="169" s="1"/>
  <c r="X106" i="169"/>
  <c r="B2" i="190"/>
  <c r="B3" i="190"/>
  <c r="B11" i="217"/>
  <c r="AC124" i="31" l="1"/>
  <c r="AC126" i="31" s="1"/>
  <c r="Z126" i="31"/>
  <c r="H213" i="203"/>
  <c r="AI21" i="4"/>
  <c r="AM128" i="31"/>
  <c r="AR126" i="31"/>
  <c r="D221" i="203"/>
  <c r="D227" i="203" s="1"/>
  <c r="AD124" i="31"/>
  <c r="AD126" i="31" s="1"/>
  <c r="AA201" i="214"/>
  <c r="AB193" i="214"/>
  <c r="P205" i="203"/>
  <c r="Q203" i="203"/>
  <c r="Q205" i="203" s="1"/>
  <c r="F20" i="205"/>
  <c r="E21" i="205"/>
  <c r="N10" i="218"/>
  <c r="N14" i="218" s="1"/>
  <c r="N18" i="218" s="1"/>
  <c r="N20" i="218" s="1"/>
  <c r="X109" i="169"/>
  <c r="I129" i="169"/>
  <c r="X133" i="169"/>
  <c r="O67" i="218"/>
  <c r="O52" i="218"/>
  <c r="Z29" i="217"/>
  <c r="Q29" i="217" s="1"/>
  <c r="U29" i="217" s="1"/>
  <c r="AP27" i="217"/>
  <c r="N43" i="218"/>
  <c r="O23" i="218"/>
  <c r="O43" i="218" s="1"/>
  <c r="X19" i="169"/>
  <c r="X132" i="169"/>
  <c r="X68" i="169"/>
  <c r="D11" i="181"/>
  <c r="D14" i="181" s="1"/>
  <c r="X15" i="169"/>
  <c r="H12" i="181"/>
  <c r="J12" i="181" s="1"/>
  <c r="H22" i="31" s="1"/>
  <c r="X139" i="169"/>
  <c r="X129" i="169"/>
  <c r="X42" i="169"/>
  <c r="X134" i="169"/>
  <c r="X44" i="169"/>
  <c r="L68" i="217"/>
  <c r="AQ23" i="217"/>
  <c r="U27" i="217"/>
  <c r="U7" i="217"/>
  <c r="Q65" i="217"/>
  <c r="AQ62" i="217"/>
  <c r="AQ17" i="217"/>
  <c r="Q18" i="217"/>
  <c r="N63" i="217"/>
  <c r="AD63" i="217" s="1"/>
  <c r="N60" i="217"/>
  <c r="AD60" i="217" s="1"/>
  <c r="N59" i="217"/>
  <c r="N44" i="217"/>
  <c r="AD44" i="217" s="1"/>
  <c r="N31" i="217"/>
  <c r="AD31" i="217" s="1"/>
  <c r="N18" i="217"/>
  <c r="N64" i="217"/>
  <c r="N61" i="217"/>
  <c r="AD61" i="217" s="1"/>
  <c r="N52" i="217"/>
  <c r="N22" i="217"/>
  <c r="AD22" i="217" s="1"/>
  <c r="AS21" i="217" s="1"/>
  <c r="N20" i="217"/>
  <c r="U19" i="217"/>
  <c r="U14" i="217"/>
  <c r="U13" i="217"/>
  <c r="N10" i="217"/>
  <c r="AD10" i="217" s="1"/>
  <c r="N65" i="217"/>
  <c r="N62" i="217"/>
  <c r="N51" i="217"/>
  <c r="U36" i="217"/>
  <c r="U33" i="217"/>
  <c r="U32" i="217"/>
  <c r="AD32" i="217" s="1"/>
  <c r="AS30" i="217" s="1"/>
  <c r="N28" i="217"/>
  <c r="N11" i="217"/>
  <c r="U53" i="217"/>
  <c r="U37" i="217"/>
  <c r="U34" i="217"/>
  <c r="N30" i="217"/>
  <c r="AD30" i="217" s="1"/>
  <c r="N29" i="217"/>
  <c r="N17" i="217"/>
  <c r="AD17" i="217" s="1"/>
  <c r="N16" i="217"/>
  <c r="AD16" i="217" s="1"/>
  <c r="N15" i="217"/>
  <c r="AD15" i="217" s="1"/>
  <c r="N12" i="217"/>
  <c r="AD12" i="217" s="1"/>
  <c r="U58" i="217"/>
  <c r="U39" i="217"/>
  <c r="U38" i="217"/>
  <c r="N19" i="217"/>
  <c r="N14" i="217"/>
  <c r="N13" i="217"/>
  <c r="N36" i="217"/>
  <c r="N33" i="217"/>
  <c r="N32" i="217"/>
  <c r="N27" i="217"/>
  <c r="U62" i="217"/>
  <c r="N53" i="217"/>
  <c r="N7" i="217"/>
  <c r="N38" i="217"/>
  <c r="U65" i="217"/>
  <c r="AD65" i="217" s="1"/>
  <c r="AS62" i="217" s="1"/>
  <c r="N39" i="217"/>
  <c r="N34" i="217"/>
  <c r="N58" i="217"/>
  <c r="U28" i="217"/>
  <c r="U64" i="217"/>
  <c r="U20" i="217"/>
  <c r="U52" i="217"/>
  <c r="AD52" i="217" s="1"/>
  <c r="N37" i="217"/>
  <c r="N21" i="217"/>
  <c r="AD21" i="217" s="1"/>
  <c r="AS20" i="217" s="1"/>
  <c r="N35" i="217"/>
  <c r="U11" i="217"/>
  <c r="X61" i="169"/>
  <c r="F124" i="169"/>
  <c r="D124" i="169"/>
  <c r="C124" i="169" s="1"/>
  <c r="X16" i="169"/>
  <c r="I17" i="181"/>
  <c r="I148" i="169"/>
  <c r="C13" i="70" s="1"/>
  <c r="I22" i="31" s="1"/>
  <c r="D9" i="4" s="1"/>
  <c r="D100" i="169"/>
  <c r="C100" i="169" s="1"/>
  <c r="F75" i="169"/>
  <c r="D148" i="169"/>
  <c r="C148" i="169" s="1"/>
  <c r="F11" i="181"/>
  <c r="F14" i="181" s="1"/>
  <c r="G11" i="181"/>
  <c r="G14" i="181" s="1"/>
  <c r="F37" i="169"/>
  <c r="F51" i="169" s="1"/>
  <c r="U88" i="169"/>
  <c r="U100" i="169" s="1"/>
  <c r="D29" i="169"/>
  <c r="C29" i="169" s="1"/>
  <c r="X64" i="169"/>
  <c r="I79" i="169"/>
  <c r="I100" i="169" s="1"/>
  <c r="D75" i="169"/>
  <c r="C75" i="169" s="1"/>
  <c r="I104" i="169"/>
  <c r="H18" i="181"/>
  <c r="I105" i="169"/>
  <c r="X105" i="169" s="1"/>
  <c r="X38" i="169"/>
  <c r="X22" i="169"/>
  <c r="I56" i="169"/>
  <c r="I75" i="169" s="1"/>
  <c r="X128" i="169"/>
  <c r="F148" i="169"/>
  <c r="D51" i="169"/>
  <c r="C51" i="169" s="1"/>
  <c r="X58" i="169"/>
  <c r="X40" i="169"/>
  <c r="D165" i="169"/>
  <c r="F29" i="169"/>
  <c r="X110" i="169"/>
  <c r="X20" i="169"/>
  <c r="F100" i="169"/>
  <c r="C16" i="73"/>
  <c r="K16" i="31" s="1"/>
  <c r="U29" i="169"/>
  <c r="X55" i="169"/>
  <c r="X140" i="169"/>
  <c r="X89" i="169"/>
  <c r="I11" i="181"/>
  <c r="I14" i="181" s="1"/>
  <c r="X18" i="169"/>
  <c r="X91" i="169"/>
  <c r="I29" i="169"/>
  <c r="E11" i="181"/>
  <c r="H11" i="181"/>
  <c r="X87" i="169"/>
  <c r="X11" i="169"/>
  <c r="I51" i="169"/>
  <c r="H17" i="181"/>
  <c r="W129" i="169"/>
  <c r="X112" i="169"/>
  <c r="C14" i="181"/>
  <c r="J10" i="181"/>
  <c r="C18" i="73"/>
  <c r="K22" i="31" s="1"/>
  <c r="U148" i="169"/>
  <c r="Q165" i="169"/>
  <c r="Q148" i="169"/>
  <c r="X85" i="169"/>
  <c r="X33" i="169"/>
  <c r="B12" i="217"/>
  <c r="O10" i="218" l="1"/>
  <c r="N16" i="218"/>
  <c r="AR128" i="31"/>
  <c r="AM146" i="31"/>
  <c r="AN21" i="4"/>
  <c r="J23" i="165" s="1"/>
  <c r="AB201" i="214"/>
  <c r="AC193" i="214"/>
  <c r="Z128" i="31"/>
  <c r="Z146" i="31" s="1"/>
  <c r="W21" i="4"/>
  <c r="G20" i="205"/>
  <c r="G21" i="205"/>
  <c r="F21" i="205"/>
  <c r="F23" i="214"/>
  <c r="F24" i="214" s="1"/>
  <c r="C9" i="4"/>
  <c r="H28" i="31"/>
  <c r="C10" i="4" s="1"/>
  <c r="H14" i="181"/>
  <c r="AD29" i="217"/>
  <c r="AS27" i="217" s="1"/>
  <c r="AQ27" i="217"/>
  <c r="X59" i="217"/>
  <c r="AP52" i="217" s="1"/>
  <c r="I28" i="31"/>
  <c r="D10" i="4" s="1"/>
  <c r="G23" i="214"/>
  <c r="G24" i="214" s="1"/>
  <c r="AD14" i="217"/>
  <c r="U24" i="217"/>
  <c r="AD20" i="217"/>
  <c r="AS19" i="217" s="1"/>
  <c r="AD13" i="217"/>
  <c r="U18" i="217"/>
  <c r="Q24" i="217"/>
  <c r="AD28" i="217"/>
  <c r="AD62" i="217"/>
  <c r="AD33" i="217"/>
  <c r="AS31" i="217" s="1"/>
  <c r="AD19" i="217"/>
  <c r="AS18" i="217" s="1"/>
  <c r="N24" i="217"/>
  <c r="AD11" i="217"/>
  <c r="N46" i="217"/>
  <c r="AD38" i="217"/>
  <c r="AS35" i="217" s="1"/>
  <c r="AD36" i="217"/>
  <c r="AD39" i="217"/>
  <c r="AD34" i="217"/>
  <c r="AD64" i="217"/>
  <c r="AD58" i="217"/>
  <c r="AD37" i="217"/>
  <c r="AD27" i="217"/>
  <c r="AD53" i="217"/>
  <c r="X79" i="169"/>
  <c r="X56" i="169"/>
  <c r="X75" i="169" s="1"/>
  <c r="I165" i="169"/>
  <c r="F166" i="169"/>
  <c r="M12" i="181" s="1"/>
  <c r="G18" i="181"/>
  <c r="G17" i="181"/>
  <c r="I124" i="169"/>
  <c r="C12" i="70" s="1"/>
  <c r="I17" i="31" s="1"/>
  <c r="G12" i="214" s="1"/>
  <c r="C17" i="73"/>
  <c r="K17" i="31" s="1"/>
  <c r="I12" i="214" s="1"/>
  <c r="J11" i="181"/>
  <c r="H17" i="31" s="1"/>
  <c r="F12" i="214" s="1"/>
  <c r="X148" i="169"/>
  <c r="X88" i="169"/>
  <c r="X104" i="169"/>
  <c r="X37" i="169"/>
  <c r="X51" i="169" s="1"/>
  <c r="B130" i="213"/>
  <c r="C19" i="73"/>
  <c r="C21" i="73" s="1"/>
  <c r="D166" i="169"/>
  <c r="D173" i="169" s="1"/>
  <c r="C173" i="169" s="1"/>
  <c r="H20" i="181"/>
  <c r="H21" i="181" s="1"/>
  <c r="H23" i="181" s="1"/>
  <c r="Q166" i="169"/>
  <c r="C13" i="74"/>
  <c r="C18" i="181"/>
  <c r="C17" i="181"/>
  <c r="I18" i="181"/>
  <c r="I20" i="181" s="1"/>
  <c r="E14" i="181"/>
  <c r="C11" i="70"/>
  <c r="D18" i="181"/>
  <c r="D17" i="181"/>
  <c r="H16" i="31"/>
  <c r="F17" i="181"/>
  <c r="F18" i="181"/>
  <c r="F9" i="4"/>
  <c r="I23" i="214"/>
  <c r="I24" i="214" s="1"/>
  <c r="K28" i="31"/>
  <c r="F10" i="4" s="1"/>
  <c r="U166" i="169"/>
  <c r="X29" i="169"/>
  <c r="I11" i="214"/>
  <c r="I16" i="214" s="1"/>
  <c r="I18" i="214" s="1"/>
  <c r="I20" i="214" s="1"/>
  <c r="B13" i="217"/>
  <c r="AC201" i="214" l="1"/>
  <c r="AE193" i="214"/>
  <c r="AE201" i="214" s="1"/>
  <c r="P206" i="203"/>
  <c r="AR146" i="31"/>
  <c r="AM152" i="31"/>
  <c r="Z152" i="31"/>
  <c r="X221" i="214"/>
  <c r="X226" i="214" s="1"/>
  <c r="X233" i="214" s="1"/>
  <c r="X234" i="214" s="1"/>
  <c r="Z21" i="4"/>
  <c r="F23" i="1" s="1"/>
  <c r="G23" i="1" s="1"/>
  <c r="AV126" i="31"/>
  <c r="H20" i="205"/>
  <c r="H21" i="205" s="1"/>
  <c r="K18" i="31"/>
  <c r="M11" i="181"/>
  <c r="M13" i="181" s="1"/>
  <c r="I15" i="234"/>
  <c r="O15" i="234" s="1"/>
  <c r="Z59" i="217"/>
  <c r="Q59" i="217" s="1"/>
  <c r="U59" i="217" s="1"/>
  <c r="AD59" i="217" s="1"/>
  <c r="I35" i="214"/>
  <c r="D20" i="181"/>
  <c r="X100" i="169"/>
  <c r="C166" i="169"/>
  <c r="X165" i="169"/>
  <c r="AD18" i="217"/>
  <c r="AS17" i="217" s="1"/>
  <c r="N48" i="217"/>
  <c r="G20" i="181"/>
  <c r="G21" i="181" s="1"/>
  <c r="G23" i="181" s="1"/>
  <c r="I166" i="169"/>
  <c r="X124" i="169"/>
  <c r="AC17" i="31"/>
  <c r="AD17" i="31" s="1"/>
  <c r="Q12" i="214"/>
  <c r="AB12" i="214" s="1"/>
  <c r="AC12" i="214" s="1"/>
  <c r="AE12" i="214" s="1"/>
  <c r="J22" i="31"/>
  <c r="C14" i="74"/>
  <c r="E18" i="181"/>
  <c r="E17" i="181"/>
  <c r="J17" i="181" s="1"/>
  <c r="J14" i="181"/>
  <c r="D21" i="181"/>
  <c r="D23" i="181" s="1"/>
  <c r="I21" i="181"/>
  <c r="I23" i="181" s="1"/>
  <c r="F20" i="181"/>
  <c r="F21" i="181" s="1"/>
  <c r="F23" i="181" s="1"/>
  <c r="K29" i="31"/>
  <c r="F8" i="4"/>
  <c r="F11" i="4" s="1"/>
  <c r="F11" i="214"/>
  <c r="H18" i="31"/>
  <c r="C14" i="70"/>
  <c r="C24" i="70" s="1"/>
  <c r="I16" i="31"/>
  <c r="AC16" i="31" s="1"/>
  <c r="C20" i="181"/>
  <c r="C21" i="181" s="1"/>
  <c r="B14" i="217"/>
  <c r="W25" i="4" l="1"/>
  <c r="W26" i="4" s="1"/>
  <c r="W28" i="4" s="1"/>
  <c r="Z153" i="31"/>
  <c r="Z154" i="31" s="1"/>
  <c r="Z164" i="31" s="1"/>
  <c r="AR152" i="31"/>
  <c r="AI25" i="4"/>
  <c r="AM153" i="31"/>
  <c r="I23" i="1"/>
  <c r="C23" i="165" s="1"/>
  <c r="E23" i="165" s="1"/>
  <c r="G23" i="165" s="1"/>
  <c r="I23" i="165" s="1"/>
  <c r="K23" i="165" s="1"/>
  <c r="M23" i="165" s="1"/>
  <c r="AT126" i="31"/>
  <c r="I20" i="205"/>
  <c r="I21" i="205"/>
  <c r="AQ52" i="217"/>
  <c r="X166" i="169"/>
  <c r="AS52" i="217"/>
  <c r="K15" i="234"/>
  <c r="P15" i="234" s="1"/>
  <c r="L73" i="217"/>
  <c r="AD24" i="217"/>
  <c r="AS23" i="217" s="1"/>
  <c r="N68" i="217"/>
  <c r="L74" i="217" s="1"/>
  <c r="E20" i="181"/>
  <c r="J20" i="181" s="1"/>
  <c r="K94" i="31"/>
  <c r="D19" i="200"/>
  <c r="K54" i="31"/>
  <c r="C19" i="200"/>
  <c r="J18" i="181"/>
  <c r="H94" i="31" s="1"/>
  <c r="H29" i="31"/>
  <c r="C8" i="4"/>
  <c r="G11" i="214"/>
  <c r="G16" i="214" s="1"/>
  <c r="G18" i="214" s="1"/>
  <c r="G20" i="214" s="1"/>
  <c r="G35" i="214" s="1"/>
  <c r="I18" i="31"/>
  <c r="C23" i="181"/>
  <c r="D21" i="200"/>
  <c r="H54" i="31"/>
  <c r="C21" i="200"/>
  <c r="F16" i="214"/>
  <c r="F18" i="214" s="1"/>
  <c r="F20" i="214" s="1"/>
  <c r="F35" i="214" s="1"/>
  <c r="E9" i="4"/>
  <c r="H23" i="214"/>
  <c r="J28" i="31"/>
  <c r="AC22" i="31"/>
  <c r="AC18" i="31"/>
  <c r="AD16" i="31"/>
  <c r="AD18" i="31" s="1"/>
  <c r="B15" i="217"/>
  <c r="AR153" i="31" l="1"/>
  <c r="AM154" i="31"/>
  <c r="AN25" i="4"/>
  <c r="J27" i="165" s="1"/>
  <c r="J28" i="165" s="1"/>
  <c r="J30" i="165" s="1"/>
  <c r="AI26" i="4"/>
  <c r="J20" i="205"/>
  <c r="J21" i="205"/>
  <c r="E21" i="181"/>
  <c r="E23" i="181" s="1"/>
  <c r="J23" i="181" s="1"/>
  <c r="H96" i="31"/>
  <c r="F179" i="214"/>
  <c r="J29" i="31"/>
  <c r="E10" i="4"/>
  <c r="O10" i="4" s="1"/>
  <c r="D12" i="1" s="1"/>
  <c r="E12" i="1" s="1"/>
  <c r="G12" i="1" s="1"/>
  <c r="I12" i="1" s="1"/>
  <c r="C12" i="165" s="1"/>
  <c r="E12" i="165" s="1"/>
  <c r="G12" i="165" s="1"/>
  <c r="I12" i="165" s="1"/>
  <c r="K12" i="165" s="1"/>
  <c r="M12" i="165" s="1"/>
  <c r="H24" i="214"/>
  <c r="H35" i="214" s="1"/>
  <c r="Q23" i="214"/>
  <c r="O9" i="4"/>
  <c r="D11" i="1" s="1"/>
  <c r="E11" i="1" s="1"/>
  <c r="G11" i="1" s="1"/>
  <c r="I11" i="1" s="1"/>
  <c r="C11" i="165" s="1"/>
  <c r="E11" i="165" s="1"/>
  <c r="G11" i="165" s="1"/>
  <c r="I11" i="165" s="1"/>
  <c r="K11" i="165" s="1"/>
  <c r="M11" i="165" s="1"/>
  <c r="I29" i="31"/>
  <c r="D8" i="4"/>
  <c r="D11" i="4" s="1"/>
  <c r="F15" i="4"/>
  <c r="I220" i="214"/>
  <c r="AC28" i="31"/>
  <c r="AC29" i="31" s="1"/>
  <c r="AD22" i="31"/>
  <c r="E19" i="200"/>
  <c r="C11" i="4"/>
  <c r="K55" i="31"/>
  <c r="E21" i="200"/>
  <c r="H55" i="31"/>
  <c r="K96" i="31"/>
  <c r="I179" i="214"/>
  <c r="I181" i="214" s="1"/>
  <c r="Q11" i="214"/>
  <c r="D302" i="203"/>
  <c r="F220" i="214"/>
  <c r="C15" i="4"/>
  <c r="B16" i="217"/>
  <c r="AI28" i="4" l="1"/>
  <c r="AN28" i="4" s="1"/>
  <c r="AN26" i="4"/>
  <c r="AV152" i="31"/>
  <c r="AR154" i="31"/>
  <c r="AM164" i="31"/>
  <c r="K20" i="205"/>
  <c r="K21" i="205"/>
  <c r="J21" i="181"/>
  <c r="O8" i="4"/>
  <c r="D10" i="1" s="1"/>
  <c r="E10" i="1" s="1"/>
  <c r="E11" i="4"/>
  <c r="O11" i="4" s="1"/>
  <c r="Q24" i="214"/>
  <c r="AB23" i="214"/>
  <c r="Q16" i="214"/>
  <c r="Q18" i="214" s="1"/>
  <c r="Q20" i="214" s="1"/>
  <c r="AB11" i="214"/>
  <c r="C20" i="200"/>
  <c r="J94" i="31"/>
  <c r="J54" i="31"/>
  <c r="D20" i="200"/>
  <c r="AD28" i="31"/>
  <c r="AD29" i="31" s="1"/>
  <c r="D303" i="203"/>
  <c r="D305" i="203" s="1"/>
  <c r="K128" i="31"/>
  <c r="K146" i="31" s="1"/>
  <c r="F18" i="4"/>
  <c r="C22" i="200"/>
  <c r="I94" i="31"/>
  <c r="I54" i="31"/>
  <c r="I55" i="31" s="1"/>
  <c r="D22" i="200"/>
  <c r="F181" i="214"/>
  <c r="C18" i="4"/>
  <c r="H128" i="31"/>
  <c r="H146" i="31" s="1"/>
  <c r="B17" i="217"/>
  <c r="AV154" i="31" l="1"/>
  <c r="AR164" i="31"/>
  <c r="L20" i="205"/>
  <c r="D13" i="1"/>
  <c r="E22" i="200"/>
  <c r="K152" i="31"/>
  <c r="I221" i="214"/>
  <c r="I226" i="214" s="1"/>
  <c r="I233" i="214" s="1"/>
  <c r="I234" i="214" s="1"/>
  <c r="H152" i="31"/>
  <c r="F221" i="214"/>
  <c r="E20" i="200"/>
  <c r="C23" i="200"/>
  <c r="C25" i="200" s="1"/>
  <c r="C13" i="200" s="1"/>
  <c r="AB24" i="214"/>
  <c r="AC23" i="214"/>
  <c r="E13" i="1"/>
  <c r="G10" i="1"/>
  <c r="G220" i="214"/>
  <c r="D15" i="4"/>
  <c r="AB16" i="214"/>
  <c r="AB18" i="214" s="1"/>
  <c r="AB20" i="214" s="1"/>
  <c r="AC11" i="214"/>
  <c r="H220" i="214"/>
  <c r="E15" i="4"/>
  <c r="I96" i="31"/>
  <c r="G179" i="214"/>
  <c r="AC94" i="31"/>
  <c r="J55" i="31"/>
  <c r="Q35" i="214"/>
  <c r="J96" i="31"/>
  <c r="H179" i="214"/>
  <c r="H181" i="214" s="1"/>
  <c r="B18" i="217"/>
  <c r="B19" i="217" s="1"/>
  <c r="B20" i="217" s="1"/>
  <c r="B21" i="217" s="1"/>
  <c r="B22" i="217" s="1"/>
  <c r="B27" i="217" s="1"/>
  <c r="B28" i="217" s="1"/>
  <c r="B29" i="217" s="1"/>
  <c r="B30" i="217" s="1"/>
  <c r="B31" i="217" s="1"/>
  <c r="B32" i="217" s="1"/>
  <c r="B33" i="217" s="1"/>
  <c r="B34" i="217" s="1"/>
  <c r="B35" i="217" s="1"/>
  <c r="B36" i="217" s="1"/>
  <c r="B37" i="217" s="1"/>
  <c r="B38" i="217" s="1"/>
  <c r="B39" i="217" s="1"/>
  <c r="M20" i="205" l="1"/>
  <c r="L21" i="205"/>
  <c r="B40" i="217"/>
  <c r="AB35" i="214"/>
  <c r="AD94" i="31"/>
  <c r="AC96" i="31"/>
  <c r="I128" i="31"/>
  <c r="I146" i="31" s="1"/>
  <c r="D18" i="4"/>
  <c r="C25" i="4"/>
  <c r="H153" i="31"/>
  <c r="H154" i="31" s="1"/>
  <c r="J128" i="31"/>
  <c r="J146" i="31" s="1"/>
  <c r="E18" i="4"/>
  <c r="G13" i="1"/>
  <c r="F226" i="214"/>
  <c r="F233" i="214" s="1"/>
  <c r="F234" i="214" s="1"/>
  <c r="D21" i="212"/>
  <c r="G181" i="214"/>
  <c r="Q179" i="214"/>
  <c r="AC16" i="214"/>
  <c r="AC18" i="214" s="1"/>
  <c r="AC20" i="214" s="1"/>
  <c r="AE23" i="214"/>
  <c r="AE24" i="214" s="1"/>
  <c r="AC24" i="214"/>
  <c r="F25" i="4"/>
  <c r="F26" i="4" s="1"/>
  <c r="F28" i="4" s="1"/>
  <c r="F38" i="4" s="1"/>
  <c r="I368" i="214" s="1"/>
  <c r="K153" i="31"/>
  <c r="K154" i="31" s="1"/>
  <c r="N20" i="205" l="1"/>
  <c r="M21" i="205"/>
  <c r="K164" i="31"/>
  <c r="B41" i="217"/>
  <c r="J152" i="31"/>
  <c r="H221" i="214"/>
  <c r="H226" i="214" s="1"/>
  <c r="H233" i="214" s="1"/>
  <c r="H234" i="214" s="1"/>
  <c r="O18" i="4"/>
  <c r="D20" i="1" s="1"/>
  <c r="E20" i="1" s="1"/>
  <c r="G20" i="1" s="1"/>
  <c r="C10" i="200"/>
  <c r="C12" i="200" s="1"/>
  <c r="C14" i="200" s="1"/>
  <c r="R54" i="31" s="1"/>
  <c r="C17" i="26"/>
  <c r="D17" i="26" s="1"/>
  <c r="E17" i="26" s="1"/>
  <c r="I30" i="234" s="1"/>
  <c r="G305" i="203"/>
  <c r="H305" i="203" s="1"/>
  <c r="AT29" i="31"/>
  <c r="AC128" i="31"/>
  <c r="AC35" i="214"/>
  <c r="Q181" i="214"/>
  <c r="AB179" i="214"/>
  <c r="AD96" i="31"/>
  <c r="D195" i="203"/>
  <c r="G221" i="214"/>
  <c r="I152" i="31"/>
  <c r="C26" i="4"/>
  <c r="O20" i="205" l="1"/>
  <c r="C31" i="205" s="1"/>
  <c r="O21" i="205"/>
  <c r="C23" i="205" s="1"/>
  <c r="N21" i="205"/>
  <c r="B42" i="217"/>
  <c r="B43" i="217" s="1"/>
  <c r="AT96" i="31"/>
  <c r="AD128" i="31"/>
  <c r="C28" i="4"/>
  <c r="AB181" i="214"/>
  <c r="AC179" i="214"/>
  <c r="G229" i="203"/>
  <c r="D25" i="4"/>
  <c r="I153" i="31"/>
  <c r="I154" i="31" s="1"/>
  <c r="G226" i="214"/>
  <c r="G233" i="214" s="1"/>
  <c r="G234" i="214" s="1"/>
  <c r="P220" i="214"/>
  <c r="M15" i="4"/>
  <c r="R55" i="31"/>
  <c r="R146" i="31" s="1"/>
  <c r="AC54" i="31"/>
  <c r="D197" i="203"/>
  <c r="D213" i="203" s="1"/>
  <c r="D229" i="203" s="1"/>
  <c r="E25" i="4"/>
  <c r="E26" i="4" s="1"/>
  <c r="E28" i="4" s="1"/>
  <c r="E38" i="4" s="1"/>
  <c r="H368" i="214" s="1"/>
  <c r="J153" i="31"/>
  <c r="J154" i="31" s="1"/>
  <c r="C25" i="205" l="1"/>
  <c r="C27" i="205" s="1"/>
  <c r="C34" i="205"/>
  <c r="D31" i="205"/>
  <c r="B44" i="217"/>
  <c r="B51" i="217" s="1"/>
  <c r="B52" i="217" s="1"/>
  <c r="B53" i="217" s="1"/>
  <c r="H229" i="203"/>
  <c r="Q220" i="214"/>
  <c r="AC181" i="214"/>
  <c r="C38" i="4"/>
  <c r="F368" i="214" s="1"/>
  <c r="H164" i="31"/>
  <c r="AD54" i="31"/>
  <c r="AC55" i="31"/>
  <c r="D26" i="4"/>
  <c r="R152" i="31"/>
  <c r="P221" i="214"/>
  <c r="Q221" i="214" s="1"/>
  <c r="J164" i="31"/>
  <c r="O15" i="4"/>
  <c r="D17" i="1" s="1"/>
  <c r="E31" i="205" l="1"/>
  <c r="E32" i="205" s="1"/>
  <c r="D32" i="205"/>
  <c r="X364" i="214"/>
  <c r="W35" i="4"/>
  <c r="D15" i="32"/>
  <c r="B54" i="217"/>
  <c r="B55" i="217" s="1"/>
  <c r="B56" i="217" s="1"/>
  <c r="B57" i="217" s="1"/>
  <c r="D28" i="4"/>
  <c r="E17" i="1"/>
  <c r="Q226" i="214"/>
  <c r="Q233" i="214" s="1"/>
  <c r="Q234" i="214" s="1"/>
  <c r="AB220" i="214"/>
  <c r="D285" i="203"/>
  <c r="AD55" i="31"/>
  <c r="P226" i="214"/>
  <c r="P233" i="214" s="1"/>
  <c r="P234" i="214" s="1"/>
  <c r="F16" i="215" s="1" a="1"/>
  <c r="R153" i="31"/>
  <c r="R154" i="31" s="1"/>
  <c r="M25" i="4"/>
  <c r="G121" i="203" l="1"/>
  <c r="D16" i="32"/>
  <c r="G123" i="203" s="1"/>
  <c r="E15" i="32"/>
  <c r="D118" i="203"/>
  <c r="W36" i="4"/>
  <c r="Z35" i="4"/>
  <c r="F37" i="1" s="1"/>
  <c r="X365" i="214"/>
  <c r="X366" i="214" s="1"/>
  <c r="G35" i="215" s="1" a="1"/>
  <c r="AA364" i="214"/>
  <c r="F32" i="205"/>
  <c r="F31" i="205"/>
  <c r="B58" i="217"/>
  <c r="B59" i="217" s="1"/>
  <c r="B60" i="217" s="1"/>
  <c r="B61" i="217" s="1"/>
  <c r="B62" i="217" s="1"/>
  <c r="B63" i="217" s="1"/>
  <c r="B64" i="217" s="1"/>
  <c r="B65" i="217" s="1"/>
  <c r="B68" i="217" s="1"/>
  <c r="O25" i="4"/>
  <c r="D27" i="1" s="1"/>
  <c r="M26" i="4"/>
  <c r="AC220" i="214"/>
  <c r="F21" i="215"/>
  <c r="F20" i="215"/>
  <c r="F27" i="215"/>
  <c r="F19" i="215"/>
  <c r="F26" i="215"/>
  <c r="F18" i="215"/>
  <c r="F24" i="215"/>
  <c r="F16" i="215"/>
  <c r="F23" i="215"/>
  <c r="F22" i="215"/>
  <c r="F17" i="215"/>
  <c r="F25" i="215"/>
  <c r="G17" i="1"/>
  <c r="D286" i="203"/>
  <c r="D38" i="4"/>
  <c r="G368" i="214" s="1"/>
  <c r="I164" i="31"/>
  <c r="G43" i="215" l="1"/>
  <c r="G35" i="215"/>
  <c r="G42" i="215"/>
  <c r="G41" i="215"/>
  <c r="G40" i="215"/>
  <c r="G39" i="215"/>
  <c r="G38" i="215"/>
  <c r="G37" i="215"/>
  <c r="G36" i="215"/>
  <c r="G37" i="1"/>
  <c r="F38" i="1"/>
  <c r="W38" i="4"/>
  <c r="X368" i="214" s="1"/>
  <c r="X369" i="214"/>
  <c r="AA369" i="214" s="1"/>
  <c r="Z36" i="4"/>
  <c r="D121" i="203"/>
  <c r="H121" i="203" s="1"/>
  <c r="D123" i="203"/>
  <c r="H123" i="203" s="1"/>
  <c r="G31" i="205"/>
  <c r="E16" i="32"/>
  <c r="E19" i="32" s="1"/>
  <c r="AA365" i="214"/>
  <c r="AA366" i="214" s="1"/>
  <c r="AB364" i="214"/>
  <c r="F29" i="215"/>
  <c r="G286" i="203"/>
  <c r="H286" i="203" s="1"/>
  <c r="AT54" i="31"/>
  <c r="M28" i="4"/>
  <c r="O26" i="4"/>
  <c r="E27" i="1"/>
  <c r="D28" i="1"/>
  <c r="D30" i="1" s="1"/>
  <c r="AB365" i="214" l="1"/>
  <c r="AB366" i="214" s="1"/>
  <c r="AC364" i="214"/>
  <c r="H32" i="205"/>
  <c r="H31" i="205"/>
  <c r="G44" i="215"/>
  <c r="I37" i="1"/>
  <c r="G38" i="1"/>
  <c r="C9" i="26" s="1"/>
  <c r="C11" i="26" s="1"/>
  <c r="G32" i="205"/>
  <c r="M38" i="4"/>
  <c r="P368" i="214" s="1"/>
  <c r="O28" i="4"/>
  <c r="R164" i="31"/>
  <c r="E28" i="1"/>
  <c r="E30" i="1" s="1"/>
  <c r="E40" i="1" s="1"/>
  <c r="I38" i="1" l="1"/>
  <c r="B10" i="24" s="1"/>
  <c r="D10" i="24" s="1"/>
  <c r="F10" i="24" s="1"/>
  <c r="H10" i="24" s="1"/>
  <c r="T146" i="31" s="1"/>
  <c r="C37" i="165"/>
  <c r="I31" i="205"/>
  <c r="I32" i="205" s="1"/>
  <c r="AC365" i="214"/>
  <c r="AC366" i="214" s="1"/>
  <c r="AE364" i="214"/>
  <c r="AE365" i="214" s="1"/>
  <c r="AE366" i="214" s="1"/>
  <c r="O38" i="4"/>
  <c r="Q368" i="214"/>
  <c r="H17" i="215" a="1"/>
  <c r="J31" i="205" l="1"/>
  <c r="J32" i="205"/>
  <c r="E37" i="165"/>
  <c r="C38" i="165"/>
  <c r="R221" i="214"/>
  <c r="T152" i="31"/>
  <c r="AC146" i="31"/>
  <c r="H24" i="215"/>
  <c r="H23" i="215"/>
  <c r="H22" i="215"/>
  <c r="H21" i="215"/>
  <c r="H20" i="215"/>
  <c r="H26" i="215"/>
  <c r="H18" i="215"/>
  <c r="H25" i="215"/>
  <c r="H17" i="215"/>
  <c r="H27" i="215"/>
  <c r="H19" i="215"/>
  <c r="AD146" i="31" l="1"/>
  <c r="AC152" i="31"/>
  <c r="AC153" i="31" s="1"/>
  <c r="AC154" i="31" s="1"/>
  <c r="Q25" i="4"/>
  <c r="T153" i="31"/>
  <c r="T154" i="31" s="1"/>
  <c r="AA221" i="214"/>
  <c r="R226" i="214"/>
  <c r="R233" i="214" s="1"/>
  <c r="R234" i="214" s="1"/>
  <c r="F35" i="215" s="1" a="1"/>
  <c r="G37" i="165"/>
  <c r="E38" i="165"/>
  <c r="D9" i="26" s="1"/>
  <c r="D11" i="26" s="1"/>
  <c r="D95" i="212" s="1"/>
  <c r="K31" i="205"/>
  <c r="K32" i="205"/>
  <c r="H29" i="215"/>
  <c r="G38" i="165" l="1"/>
  <c r="D98" i="212" s="1"/>
  <c r="I37" i="165"/>
  <c r="F37" i="215"/>
  <c r="F36" i="215"/>
  <c r="F43" i="215"/>
  <c r="F35" i="215"/>
  <c r="F42" i="215"/>
  <c r="F41" i="215"/>
  <c r="F40" i="215"/>
  <c r="F39" i="215"/>
  <c r="F38" i="215"/>
  <c r="AA226" i="214"/>
  <c r="AA233" i="214" s="1"/>
  <c r="AA234" i="214" s="1"/>
  <c r="AB221" i="214"/>
  <c r="Q26" i="4"/>
  <c r="Z25" i="4"/>
  <c r="F27" i="1" s="1"/>
  <c r="L31" i="205"/>
  <c r="L32" i="205"/>
  <c r="D293" i="203"/>
  <c r="AD152" i="31"/>
  <c r="F28" i="1" l="1"/>
  <c r="F30" i="1" s="1"/>
  <c r="G27" i="1"/>
  <c r="Q28" i="4"/>
  <c r="Z26" i="4"/>
  <c r="F44" i="215"/>
  <c r="AD153" i="31"/>
  <c r="AT152" i="31"/>
  <c r="AC221" i="214"/>
  <c r="AC226" i="214" s="1"/>
  <c r="AC233" i="214" s="1"/>
  <c r="AC234" i="214" s="1"/>
  <c r="AC370" i="214" s="1"/>
  <c r="AB226" i="214"/>
  <c r="AB233" i="214" s="1"/>
  <c r="AB234" i="214" s="1"/>
  <c r="D297" i="203"/>
  <c r="D299" i="203"/>
  <c r="M31" i="205"/>
  <c r="M32" i="205"/>
  <c r="I38" i="165"/>
  <c r="AD154" i="31" l="1"/>
  <c r="N31" i="205"/>
  <c r="D310" i="203"/>
  <c r="D307" i="203"/>
  <c r="Q38" i="4"/>
  <c r="R368" i="214" s="1"/>
  <c r="Z28" i="4"/>
  <c r="T164" i="31"/>
  <c r="H297" i="203"/>
  <c r="G28" i="1"/>
  <c r="G297" i="203"/>
  <c r="G299" i="203" s="1"/>
  <c r="H299" i="203" s="1"/>
  <c r="Z38" i="4" l="1"/>
  <c r="AC164" i="31"/>
  <c r="AA368" i="214"/>
  <c r="AB368" i="214" s="1"/>
  <c r="H35" i="215" a="1"/>
  <c r="O32" i="205"/>
  <c r="C33" i="205" s="1"/>
  <c r="C35" i="205" s="1"/>
  <c r="C37" i="205" s="1"/>
  <c r="O31" i="205"/>
  <c r="G310" i="203"/>
  <c r="H310" i="203" s="1"/>
  <c r="G30" i="1"/>
  <c r="AT154" i="31" s="1"/>
  <c r="N32" i="205"/>
  <c r="AT153" i="31"/>
  <c r="G40" i="1" l="1"/>
  <c r="C12" i="26"/>
  <c r="C13" i="26" s="1"/>
  <c r="C15" i="26" s="1"/>
  <c r="G307" i="203"/>
  <c r="H307" i="203" s="1"/>
  <c r="AI35" i="4"/>
  <c r="F15" i="32"/>
  <c r="F16" i="32" s="1"/>
  <c r="H41" i="215"/>
  <c r="H40" i="215"/>
  <c r="H39" i="215"/>
  <c r="H38" i="215"/>
  <c r="H37" i="215"/>
  <c r="H36" i="215"/>
  <c r="H43" i="215"/>
  <c r="H35" i="215"/>
  <c r="H42" i="215"/>
  <c r="H44" i="215" l="1"/>
  <c r="AN35" i="4"/>
  <c r="J37" i="165" s="1"/>
  <c r="AI36" i="4"/>
  <c r="C21" i="26"/>
  <c r="H10" i="1"/>
  <c r="D317" i="203"/>
  <c r="C19" i="26"/>
  <c r="AD11" i="214" l="1"/>
  <c r="I10" i="1"/>
  <c r="H13" i="1"/>
  <c r="AN36" i="4"/>
  <c r="AN38" i="4" s="1"/>
  <c r="AI38" i="4"/>
  <c r="J38" i="165"/>
  <c r="K37" i="165"/>
  <c r="H17" i="1" l="1"/>
  <c r="G317" i="203"/>
  <c r="H317" i="203" s="1"/>
  <c r="H20" i="1"/>
  <c r="H27" i="1" s="1"/>
  <c r="M37" i="165"/>
  <c r="M38" i="165" s="1"/>
  <c r="E98" i="212" s="1"/>
  <c r="K38" i="165"/>
  <c r="F9" i="26" s="1"/>
  <c r="F11" i="26" s="1"/>
  <c r="C10" i="165"/>
  <c r="I13" i="1"/>
  <c r="AD16" i="214"/>
  <c r="AD18" i="214" s="1"/>
  <c r="AD20" i="214" s="1"/>
  <c r="AD35" i="214" s="1"/>
  <c r="AE11" i="214"/>
  <c r="AE16" i="214" s="1"/>
  <c r="AE18" i="214" s="1"/>
  <c r="AE20" i="214" s="1"/>
  <c r="AE35" i="214" s="1"/>
  <c r="H28" i="1" l="1"/>
  <c r="H30" i="1" s="1"/>
  <c r="I27" i="1"/>
  <c r="C27" i="165" s="1"/>
  <c r="E27" i="165" s="1"/>
  <c r="AD221" i="214"/>
  <c r="AE221" i="214" s="1"/>
  <c r="D313" i="203"/>
  <c r="C13" i="165"/>
  <c r="E10" i="165"/>
  <c r="E13" i="165" s="1"/>
  <c r="D315" i="203"/>
  <c r="AD179" i="214"/>
  <c r="I20" i="1"/>
  <c r="C20" i="165" s="1"/>
  <c r="E20" i="165" s="1"/>
  <c r="D316" i="203"/>
  <c r="I17" i="1"/>
  <c r="AD220" i="214"/>
  <c r="AE179" i="214" l="1"/>
  <c r="AE181" i="214" s="1"/>
  <c r="AD181" i="214"/>
  <c r="AD226" i="214"/>
  <c r="AE220" i="214"/>
  <c r="AE226" i="214" s="1"/>
  <c r="I28" i="1"/>
  <c r="I30" i="1" s="1"/>
  <c r="I40" i="1" s="1"/>
  <c r="C17" i="165"/>
  <c r="C28" i="165" l="1"/>
  <c r="C30" i="165" s="1"/>
  <c r="C40" i="165" s="1"/>
  <c r="E17" i="165"/>
  <c r="E28" i="165" s="1"/>
  <c r="E30" i="165" s="1"/>
  <c r="AD233" i="214"/>
  <c r="AD234" i="214" s="1"/>
  <c r="AE233" i="214"/>
  <c r="AE234" i="214" s="1"/>
  <c r="AE370" i="214" s="1"/>
  <c r="E40" i="165" l="1"/>
  <c r="D12" i="26"/>
  <c r="D13" i="26" s="1"/>
  <c r="D15" i="26" s="1"/>
  <c r="D19" i="26" l="1"/>
  <c r="F10" i="165"/>
  <c r="D21" i="26"/>
  <c r="E15" i="26"/>
  <c r="F13" i="165" l="1"/>
  <c r="G10" i="165"/>
  <c r="E19" i="26"/>
  <c r="D34" i="212" s="1"/>
  <c r="E21" i="26"/>
  <c r="J73" i="217"/>
  <c r="N73" i="217" s="1"/>
  <c r="I10" i="234" s="1"/>
  <c r="D44" i="212"/>
  <c r="B126" i="213" s="1"/>
  <c r="B129" i="213" s="1"/>
  <c r="B131" i="213" s="1"/>
  <c r="I6" i="234"/>
  <c r="I59" i="235"/>
  <c r="M59" i="235" s="1"/>
  <c r="O10" i="234" l="1"/>
  <c r="I10" i="165"/>
  <c r="G13" i="165"/>
  <c r="D23" i="212" s="1"/>
  <c r="K30" i="234"/>
  <c r="I7" i="234"/>
  <c r="F17" i="165"/>
  <c r="F20" i="165"/>
  <c r="G20" i="165" s="1"/>
  <c r="I20" i="165" s="1"/>
  <c r="K20" i="165" s="1"/>
  <c r="G17" i="165" l="1"/>
  <c r="F27" i="165"/>
  <c r="G27" i="165" s="1"/>
  <c r="I27" i="165" s="1"/>
  <c r="K27" i="165" s="1"/>
  <c r="I13" i="165"/>
  <c r="K10" i="165"/>
  <c r="K13" i="165" s="1"/>
  <c r="E21" i="212" l="1"/>
  <c r="F17" i="26"/>
  <c r="F28" i="165"/>
  <c r="F30" i="165" s="1"/>
  <c r="I17" i="165"/>
  <c r="G28" i="165"/>
  <c r="G30" i="165" s="1"/>
  <c r="G40" i="165" s="1"/>
  <c r="I28" i="165" l="1"/>
  <c r="I30" i="165" s="1"/>
  <c r="I40" i="165" s="1"/>
  <c r="K17" i="165"/>
  <c r="K28" i="165" s="1"/>
  <c r="K30" i="165" s="1"/>
  <c r="K40" i="165" l="1"/>
  <c r="F12" i="26"/>
  <c r="F13" i="26" s="1"/>
  <c r="F15" i="26" s="1"/>
  <c r="F19" i="26" l="1"/>
  <c r="E34" i="212" s="1"/>
  <c r="E44" i="212"/>
  <c r="L10" i="165"/>
  <c r="F21" i="26"/>
  <c r="J74" i="217"/>
  <c r="N74" i="217" s="1"/>
  <c r="K10" i="234" s="1"/>
  <c r="I60" i="235"/>
  <c r="M60" i="235" s="1"/>
  <c r="K6" i="234"/>
  <c r="K7" i="234" s="1"/>
  <c r="P10" i="234" l="1"/>
  <c r="L13" i="165"/>
  <c r="M10" i="165"/>
  <c r="M13" i="165" s="1"/>
  <c r="E23" i="212" s="1"/>
  <c r="L20" i="165" l="1"/>
  <c r="M20" i="165" s="1"/>
  <c r="L17" i="165"/>
  <c r="M17" i="165" l="1"/>
  <c r="L27" i="165"/>
  <c r="M27" i="165" s="1"/>
  <c r="F31" i="228"/>
  <c r="F262" i="228" s="1"/>
  <c r="G22" i="228"/>
  <c r="T22" i="228" s="1"/>
  <c r="G19" i="228"/>
  <c r="T19" i="228" s="1"/>
  <c r="G23" i="228"/>
  <c r="T23" i="228" s="1"/>
  <c r="G27" i="228"/>
  <c r="T27" i="228" s="1"/>
  <c r="G30" i="228"/>
  <c r="T30" i="228" s="1"/>
  <c r="G18" i="228"/>
  <c r="T18" i="228" s="1"/>
  <c r="G20" i="228"/>
  <c r="T20" i="228" s="1"/>
  <c r="G24" i="228"/>
  <c r="T24" i="228" s="1"/>
  <c r="G28" i="228"/>
  <c r="T28" i="228" s="1"/>
  <c r="R7" i="228"/>
  <c r="G13" i="228"/>
  <c r="T13" i="228" s="1"/>
  <c r="F266" i="228"/>
  <c r="F302" i="228" s="1"/>
  <c r="G17" i="228"/>
  <c r="T17" i="228" s="1"/>
  <c r="G21" i="228"/>
  <c r="T21" i="228" s="1"/>
  <c r="G25" i="228"/>
  <c r="T25" i="228" s="1"/>
  <c r="G29" i="228"/>
  <c r="T29" i="228" s="1"/>
  <c r="L28" i="165" l="1"/>
  <c r="L30" i="165" s="1"/>
  <c r="M28" i="165"/>
  <c r="M30" i="165" s="1"/>
  <c r="G31" i="228"/>
  <c r="G262" i="228" s="1"/>
  <c r="C11" i="227" s="1"/>
  <c r="E95" i="212" l="1"/>
  <c r="M40" i="165"/>
  <c r="T7" i="228"/>
  <c r="C12" i="227"/>
  <c r="C30" i="227" l="1"/>
  <c r="C31" i="227" s="1"/>
  <c r="C16" i="227"/>
  <c r="C13" i="227"/>
  <c r="C34" i="227" l="1"/>
  <c r="C38" i="227" s="1"/>
  <c r="G12" i="227"/>
  <c r="K12" i="229" s="1"/>
  <c r="C15" i="227"/>
  <c r="C18" i="227" s="1"/>
  <c r="G13" i="227" s="1"/>
  <c r="K13" i="229" s="1"/>
  <c r="C45" i="227"/>
  <c r="C48" i="227" s="1"/>
  <c r="H13" i="227" s="1"/>
  <c r="H15" i="227" l="1"/>
  <c r="L13" i="229"/>
  <c r="G17" i="227"/>
  <c r="K17" i="229" s="1"/>
  <c r="G24" i="229" s="1"/>
  <c r="X41" i="217" s="1"/>
  <c r="Z41" i="217" s="1"/>
  <c r="Q41" i="217" s="1"/>
  <c r="G24" i="227"/>
  <c r="X40" i="217" s="1"/>
  <c r="G15" i="227"/>
  <c r="Z40" i="217" l="1"/>
  <c r="K15" i="229"/>
  <c r="G23" i="229" s="1"/>
  <c r="AB41" i="217" s="1"/>
  <c r="S41" i="217" s="1"/>
  <c r="U41" i="217" s="1"/>
  <c r="AD41" i="217" s="1"/>
  <c r="I12" i="234" s="1"/>
  <c r="O12" i="234" s="1"/>
  <c r="G23" i="227"/>
  <c r="AB40" i="217" s="1"/>
  <c r="H23" i="227"/>
  <c r="AB54" i="217" s="1"/>
  <c r="S54" i="217" s="1"/>
  <c r="U54" i="217" s="1"/>
  <c r="AD54" i="217" s="1"/>
  <c r="K11" i="234" s="1"/>
  <c r="K22" i="234" s="1"/>
  <c r="L15" i="229"/>
  <c r="H23" i="229" s="1"/>
  <c r="AB55" i="217" s="1"/>
  <c r="S55" i="217" s="1"/>
  <c r="U55" i="217" s="1"/>
  <c r="AD55" i="217" s="1"/>
  <c r="K12" i="234" s="1"/>
  <c r="P12" i="234" s="1"/>
  <c r="K24" i="234" l="1"/>
  <c r="P11" i="234"/>
  <c r="S40" i="217"/>
  <c r="AB46" i="217"/>
  <c r="AB68" i="217" s="1"/>
  <c r="AB48" i="217"/>
  <c r="AB51" i="217" s="1"/>
  <c r="Q40" i="217"/>
  <c r="S51" i="217" l="1"/>
  <c r="AR48" i="217"/>
  <c r="U40" i="217"/>
  <c r="S46" i="217"/>
  <c r="S48" i="217" l="1"/>
  <c r="AD40" i="217"/>
  <c r="S68" i="217" l="1"/>
  <c r="I11" i="234"/>
  <c r="I22" i="234" s="1"/>
  <c r="I24" i="234" l="1"/>
  <c r="I33" i="234" s="1"/>
  <c r="V27" i="226" s="1"/>
  <c r="V28" i="226" s="1"/>
  <c r="V29" i="226" s="1"/>
  <c r="V30" i="226" s="1"/>
  <c r="V31" i="226" s="1"/>
  <c r="V32" i="226" s="1"/>
  <c r="O11" i="234"/>
  <c r="I25" i="234" l="1"/>
  <c r="V34" i="226" s="1"/>
  <c r="K31" i="234"/>
  <c r="K33" i="234" s="1"/>
  <c r="W27" i="226" s="1"/>
  <c r="W28" i="226" s="1"/>
  <c r="W29" i="226" s="1"/>
  <c r="W30" i="226" s="1"/>
  <c r="W31" i="226" s="1"/>
  <c r="W32" i="226" s="1"/>
  <c r="X46" i="217"/>
  <c r="Z35" i="217"/>
  <c r="Q35" i="217"/>
  <c r="Q46" i="217" s="1"/>
  <c r="K25" i="234" l="1"/>
  <c r="W34" i="226" s="1"/>
  <c r="Q48" i="217"/>
  <c r="U35" i="217"/>
  <c r="X48" i="217"/>
  <c r="Z46" i="217"/>
  <c r="W33" i="235" l="1" a="1"/>
  <c r="W33" i="235" s="1"/>
  <c r="W35" i="235" a="1"/>
  <c r="W35" i="235" s="1"/>
  <c r="X51" i="217"/>
  <c r="W32" i="235" s="1" a="1"/>
  <c r="W32" i="235" s="1"/>
  <c r="W17" i="235" a="1"/>
  <c r="W17" i="235" s="1"/>
  <c r="W44" i="235" a="1"/>
  <c r="W44" i="235" s="1"/>
  <c r="W10" i="235" a="1"/>
  <c r="W10" i="235" s="1"/>
  <c r="Z48" i="217"/>
  <c r="Z51" i="217" s="1"/>
  <c r="Z68" i="217"/>
  <c r="W49" i="235" a="1"/>
  <c r="W49" i="235" s="1"/>
  <c r="U46" i="217"/>
  <c r="U48" i="217" s="1"/>
  <c r="AD35" i="217"/>
  <c r="W43" i="235" a="1"/>
  <c r="W43" i="235" s="1"/>
  <c r="AO41" i="235" s="1"/>
  <c r="Y14" i="235" a="1"/>
  <c r="Y14" i="235" s="1"/>
  <c r="P14" i="235" s="1"/>
  <c r="T14" i="235" s="1"/>
  <c r="AC14" i="235" s="1"/>
  <c r="Y27" i="235" a="1"/>
  <c r="Y27" i="235" s="1"/>
  <c r="P27" i="235" s="1"/>
  <c r="T27" i="235" s="1"/>
  <c r="AC27" i="235" s="1"/>
  <c r="Y35" i="235" a="1"/>
  <c r="Y35" i="235" s="1"/>
  <c r="P35" i="235" s="1"/>
  <c r="T35" i="235" s="1"/>
  <c r="AC35" i="235" s="1"/>
  <c r="W28" i="235" a="1"/>
  <c r="W28" i="235" s="1"/>
  <c r="W19" i="235" a="1"/>
  <c r="W19" i="235" s="1"/>
  <c r="AO19" i="235" s="1"/>
  <c r="Y13" i="235" a="1"/>
  <c r="Y13" i="235" s="1"/>
  <c r="P13" i="235" s="1"/>
  <c r="T13" i="235" s="1"/>
  <c r="AC13" i="235" s="1"/>
  <c r="Y34" i="235" a="1"/>
  <c r="Y34" i="235" s="1"/>
  <c r="P34" i="235" s="1"/>
  <c r="T34" i="235" s="1"/>
  <c r="AC34" i="235" s="1"/>
  <c r="W31" i="235" a="1"/>
  <c r="W31" i="235" s="1"/>
  <c r="W16" i="235" a="1"/>
  <c r="W16" i="235" s="1"/>
  <c r="W13" i="235" a="1"/>
  <c r="W13" i="235" s="1"/>
  <c r="Y31" i="235" a="1"/>
  <c r="Y31" i="235" s="1"/>
  <c r="P31" i="235" s="1"/>
  <c r="T31" i="235" s="1"/>
  <c r="AC31" i="235" s="1"/>
  <c r="Y51" i="235" l="1" a="1"/>
  <c r="Y51" i="235" s="1"/>
  <c r="P51" i="235" s="1"/>
  <c r="T51" i="235" s="1"/>
  <c r="AC51" i="235" s="1"/>
  <c r="Y17" i="235" a="1"/>
  <c r="Y17" i="235" s="1"/>
  <c r="P17" i="235" s="1"/>
  <c r="T17" i="235" s="1"/>
  <c r="AC17" i="235" s="1"/>
  <c r="Y10" i="235" a="1"/>
  <c r="Y10" i="235" s="1"/>
  <c r="Y32" i="235" a="1"/>
  <c r="Y32" i="235" s="1"/>
  <c r="P32" i="235" s="1"/>
  <c r="T32" i="235" s="1"/>
  <c r="AC32" i="235" s="1"/>
  <c r="Y21" i="235" a="1"/>
  <c r="Y21" i="235" s="1"/>
  <c r="AP21" i="235" s="1"/>
  <c r="AD46" i="217"/>
  <c r="AQ48" i="217"/>
  <c r="Q51" i="217"/>
  <c r="Y26" i="235" a="1"/>
  <c r="Y26" i="235" s="1"/>
  <c r="Y18" i="235" a="1"/>
  <c r="Y18" i="235" s="1"/>
  <c r="P21" i="235"/>
  <c r="T21" i="235" s="1"/>
  <c r="AC21" i="235" s="1"/>
  <c r="AR21" i="235" s="1"/>
  <c r="Y28" i="235" a="1"/>
  <c r="Y28" i="235" s="1"/>
  <c r="P28" i="235" s="1"/>
  <c r="T28" i="235" s="1"/>
  <c r="AC28" i="235" s="1"/>
  <c r="W27" i="235" a="1"/>
  <c r="W27" i="235" s="1"/>
  <c r="X68" i="217"/>
  <c r="Y30" i="235" a="1"/>
  <c r="Y30" i="235" s="1"/>
  <c r="P30" i="235" s="1"/>
  <c r="T30" i="235" s="1"/>
  <c r="AC30" i="235" s="1"/>
  <c r="P10" i="235"/>
  <c r="Y16" i="235" a="1"/>
  <c r="Y16" i="235" s="1"/>
  <c r="P16" i="235" s="1"/>
  <c r="T16" i="235" s="1"/>
  <c r="AC16" i="235" s="1"/>
  <c r="Y45" i="235" a="1"/>
  <c r="Y45" i="235" s="1"/>
  <c r="P45" i="235" s="1"/>
  <c r="T45" i="235" s="1"/>
  <c r="AC45" i="235" s="1"/>
  <c r="Y36" i="235" a="1"/>
  <c r="Y36" i="235" s="1"/>
  <c r="P36" i="235" s="1"/>
  <c r="T36" i="235" s="1"/>
  <c r="AC36" i="235" s="1"/>
  <c r="W36" i="235" a="1"/>
  <c r="W36" i="235" s="1"/>
  <c r="W15" i="235" a="1"/>
  <c r="W15" i="235" s="1"/>
  <c r="Y19" i="235" a="1"/>
  <c r="Y19" i="235" s="1"/>
  <c r="Y47" i="235" a="1"/>
  <c r="Y47" i="235" s="1"/>
  <c r="P47" i="235" s="1"/>
  <c r="T47" i="235" s="1"/>
  <c r="AC47" i="235" s="1"/>
  <c r="Y48" i="235" a="1"/>
  <c r="Y48" i="235" s="1"/>
  <c r="P48" i="235" s="1"/>
  <c r="T48" i="235" s="1"/>
  <c r="AC48" i="235" s="1"/>
  <c r="W30" i="235" a="1"/>
  <c r="W30" i="235" s="1"/>
  <c r="Y44" i="235" a="1"/>
  <c r="Y44" i="235" s="1"/>
  <c r="P44" i="235" s="1"/>
  <c r="T44" i="235" s="1"/>
  <c r="AC44" i="235" s="1"/>
  <c r="Y15" i="235" a="1"/>
  <c r="Y15" i="235" s="1"/>
  <c r="P15" i="235" s="1"/>
  <c r="T15" i="235" s="1"/>
  <c r="AC15" i="235" s="1"/>
  <c r="Y50" i="235" a="1"/>
  <c r="Y50" i="235" s="1"/>
  <c r="P50" i="235" s="1"/>
  <c r="T50" i="235" s="1"/>
  <c r="AC50" i="235" s="1"/>
  <c r="Y46" i="235" a="1"/>
  <c r="Y46" i="235" s="1"/>
  <c r="P46" i="235" s="1"/>
  <c r="T46" i="235" s="1"/>
  <c r="AC46" i="235" s="1"/>
  <c r="W48" i="235" a="1"/>
  <c r="W48" i="235" s="1"/>
  <c r="W50" i="235" a="1"/>
  <c r="W50" i="235" s="1"/>
  <c r="Y12" i="235" a="1"/>
  <c r="Y12" i="235" s="1"/>
  <c r="P12" i="235" s="1"/>
  <c r="T12" i="235" s="1"/>
  <c r="AC12" i="235" s="1"/>
  <c r="Y11" i="235" a="1"/>
  <c r="Y11" i="235" s="1"/>
  <c r="P11" i="235" s="1"/>
  <c r="T11" i="235" s="1"/>
  <c r="AC11" i="235" s="1"/>
  <c r="Y20" i="235" a="1"/>
  <c r="Y20" i="235" s="1"/>
  <c r="W21" i="235" a="1"/>
  <c r="W21" i="235" s="1"/>
  <c r="AO21" i="235" s="1"/>
  <c r="W29" i="235" a="1"/>
  <c r="W29" i="235" s="1"/>
  <c r="Y49" i="235" a="1"/>
  <c r="Y49" i="235" s="1"/>
  <c r="P49" i="235" s="1"/>
  <c r="T49" i="235" s="1"/>
  <c r="AC49" i="235" s="1"/>
  <c r="Y29" i="235" a="1"/>
  <c r="Y29" i="235" s="1"/>
  <c r="P29" i="235" s="1"/>
  <c r="T29" i="235" s="1"/>
  <c r="AC29" i="235" s="1"/>
  <c r="AP48" i="217"/>
  <c r="W12" i="235" a="1"/>
  <c r="W12" i="235" s="1"/>
  <c r="W34" i="235" a="1"/>
  <c r="W34" i="235" s="1"/>
  <c r="W47" i="235" a="1"/>
  <c r="W47" i="235" s="1"/>
  <c r="W26" i="235" a="1"/>
  <c r="W26" i="235" s="1"/>
  <c r="W46" i="235" a="1"/>
  <c r="W46" i="235" s="1"/>
  <c r="W45" i="235" a="1"/>
  <c r="W45" i="235" s="1"/>
  <c r="W20" i="235" a="1"/>
  <c r="W20" i="235" s="1"/>
  <c r="AO20" i="235" s="1"/>
  <c r="W14" i="235" a="1"/>
  <c r="W14" i="235" s="1"/>
  <c r="W11" i="235" a="1"/>
  <c r="W11" i="235" s="1"/>
  <c r="W18" i="235" a="1"/>
  <c r="W18" i="235" s="1"/>
  <c r="AO18" i="235" s="1"/>
  <c r="W51" i="235" a="1"/>
  <c r="W51" i="235" s="1"/>
  <c r="Y33" i="235" a="1"/>
  <c r="Y33" i="235" s="1"/>
  <c r="P33" i="235" s="1"/>
  <c r="T33" i="235" s="1"/>
  <c r="AC33" i="235" s="1"/>
  <c r="Y43" i="235" a="1"/>
  <c r="Y43" i="235" s="1"/>
  <c r="AP18" i="235" l="1"/>
  <c r="P18" i="235"/>
  <c r="T18" i="235" s="1"/>
  <c r="AC18" i="235" s="1"/>
  <c r="AR18" i="235" s="1"/>
  <c r="P20" i="235"/>
  <c r="T20" i="235" s="1"/>
  <c r="AC20" i="235" s="1"/>
  <c r="AR20" i="235" s="1"/>
  <c r="AP20" i="235"/>
  <c r="P26" i="235"/>
  <c r="Y38" i="235"/>
  <c r="W23" i="235"/>
  <c r="AO23" i="235" s="1"/>
  <c r="U51" i="217"/>
  <c r="AD51" i="217" s="1"/>
  <c r="AS48" i="217" s="1"/>
  <c r="Q68" i="217"/>
  <c r="U68" i="217" s="1"/>
  <c r="P43" i="235"/>
  <c r="T43" i="235" s="1"/>
  <c r="AC43" i="235" s="1"/>
  <c r="AR41" i="235" s="1"/>
  <c r="AP41" i="235"/>
  <c r="W38" i="235"/>
  <c r="Y23" i="235"/>
  <c r="AP23" i="235" s="1"/>
  <c r="AP19" i="235"/>
  <c r="P19" i="235"/>
  <c r="T19" i="235" s="1"/>
  <c r="AC19" i="235" s="1"/>
  <c r="AR19" i="235" s="1"/>
  <c r="AD48" i="217"/>
  <c r="AD68" i="217" s="1"/>
  <c r="P23" i="235"/>
  <c r="T10" i="235"/>
  <c r="W40" i="235" l="1"/>
  <c r="Y40" i="235"/>
  <c r="Y54" i="235" s="1"/>
  <c r="T26" i="235"/>
  <c r="P38" i="235"/>
  <c r="AC10" i="235"/>
  <c r="T23" i="235"/>
  <c r="W54" i="235"/>
  <c r="AC23" i="235" l="1"/>
  <c r="AR23" i="235" s="1"/>
  <c r="AC26" i="235"/>
  <c r="AC38" i="235" s="1"/>
  <c r="T38" i="235"/>
  <c r="T40" i="235" s="1"/>
  <c r="P40" i="235"/>
  <c r="P54" i="235" s="1"/>
  <c r="T54" i="235" s="1"/>
  <c r="AC40" i="235" l="1"/>
  <c r="AC54" i="2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Darrington, Jacob</author>
  </authors>
  <commentList>
    <comment ref="C148" authorId="0" shapeId="0" xr:uid="{49A36805-090F-4C26-9ECB-DD7260CDD029}">
      <text>
        <r>
          <rPr>
            <b/>
            <sz val="9"/>
            <color indexed="81"/>
            <rFont val="Tahoma"/>
            <family val="2"/>
          </rPr>
          <t>Darrington, Jacob:</t>
        </r>
        <r>
          <rPr>
            <sz val="9"/>
            <color indexed="81"/>
            <rFont val="Tahoma"/>
            <family val="2"/>
          </rPr>
          <t xml:space="preserve">
Cascade classifies this as a Distribution Expense.</t>
        </r>
      </text>
    </comment>
    <comment ref="B175" authorId="0" shapeId="0" xr:uid="{61F1E02D-8A38-4F0D-9272-B2A57BDB25A7}">
      <text>
        <r>
          <rPr>
            <b/>
            <sz val="9"/>
            <color indexed="81"/>
            <rFont val="Tahoma"/>
            <family val="2"/>
          </rPr>
          <t>Darrington, Jacob:</t>
        </r>
        <r>
          <rPr>
            <sz val="9"/>
            <color indexed="81"/>
            <rFont val="Tahoma"/>
            <family val="2"/>
          </rPr>
          <t xml:space="preserve">
Sum of Production, Natural Gas Storage, Terminaling and Processing, Transmission, and Distribution expenses.</t>
        </r>
      </text>
    </comment>
    <comment ref="C185" authorId="0" shapeId="0" xr:uid="{743CB6C2-02B7-4A1E-8B39-E275970F00BD}">
      <text>
        <r>
          <rPr>
            <b/>
            <sz val="9"/>
            <color indexed="81"/>
            <rFont val="Tahoma"/>
            <family val="2"/>
          </rPr>
          <t>Darrington, Jacob:</t>
        </r>
        <r>
          <rPr>
            <sz val="9"/>
            <color indexed="81"/>
            <rFont val="Tahoma"/>
            <family val="2"/>
          </rPr>
          <t xml:space="preserve">
Includes Account 912 - Demonstrating &amp; Selling. See JAD WP-1.1 Operating Report</t>
        </r>
      </text>
    </comment>
    <comment ref="C220" authorId="0" shapeId="0" xr:uid="{60FDC388-F500-4249-B1BA-43297D4F7648}">
      <text>
        <r>
          <rPr>
            <b/>
            <sz val="9"/>
            <color indexed="81"/>
            <rFont val="Tahoma"/>
            <family val="2"/>
          </rPr>
          <t>Darrington, Jacob:</t>
        </r>
        <r>
          <rPr>
            <sz val="9"/>
            <color indexed="81"/>
            <rFont val="Tahoma"/>
            <family val="2"/>
          </rPr>
          <t xml:space="preserve">
Includes account 408.5 - Revneue Taxes.  See JAD WP-1.1 Operating Report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<sst xmlns="http://schemas.openxmlformats.org/spreadsheetml/2006/main" count="14949" uniqueCount="4234">
  <si>
    <t>Washington Jurisdiction</t>
  </si>
  <si>
    <t>Model Titles</t>
  </si>
  <si>
    <t>Cascade Natural Gas Corp.</t>
  </si>
  <si>
    <t>Company</t>
  </si>
  <si>
    <t>Title1</t>
  </si>
  <si>
    <t>Twelve-Months ended December 31, 2023</t>
  </si>
  <si>
    <t>Title2</t>
  </si>
  <si>
    <t>Multi-year Rate Case</t>
  </si>
  <si>
    <t>Title3</t>
  </si>
  <si>
    <t>UG-240008</t>
  </si>
  <si>
    <t>Title4</t>
  </si>
  <si>
    <t>Rate Classes</t>
  </si>
  <si>
    <t>9xx</t>
  </si>
  <si>
    <t>Residential Service</t>
  </si>
  <si>
    <t>Commercial Service</t>
  </si>
  <si>
    <t>Industrial Service</t>
  </si>
  <si>
    <t>Large Volume Service</t>
  </si>
  <si>
    <t>Transportation Service</t>
  </si>
  <si>
    <t>Interruptible Service</t>
  </si>
  <si>
    <t>Special Contracts</t>
  </si>
  <si>
    <t>core</t>
  </si>
  <si>
    <t>non-core</t>
  </si>
  <si>
    <t>2" Main Average 2013 Cost</t>
  </si>
  <si>
    <t>Summary Document</t>
  </si>
  <si>
    <t>Attachment C</t>
  </si>
  <si>
    <t>WAC 480-07-510, SECTION (5)(a):</t>
  </si>
  <si>
    <t>(i)</t>
  </si>
  <si>
    <t>The date and amount of the last general rate change the commission authorized for the company and the revenue the company realized from that change during the test period based on the company's test period units of sale (e.g., kilowatthours, therms, etc.)</t>
  </si>
  <si>
    <t>The last general rate increase authorized by the Commission: Docket UG-210755, effective September 1, 2022.</t>
  </si>
  <si>
    <t>Resulting Increase (Decrease) in Revenue:</t>
  </si>
  <si>
    <t>Realized Total Revenue during the Test Period:</t>
  </si>
  <si>
    <t>*</t>
  </si>
  <si>
    <t>(ii)</t>
  </si>
  <si>
    <t>Total revenues the company is realizing at its present rates and the total revenues the company would realize at the requested rates</t>
  </si>
  <si>
    <t>Rate Effective Date - March 1, 2025</t>
  </si>
  <si>
    <t>Rate Effective Date - March 1, 2026</t>
  </si>
  <si>
    <t>Present Rates - Total Adjusted Operating Revenues</t>
  </si>
  <si>
    <t>Proposed Rates - Total Adjusted Operating Revenues</t>
  </si>
  <si>
    <t>(iii)</t>
  </si>
  <si>
    <t>Requested revenue change in percentage, in total and by major customer class</t>
  </si>
  <si>
    <t>Residential Service (Sch. 503)</t>
  </si>
  <si>
    <t>Commercial Service (Sch. 504)</t>
  </si>
  <si>
    <t>Industrial Service (Sch. 505)</t>
  </si>
  <si>
    <t>Large Volume Service (Sch. 511)</t>
  </si>
  <si>
    <t>Interruptible Service (Sch. 570)</t>
  </si>
  <si>
    <t>Transportation Service (Sch. 663)</t>
  </si>
  <si>
    <t>Total requested revenue change</t>
  </si>
  <si>
    <t>(iv)</t>
  </si>
  <si>
    <t>Requested revenue change in dollars, in total and by major customer class</t>
  </si>
  <si>
    <t>(v)</t>
  </si>
  <si>
    <t xml:space="preserve">The representative effect of the request in dollars for the average monthly use per customer, by customer class or other similar meaningful representation, including, but not limited to, the effect of the proposed rate change in dollars per month on residential customers by usage categories
</t>
  </si>
  <si>
    <t xml:space="preserve"> </t>
  </si>
  <si>
    <t>(vi)</t>
  </si>
  <si>
    <t>Most current customer count, by major customer class</t>
  </si>
  <si>
    <t>2023 Test Year</t>
  </si>
  <si>
    <t>(vii)</t>
  </si>
  <si>
    <t>Current authorized overall rate of return and authorized rate of return on common equity</t>
  </si>
  <si>
    <t>Current authorized overall rate of return</t>
  </si>
  <si>
    <t>Current authorized rate of return on common equity</t>
  </si>
  <si>
    <t>(viii)</t>
  </si>
  <si>
    <t>Actual rate of return and actual rate of return on common equity for the test period</t>
  </si>
  <si>
    <t>Actual Rate of Return</t>
  </si>
  <si>
    <t>Actual Return on Equity for the test period</t>
  </si>
  <si>
    <t>(ix)</t>
  </si>
  <si>
    <t>Requested overall rate of return and requested rate of return on common equity,</t>
  </si>
  <si>
    <t>and the method or methods used to calculate rate of return on common equity</t>
  </si>
  <si>
    <t>Requested authorized overall rate of return</t>
  </si>
  <si>
    <t>Requested authorized rate of return on common equity</t>
  </si>
  <si>
    <t>ROE was calculated using several methodologies including a constant growth DCF model, the CAPM, the ECAPM, and a BYRP approach.</t>
  </si>
  <si>
    <t>(x)</t>
  </si>
  <si>
    <t>Requested capital structure</t>
  </si>
  <si>
    <t>Short &amp; Long Term Debt</t>
  </si>
  <si>
    <t>Common Equity</t>
  </si>
  <si>
    <t>(xi)</t>
  </si>
  <si>
    <t>Requested net operating income</t>
  </si>
  <si>
    <t>Requested net operating income:</t>
  </si>
  <si>
    <t>(xii)</t>
  </si>
  <si>
    <t>Requested rate base and method of calculation, or equivalent</t>
  </si>
  <si>
    <t xml:space="preserve">Requested rate base: </t>
  </si>
  <si>
    <t>The requested rate base was calculated based on end of period balances.</t>
  </si>
  <si>
    <t>(xiii)</t>
  </si>
  <si>
    <t>Revenue effect of any requested attrition allowance</t>
  </si>
  <si>
    <t>N/A - no requested attrition allowance</t>
  </si>
  <si>
    <t>Unadjusted 2023 Test Year Therms</t>
  </si>
  <si>
    <t>Margin Rates Increase from UG-210755</t>
  </si>
  <si>
    <t>Realized Revenue from UG-210755 Rev Req</t>
  </si>
  <si>
    <t>Schedule 503</t>
  </si>
  <si>
    <t>Schedule 504</t>
  </si>
  <si>
    <t>Schedule 505</t>
  </si>
  <si>
    <t>First 500 Therms</t>
  </si>
  <si>
    <t>Next 3,500 Therms</t>
  </si>
  <si>
    <t>Over 4,000 Therms</t>
  </si>
  <si>
    <t>Schedule 511</t>
  </si>
  <si>
    <t>First 20,000 Therms</t>
  </si>
  <si>
    <t>Next 80,000 Therms</t>
  </si>
  <si>
    <t>Over 100,000 Therms</t>
  </si>
  <si>
    <t>Schedule 570</t>
  </si>
  <si>
    <t>First 30,000 Therms</t>
  </si>
  <si>
    <t>Over 30,000 Therms</t>
  </si>
  <si>
    <t>Schedule 663</t>
  </si>
  <si>
    <t>First 100,000 Therms</t>
  </si>
  <si>
    <t>Next 200,000 Therms</t>
  </si>
  <si>
    <t>Over 500,000 Therms</t>
  </si>
  <si>
    <t>Total 2023 Revenue Realized from Revenue Requirement Increase</t>
  </si>
  <si>
    <t>Rate Schedule</t>
  </si>
  <si>
    <t>Proof of Revenue Section</t>
  </si>
  <si>
    <t>Summary of Adjusted Test Year Revenues by Rate Schedule</t>
  </si>
  <si>
    <t>Test Year Results</t>
  </si>
  <si>
    <t>Remove Supplemental Schedule Revenues</t>
  </si>
  <si>
    <t>Billing Determinant Recalculation at Current Rates</t>
  </si>
  <si>
    <t>Weather Normalization</t>
  </si>
  <si>
    <t>End of Period</t>
  </si>
  <si>
    <t>Cost Recovery Mechanism</t>
  </si>
  <si>
    <t>Adjusted Test Year Results</t>
  </si>
  <si>
    <t>Lin No</t>
  </si>
  <si>
    <t>Rate Class</t>
  </si>
  <si>
    <t>Billing Determinants
(Customers/Therms)</t>
  </si>
  <si>
    <t>Per Books Revenue (Dollars)</t>
  </si>
  <si>
    <t>Adjustment Amount</t>
  </si>
  <si>
    <t>Current Rates</t>
  </si>
  <si>
    <t>Weather Normalization Adjustment (Therms)</t>
  </si>
  <si>
    <t>End of Period Billing Determinants Adjustment (Customers/Therms)</t>
  </si>
  <si>
    <t>Proposed Billing Determinants (Customers/Therms)</t>
  </si>
  <si>
    <t>(A)</t>
  </si>
  <si>
    <t>(B)</t>
  </si>
  <si>
    <t>(C)</t>
  </si>
  <si>
    <t>(D)</t>
  </si>
  <si>
    <t>(E)</t>
  </si>
  <si>
    <t>(F) = (B)*(E)-(C)</t>
  </si>
  <si>
    <t>(G)</t>
  </si>
  <si>
    <t>(H)</t>
  </si>
  <si>
    <t>(I) = (G)*(H)</t>
  </si>
  <si>
    <t>(J)</t>
  </si>
  <si>
    <t>(K)</t>
  </si>
  <si>
    <t>(L) = (J)*(K)</t>
  </si>
  <si>
    <t>(M) = (B)+(G)+(J)</t>
  </si>
  <si>
    <t>(N)</t>
  </si>
  <si>
    <t>(O) = (M)*(N)</t>
  </si>
  <si>
    <t>(P) = (B)+(G)+(J)</t>
  </si>
  <si>
    <t>(Q) = (C)+(D)+(F)+(I)+(L)+(O)</t>
  </si>
  <si>
    <t>Margin Revenues:</t>
  </si>
  <si>
    <t>Basic Service Charge</t>
  </si>
  <si>
    <t>Margin</t>
  </si>
  <si>
    <t>Non-Margin Revenues:</t>
  </si>
  <si>
    <t>Average Cost of Gas</t>
  </si>
  <si>
    <t>Temporary Gas Cost Amortization</t>
  </si>
  <si>
    <t>WA Energy Assistance Fund Program</t>
  </si>
  <si>
    <t>WA Replacement Pipe Cost Recovery</t>
  </si>
  <si>
    <t>WA Decoupling Mechanism</t>
  </si>
  <si>
    <t>WA Conservation Cost Recovery</t>
  </si>
  <si>
    <t>WA Protected-Plus Excess Deferred Income Tax</t>
  </si>
  <si>
    <t>WA Unprotected Excess Deferred Income Tax</t>
  </si>
  <si>
    <t>City Tax</t>
  </si>
  <si>
    <t>State Utility Tax Credit</t>
  </si>
  <si>
    <t>Indian Nation Tribal Charge</t>
  </si>
  <si>
    <t>Test Year Decoupling Deferral</t>
  </si>
  <si>
    <t>Amortization of Prior Year Decoupling Deferral</t>
  </si>
  <si>
    <t>Amortization of Prior Year WEAF Balance</t>
  </si>
  <si>
    <t>Total Rate Schedule 503 Revenue</t>
  </si>
  <si>
    <t>Total Rate Schedule 504 Revenue</t>
  </si>
  <si>
    <t>Margin First 500 Therms</t>
  </si>
  <si>
    <t>Margin Next 3,500 Therms</t>
  </si>
  <si>
    <t>Margin &gt; 4,000 Therms</t>
  </si>
  <si>
    <t>Total Rate Schedule 505 Revenue</t>
  </si>
  <si>
    <t>Margin First 20,000 Therms</t>
  </si>
  <si>
    <t>Margin Next 80,000 Therms</t>
  </si>
  <si>
    <t>Margin &gt; 100,000 Therms</t>
  </si>
  <si>
    <t>Deficiency Billings</t>
  </si>
  <si>
    <t>Total Rate Schedule 511 Revenue</t>
  </si>
  <si>
    <t>Margin First 30,000 Therms</t>
  </si>
  <si>
    <t>Margin &gt; 30,000 Therms</t>
  </si>
  <si>
    <t>Total Rate Schedule 570 Revenue</t>
  </si>
  <si>
    <t>Contract Demand Charge</t>
  </si>
  <si>
    <t>System Balancing Charge</t>
  </si>
  <si>
    <t>Delivery Charge First 100,000 Therms</t>
  </si>
  <si>
    <t>Delivery Charge Next 200,000 Therms</t>
  </si>
  <si>
    <t>Delivery Charge Over 500,000 Therms</t>
  </si>
  <si>
    <t>Contract Charge</t>
  </si>
  <si>
    <t>Gross Revenue Fee</t>
  </si>
  <si>
    <t>Adjustment</t>
  </si>
  <si>
    <t>Total Rate Schedule 663 Revenue</t>
  </si>
  <si>
    <t>Dispatch Service Charge</t>
  </si>
  <si>
    <t>Monthly Charge</t>
  </si>
  <si>
    <t>Minimum Charge per Month</t>
  </si>
  <si>
    <t>Monthly Facilities Charge</t>
  </si>
  <si>
    <t>Commodity Charge</t>
  </si>
  <si>
    <t>Total Special Contract Revenue</t>
  </si>
  <si>
    <t>Total Cascade Rate Schedule Margin</t>
  </si>
  <si>
    <t>Total Cascade Rate Schedule Revenue</t>
  </si>
  <si>
    <t>Miscellaneous Service Revenues</t>
  </si>
  <si>
    <t>Rent From Gas Property</t>
  </si>
  <si>
    <t>Interdepartmental Rents</t>
  </si>
  <si>
    <t>Other Gas Revenue</t>
  </si>
  <si>
    <t>Provision for Rate Refund</t>
  </si>
  <si>
    <t>Total Operating Revenue</t>
  </si>
  <si>
    <t>Total Therms</t>
  </si>
  <si>
    <t>Reconciliation:</t>
  </si>
  <si>
    <t>Rev Recon Summary tab</t>
  </si>
  <si>
    <t>6631 Differences in Rev Recon Summary</t>
  </si>
  <si>
    <t>Sch. 511 Deficiency Billings not in Rev Recon Summary</t>
  </si>
  <si>
    <t>Total</t>
  </si>
  <si>
    <t>Difference</t>
  </si>
  <si>
    <t>Total Customer Counts</t>
  </si>
  <si>
    <t>Customer Counts tab</t>
  </si>
  <si>
    <t>Proof of Revenue Workpapers Section</t>
  </si>
  <si>
    <t>JAD WP-1.0</t>
  </si>
  <si>
    <t>Index</t>
  </si>
  <si>
    <t xml:space="preserve">A </t>
  </si>
  <si>
    <t>B</t>
  </si>
  <si>
    <t>C</t>
  </si>
  <si>
    <t>Line No:</t>
  </si>
  <si>
    <t>Description of Workpaper</t>
  </si>
  <si>
    <t>WP #</t>
  </si>
  <si>
    <t>Page(s)</t>
  </si>
  <si>
    <t>Workpaper - Support Documents</t>
  </si>
  <si>
    <t>Monthly Billed Revenues</t>
  </si>
  <si>
    <t>JAD WP-1.1</t>
  </si>
  <si>
    <t>pgs. 2-5</t>
  </si>
  <si>
    <t>Customer Counts</t>
  </si>
  <si>
    <t>JAD WP-1.2</t>
  </si>
  <si>
    <t>6</t>
  </si>
  <si>
    <t>Block Therms Support</t>
  </si>
  <si>
    <t>JAD WP-1.3</t>
  </si>
  <si>
    <t>WEAF &amp; Decoupling Rev Adj</t>
  </si>
  <si>
    <t>JAD WP-1.4</t>
  </si>
  <si>
    <t>Unbilled Revenue</t>
  </si>
  <si>
    <t>JAD WP-1.5</t>
  </si>
  <si>
    <t>Deficiency Billing</t>
  </si>
  <si>
    <t>JAD WP-1.6</t>
  </si>
  <si>
    <t>Rev Recon Summary</t>
  </si>
  <si>
    <t>JAD WP-1.7</t>
  </si>
  <si>
    <t>EOP Calculations</t>
  </si>
  <si>
    <t>JAD WP-1.8</t>
  </si>
  <si>
    <t>pgs. 18-19</t>
  </si>
  <si>
    <t>663 EOP Contract Demand</t>
  </si>
  <si>
    <t>JAD WP-1.9</t>
  </si>
  <si>
    <t>Allocation Report 2023</t>
  </si>
  <si>
    <t>JAD WP-1.10</t>
  </si>
  <si>
    <t>JAD WP-1.11</t>
  </si>
  <si>
    <t>RATE_SCHEDULE</t>
  </si>
  <si>
    <t>RATE_SEQUENCE</t>
  </si>
  <si>
    <t>RATE_CHAR_VAL</t>
  </si>
  <si>
    <t>RATE_COMPONENT</t>
  </si>
  <si>
    <t>CNGWA503</t>
  </si>
  <si>
    <t>GL STATS</t>
  </si>
  <si>
    <t>GL Stats</t>
  </si>
  <si>
    <t>SERVICE CHARGE</t>
  </si>
  <si>
    <t/>
  </si>
  <si>
    <t>MARGIN</t>
  </si>
  <si>
    <t>AVG COST OF GAS</t>
  </si>
  <si>
    <t>TEMP GAS COST AM</t>
  </si>
  <si>
    <t>Temp. Gas Cost Adjustment</t>
  </si>
  <si>
    <t>WEAF</t>
  </si>
  <si>
    <t>REPL PIPE COST</t>
  </si>
  <si>
    <t>DECOUPLE MECH</t>
  </si>
  <si>
    <t>DEFD GAS COST</t>
  </si>
  <si>
    <t>WA Deferred Gas Costs</t>
  </si>
  <si>
    <t>CON COST REC</t>
  </si>
  <si>
    <t>PROTECTED EDIT</t>
  </si>
  <si>
    <t>UNPROTECTED EDIT</t>
  </si>
  <si>
    <t>FIT CREDIT</t>
  </si>
  <si>
    <t>WA Temporary Federal Income Tax Rate Credit</t>
  </si>
  <si>
    <t>CARES RECOVERY</t>
  </si>
  <si>
    <t>CARES Cost Recovery</t>
  </si>
  <si>
    <t>LOW INC DISC</t>
  </si>
  <si>
    <t>CARES Discount (Contract Rider)</t>
  </si>
  <si>
    <t>CITY TAX TIER 1</t>
  </si>
  <si>
    <t>City Tax Tier 1</t>
  </si>
  <si>
    <t>CITY TAX TIER 2</t>
  </si>
  <si>
    <t>City Tax Tier 2</t>
  </si>
  <si>
    <t>CITY TAX TIER 3</t>
  </si>
  <si>
    <t>City Tax Tier 3</t>
  </si>
  <si>
    <t>City Tax for Cities with Annual Maximum</t>
  </si>
  <si>
    <t>CITY TAX</t>
  </si>
  <si>
    <t>City Tax Applied (City Tax &lt; Maximum)</t>
  </si>
  <si>
    <t>FRANCHISE TAX</t>
  </si>
  <si>
    <t>Franchise Tax</t>
  </si>
  <si>
    <t>SUT CREDIT</t>
  </si>
  <si>
    <t>TRIBAL CHARGE</t>
  </si>
  <si>
    <t>- REVADJ</t>
  </si>
  <si>
    <t>Rev Adj</t>
  </si>
  <si>
    <t>AVG COST OF GAS - REVADJ</t>
  </si>
  <si>
    <t>CITY TAX - REVADJ</t>
  </si>
  <si>
    <t>CON COST REC - REVADJ</t>
  </si>
  <si>
    <t>DECOUPLE MECH - REVADJ</t>
  </si>
  <si>
    <t>DEFD GAS COST - REVADJ</t>
  </si>
  <si>
    <t>FIT CREDIT - REVADJ</t>
  </si>
  <si>
    <t>MARGIN - REVADJ</t>
  </si>
  <si>
    <t>PROTECTED EDIT - REVADJ</t>
  </si>
  <si>
    <t>REPL PIPE COST - REVADJ</t>
  </si>
  <si>
    <t>SERVICE CHARGE - REVADJ</t>
  </si>
  <si>
    <t>TEMP GAS COST AM - REVADJ</t>
  </si>
  <si>
    <t>UNPROTECTED EDIT - REVADJ</t>
  </si>
  <si>
    <t>WEAF - REVADJ</t>
  </si>
  <si>
    <t>CNGWA504</t>
  </si>
  <si>
    <t>CNGWA505</t>
  </si>
  <si>
    <t>City Tax Applicable to Identified Bus for Tax. Rev Limits</t>
  </si>
  <si>
    <t>CNGWA511</t>
  </si>
  <si>
    <t xml:space="preserve">Because these accounts are billed at the beginning of the month, the data in CCB is lagged by one month (i.e. February data in CCB actually represents January billing data).  </t>
  </si>
  <si>
    <t>CNGW04LV</t>
  </si>
  <si>
    <t>CNGW11LV</t>
  </si>
  <si>
    <t>CNGW6631</t>
  </si>
  <si>
    <t>DISPATCH CHARGE</t>
  </si>
  <si>
    <t>DEMAND CHARGE</t>
  </si>
  <si>
    <t>CONTRACT CHARGE</t>
  </si>
  <si>
    <t>Contract Charge (applicable only if identified in contract)</t>
  </si>
  <si>
    <t>GL Stats Qty Only</t>
  </si>
  <si>
    <t>GROSS REV FEE</t>
  </si>
  <si>
    <t>City Tax Applicable to Identified Bus. for Tax Rev Limits</t>
  </si>
  <si>
    <t>CNGW6633</t>
  </si>
  <si>
    <t>CNGWA570</t>
  </si>
  <si>
    <t>CNGWA901</t>
  </si>
  <si>
    <t>COMMODITY CHARGE</t>
  </si>
  <si>
    <t>CNGWA903</t>
  </si>
  <si>
    <t>CNGWA908</t>
  </si>
  <si>
    <t>Commodity Charge First 22 Million/Year - Westcoast Receipt</t>
  </si>
  <si>
    <t>Commodity Charge Over 22 Million/Year - Westcoast Receipt</t>
  </si>
  <si>
    <t>Commodity Charge First 22 Million/Year - Northwest Receipt</t>
  </si>
  <si>
    <t>Commodity Charge Over 22 Million/Year - Northwest Receipt</t>
  </si>
  <si>
    <t>CNGWA909</t>
  </si>
  <si>
    <t>CNGWA910</t>
  </si>
  <si>
    <t>CNGWA911</t>
  </si>
  <si>
    <t>CNGWA914</t>
  </si>
  <si>
    <t>CNGWA917</t>
  </si>
  <si>
    <t>CNGWACMP</t>
  </si>
  <si>
    <t>Zero Charge</t>
  </si>
  <si>
    <t>Total (less CARES amounts)</t>
  </si>
  <si>
    <t>Per Rev Recon File</t>
  </si>
  <si>
    <t xml:space="preserve">2023 Customer Counts </t>
  </si>
  <si>
    <t>JAN</t>
  </si>
  <si>
    <t>FEB</t>
  </si>
  <si>
    <t>MAR</t>
  </si>
  <si>
    <t>APR</t>
  </si>
  <si>
    <t>MAY</t>
  </si>
  <si>
    <t>JUN</t>
  </si>
  <si>
    <t>JUL</t>
  </si>
  <si>
    <t>AUG</t>
  </si>
  <si>
    <t>SEP</t>
  </si>
  <si>
    <t>OCT</t>
  </si>
  <si>
    <t>NOV</t>
  </si>
  <si>
    <t>DEC</t>
  </si>
  <si>
    <t>504</t>
  </si>
  <si>
    <t>504-LV</t>
  </si>
  <si>
    <t>505</t>
  </si>
  <si>
    <t>511-Comm</t>
  </si>
  <si>
    <t>511LV</t>
  </si>
  <si>
    <t>511-Ind</t>
  </si>
  <si>
    <t>570</t>
  </si>
  <si>
    <t>Monthly Billed Block Therms</t>
  </si>
  <si>
    <t>Month</t>
  </si>
  <si>
    <t>Block 1</t>
  </si>
  <si>
    <t>Block 2</t>
  </si>
  <si>
    <t>Block 3</t>
  </si>
  <si>
    <t>Reconciliation</t>
  </si>
  <si>
    <t>Block 4</t>
  </si>
  <si>
    <t>WEAF &amp; Decoupling Revenue Adjustments</t>
  </si>
  <si>
    <t>2023 Total - Dr/(Cr)</t>
  </si>
  <si>
    <t>04LV</t>
  </si>
  <si>
    <t>11LV</t>
  </si>
  <si>
    <t>Unbilled Therms and Revenues</t>
  </si>
  <si>
    <t>504/511 Split</t>
  </si>
  <si>
    <t>Sch 503 Unbilled Revenue by Rate Component</t>
  </si>
  <si>
    <t>Sch 504 Unbilled Revenue by Rate Component</t>
  </si>
  <si>
    <t>Sch 511 Unbilled Revenue by Rate Component</t>
  </si>
  <si>
    <t>Sch 505 Unbilled Revenue by Rate Component</t>
  </si>
  <si>
    <t>December 2022</t>
  </si>
  <si>
    <t>Unbilled Therms</t>
  </si>
  <si>
    <t>Only Basic Service Charge is calculated for Unbilled for Sch 505.</t>
  </si>
  <si>
    <t>Rate</t>
  </si>
  <si>
    <t>Amount</t>
  </si>
  <si>
    <t>Allocated Rate</t>
  </si>
  <si>
    <t>Protected EDIT</t>
  </si>
  <si>
    <t>Unprotected EDIT</t>
  </si>
  <si>
    <t>Temproary Cost of Gas</t>
  </si>
  <si>
    <t>December 2023</t>
  </si>
  <si>
    <t>YTD Unbilled Revenue</t>
  </si>
  <si>
    <t>Difference to Rev Recon</t>
  </si>
  <si>
    <t>Schedule 511 Deficiency Billings</t>
  </si>
  <si>
    <t>Date</t>
  </si>
  <si>
    <t>Customer</t>
  </si>
  <si>
    <t>Therms</t>
  </si>
  <si>
    <t>Margin Rate</t>
  </si>
  <si>
    <t>Passthrough Rate</t>
  </si>
  <si>
    <t>Therms Total Charge</t>
  </si>
  <si>
    <t>Tax</t>
  </si>
  <si>
    <t>Total Bill</t>
  </si>
  <si>
    <t>Total Invoice</t>
  </si>
  <si>
    <t>Variance</t>
  </si>
  <si>
    <t>Total Margin Only</t>
  </si>
  <si>
    <t>AutoZone</t>
  </si>
  <si>
    <t>Syngenta</t>
  </si>
  <si>
    <t>Winco</t>
  </si>
  <si>
    <t>Bellingham S.D.</t>
  </si>
  <si>
    <t>Ferndale S.D.</t>
  </si>
  <si>
    <t>Sedro Woolley S.D.</t>
  </si>
  <si>
    <t>Timklen Motor &amp; Crane</t>
  </si>
  <si>
    <t>Test Year Revenue Recon Report</t>
  </si>
  <si>
    <t>January 23</t>
  </si>
  <si>
    <t>February 23</t>
  </si>
  <si>
    <t>March 23</t>
  </si>
  <si>
    <t>April 23</t>
  </si>
  <si>
    <t>May 23</t>
  </si>
  <si>
    <t>June 23</t>
  </si>
  <si>
    <t>July 23</t>
  </si>
  <si>
    <t>August 23</t>
  </si>
  <si>
    <t>September 23</t>
  </si>
  <si>
    <t>October 23</t>
  </si>
  <si>
    <t>November 23</t>
  </si>
  <si>
    <t>December 23</t>
  </si>
  <si>
    <t>RESIDENTIAL</t>
  </si>
  <si>
    <t>CM Unbilled therms</t>
  </si>
  <si>
    <t>PM Unbilled therms</t>
  </si>
  <si>
    <t xml:space="preserve"> -PM-CA1501A therms</t>
  </si>
  <si>
    <t xml:space="preserve"> +CM-CA1501A therms</t>
  </si>
  <si>
    <t>check</t>
  </si>
  <si>
    <t>Revenue (CA1501)</t>
  </si>
  <si>
    <t>Current Month Unbilled +</t>
  </si>
  <si>
    <t>Previous Month Unbilled -</t>
  </si>
  <si>
    <t>CAP Adjustment</t>
  </si>
  <si>
    <t>Deferrals Revenues</t>
  </si>
  <si>
    <t>Misc Revenue Adjustment</t>
  </si>
  <si>
    <t xml:space="preserve"> -PM CA1501A</t>
  </si>
  <si>
    <t xml:space="preserve"> +CM CA1501A</t>
  </si>
  <si>
    <t>Total Dollars</t>
  </si>
  <si>
    <t>COMMERCIAL</t>
  </si>
  <si>
    <t>INDUSTRIAL</t>
  </si>
  <si>
    <t xml:space="preserve">Adjustment </t>
  </si>
  <si>
    <t>Adjustments</t>
  </si>
  <si>
    <t>Non-Core</t>
  </si>
  <si>
    <t>CNGWA6631-NC</t>
  </si>
  <si>
    <t>Industrials</t>
  </si>
  <si>
    <t>CNGWA6631</t>
  </si>
  <si>
    <t>Generating</t>
  </si>
  <si>
    <t>CNGWA6633</t>
  </si>
  <si>
    <t>CNGWA6631-COMBINED</t>
  </si>
  <si>
    <t>Allocation Report</t>
  </si>
  <si>
    <t>Check</t>
  </si>
  <si>
    <t>End of Period Usage Calculations</t>
  </si>
  <si>
    <t>2023 Monthly Therms - Actual(Normalized) Therms / Ave Use Per Month</t>
  </si>
  <si>
    <t>A</t>
  </si>
  <si>
    <t>D</t>
  </si>
  <si>
    <t>E</t>
  </si>
  <si>
    <t>F</t>
  </si>
  <si>
    <t>G</t>
  </si>
  <si>
    <t>H</t>
  </si>
  <si>
    <t>I</t>
  </si>
  <si>
    <t>J</t>
  </si>
  <si>
    <t>K</t>
  </si>
  <si>
    <t>L</t>
  </si>
  <si>
    <t>M</t>
  </si>
  <si>
    <t>N</t>
  </si>
  <si>
    <t>O</t>
  </si>
  <si>
    <t>P</t>
  </si>
  <si>
    <t>Rate Schedules</t>
  </si>
  <si>
    <t>Jan</t>
  </si>
  <si>
    <t>Feb</t>
  </si>
  <si>
    <t>Mar</t>
  </si>
  <si>
    <t>Apr</t>
  </si>
  <si>
    <t>May</t>
  </si>
  <si>
    <t>Jun</t>
  </si>
  <si>
    <t>Jul</t>
  </si>
  <si>
    <t>Aug</t>
  </si>
  <si>
    <t>Sep</t>
  </si>
  <si>
    <t>Oct</t>
  </si>
  <si>
    <t>Nov</t>
  </si>
  <si>
    <t>Dec</t>
  </si>
  <si>
    <t>503 Therms (data from Weather Norm. wksheet)</t>
  </si>
  <si>
    <t>503 Total Ave Usage</t>
  </si>
  <si>
    <t>504 Therms (data from Weather Norm. wksheet)</t>
  </si>
  <si>
    <t>504 Total Ave Usage</t>
  </si>
  <si>
    <t>505 Therms</t>
  </si>
  <si>
    <t>Block 1 - First 500 Therms</t>
  </si>
  <si>
    <t>Block 2 - Next 3,500 Therms</t>
  </si>
  <si>
    <t>Block 3 - Over 4,000 Therms</t>
  </si>
  <si>
    <t>505 Total Therms</t>
  </si>
  <si>
    <t>Block 1 - Ave Usage</t>
  </si>
  <si>
    <t>Block 2 - Ave Usage</t>
  </si>
  <si>
    <t>Block 3 - Ave Usage</t>
  </si>
  <si>
    <t>505 Total Ave Usage</t>
  </si>
  <si>
    <t>511 Therms</t>
  </si>
  <si>
    <t>Block 1 - First 20,000 Therms</t>
  </si>
  <si>
    <t>Block 2 - Next 80,000 Therms</t>
  </si>
  <si>
    <t>Block 3 - Over 100,000 Therms</t>
  </si>
  <si>
    <t>511 Total Therms</t>
  </si>
  <si>
    <t>511 Total Ave Usage</t>
  </si>
  <si>
    <t>570 Therms</t>
  </si>
  <si>
    <t>Block 1 - First 30,000 Therms</t>
  </si>
  <si>
    <t>Block 2 - Over 30,000 Therms</t>
  </si>
  <si>
    <t>570 Total Therms</t>
  </si>
  <si>
    <t>570 Total Ave Usage</t>
  </si>
  <si>
    <t>663 Therms</t>
  </si>
  <si>
    <t>Block 1 - First 100,000 Therms</t>
  </si>
  <si>
    <t>Block 2 - Next 200,000 Therms</t>
  </si>
  <si>
    <t>Block 3 - Next 200,000 Therms</t>
  </si>
  <si>
    <t>Block 4 - Over 500,000 Therms</t>
  </si>
  <si>
    <t>663 Total Therms</t>
  </si>
  <si>
    <t>Block 4 - Ave Usage</t>
  </si>
  <si>
    <t>663 Total Ave Usage</t>
  </si>
  <si>
    <t>2023 Annualized Usage Using End of Period Customer Counts</t>
  </si>
  <si>
    <t>End of Period Annualized Customer Counts</t>
  </si>
  <si>
    <t>Monthly EOP Average Customer Counts</t>
  </si>
  <si>
    <t>503 Therms</t>
  </si>
  <si>
    <t>504 Therms</t>
  </si>
  <si>
    <t>End of Period Schedule 663 Contract Demand</t>
  </si>
  <si>
    <t>Line No.</t>
  </si>
  <si>
    <t>Premise ID</t>
  </si>
  <si>
    <t>Contract Demand</t>
  </si>
  <si>
    <t>Total EOP Contract Demand</t>
  </si>
  <si>
    <t>Test Year State Allocation Report</t>
  </si>
  <si>
    <t>GAS SALES</t>
  </si>
  <si>
    <t>480</t>
  </si>
  <si>
    <t>Residential Sales</t>
  </si>
  <si>
    <t>481</t>
  </si>
  <si>
    <t>Commercial - Interruptible Sales</t>
  </si>
  <si>
    <t xml:space="preserve">    TOTAL GAS SALES</t>
  </si>
  <si>
    <t>OTHER OPERATING REVENUE</t>
  </si>
  <si>
    <t xml:space="preserve"> 4880</t>
  </si>
  <si>
    <t>4890</t>
  </si>
  <si>
    <t>Rev. From Transp. of Gas of Others</t>
  </si>
  <si>
    <t>4930</t>
  </si>
  <si>
    <t>4940</t>
  </si>
  <si>
    <t>4950</t>
  </si>
  <si>
    <t xml:space="preserve"> 495.1</t>
  </si>
  <si>
    <t>Overrun Penalty Income</t>
  </si>
  <si>
    <t xml:space="preserve">    TOTAL OTHER OPERATING REVENUE</t>
  </si>
  <si>
    <t xml:space="preserve">      * TOTAL OPERATING REVENUE *</t>
  </si>
  <si>
    <t>TOTAL GAS SALES</t>
  </si>
  <si>
    <t>TOTAL OTHER OPERATING REVENUE</t>
  </si>
  <si>
    <t>TOTAL OPERATING REVENUE</t>
  </si>
  <si>
    <t>503 - Residential Actuals</t>
  </si>
  <si>
    <t>504 - Commercial Actuals</t>
  </si>
  <si>
    <t>Actuals</t>
  </si>
  <si>
    <t>Adjusted</t>
  </si>
  <si>
    <t>Revenue Requirement Section</t>
  </si>
  <si>
    <t>Test Year Results of Operations Summary Sheet</t>
  </si>
  <si>
    <t>Rates Effective March 1, 2025</t>
  </si>
  <si>
    <t>Line No</t>
  </si>
  <si>
    <t>Description</t>
  </si>
  <si>
    <t>Actual Results of Operations</t>
  </si>
  <si>
    <t>Restating Adjustments</t>
  </si>
  <si>
    <t>Restated Results of Operations</t>
  </si>
  <si>
    <t>Proforma Adjustments</t>
  </si>
  <si>
    <t>Adjusted Results of Operations</t>
  </si>
  <si>
    <t>Revenue Change to Base Rates</t>
  </si>
  <si>
    <t>After Base Rate Change</t>
  </si>
  <si>
    <t>D = B + C</t>
  </si>
  <si>
    <t>F = D + E</t>
  </si>
  <si>
    <t>H = F + G</t>
  </si>
  <si>
    <t>Operating Revenues</t>
  </si>
  <si>
    <t>Natural Gas Sales</t>
  </si>
  <si>
    <t>Gas Transportation Revenue</t>
  </si>
  <si>
    <t>Other Operating Revenues</t>
  </si>
  <si>
    <t>Total Operating Revenues</t>
  </si>
  <si>
    <t>Operating Expenses</t>
  </si>
  <si>
    <t>Nat. Gas/Production Costs</t>
  </si>
  <si>
    <t>Revenue Taxes</t>
  </si>
  <si>
    <t>Production</t>
  </si>
  <si>
    <t>Distribution</t>
  </si>
  <si>
    <t>Customer Accounts</t>
  </si>
  <si>
    <t>Customer Service</t>
  </si>
  <si>
    <t>Sales</t>
  </si>
  <si>
    <t>Administrative and General</t>
  </si>
  <si>
    <t>Depreciation &amp; Amortization</t>
  </si>
  <si>
    <t>Regulatory Debits</t>
  </si>
  <si>
    <t>Taxes Other Than Income</t>
  </si>
  <si>
    <t>State &amp; Federal Income Taxes</t>
  </si>
  <si>
    <t xml:space="preserve">Total Operating Expenses </t>
  </si>
  <si>
    <t>Net Operating Income</t>
  </si>
  <si>
    <t>Rate Base</t>
  </si>
  <si>
    <t>Total Plant in Service</t>
  </si>
  <si>
    <t>Total Accumulated Depreciation</t>
  </si>
  <si>
    <t>Customer Adv. For Construction</t>
  </si>
  <si>
    <t>Deferred Accumulated Income Taxes</t>
  </si>
  <si>
    <t>Working Capital Allowance</t>
  </si>
  <si>
    <t>Total Rate Base</t>
  </si>
  <si>
    <t>Rate of Return</t>
  </si>
  <si>
    <t>Results of Multi-Year Rate Plan Summary Sheet</t>
  </si>
  <si>
    <t>Rates Effective March 1, 2026</t>
  </si>
  <si>
    <t>After Base Rate Change Results of Operations</t>
  </si>
  <si>
    <t>Provisional Year 1 Adjustments</t>
  </si>
  <si>
    <t>Provisional Year 1 Adjusted Results of Operations</t>
  </si>
  <si>
    <t>Revenue Change to Provisional Year 1</t>
  </si>
  <si>
    <t>After Provisional Year 1 Change</t>
  </si>
  <si>
    <t>After Provisional Year 1 Rate Change Results of Operations</t>
  </si>
  <si>
    <t>Provisional Year 2 Adjustments</t>
  </si>
  <si>
    <t>Provisional Year 2 Adjusted Results of Operations</t>
  </si>
  <si>
    <t>Revenue Change to Provisional Year 2</t>
  </si>
  <si>
    <t>After Provisional Year 2 Change</t>
  </si>
  <si>
    <t>F = D +E</t>
  </si>
  <si>
    <t>I = G + H</t>
  </si>
  <si>
    <t>K = I + J</t>
  </si>
  <si>
    <t>Multi-Year Rate Plan Revenue Requirement Calculation</t>
  </si>
  <si>
    <r>
      <t>Test Year</t>
    </r>
    <r>
      <rPr>
        <vertAlign val="superscript"/>
        <sz val="11"/>
        <color theme="1"/>
        <rFont val="Calibri"/>
        <family val="2"/>
        <scheme val="minor"/>
      </rPr>
      <t>1</t>
    </r>
  </si>
  <si>
    <r>
      <t>Provisional Year 1</t>
    </r>
    <r>
      <rPr>
        <vertAlign val="superscript"/>
        <sz val="11"/>
        <color theme="1"/>
        <rFont val="Calibri"/>
        <family val="2"/>
        <scheme val="minor"/>
      </rPr>
      <t>2</t>
    </r>
  </si>
  <si>
    <r>
      <t>Provisional Year 2</t>
    </r>
    <r>
      <rPr>
        <vertAlign val="superscript"/>
        <sz val="11"/>
        <color theme="1"/>
        <rFont val="Calibri"/>
        <family val="2"/>
        <scheme val="minor"/>
      </rPr>
      <t>3</t>
    </r>
  </si>
  <si>
    <t>Adjusted Rate Base</t>
  </si>
  <si>
    <t>Required Return (ln 1 x ln 2)</t>
  </si>
  <si>
    <t>Adjusted Net Income</t>
  </si>
  <si>
    <t>Required Net Income Increase (ln 3 - ln 4)</t>
  </si>
  <si>
    <t>Conversion Factor</t>
  </si>
  <si>
    <t>Revenue Increase Required (ln 5 / ln 6)</t>
  </si>
  <si>
    <t>Adjusted Base Revenue</t>
  </si>
  <si>
    <t>Base Revenue Change</t>
  </si>
  <si>
    <t>Overall Revenue Change</t>
  </si>
  <si>
    <r>
      <rPr>
        <vertAlign val="superscript"/>
        <sz val="11"/>
        <color theme="1"/>
        <rFont val="Calibri"/>
        <family val="2"/>
        <scheme val="minor"/>
      </rPr>
      <t>1</t>
    </r>
    <r>
      <rPr>
        <sz val="11"/>
        <color theme="1"/>
        <rFont val="Calibri"/>
        <family val="2"/>
        <scheme val="minor"/>
      </rPr>
      <t xml:space="preserve"> Includes pro forma adjustments related to the 2024 provisional year.</t>
    </r>
  </si>
  <si>
    <r>
      <rPr>
        <vertAlign val="superscript"/>
        <sz val="11"/>
        <color theme="1"/>
        <rFont val="Calibri"/>
        <family val="2"/>
        <scheme val="minor"/>
      </rPr>
      <t>2</t>
    </r>
    <r>
      <rPr>
        <sz val="11"/>
        <color theme="1"/>
        <rFont val="Calibri"/>
        <family val="2"/>
        <scheme val="minor"/>
      </rPr>
      <t xml:space="preserve"> Only includes 2024 provisional plant adjustments.  Provisional plant additions are subject to retrospective review.</t>
    </r>
  </si>
  <si>
    <r>
      <rPr>
        <vertAlign val="superscript"/>
        <sz val="11"/>
        <color theme="1"/>
        <rFont val="Calibri"/>
        <family val="2"/>
        <scheme val="minor"/>
      </rPr>
      <t>3</t>
    </r>
    <r>
      <rPr>
        <sz val="11"/>
        <color theme="1"/>
        <rFont val="Calibri"/>
        <family val="2"/>
        <scheme val="minor"/>
      </rPr>
      <t xml:space="preserve"> Includes 2025 pro forma and provisional plant adjustments. Provisional plant additions are subject to retrospective review. </t>
    </r>
  </si>
  <si>
    <t>Conversion Factor for Revenue Sensitive Costs</t>
  </si>
  <si>
    <t>Calculations</t>
  </si>
  <si>
    <t>Revenue Sensitive</t>
  </si>
  <si>
    <t>UG-210755</t>
  </si>
  <si>
    <t>Revenues</t>
  </si>
  <si>
    <t>Operating Revenue Deductions</t>
  </si>
  <si>
    <t>Uncollectible Accounts</t>
  </si>
  <si>
    <t>State B&amp;O Tax</t>
  </si>
  <si>
    <t>Commission Fees</t>
  </si>
  <si>
    <t>Interest expense</t>
  </si>
  <si>
    <t>State Taxable Income</t>
  </si>
  <si>
    <t>State Income Tax</t>
  </si>
  <si>
    <t>Federal Taxable Income</t>
  </si>
  <si>
    <t>Total Income Taxes</t>
  </si>
  <si>
    <t>Total Revenue Sensitive Costs</t>
  </si>
  <si>
    <t>Combo-State &amp; Federal Income Tax</t>
  </si>
  <si>
    <t xml:space="preserve">  State</t>
  </si>
  <si>
    <t xml:space="preserve">  Federal </t>
  </si>
  <si>
    <t>State and Federal Effective Tax Rate</t>
  </si>
  <si>
    <t>Summary of Adjustments</t>
  </si>
  <si>
    <t xml:space="preserve">Restating Adjustments </t>
  </si>
  <si>
    <t xml:space="preserve">Proforma Adjustments </t>
  </si>
  <si>
    <t>Provisional Year 1</t>
  </si>
  <si>
    <t>Provisional Year 2</t>
  </si>
  <si>
    <t>R-Total</t>
  </si>
  <si>
    <t>P-Total</t>
  </si>
  <si>
    <t>PRYR1-Total</t>
  </si>
  <si>
    <t>PRYR2-Total</t>
  </si>
  <si>
    <t xml:space="preserve">  Revenue Requirement Effect</t>
  </si>
  <si>
    <t>State Allocation Factors</t>
  </si>
  <si>
    <t>Allocation Factors Used for Calendar Year 2023</t>
  </si>
  <si>
    <t>Allocation Factors Used for Calendar Year 2024</t>
  </si>
  <si>
    <t>WA</t>
  </si>
  <si>
    <t>OR</t>
  </si>
  <si>
    <t>Employees</t>
  </si>
  <si>
    <t>Gross Plant</t>
  </si>
  <si>
    <t>Customers</t>
  </si>
  <si>
    <t>3-Factor Formula</t>
  </si>
  <si>
    <t>Rate Base Ratio</t>
  </si>
  <si>
    <t>Employess</t>
  </si>
  <si>
    <t>Mo-Yr</t>
  </si>
  <si>
    <t>WA District Employees</t>
  </si>
  <si>
    <t>OR District Employees</t>
  </si>
  <si>
    <t>AMA</t>
  </si>
  <si>
    <t xml:space="preserve">  Percentage</t>
  </si>
  <si>
    <t xml:space="preserve"> 2022 AMA</t>
  </si>
  <si>
    <t>2023 AMA</t>
  </si>
  <si>
    <t>Percentage</t>
  </si>
  <si>
    <t>Average</t>
  </si>
  <si>
    <t>2022 AVG Rate Base</t>
  </si>
  <si>
    <t>2023 AVG Rate Base</t>
  </si>
  <si>
    <t>Revenue Requirement Workpapers Section</t>
  </si>
  <si>
    <t>Operating Report</t>
  </si>
  <si>
    <t>pgs. 2-7</t>
  </si>
  <si>
    <t>Weighted Average Cost of Capital Calculation</t>
  </si>
  <si>
    <t>Summary of Supplemental Schedule Removal Adjustments</t>
  </si>
  <si>
    <t xml:space="preserve">Normalize Revenues Adjustment </t>
  </si>
  <si>
    <t>End of Period Revenue Adjustment</t>
  </si>
  <si>
    <t>End of Period Depreciation Expense Adjustment</t>
  </si>
  <si>
    <t>Annualized CRM Adjustment</t>
  </si>
  <si>
    <t>Promotional Advertising Expense Adjustment</t>
  </si>
  <si>
    <t>pgs. 15-17</t>
  </si>
  <si>
    <t>Restate &amp; Pro Forma Wage Adjustment</t>
  </si>
  <si>
    <t>Incentives</t>
  </si>
  <si>
    <t>pgs. 20-21</t>
  </si>
  <si>
    <t>Directors &amp; Officers Adjustment</t>
  </si>
  <si>
    <t>JAD WP-1.12</t>
  </si>
  <si>
    <t>Restate COVID-19 Deferral Offsets Adjustment</t>
  </si>
  <si>
    <t>JAD WP-1.13</t>
  </si>
  <si>
    <t>Restate Climate Commitment Act Labor Expense Adjustment</t>
  </si>
  <si>
    <t>JAD WP-1.14</t>
  </si>
  <si>
    <t>Restate Commission Fees Adjustment</t>
  </si>
  <si>
    <t>JAD WP-1.15</t>
  </si>
  <si>
    <t>Interest Coordination Adjustment</t>
  </si>
  <si>
    <t>JAD WP-1.16</t>
  </si>
  <si>
    <t>MAOP Deferral Amortization</t>
  </si>
  <si>
    <t>JAD WP-1.17</t>
  </si>
  <si>
    <t>Pro Forma Rate Case Expense Adjustment</t>
  </si>
  <si>
    <t>JAD WP-1.18</t>
  </si>
  <si>
    <t>Pro Forma Medical, Dental, &amp; Life Insurance Expense Adjustment</t>
  </si>
  <si>
    <t>JAD WP-1.19</t>
  </si>
  <si>
    <t>Pro Forma Property Tax Increase</t>
  </si>
  <si>
    <t>JAD WP-1.20</t>
  </si>
  <si>
    <t>2024-2025 Pro Forma Pension Expense Adjustment</t>
  </si>
  <si>
    <t>JAD WP-1.21</t>
  </si>
  <si>
    <t>Pro Forma Tax Flow-Through Adjustment</t>
  </si>
  <si>
    <t>JAD WP-1.22</t>
  </si>
  <si>
    <t>Pro Forma O&amp;M Expense Adjustment</t>
  </si>
  <si>
    <t>JAD WP-1.23</t>
  </si>
  <si>
    <t>pgs. 33-34</t>
  </si>
  <si>
    <t>2025 Pro Forma 401K Expense Adjustment</t>
  </si>
  <si>
    <t>JAD WP-1.24</t>
  </si>
  <si>
    <t>2025 Pro Forma Decarbonization Testing &amp; Demonstration Expense Adjustment</t>
  </si>
  <si>
    <t>JAD WP-1.25</t>
  </si>
  <si>
    <t>Plant in Service &amp; Accumulated Depreciation</t>
  </si>
  <si>
    <t>JAD WP-1.26</t>
  </si>
  <si>
    <t>pgs. 37-38</t>
  </si>
  <si>
    <t>Provisional Plant Additions Adjustments</t>
  </si>
  <si>
    <t>JAD WP-1.27</t>
  </si>
  <si>
    <t>pgs. 39-43</t>
  </si>
  <si>
    <t>Proposed Plant Additions</t>
  </si>
  <si>
    <t>JAD WP-1.28</t>
  </si>
  <si>
    <t>pgs. 44-48</t>
  </si>
  <si>
    <t>Cost of Removal</t>
  </si>
  <si>
    <t>JAD WP-1.29</t>
  </si>
  <si>
    <t>pgs. 49-50</t>
  </si>
  <si>
    <t>Customer Advance for Construction &amp; Deferred Taxes</t>
  </si>
  <si>
    <t>JAD WP-1.30</t>
  </si>
  <si>
    <t>pgs. 51-60</t>
  </si>
  <si>
    <t>Projected Accumulated Deferred Income Taxes</t>
  </si>
  <si>
    <t>JAD WP-1.31</t>
  </si>
  <si>
    <t>Working Capital (AMA)</t>
  </si>
  <si>
    <t>JAD WP-1.32</t>
  </si>
  <si>
    <t>pgs. 62-83</t>
  </si>
  <si>
    <t xml:space="preserve">Line No. </t>
  </si>
  <si>
    <t>Customer Formula</t>
  </si>
  <si>
    <t>WA:</t>
  </si>
  <si>
    <t>OR:</t>
  </si>
  <si>
    <t>CASCADE NATURAL GAS CORPORATION</t>
  </si>
  <si>
    <t>12 Months Ended December 31, 2023</t>
  </si>
  <si>
    <t>Test Year Restating Adjustments</t>
  </si>
  <si>
    <t>Test Year Pro Forma Adjustments</t>
  </si>
  <si>
    <t>Total Test Year Adjustments</t>
  </si>
  <si>
    <t>Test Year Pro Forma Results of Operation</t>
  </si>
  <si>
    <t>Total Provisional Year 1 Adjustments</t>
  </si>
  <si>
    <t>Total Provisional Year 2 Adjustments</t>
  </si>
  <si>
    <t>WASHINGTON:</t>
  </si>
  <si>
    <t>Remove Supplemental Schedules Adjustment</t>
  </si>
  <si>
    <t>Normalize Revenue Adjustment</t>
  </si>
  <si>
    <t>Restate End of Period Adjustment</t>
  </si>
  <si>
    <t>Promotional Advertising Adjustment</t>
  </si>
  <si>
    <t>Restate Wages Adjustment</t>
  </si>
  <si>
    <t>Restate Incentives Adjustment</t>
  </si>
  <si>
    <t>Director &amp; Officers Adjustment</t>
  </si>
  <si>
    <t>Restate CCA Labor Expense Adjustment</t>
  </si>
  <si>
    <t>Interest  Coordination Adjustment</t>
  </si>
  <si>
    <t>2024 Pro Forma Wage Adjustment</t>
  </si>
  <si>
    <t>Pro Forma Property Tax Adjustment</t>
  </si>
  <si>
    <t>2024 Pro Forma Pension Expense Adjustment</t>
  </si>
  <si>
    <t>2024 Pro Forma Tax Flow-Through Adjustment</t>
  </si>
  <si>
    <t>2024 Provisonal Plant Additions</t>
  </si>
  <si>
    <t>2024 Offsets to Provisional Plant Additions</t>
  </si>
  <si>
    <t>2025 Provisional Plant Additions</t>
  </si>
  <si>
    <t>2025 Offsets to Provisional Plant Additions</t>
  </si>
  <si>
    <t>2025 Pro Forma Wage Adjustment</t>
  </si>
  <si>
    <t>2025 Pro Forma Pension Expense Adjustment</t>
  </si>
  <si>
    <t>2025 Pro Forma Tax Flow-Through Adjustment</t>
  </si>
  <si>
    <t>2025 Pro Forma Misc. O&amp;M Expense Adjustment</t>
  </si>
  <si>
    <t>STATE ALLOCATION OF INCOME &amp; EXPENSES</t>
  </si>
  <si>
    <t>DIRECT</t>
  </si>
  <si>
    <t>ALLOCATED</t>
  </si>
  <si>
    <t>TOTAL</t>
  </si>
  <si>
    <t>R-1</t>
  </si>
  <si>
    <t>R-2</t>
  </si>
  <si>
    <t>R-3</t>
  </si>
  <si>
    <t>R-4</t>
  </si>
  <si>
    <t>R-5</t>
  </si>
  <si>
    <t>R-6</t>
  </si>
  <si>
    <t>R-7</t>
  </si>
  <si>
    <t>R-8</t>
  </si>
  <si>
    <t>R-9</t>
  </si>
  <si>
    <t>R-10</t>
  </si>
  <si>
    <t>R-11</t>
  </si>
  <si>
    <t>P-1</t>
  </si>
  <si>
    <t>P-2</t>
  </si>
  <si>
    <t>P-3</t>
  </si>
  <si>
    <t>P-4</t>
  </si>
  <si>
    <t>P-5</t>
  </si>
  <si>
    <t>P-6</t>
  </si>
  <si>
    <t>P-7</t>
  </si>
  <si>
    <t>P-8</t>
  </si>
  <si>
    <t>P-9</t>
  </si>
  <si>
    <t>RP-Total</t>
  </si>
  <si>
    <t>PF-Total</t>
  </si>
  <si>
    <t>PR- 1</t>
  </si>
  <si>
    <t>PR - 2</t>
  </si>
  <si>
    <t>PR - 3</t>
  </si>
  <si>
    <t>PR - 4</t>
  </si>
  <si>
    <t>PR - 5</t>
  </si>
  <si>
    <t>PR - 6</t>
  </si>
  <si>
    <t>PR - 7</t>
  </si>
  <si>
    <t>PR - 8</t>
  </si>
  <si>
    <t>PR - 9</t>
  </si>
  <si>
    <t>PR - 10</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</si>
  <si>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</si>
  <si>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</si>
  <si>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</si>
  <si>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</si>
  <si>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</si>
  <si>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</si>
  <si>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</si>
  <si>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</si>
  <si>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</si>
  <si>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</si>
  <si>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</si>
  <si>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</si>
  <si>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</si>
  <si>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</si>
  <si>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</si>
  <si>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</si>
  <si>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</si>
  <si>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</si>
  <si>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</si>
  <si>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</si>
  <si>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</si>
  <si>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</si>
  <si>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</si>
  <si>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</si>
  <si>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</si>
  <si>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</si>
  <si>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</si>
  <si>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</si>
  <si>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</si>
  <si>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</si>
  <si>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</si>
  <si>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</si>
  <si>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</si>
  <si>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</si>
  <si>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</si>
  <si>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</si>
  <si>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</si>
  <si>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</si>
  <si>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</si>
  <si>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</si>
  <si>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</si>
  <si>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</si>
  <si>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</si>
  <si>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</si>
  <si>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</si>
  <si>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</si>
  <si>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</si>
  <si>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</si>
  <si>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</si>
  <si>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</si>
  <si>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</si>
  <si>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</si>
  <si>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</si>
  <si>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</si>
  <si>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</si>
  <si>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</si>
  <si>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Maintenance of Mains</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</si>
  <si>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</si>
  <si>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</si>
  <si>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</si>
  <si>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</si>
  <si>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</si>
  <si>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</si>
  <si>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</si>
  <si>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</si>
  <si>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</si>
  <si>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</si>
  <si>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</si>
  <si>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</si>
  <si>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</si>
  <si>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</si>
  <si>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</si>
  <si>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</si>
  <si>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</si>
  <si>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</si>
  <si>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t>
  </si>
  <si>
    <t>889</t>
  </si>
  <si>
    <t>Meas. &amp; Reg. Equip.-Gen.</t>
  </si>
  <si>
    <t>890</t>
  </si>
  <si>
    <t>Meas. &amp; Reg. Equip.-Ind.</t>
  </si>
  <si>
    <t>892</t>
  </si>
  <si>
    <t>Services</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</si>
  <si>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</si>
  <si>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</si>
  <si>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</si>
  <si>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</si>
  <si>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</si>
  <si>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</si>
  <si>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</si>
  <si>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</si>
  <si>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</si>
  <si>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</si>
  <si>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</si>
  <si>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</si>
  <si>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</si>
  <si>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</si>
  <si>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</si>
  <si>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</si>
  <si>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</si>
  <si>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</si>
  <si>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</si>
  <si>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</si>
  <si>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</si>
  <si>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</si>
  <si>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</si>
  <si>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</si>
  <si>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</si>
  <si>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</si>
  <si>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</si>
  <si>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</si>
  <si>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</si>
  <si>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</si>
  <si>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</si>
  <si>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Advertising</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</si>
  <si>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</si>
  <si>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</si>
  <si>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</si>
  <si>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</si>
  <si>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</si>
  <si>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</si>
  <si>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</si>
  <si>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</si>
  <si>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</si>
  <si>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</si>
  <si>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</si>
  <si>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</si>
  <si>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</si>
  <si>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</si>
  <si>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</si>
  <si>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</si>
  <si>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</si>
  <si>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</si>
  <si>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</si>
  <si>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</si>
  <si>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</si>
  <si>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</si>
  <si>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</si>
  <si>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</si>
  <si>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</si>
  <si>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</si>
  <si>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</si>
  <si>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</si>
  <si>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</si>
  <si>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</si>
  <si>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</si>
  <si>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</si>
  <si>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</si>
  <si>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</si>
  <si>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</si>
  <si>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</si>
  <si>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</si>
  <si>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</si>
  <si>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</si>
  <si>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</si>
  <si>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</si>
  <si>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</si>
  <si>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</si>
  <si>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</si>
  <si>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</si>
  <si>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</si>
  <si>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</si>
  <si>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</si>
  <si>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</si>
  <si>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</si>
  <si>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</si>
  <si>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</si>
  <si>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</si>
  <si>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</si>
  <si>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</si>
  <si>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</si>
  <si>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</si>
  <si>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</si>
  <si>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427.0</t>
  </si>
  <si>
    <t>Interest on Long Term Debt</t>
  </si>
  <si>
    <t>428.0</t>
  </si>
  <si>
    <t>Amort. of Debt Discount and Exp.</t>
  </si>
  <si>
    <t>428.1</t>
  </si>
  <si>
    <t>Amort. of Loss on Reacquired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</si>
  <si>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</si>
  <si>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</si>
  <si>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</si>
  <si>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</si>
  <si>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</si>
  <si>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</si>
  <si>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</si>
  <si>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</si>
  <si>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</si>
  <si>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</si>
  <si>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</si>
  <si>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</si>
  <si>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</si>
  <si>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</si>
  <si>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</si>
  <si>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</si>
  <si>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</si>
  <si>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</si>
  <si>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</si>
  <si>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</si>
  <si>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</si>
  <si>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</si>
  <si>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</si>
  <si>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</si>
  <si>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</si>
  <si>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</si>
  <si>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Gain on Disposition of Property</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</si>
  <si>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</si>
  <si>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</si>
  <si>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</si>
  <si>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</si>
  <si>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</si>
  <si>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</si>
  <si>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</si>
  <si>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</si>
  <si>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</si>
  <si>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</si>
  <si>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</si>
  <si>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</si>
  <si>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</si>
  <si>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</si>
  <si>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</si>
  <si>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</si>
  <si>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</si>
  <si>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</si>
  <si>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</si>
  <si>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</si>
  <si>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</si>
  <si>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</si>
  <si>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</si>
  <si>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Test Year</t>
  </si>
  <si>
    <t>AMA - LTM (12/31/23)</t>
  </si>
  <si>
    <t>EOP - LTM (12/31/23)</t>
  </si>
  <si>
    <t>EOP - LTM (12/31/24)</t>
  </si>
  <si>
    <t>EOP - LTM (12/31/25)</t>
  </si>
  <si>
    <t>Total WA Plant in Service</t>
  </si>
  <si>
    <t>Total WA Accumulated Depreciation</t>
  </si>
  <si>
    <t>Net Plant in Service</t>
  </si>
  <si>
    <t>WA Customer Advances for Construction</t>
  </si>
  <si>
    <t>WA Deferred Taxes</t>
  </si>
  <si>
    <t>WA Working Capital</t>
  </si>
  <si>
    <t>Total WA Rate Base</t>
  </si>
  <si>
    <t>Capital Structure</t>
  </si>
  <si>
    <t>Cost</t>
  </si>
  <si>
    <t>WACC</t>
  </si>
  <si>
    <t xml:space="preserve">Long-Term Debt     </t>
  </si>
  <si>
    <t>Short-Term Debt</t>
  </si>
  <si>
    <t xml:space="preserve">Preferred Stock      </t>
  </si>
  <si>
    <t xml:space="preserve">Common Equity     </t>
  </si>
  <si>
    <t xml:space="preserve">Total          </t>
  </si>
  <si>
    <t>EDIT</t>
  </si>
  <si>
    <t>PGA</t>
  </si>
  <si>
    <t>Conservation</t>
  </si>
  <si>
    <t>Other</t>
  </si>
  <si>
    <t>WA Protected-Plus EDIT</t>
  </si>
  <si>
    <t>WA Unprotected EDIT</t>
  </si>
  <si>
    <t xml:space="preserve">Total Supplemental Adjustments </t>
  </si>
  <si>
    <t>Sch 581</t>
  </si>
  <si>
    <t>Sch 582</t>
  </si>
  <si>
    <t>Sch 590</t>
  </si>
  <si>
    <t>Sch 596</t>
  </si>
  <si>
    <t>Sch 593</t>
  </si>
  <si>
    <t>Sch 594</t>
  </si>
  <si>
    <t>Total Revenue adjustments</t>
  </si>
  <si>
    <t>From Proof of Revenue</t>
  </si>
  <si>
    <t>Total Adjustment to Revenues</t>
  </si>
  <si>
    <t>Natural Gas Purchased</t>
  </si>
  <si>
    <t>Total Adjustment to Expenses</t>
  </si>
  <si>
    <t>Net Adjustment</t>
  </si>
  <si>
    <t>Protected Plus EDIT Amortization in Accounts 4962 &amp; 4962.1</t>
  </si>
  <si>
    <t>Unprotected EDIT Amortization in Accounts 4962 &amp; 4962.1</t>
  </si>
  <si>
    <t xml:space="preserve">Average Cost of Gas in Accounts 804, 805.1, 808.1, 808.2, &amp; 812 </t>
  </si>
  <si>
    <t>Temporary Gas Cost Amortization in Accounts 804, 805.1, 808.1, 808.2, &amp; 813</t>
  </si>
  <si>
    <t>Conservation Amortization in Account 908</t>
  </si>
  <si>
    <t>Cascade Natural Gas Corporation</t>
  </si>
  <si>
    <t>Amounts</t>
  </si>
  <si>
    <t>Billing Determinant Recalculation at Current Rates Adjustment</t>
  </si>
  <si>
    <t>Subtotal</t>
  </si>
  <si>
    <t>Weather Normalization Adjustment</t>
  </si>
  <si>
    <t>Total Revenue Adjustment</t>
  </si>
  <si>
    <t>EOP Adjustment</t>
  </si>
  <si>
    <t>Total EOP Revenue Adjustment</t>
  </si>
  <si>
    <t>Depn Summary</t>
  </si>
  <si>
    <t>End Plant Balance (12/31/23)</t>
  </si>
  <si>
    <t>Current Rates (UG-200278)</t>
  </si>
  <si>
    <t>EOP Monthly Depn</t>
  </si>
  <si>
    <t>Notes</t>
  </si>
  <si>
    <t>301-G-Organization</t>
  </si>
  <si>
    <t>302-G-Franchises</t>
  </si>
  <si>
    <t>303-G-Misc. Intangible Plant</t>
  </si>
  <si>
    <t>365-G-Land and Land Rights</t>
  </si>
  <si>
    <t>365-G-Rights-of-Way</t>
  </si>
  <si>
    <t>366-G-Structures</t>
  </si>
  <si>
    <t>367-G-Mains</t>
  </si>
  <si>
    <t>369-G-Measuring/Regulating Equipmen</t>
  </si>
  <si>
    <t>Fully depreciated</t>
  </si>
  <si>
    <t>374-G-Land</t>
  </si>
  <si>
    <t>374-G-Land and Land Rights</t>
  </si>
  <si>
    <t>375-G-Structures &amp; Improvements</t>
  </si>
  <si>
    <t>376-G-Mains-High Pressure Steel</t>
  </si>
  <si>
    <t>376-G-Mains-Plastic</t>
  </si>
  <si>
    <t>376-G-Mains-Steel</t>
  </si>
  <si>
    <t>377-G-Compressor Station</t>
  </si>
  <si>
    <t>378-G-Measure/Regulation</t>
  </si>
  <si>
    <t>379-G-Measure/Regulation City</t>
  </si>
  <si>
    <t>380-G-Services-Plastc</t>
  </si>
  <si>
    <t>380-G-Services-Steel</t>
  </si>
  <si>
    <t>381-G-ERT Units</t>
  </si>
  <si>
    <t>381-G-Meters</t>
  </si>
  <si>
    <t>383-G-Service Regulators</t>
  </si>
  <si>
    <t>385-G-Industrial Meas. &amp; Reg Stn Eq</t>
  </si>
  <si>
    <t>389-G-Land &amp; Land Rights</t>
  </si>
  <si>
    <t>390-G-Leasehold Improvement</t>
  </si>
  <si>
    <t>390-G-Structures &amp; Improvements</t>
  </si>
  <si>
    <t>$4,830,297.88 fully depreciated</t>
  </si>
  <si>
    <t>391-G-Comp Equip-Server &amp; Workstati</t>
  </si>
  <si>
    <t>391-G-Office Equipment</t>
  </si>
  <si>
    <t>$73,458.59 fully depreciated</t>
  </si>
  <si>
    <t>391-G-Office Furniture &amp; Fixtures</t>
  </si>
  <si>
    <t>391-G-Software</t>
  </si>
  <si>
    <t>392-G-Trailers</t>
  </si>
  <si>
    <t>Depreciation is applied to Auto and Work Clearing Accounts</t>
  </si>
  <si>
    <t>392-G-Transportation Equipment</t>
  </si>
  <si>
    <t>393-G-Stores Equipment</t>
  </si>
  <si>
    <t>$37,894.44 fully depreciated</t>
  </si>
  <si>
    <t>394-G-Tools,Shop,Garage Equip</t>
  </si>
  <si>
    <t>394-G-Vehicle CNG Equipment</t>
  </si>
  <si>
    <t>395-G-Laboratory Equipment</t>
  </si>
  <si>
    <t>396-G-Power Operated Equipment</t>
  </si>
  <si>
    <t>396-G-Trailers-Work Equipment</t>
  </si>
  <si>
    <t>397-G-Radio Comm Equip-Fixed</t>
  </si>
  <si>
    <t>397-G-Radio Comm Equip-Mobile</t>
  </si>
  <si>
    <t>397-G-Supervisory &amp; Telemeter Equip</t>
  </si>
  <si>
    <t>397-G-Telephone &amp; Telex Equip</t>
  </si>
  <si>
    <t>398-G-Miscellaneous Equipment</t>
  </si>
  <si>
    <t>Annual EOP Depn (2023)</t>
  </si>
  <si>
    <t>Base Year Depn (2023)</t>
  </si>
  <si>
    <t>Change</t>
  </si>
  <si>
    <t>CRM Proposed Revenue</t>
  </si>
  <si>
    <t>Less Billed CRM Revenue</t>
  </si>
  <si>
    <t>Total CRM Revenue Adjustment</t>
  </si>
  <si>
    <t>Allocated</t>
  </si>
  <si>
    <t>Direct</t>
  </si>
  <si>
    <t>3-Factor Allocator</t>
  </si>
  <si>
    <t>FERC Account 913</t>
  </si>
  <si>
    <t>Promotional Advertising</t>
  </si>
  <si>
    <t>Total Account 913</t>
  </si>
  <si>
    <t>FERC Account 930.1</t>
  </si>
  <si>
    <t>Dec 2022 ND sales tax refund</t>
  </si>
  <si>
    <t>DOC #14794</t>
  </si>
  <si>
    <t>DOC #14796</t>
  </si>
  <si>
    <t>DOC #14797</t>
  </si>
  <si>
    <t>DOC #14798</t>
  </si>
  <si>
    <t>BISMARCK MANDAN CHAMBER FOUNDA</t>
  </si>
  <si>
    <t>YEAR 4 OF 5</t>
  </si>
  <si>
    <t>RELENTLESS RACES</t>
  </si>
  <si>
    <t>ADVERTISING/SPONSORSHIP FUNDS</t>
  </si>
  <si>
    <t>BISMARCK TRIBUNE - advertising</t>
  </si>
  <si>
    <t>ACCT 104-60043089</t>
  </si>
  <si>
    <t>NORTH DAKOTA LEAGUE OF CITIES</t>
  </si>
  <si>
    <t>BUSINESS PARTNER MEMBERSHIP</t>
  </si>
  <si>
    <t>ADVERTISING</t>
  </si>
  <si>
    <t>COACHES CHOICE INC</t>
  </si>
  <si>
    <t>CUST #1593</t>
  </si>
  <si>
    <t>SPONSORING COMMITTEE,THE</t>
  </si>
  <si>
    <t>SPONSOR ND PRAYER BREAKFAST</t>
  </si>
  <si>
    <t>BISMARCK MARATHON</t>
  </si>
  <si>
    <t>2ND OF 3 PMTS 2022-2024</t>
  </si>
  <si>
    <t>BISMARCK LARKS BASEBALL TEAM</t>
  </si>
  <si>
    <t>2023 SPONSORSHIP</t>
  </si>
  <si>
    <t>Invoice 22635</t>
  </si>
  <si>
    <t>Customer 1593</t>
  </si>
  <si>
    <t>BISMARCK PARKS &amp; RECREATION DI</t>
  </si>
  <si>
    <t>YOUTH BASEBALL/SOFTBALL SPONS</t>
  </si>
  <si>
    <t>CUST #1595</t>
  </si>
  <si>
    <t>C FONG 2-23</t>
  </si>
  <si>
    <t>GNDC Policy Summit</t>
  </si>
  <si>
    <t>N FERDERER 2-23</t>
  </si>
  <si>
    <t>Crayons for Lemonade Day</t>
  </si>
  <si>
    <t>2023 GNDC Advertising</t>
  </si>
  <si>
    <t>MSA United Way Sponsorship</t>
  </si>
  <si>
    <t>T KEMPTON 2-23</t>
  </si>
  <si>
    <t>ad in magazine</t>
  </si>
  <si>
    <t>USETAX - PCARDS 0223</t>
  </si>
  <si>
    <t>USETAXPCARDS</t>
  </si>
  <si>
    <t>Feb 2023 ND use tax refund</t>
  </si>
  <si>
    <t>DOC #15343</t>
  </si>
  <si>
    <t>ACCT #104-60043089</t>
  </si>
  <si>
    <t>DIGITAL NORTH MEDIA, LLC</t>
  </si>
  <si>
    <t>2023 Hockey Sponsorship</t>
  </si>
  <si>
    <t>BISMARCK HIHERALD</t>
  </si>
  <si>
    <t>Advertisement</t>
  </si>
  <si>
    <t>M STECKLER 3-23</t>
  </si>
  <si>
    <t>CLO Advertising</t>
  </si>
  <si>
    <t>NORTH DAKOTA NEWSPAPER ASSOC</t>
  </si>
  <si>
    <t>2023 NDNA/SDNA GOLD SPONSOR</t>
  </si>
  <si>
    <t>MONTANA INFRASTRUCTURE COALITI</t>
  </si>
  <si>
    <t>DOC 14904</t>
  </si>
  <si>
    <t>C FONG 4-23</t>
  </si>
  <si>
    <t>Sponsorship</t>
  </si>
  <si>
    <t>PBR Sponsorship</t>
  </si>
  <si>
    <t>ASSOCIATION OF WASHINGTON BUSI</t>
  </si>
  <si>
    <t>SPRING MEETING 2023</t>
  </si>
  <si>
    <t>MANDAN PROGRESS ORGANIZATION</t>
  </si>
  <si>
    <t>TOUCH A TRUCK SPONSOR</t>
  </si>
  <si>
    <t>ACCOUNT 1680195</t>
  </si>
  <si>
    <t>CUST 1593</t>
  </si>
  <si>
    <t>THE MHS COURIER</t>
  </si>
  <si>
    <t>HALF PAGE ADS</t>
  </si>
  <si>
    <t>MISSOURI RIVER CLAY TARGET LEA</t>
  </si>
  <si>
    <t>SPONSORSHIP</t>
  </si>
  <si>
    <t>T KEMPTON 5-23</t>
  </si>
  <si>
    <t>USETAX - PCARDS 0523</t>
  </si>
  <si>
    <t>useTAX PCARDS</t>
  </si>
  <si>
    <t>LEGACY BOYS BASKETBALL BOOSTER</t>
  </si>
  <si>
    <t>HOLE SPONSOR GOLF TOURNAMENT</t>
  </si>
  <si>
    <t>SANFORD HEALTH FOUNDATION</t>
  </si>
  <si>
    <t>GALA SPONSORSHIP</t>
  </si>
  <si>
    <t>WESTERN GOVERNORS ASSOCIATION</t>
  </si>
  <si>
    <t>WGA SPONSORSHIP</t>
  </si>
  <si>
    <t>MANDAN RODEO DAYS</t>
  </si>
  <si>
    <t>SPONSORSHIP FEES</t>
  </si>
  <si>
    <t>GOVERNOR'S OFFICE OF ECONOMIC</t>
  </si>
  <si>
    <t>2023 GOVERNOR'S HUNT SPONSOR</t>
  </si>
  <si>
    <t>HALF PAGE</t>
  </si>
  <si>
    <t>PURDUE UNIVERSITY OUTSIDE AWAR</t>
  </si>
  <si>
    <t>TEEN OF THE YEAR SCHOLARSHIP</t>
  </si>
  <si>
    <t>A BLESSUM 7-23</t>
  </si>
  <si>
    <t>Bismarck Marathon sponsorship</t>
  </si>
  <si>
    <t>L LUEDER 7-23</t>
  </si>
  <si>
    <t>Scholarship sponsorship</t>
  </si>
  <si>
    <t>SANTA RUN</t>
  </si>
  <si>
    <t>SPONSOR</t>
  </si>
  <si>
    <t>COLLEGE SAVE</t>
  </si>
  <si>
    <t>AUG. 2023 CHAMBER CONNECTION</t>
  </si>
  <si>
    <t>C FONG 8-23</t>
  </si>
  <si>
    <t>Capital Curling - Advertising</t>
  </si>
  <si>
    <t>BISMARCK HIGH SCHOOL</t>
  </si>
  <si>
    <t>SUCHY, BEN</t>
  </si>
  <si>
    <t>MUSICAL ENTERTAINMENT</t>
  </si>
  <si>
    <t>MONTANA TAXPAYERS ASSOCIATION</t>
  </si>
  <si>
    <t>2023 SPONSOR</t>
  </si>
  <si>
    <t>INTERNATIONAL RIGHT-OF-WAY ASS</t>
  </si>
  <si>
    <t>SPONSOR FALL FORUM</t>
  </si>
  <si>
    <t>MEMBER 61</t>
  </si>
  <si>
    <t>MESSIAH</t>
  </si>
  <si>
    <t>DONATION</t>
  </si>
  <si>
    <t>MANDAN HIGH SCHOOL THE COURIER</t>
  </si>
  <si>
    <t>ADVERTISING HALF PAGE</t>
  </si>
  <si>
    <t>C FONG 9-23</t>
  </si>
  <si>
    <t>BisMan Chamber EDC</t>
  </si>
  <si>
    <t>BisMan Chamber EDC Ad</t>
  </si>
  <si>
    <t>Advertising Contract</t>
  </si>
  <si>
    <t>BISMARCK ART &amp; GALLERIES ASSOC</t>
  </si>
  <si>
    <t>HALF PAGE AD</t>
  </si>
  <si>
    <t>DICKINSON HOCKEY CLUB</t>
  </si>
  <si>
    <t>BOARD SIGNS</t>
  </si>
  <si>
    <t>BOBCAT HOCKEY</t>
  </si>
  <si>
    <t>2023/2024 PARTNERSHIP</t>
  </si>
  <si>
    <t>MAGIC 12U GIRLS SOCCER</t>
  </si>
  <si>
    <t>TEAM SPONSORSHIP</t>
  </si>
  <si>
    <t>C FONG 10-23</t>
  </si>
  <si>
    <t>MDUR 100th Birthday</t>
  </si>
  <si>
    <t>L LUEDER 11-23</t>
  </si>
  <si>
    <t>Advertising Sponsorship</t>
  </si>
  <si>
    <t>C FONG 11-23</t>
  </si>
  <si>
    <t>Event Sponsorship</t>
  </si>
  <si>
    <t>LUNCH FOR BISMARCK MARATHON</t>
  </si>
  <si>
    <t>STEM EXPO BAGS</t>
  </si>
  <si>
    <t>NDIT-EDUTech</t>
  </si>
  <si>
    <t>CYBER MADNESS SLIVER SPONSOR</t>
  </si>
  <si>
    <t>PACIFIC NORTHWEST ECONOMIC REG</t>
  </si>
  <si>
    <t>BRONZE SPONSORSHIP</t>
  </si>
  <si>
    <t>C FONG 12-23</t>
  </si>
  <si>
    <t>L LUEDER 12-23</t>
  </si>
  <si>
    <t>Facebook job post for WBI</t>
  </si>
  <si>
    <t>Total Account 930.1</t>
  </si>
  <si>
    <t>Account No</t>
  </si>
  <si>
    <t>2023 [1] Non-Capital Wages</t>
  </si>
  <si>
    <t>Wage Increase Date</t>
  </si>
  <si>
    <t>Year-to-date [1] Annual Wage Prior to Increase</t>
  </si>
  <si>
    <t>[2]</t>
  </si>
  <si>
    <t>2023 Annualized Wage Increase</t>
  </si>
  <si>
    <t>Total 2023 Annualized Wages</t>
  </si>
  <si>
    <t>2024 Wage Increase [3]</t>
  </si>
  <si>
    <t xml:space="preserve"> 2024 Total Pro Forma Wage Adjustment</t>
  </si>
  <si>
    <t>2024 Total Wages</t>
  </si>
  <si>
    <t xml:space="preserve"> 2025 Total Pro Forma Wage Adjustment</t>
  </si>
  <si>
    <t>2025 Total Wages</t>
  </si>
  <si>
    <t>Non-Union</t>
  </si>
  <si>
    <t>Union</t>
  </si>
  <si>
    <t>Apr 1 2023</t>
  </si>
  <si>
    <t>Payroll Tax Percentage</t>
  </si>
  <si>
    <t>Employer FICA</t>
  </si>
  <si>
    <t>Other Gas Supply</t>
  </si>
  <si>
    <t>28130</t>
  </si>
  <si>
    <t>Operation Supervision &amp; Engineering</t>
  </si>
  <si>
    <t>28700</t>
  </si>
  <si>
    <t>28710</t>
  </si>
  <si>
    <t>Routine Main/Service Operation</t>
  </si>
  <si>
    <t>28740</t>
  </si>
  <si>
    <t>Measuring and Regulating-General</t>
  </si>
  <si>
    <t>Measuring and Regulating-Industrial</t>
  </si>
  <si>
    <t>Distribution Maps/Records &amp; Misc.</t>
  </si>
  <si>
    <t>28800</t>
  </si>
  <si>
    <t>Maintenance Supervision &amp; Engineering</t>
  </si>
  <si>
    <t>Mains-Maintenance</t>
  </si>
  <si>
    <t>28870</t>
  </si>
  <si>
    <t>Maintenance of Measuring &amp; Regulating</t>
  </si>
  <si>
    <t>Maintenance of Services</t>
  </si>
  <si>
    <t>28920</t>
  </si>
  <si>
    <t>Meter/Regulator Maintenance</t>
  </si>
  <si>
    <t>28930</t>
  </si>
  <si>
    <t>Maintenance of Other</t>
  </si>
  <si>
    <t>Customer Accounting Supervision</t>
  </si>
  <si>
    <t>Routine Meter Reading</t>
  </si>
  <si>
    <t>Customer Collection</t>
  </si>
  <si>
    <t>29030</t>
  </si>
  <si>
    <t>Routine Customer Assistance</t>
  </si>
  <si>
    <t>Misc. Customer Service &amp; Information</t>
  </si>
  <si>
    <t>Administration &amp; General</t>
  </si>
  <si>
    <t>29200</t>
  </si>
  <si>
    <t xml:space="preserve">Compressor Station Operating </t>
  </si>
  <si>
    <t>Locating Mains &amp; Services</t>
  </si>
  <si>
    <t>28741</t>
  </si>
  <si>
    <t>Routine Main &amp; Services Leak Surveys</t>
  </si>
  <si>
    <t>28742</t>
  </si>
  <si>
    <t>28770</t>
  </si>
  <si>
    <t>Routine Meter and House Regulator</t>
  </si>
  <si>
    <t>Customer Installation</t>
  </si>
  <si>
    <t>Compressor Station Maintenance</t>
  </si>
  <si>
    <t>28910</t>
  </si>
  <si>
    <t>5110: O&amp;M Straight time allocated to CNG for 2023</t>
  </si>
  <si>
    <t>28720</t>
  </si>
  <si>
    <t>28850</t>
  </si>
  <si>
    <t>29010</t>
  </si>
  <si>
    <t>29020</t>
  </si>
  <si>
    <t>29080</t>
  </si>
  <si>
    <t>Demonstration</t>
  </si>
  <si>
    <t>29120</t>
  </si>
  <si>
    <t>Total Allocated Accounts</t>
  </si>
  <si>
    <t>Notes:</t>
  </si>
  <si>
    <t>[1] Provided by Cascade Human Resources</t>
  </si>
  <si>
    <t>[2] Union increase from the 2021 Agreement between CNGC and Local No. 121-C of the International Chemical Workers' Union Council/UFCW</t>
  </si>
  <si>
    <t>[3] Union increase is an estimate.  The new union agreement is currently in negotiations.</t>
  </si>
  <si>
    <t>Incentives Adjustment</t>
  </si>
  <si>
    <t>Descripton</t>
  </si>
  <si>
    <t>Figures</t>
  </si>
  <si>
    <t>WA-Direct</t>
  </si>
  <si>
    <t>WA-Allocated</t>
  </si>
  <si>
    <t>MDU-WA</t>
  </si>
  <si>
    <t>MDUR- WA</t>
  </si>
  <si>
    <t>MDUR Exec Incentive Plan</t>
  </si>
  <si>
    <t>MDUR Employee Incentive Plan</t>
  </si>
  <si>
    <t>MDU Exec Incentive Plan</t>
  </si>
  <si>
    <t>MDU Employee Incentive Plan</t>
  </si>
  <si>
    <t>CNG Direct Employee Incentive Plan</t>
  </si>
  <si>
    <t>CNG Allocated Employee Incentive Plan</t>
  </si>
  <si>
    <t>Total WA Executive Incentives</t>
  </si>
  <si>
    <t>Remove Executive Incentives</t>
  </si>
  <si>
    <t>Total Incentives</t>
  </si>
  <si>
    <t>Executive Incentives</t>
  </si>
  <si>
    <t>Employee Incentives</t>
  </si>
  <si>
    <t>5-YR Avg</t>
  </si>
  <si>
    <t>5-YR Avg of Incentives Adj.</t>
  </si>
  <si>
    <t>Total incentive adjustment</t>
  </si>
  <si>
    <t>FERC Account Spread:</t>
  </si>
  <si>
    <t>Incentive Compensation before Adjustment</t>
  </si>
  <si>
    <t>Relative Percentage</t>
  </si>
  <si>
    <t>Spread of Adjustment</t>
  </si>
  <si>
    <t>813</t>
  </si>
  <si>
    <t>874</t>
  </si>
  <si>
    <t>877</t>
  </si>
  <si>
    <t>D&amp;O Expense</t>
  </si>
  <si>
    <t>Disallowed Percentage</t>
  </si>
  <si>
    <t>Remove 100% of Allocated Company Organization Dues</t>
  </si>
  <si>
    <t>Total Adjustment</t>
  </si>
  <si>
    <t>Reverse 2023 COVID-19 Deferral Offsets:</t>
  </si>
  <si>
    <t>Remove 2023 Bad Debt Offsets</t>
  </si>
  <si>
    <t>Remove 2023 O&amp;M Work Order Costs Offsets</t>
  </si>
  <si>
    <t>Remove 2023 Credit &amp; Collecitons O&amp;M Offsets</t>
  </si>
  <si>
    <t>Remove 2023 O&amp;M Savings Offsets</t>
  </si>
  <si>
    <t>Reverse 2023 CCA Labor Deferral Offsets:</t>
  </si>
  <si>
    <t>Labor &amp; Benefits in Account 908</t>
  </si>
  <si>
    <t>Labor &amp; Benefits in Account 920</t>
  </si>
  <si>
    <t>Total 2023 Operating Revenues After Restating and Proforma Adjustments</t>
  </si>
  <si>
    <t>Commission Fee Rate</t>
  </si>
  <si>
    <t>Total Commission Fee Expense</t>
  </si>
  <si>
    <t>Less 2023 Test Year Commission Fee Expense</t>
  </si>
  <si>
    <t>Total Commission Fees Adjustment</t>
  </si>
  <si>
    <t>2023 Test Year Commisison Fee Expense:</t>
  </si>
  <si>
    <t>2023 Commission Fee Expense in Account 47WA.4081.1441</t>
  </si>
  <si>
    <t>Commission Fee Expense Adjustments:</t>
  </si>
  <si>
    <t>B&amp;O Tax</t>
  </si>
  <si>
    <t>Recon</t>
  </si>
  <si>
    <t>Annualize CRM</t>
  </si>
  <si>
    <t>Restate EOP</t>
  </si>
  <si>
    <t>Supplemental Schedules</t>
  </si>
  <si>
    <t>Normalize Revenue</t>
  </si>
  <si>
    <t>Total 2023 Test Year Commisison Fee Expense</t>
  </si>
  <si>
    <t>Avg Cost of Debt</t>
  </si>
  <si>
    <t>TY Interest Expense</t>
  </si>
  <si>
    <t>Taxes</t>
  </si>
  <si>
    <t>Costs</t>
  </si>
  <si>
    <t>Annual Amortization</t>
  </si>
  <si>
    <t>2017 Deferral</t>
  </si>
  <si>
    <t>Beg. Aug. 2018 (UG-170929)</t>
  </si>
  <si>
    <t>2018 Deferral</t>
  </si>
  <si>
    <t>Beg. Mar 2020 (UG-190210)</t>
  </si>
  <si>
    <t>2019 Deferral</t>
  </si>
  <si>
    <t>Beg. July 2021 (UG-200568)</t>
  </si>
  <si>
    <t>2023 Deferral</t>
  </si>
  <si>
    <t>Total Costs</t>
  </si>
  <si>
    <t>New Annual Amortization</t>
  </si>
  <si>
    <t>2023 Test Year Amortization Expense</t>
  </si>
  <si>
    <t>Guidehouse</t>
  </si>
  <si>
    <t>Brattle</t>
  </si>
  <si>
    <t>Attrium</t>
  </si>
  <si>
    <t>Perkins Coie</t>
  </si>
  <si>
    <t>H Gil Peach &amp; Associates LLC</t>
  </si>
  <si>
    <t>Estimated Rate Case Costs</t>
  </si>
  <si>
    <t>Normalized over 2 years</t>
  </si>
  <si>
    <t>Less 2023 Test Year Rate Case Expense</t>
  </si>
  <si>
    <t>2024 Estimated Medical, Dental, &amp; Life Insurance Expense</t>
  </si>
  <si>
    <t>Less 2023 Test Year Medical, Dental, &amp; Life Insurance Expense</t>
  </si>
  <si>
    <t>Incremental Medical, Dental, &amp; Life Insurance Expense</t>
  </si>
  <si>
    <t>2022 Plant in Service</t>
  </si>
  <si>
    <t>2023 Estimated Property Tax Expense</t>
  </si>
  <si>
    <t>Effective Property Tax Rate</t>
  </si>
  <si>
    <t>2023 Plant in Service</t>
  </si>
  <si>
    <t>Incremental Plant in Service</t>
  </si>
  <si>
    <t>2024 Incremental Pension Expense - Total Company</t>
  </si>
  <si>
    <t>2025 Incremental Pension Expense - Total Company</t>
  </si>
  <si>
    <t>Operating Income Adjustment:</t>
  </si>
  <si>
    <t>WA Allocation %</t>
  </si>
  <si>
    <t>WA 2024 Incremental Pension Expense</t>
  </si>
  <si>
    <t>WA 2025 Incremental Pension Expense</t>
  </si>
  <si>
    <t>Rate Base Adjustment:</t>
  </si>
  <si>
    <t>Actual</t>
  </si>
  <si>
    <t>Projected</t>
  </si>
  <si>
    <t>Pension Contribution Account</t>
  </si>
  <si>
    <t>Monthly Averages</t>
  </si>
  <si>
    <t>2024 Average of monthly averages</t>
  </si>
  <si>
    <t>2023 Average of monthly averages</t>
  </si>
  <si>
    <t>Incremental Change</t>
  </si>
  <si>
    <t>WA Working Capital Allocation</t>
  </si>
  <si>
    <t>2024 Working capital adjustment - AMA</t>
  </si>
  <si>
    <t>2025 Average of monthly averages</t>
  </si>
  <si>
    <t>2025 Working capital adjustment - AMA</t>
  </si>
  <si>
    <t>2024 Estimated Tax Flow-Through Expense</t>
  </si>
  <si>
    <t>Less 2023 Tax Flow-Through Expense</t>
  </si>
  <si>
    <t>2024 Incremental Tax Flow-Through Expense</t>
  </si>
  <si>
    <t>2024 Pro Forma Tax Flow-Through Expense</t>
  </si>
  <si>
    <t>2025 Estimated Tax Flow-Through Expense</t>
  </si>
  <si>
    <t>Less 2024 Estimated Tax Flow-Through Expense</t>
  </si>
  <si>
    <t>2025 Incremental Tax Flow-Through Benefit</t>
  </si>
  <si>
    <t>2025 Pro Forma Tax Flow-Through Benefit</t>
  </si>
  <si>
    <t>4-Year Average</t>
  </si>
  <si>
    <t>Unadjusted Operations and Maintenance Expense</t>
  </si>
  <si>
    <t>Remove Expenses Related to Restating and Pro Forma Adjustments:</t>
  </si>
  <si>
    <t>Labor</t>
  </si>
  <si>
    <t>Director and Officer Adjustment Expense</t>
  </si>
  <si>
    <t>Remove Outside Services</t>
  </si>
  <si>
    <t>MAOP Amortizaiton</t>
  </si>
  <si>
    <t>Conservation Amortization</t>
  </si>
  <si>
    <t xml:space="preserve">Total Adjustments </t>
  </si>
  <si>
    <t>Adjusted Operations and Maintenance Expense</t>
  </si>
  <si>
    <t>O&amp;M Escalation Rate</t>
  </si>
  <si>
    <t>FERC Account</t>
  </si>
  <si>
    <t>Account Title</t>
  </si>
  <si>
    <t>Unadjusted Test Year</t>
  </si>
  <si>
    <t>Remove Labor</t>
  </si>
  <si>
    <t>Remove D&amp;O</t>
  </si>
  <si>
    <t>Remove Advertising</t>
  </si>
  <si>
    <t>Remove Uncollectible Accounts</t>
  </si>
  <si>
    <t>Remove MAOP Amortization</t>
  </si>
  <si>
    <t>Remove Conservation Amortization</t>
  </si>
  <si>
    <t>Adjusted Test Year</t>
  </si>
  <si>
    <t>2024 Misc. O&amp;M Adjustment</t>
  </si>
  <si>
    <t>2025 Misc. O&amp;M Adjustment</t>
  </si>
  <si>
    <t>2025 401K Expense Increase - Cascade Non-Union</t>
  </si>
  <si>
    <t>WA 2025 401K Expense Increase</t>
  </si>
  <si>
    <t>2025 Estimated Decarbonization Testing &amp; Demonstration Expense Increase</t>
  </si>
  <si>
    <t>Description - Depr Group</t>
  </si>
  <si>
    <t>Summary</t>
  </si>
  <si>
    <t>Dec-2022 Plant</t>
  </si>
  <si>
    <t>Dec-2022 Reserve</t>
  </si>
  <si>
    <t>Jan-2023 Plant</t>
  </si>
  <si>
    <t>Jan-2023 Reserve</t>
  </si>
  <si>
    <t>Feb-2023 Plant</t>
  </si>
  <si>
    <t>Feb-2023 Reserve</t>
  </si>
  <si>
    <t>Mar-2023 Plant</t>
  </si>
  <si>
    <t>Mar-2023 Reserve</t>
  </si>
  <si>
    <t>Apr-2023 Plant</t>
  </si>
  <si>
    <t>Apr-2023 Reserve</t>
  </si>
  <si>
    <t>May-2023 Plant</t>
  </si>
  <si>
    <t>May-2023 Reserve</t>
  </si>
  <si>
    <t>Jun-2023 Plant</t>
  </si>
  <si>
    <t>Jun-2023 Reserve</t>
  </si>
  <si>
    <t>Jul-2023 Plant</t>
  </si>
  <si>
    <t>Jul-2023 Reserve</t>
  </si>
  <si>
    <t>Aug-2023 Plant</t>
  </si>
  <si>
    <t>Aug-2023 Reserve</t>
  </si>
  <si>
    <t>Sept-2023 Plant</t>
  </si>
  <si>
    <t>Sept-2023 Reserve</t>
  </si>
  <si>
    <t>Oct-2023 Plant</t>
  </si>
  <si>
    <t>Oct-2023 Reserve</t>
  </si>
  <si>
    <t>Nov-2023 Plant</t>
  </si>
  <si>
    <t>Nov-2023 Reserve</t>
  </si>
  <si>
    <t>Dec-2023 Plant</t>
  </si>
  <si>
    <t>Dec-2023 Reserve</t>
  </si>
  <si>
    <t>Average of Monthly Avg Plant</t>
  </si>
  <si>
    <t>Average of MonthlyAvg Reserve</t>
  </si>
  <si>
    <t>Q</t>
  </si>
  <si>
    <t>R</t>
  </si>
  <si>
    <t>S</t>
  </si>
  <si>
    <t>T</t>
  </si>
  <si>
    <t>U</t>
  </si>
  <si>
    <t>V</t>
  </si>
  <si>
    <t>W</t>
  </si>
  <si>
    <t>X</t>
  </si>
  <si>
    <t>Y</t>
  </si>
  <si>
    <t>Z</t>
  </si>
  <si>
    <t>AA</t>
  </si>
  <si>
    <t>AB</t>
  </si>
  <si>
    <t>AC</t>
  </si>
  <si>
    <t>AD</t>
  </si>
  <si>
    <t>Oregon</t>
  </si>
  <si>
    <t>CNG-302-G-Franchises-00038</t>
  </si>
  <si>
    <t>00038</t>
  </si>
  <si>
    <t>CNG-303-G-Intang-00038-40 YR-2014</t>
  </si>
  <si>
    <t>CNG-303-G-Intang-00038-40 YR-2016</t>
  </si>
  <si>
    <t>CNG-303-G-Intang-00038-40 YR-2017</t>
  </si>
  <si>
    <t>CNG-365-G-Land and Land Right-00038</t>
  </si>
  <si>
    <t>CNG-365-G-Rights-of-Way-00038</t>
  </si>
  <si>
    <t>CNG-367-G-Mains-00038</t>
  </si>
  <si>
    <t>CNG-369-G-Measuring/Regulatin-00038</t>
  </si>
  <si>
    <t>CNG-374-G-Land Right-00038</t>
  </si>
  <si>
    <t>CNG-374-G-Land-00038</t>
  </si>
  <si>
    <t>CNG-375-G-Structures &amp; Improv-00038</t>
  </si>
  <si>
    <t>CNG-376-G-Mains-High Pressure-00038</t>
  </si>
  <si>
    <t>CNG-376-G-Mains-HP-FERC 105-00038</t>
  </si>
  <si>
    <t>CNG-376-G-Mains-Plastic-00038</t>
  </si>
  <si>
    <t>CNG-376-G-Mains-Pl-FERC 105-00038</t>
  </si>
  <si>
    <t>CNG-376-G-Mains-Steel-00038</t>
  </si>
  <si>
    <t>CNG-376-G-Mains-Stl-FERC 105-00038</t>
  </si>
  <si>
    <t>CNG-378-G-Measure/Regulation -00038</t>
  </si>
  <si>
    <t>CNG-379-G-Meas/Reg City -00038</t>
  </si>
  <si>
    <t>CNG-380-G-Services-Plastc-00038</t>
  </si>
  <si>
    <t>CNG-380-G-Services-Steel-00038</t>
  </si>
  <si>
    <t>CNG-380-G-Serv-Pl-FERC 105-00038</t>
  </si>
  <si>
    <t>CNG-385-G-Industrial Meas. &amp; -00038</t>
  </si>
  <si>
    <t>CNG-389-G-Land &amp; Land Rights-00038</t>
  </si>
  <si>
    <t>CNG-390-G-Structures &amp; Improv-00038</t>
  </si>
  <si>
    <t>CNG-391-G-Comp Equip-Server &amp;-00038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</si>
  <si>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</si>
  <si>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</si>
  <si>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</si>
  <si>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</si>
  <si>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</si>
  <si>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</si>
  <si>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</si>
  <si>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</si>
  <si>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</si>
  <si>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</si>
  <si>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</si>
  <si>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</si>
  <si>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</si>
  <si>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Washington</t>
  </si>
  <si>
    <t>CNG-302-G-Franchises-00048</t>
  </si>
  <si>
    <t>00048</t>
  </si>
  <si>
    <t>CNG-303-G-Intang-00048-20 YR-2017</t>
  </si>
  <si>
    <t>CNG-303-G-Intang-00048-40 YR-2014</t>
  </si>
  <si>
    <t>CNG-303-G-Intang-00048-40 YR-2015</t>
  </si>
  <si>
    <t>CNG-303-G-Intang-00048-40 YR-2017</t>
  </si>
  <si>
    <t>CNG-303-G-Intang-00048-40 YR-2018</t>
  </si>
  <si>
    <t>CNG-303-G-Intang-00048-40 YR-2020</t>
  </si>
  <si>
    <t>CNG-303-G-Intang-00048-40 YR-2021</t>
  </si>
  <si>
    <t>CNG-303-G-Intang-00048-40 YR-2022</t>
  </si>
  <si>
    <t>CNG-365-G-Land and Land Right-00048</t>
  </si>
  <si>
    <t>CNG-365-G-Rights-of-Way-00048</t>
  </si>
  <si>
    <t>CNG-366-G-Mains-00048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</si>
  <si>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</si>
  <si>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</si>
  <si>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</si>
  <si>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</si>
  <si>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</si>
  <si>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</si>
  <si>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</si>
  <si>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</si>
  <si>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</si>
  <si>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</si>
  <si>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CNG-379-G-Meas/Reg City -00048</t>
  </si>
  <si>
    <t>CNG-380-G-Services-Plastc-00048</t>
  </si>
  <si>
    <t>CNG-380-G-Services-Steel-00048</t>
  </si>
  <si>
    <t>CNG-385-G-Industrial Meas. &amp; -00048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</si>
  <si>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</si>
  <si>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</si>
  <si>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</si>
  <si>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</si>
  <si>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</si>
  <si>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</si>
  <si>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</si>
  <si>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</si>
  <si>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</si>
  <si>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</si>
  <si>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</si>
  <si>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</si>
  <si>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</si>
  <si>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</si>
  <si>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</si>
  <si>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</si>
  <si>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</si>
  <si>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</si>
  <si>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Allocated States</t>
  </si>
  <si>
    <t>CNG-301-G-Organization-00100</t>
  </si>
  <si>
    <t>00100</t>
  </si>
  <si>
    <t>CNG-303-G-Intang-00100-1 YR-2020</t>
  </si>
  <si>
    <t>CNG-303-G-Intang-00100-10 YR-2013</t>
  </si>
  <si>
    <t>CNG-303-G-Intang-00100-10 YR-2015</t>
  </si>
  <si>
    <t>CNG-303-G-Intang-00100-10 YR-2016</t>
  </si>
  <si>
    <t>CNG-303-G-Intang-00100-10 YR-2017</t>
  </si>
  <si>
    <t>CNG-303-G-Intang-00100-10 YR-2019</t>
  </si>
  <si>
    <t>CNG-303-G-Intang-00100-10 YR-2021</t>
  </si>
  <si>
    <t>CNG-303-G-Intang-00100-10 YR-2022</t>
  </si>
  <si>
    <t>CNG-303-G-Intang-00100-10 YR-2023 U</t>
  </si>
  <si>
    <t>CNG-303-G-Intang-00100-11 YR-2015</t>
  </si>
  <si>
    <t>CNG-303-G-Intang-00100-12 YR-2019</t>
  </si>
  <si>
    <t>CNG-303-G-Intang-00100-12 YR-2020</t>
  </si>
  <si>
    <t>CNG-303-G-Intang-00100-12 YR-2021</t>
  </si>
  <si>
    <t>CNG-303-G-Intang-00100-13 YR-2012</t>
  </si>
  <si>
    <t>CNG-303-G-Intang-00100-14 YR-2010</t>
  </si>
  <si>
    <t>CNG-303-G-Intang-00100-14 YR-2011</t>
  </si>
  <si>
    <t>CNG-303-G-Intang-00100-15 YR-2010</t>
  </si>
  <si>
    <t>CNG-303-G-Intang-00100-15 YR-2012</t>
  </si>
  <si>
    <t>CNG-303-G-Intang-00100-15 YR-2017</t>
  </si>
  <si>
    <t>CNG-303-G-Intang-00100-15 YR-2018</t>
  </si>
  <si>
    <t>CNG-303-G-Intang-00100-3 YR-2010</t>
  </si>
  <si>
    <t>CNG-303-G-Intang-00100-3 YR-2017</t>
  </si>
  <si>
    <t>CNG-303-G-Intang-00100-3 YR-2020</t>
  </si>
  <si>
    <t>CNG-303-G-Intang-00100-3 YR-2021</t>
  </si>
  <si>
    <t>CNG-303-G-Intang-00100-3 YR-2023</t>
  </si>
  <si>
    <t>CNG-303-G-Intang-00100-4 YR-2021</t>
  </si>
  <si>
    <t>CNG-303-G-Intang-00100-5 YR-2011</t>
  </si>
  <si>
    <t>CNG-303-G-Intang-00100-5 YR-2016</t>
  </si>
  <si>
    <t>CNG-303-G-Intang-00100-5 YR-2017</t>
  </si>
  <si>
    <t>CNG-303-G-Intang-00100-5 YR-2018</t>
  </si>
  <si>
    <t>CNG-303-G-Intang-00100-5 YR-2019</t>
  </si>
  <si>
    <t>CNG-303-G-Intang-00100-5 YR-2020</t>
  </si>
  <si>
    <t>CNG-303-G-Intang-00100-5 YR-2021</t>
  </si>
  <si>
    <t>CNG-303-G-Intang-00100-5 YR-2022</t>
  </si>
  <si>
    <t>CNG-303-G-Intang-00100-5 YR-2023</t>
  </si>
  <si>
    <t>CNG-303-G-Intang-00100-7 YR-2012</t>
  </si>
  <si>
    <t>CNG-303-G-Intang-00100-7 YR-2013</t>
  </si>
  <si>
    <t>CNG-303-G-Intang-00100-7 YR-2014</t>
  </si>
  <si>
    <t>CNG-303-G-Intang-00100-7 YR-2015</t>
  </si>
  <si>
    <t>CNG-303-G-Intang-00100-7 YR-2016</t>
  </si>
  <si>
    <t>CNG-303-G-Intang-00100-7 YR-2017</t>
  </si>
  <si>
    <t>CNG-303-G-Intang-00100-7 YR-2018</t>
  </si>
  <si>
    <t>CNG-303-G-Intang-00100-7 YR-2019</t>
  </si>
  <si>
    <t>CNG-303-G-Intang-00100-7 YR-2020</t>
  </si>
  <si>
    <t>CNG-303-G-Intang-00100-7 YR-2021</t>
  </si>
  <si>
    <t>CNG-303-G-Intang-00100-7 YR-2022</t>
  </si>
  <si>
    <t>CNG-303-G-Intang-00100-7 YR-2023</t>
  </si>
  <si>
    <t>CNG-303-G-Intang-00100-8 YR-2019</t>
  </si>
  <si>
    <t>CNG-303-G-Intang-00100-Fully Amort</t>
  </si>
  <si>
    <t>CNG-303-G-Intang-00100-PowerPlan</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</si>
  <si>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</si>
  <si>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</si>
  <si>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</si>
  <si>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</si>
  <si>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</si>
  <si>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</si>
  <si>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</si>
  <si>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</si>
  <si>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</si>
  <si>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</si>
  <si>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</si>
  <si>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</si>
  <si>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</si>
  <si>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</si>
  <si>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CNG-397-G-Radio Comm Equip-Fi-00100</t>
  </si>
  <si>
    <t>CNG-397-G-Radio Comm Equip-Mo-00100</t>
  </si>
  <si>
    <t>CNG-397-G-Supervisory &amp; Telem-00100</t>
  </si>
  <si>
    <t>CNG-397-G-Telephone &amp; Telex E-00100</t>
  </si>
  <si>
    <t>CNG-398-G-Miscellaneous Equip-00100</t>
  </si>
  <si>
    <t>CNG-381-G-ERTS-00101</t>
  </si>
  <si>
    <t>00101</t>
  </si>
  <si>
    <t>CNG-381-G-Meters-00101</t>
  </si>
  <si>
    <t>CNG-383-G-Service Regulators-00101</t>
  </si>
  <si>
    <t>AS</t>
  </si>
  <si>
    <t>No Jurisdiction Allocation</t>
  </si>
  <si>
    <t>CNG-372-G-Aro Trans Plant</t>
  </si>
  <si>
    <t>CNG-388-G-Aro Distrib Plant-OR</t>
  </si>
  <si>
    <t>CNG-388-G-Aro Distrib Plant-WA</t>
  </si>
  <si>
    <t>Grand Total</t>
  </si>
  <si>
    <t>Figures are exported from JDE, the company's accounting software.</t>
  </si>
  <si>
    <t>WA 00048 Total (from above)</t>
  </si>
  <si>
    <t>100 AS accounts (Depr-1032 B MDU UW)</t>
  </si>
  <si>
    <t>101 AS accounts (Depr-1032 B MDU UW)</t>
  </si>
  <si>
    <t>Total WA Plant)</t>
  </si>
  <si>
    <t>Total WA Plant in Service (AMA)</t>
  </si>
  <si>
    <t>Total WA Reserve</t>
  </si>
  <si>
    <t>Total WA Accum. Deprec. (AMA)</t>
  </si>
  <si>
    <t>Rate Base File Amount</t>
  </si>
  <si>
    <t>Diff</t>
  </si>
  <si>
    <t>JDE UW</t>
  </si>
  <si>
    <t>PIS Total</t>
  </si>
  <si>
    <t>RWIP</t>
  </si>
  <si>
    <t>47.1082.8</t>
  </si>
  <si>
    <t>Rate Base Filed</t>
  </si>
  <si>
    <t>Rate Base Impact of 2024 Provisional Plant Additions</t>
  </si>
  <si>
    <t>Provisional Plant Additions</t>
  </si>
  <si>
    <t>Less Estimated Retirements</t>
  </si>
  <si>
    <t xml:space="preserve">Provisional Net Plant Additions </t>
  </si>
  <si>
    <t>Estimated Increase to Accumulated Depreciation</t>
  </si>
  <si>
    <t>Less Estimated Removal Costs</t>
  </si>
  <si>
    <t>Net Estimated Increase to Accumulated Depreciation</t>
  </si>
  <si>
    <t>Estimated Increase to Accumulated Deferred Income Taxes</t>
  </si>
  <si>
    <t>Net Operating Income Impact of 2024 Provisional Plant Additions</t>
  </si>
  <si>
    <t>Estimated New Customer Margin Revenue Offsets</t>
  </si>
  <si>
    <t xml:space="preserve">Estimated Revenue Taxes on New Customer Margin Revenue </t>
  </si>
  <si>
    <t xml:space="preserve">Estimated Uncollectible Expense on New Customer Revenue </t>
  </si>
  <si>
    <t>Estimated Depreciation Expense Increase</t>
  </si>
  <si>
    <t>Less Depreciation Impact of Estimated Retirements</t>
  </si>
  <si>
    <t>Net Estimated Depreciation Expense Increase</t>
  </si>
  <si>
    <t>Estimated Property Tax Increase</t>
  </si>
  <si>
    <t>Estimated O&amp;M Offsets</t>
  </si>
  <si>
    <t>FERC 880</t>
  </si>
  <si>
    <t>FERC 903</t>
  </si>
  <si>
    <t>Tax Decrease</t>
  </si>
  <si>
    <t>EDIT Amortization Increase</t>
  </si>
  <si>
    <t>Rate Base Impact of 2025 Provisional Plant Additions</t>
  </si>
  <si>
    <t>Net Operating Income Impact of 2025 Provisional Plant Additions</t>
  </si>
  <si>
    <t>Estimated Depreciaiton Expense Increase</t>
  </si>
  <si>
    <t>EDIT Amortization Decrease</t>
  </si>
  <si>
    <t>2024-2025 Revenue Offset - New Customer Revenue</t>
  </si>
  <si>
    <t>Forecast Customer Addtions from IRP</t>
  </si>
  <si>
    <t>EOP Customer Additions from IRP:</t>
  </si>
  <si>
    <t>Usage per Customer:</t>
  </si>
  <si>
    <t>Schedule 505 Block 1</t>
  </si>
  <si>
    <t>Schedule 505 Block 2</t>
  </si>
  <si>
    <t>Schedule 505 Block 3</t>
  </si>
  <si>
    <t>Therms:</t>
  </si>
  <si>
    <t>Revenue at Current Rates:</t>
  </si>
  <si>
    <t>Total Schedule 503 Revenue</t>
  </si>
  <si>
    <t>Total Schedule 504 Revenue</t>
  </si>
  <si>
    <t>Total Schedule 505 Revenue</t>
  </si>
  <si>
    <t>`</t>
  </si>
  <si>
    <t xml:space="preserve"> Proposed Plant Additions</t>
  </si>
  <si>
    <t xml:space="preserve">Function            </t>
  </si>
  <si>
    <t>Funding Project</t>
  </si>
  <si>
    <t xml:space="preserve"> Description      </t>
  </si>
  <si>
    <t xml:space="preserve">FERC Account No. </t>
  </si>
  <si>
    <t>WA 2024 Cascade Plant Additions</t>
  </si>
  <si>
    <t>Proposed Provisional Plant 2024</t>
  </si>
  <si>
    <t>WA 2024 Estimated In-Service Date</t>
  </si>
  <si>
    <t>WA 2025 Cascade Plant Additions</t>
  </si>
  <si>
    <t>Proposed Provisional Plant 2025</t>
  </si>
  <si>
    <t>WA 2025 Estimated In-Service Date</t>
  </si>
  <si>
    <t>O&amp;M Cost Savings</t>
  </si>
  <si>
    <t>2021 Plant / 2022 Wage</t>
  </si>
  <si>
    <t>Yes</t>
  </si>
  <si>
    <t>Gas Intangible</t>
  </si>
  <si>
    <t>FP-101480</t>
  </si>
  <si>
    <t>UG-Work Asset Management</t>
  </si>
  <si>
    <t>FP-200064</t>
  </si>
  <si>
    <t>UG-Customer Self Service Web/IVRCNG</t>
  </si>
  <si>
    <t>FP-316019</t>
  </si>
  <si>
    <t>UG-GIS ESRI System Upgrade CNGC</t>
  </si>
  <si>
    <t>FP-316451</t>
  </si>
  <si>
    <t>UG-PCAD Annual Enhancements-CNG</t>
  </si>
  <si>
    <t>FP-320034</t>
  </si>
  <si>
    <t>RF; S. KENN GATE-WILLIAMS</t>
  </si>
  <si>
    <t>FP-320155</t>
  </si>
  <si>
    <t>RF-RICHLAND Y TBS-WILLIAMS</t>
  </si>
  <si>
    <t>FP-320999</t>
  </si>
  <si>
    <t>UG ThoughtSpot Betterment CNG</t>
  </si>
  <si>
    <t>FP-321327</t>
  </si>
  <si>
    <t>UG - CC&amp;B Upgrade&amp;Betterments CNGC</t>
  </si>
  <si>
    <t>FP-321574</t>
  </si>
  <si>
    <t>UG-Powerplan Upgrade 2024 CNGC</t>
  </si>
  <si>
    <t>FP-322685</t>
  </si>
  <si>
    <t>UG - UIPlanner Upgrade - CNGC</t>
  </si>
  <si>
    <t>FP-322752</t>
  </si>
  <si>
    <t>UG - Verve Metretek Software CNGC</t>
  </si>
  <si>
    <t>FP-322873</t>
  </si>
  <si>
    <t>UG-Interactive Voice Assist CNG</t>
  </si>
  <si>
    <t>FP-323967</t>
  </si>
  <si>
    <t>UG-CNG PUR AR/VR Gas Emrgncy Rspns</t>
  </si>
  <si>
    <t>FP-323968</t>
  </si>
  <si>
    <t>UG-CNG PUR AR/VR I-Leak Upg/Enhance</t>
  </si>
  <si>
    <t>FP-324014</t>
  </si>
  <si>
    <t>UG-Tungsten Autovoucher - CNG</t>
  </si>
  <si>
    <t>FP-324020</t>
  </si>
  <si>
    <t>UG-Locusview Software - CNGC</t>
  </si>
  <si>
    <t>FP-324029</t>
  </si>
  <si>
    <t>UG-Maximo Enhancmnt/Upgrd/Sftw CNGC</t>
  </si>
  <si>
    <t>FP-324035</t>
  </si>
  <si>
    <t>UG-IQ Geo Enhancements CNGC</t>
  </si>
  <si>
    <t>FP-324409</t>
  </si>
  <si>
    <t>UG - Trellis Energy Software CNGC</t>
  </si>
  <si>
    <t>FP-324619</t>
  </si>
  <si>
    <t>UG - LIGHTHOUSE DIMP SOFTWARE-CNGC</t>
  </si>
  <si>
    <t>FP-324624</t>
  </si>
  <si>
    <t>UG - LIGHTHOUSE TIMP SOFTWARE-CNGC</t>
  </si>
  <si>
    <t>Total Intangible Plant</t>
  </si>
  <si>
    <t>FP-322677</t>
  </si>
  <si>
    <t>Deschutes Landfill-Design and Const</t>
  </si>
  <si>
    <t>Total Production Plant</t>
  </si>
  <si>
    <t>Gas Distribution</t>
  </si>
  <si>
    <t>FP-101194</t>
  </si>
  <si>
    <t>Dist Reg Station Growth Washington</t>
  </si>
  <si>
    <t>FP-101196</t>
  </si>
  <si>
    <t>Dist Reg Station Replace Washington</t>
  </si>
  <si>
    <t>FP-101210</t>
  </si>
  <si>
    <t>Gas Meters-Total Company CNGC</t>
  </si>
  <si>
    <t>FP-101259</t>
  </si>
  <si>
    <t>Gas Regulators-Total Company CNGC</t>
  </si>
  <si>
    <t>FP-302369</t>
  </si>
  <si>
    <t>Gas Cathodic Protection - WA</t>
  </si>
  <si>
    <t>FP-302595</t>
  </si>
  <si>
    <t>KITSAP PH V REINFORCEMENT</t>
  </si>
  <si>
    <t>FP-316018</t>
  </si>
  <si>
    <t>C/M RPL; 2/4" HP; WHEELER; 7,500'</t>
  </si>
  <si>
    <t>FP-316032</t>
  </si>
  <si>
    <t>C/M RPL; 2/3" HP; SUNNYSIDE; 8,612'</t>
  </si>
  <si>
    <t>FP-316041</t>
  </si>
  <si>
    <t>C/M RPL; 4" HP; MONTESANO; 1,645'</t>
  </si>
  <si>
    <t>FP-316046</t>
  </si>
  <si>
    <t>C/M RPL; 8" HP; YAKIMA; PH1</t>
  </si>
  <si>
    <t>FP-316429</t>
  </si>
  <si>
    <t>RF; 8" HP; ABER; 12,500' BASICH BLV</t>
  </si>
  <si>
    <t>FP-317628</t>
  </si>
  <si>
    <t>MAIN-GROWTH-WALLA WALLA DISTRICT</t>
  </si>
  <si>
    <t>FP-317629</t>
  </si>
  <si>
    <t>MAIN-REPLACE-WALLA WALLA DISTRICT</t>
  </si>
  <si>
    <t>FP-317630</t>
  </si>
  <si>
    <t>SERV-GROWTH-WALLA WALLA DISTRICT</t>
  </si>
  <si>
    <t>FP-317631</t>
  </si>
  <si>
    <t>SERV-REPLACE-WALLA WALLA DISTRICT</t>
  </si>
  <si>
    <t>FP-317632</t>
  </si>
  <si>
    <t>MAIN-GROWTH-WENATCHEE DISTRICT</t>
  </si>
  <si>
    <t>FP-317633</t>
  </si>
  <si>
    <t>MAIN-REPLACE-WENATCHEE DISTRICT</t>
  </si>
  <si>
    <t>FP-317634</t>
  </si>
  <si>
    <t>SERV-GROWTH-WENATCHEE DISTRICT</t>
  </si>
  <si>
    <t>FP-317635</t>
  </si>
  <si>
    <t>SERV-REPLACE-WENATCHEE DISTRICT</t>
  </si>
  <si>
    <t>FP-317636</t>
  </si>
  <si>
    <t>MAIN-GROWTH-YAKIMA DISTRICT</t>
  </si>
  <si>
    <t>FP-317637</t>
  </si>
  <si>
    <t>MAIN-REPLACE-YAKIMA DISTRICT</t>
  </si>
  <si>
    <t>FP-317638</t>
  </si>
  <si>
    <t>SERV-GROWTH-YAKIMA DISTRICT</t>
  </si>
  <si>
    <t>FP-317639</t>
  </si>
  <si>
    <t>SERV-REPLACE-YAKIMA DISTRICT</t>
  </si>
  <si>
    <t>FP-317640</t>
  </si>
  <si>
    <t>MAIN-GROWTH-ABERDEEN DISTRICT</t>
  </si>
  <si>
    <t>FP-317641</t>
  </si>
  <si>
    <t>MAIN-REPLACE-ABERDEEN DISTRICT</t>
  </si>
  <si>
    <t>FP-317642</t>
  </si>
  <si>
    <t>SERV-GROWTH-ABERDEEN DISTRICT</t>
  </si>
  <si>
    <t>FP-317643</t>
  </si>
  <si>
    <t>SERV-REPLACE-ABERDEEN DISTRICT</t>
  </si>
  <si>
    <t>FP-317644</t>
  </si>
  <si>
    <t>MAIN-GROWTH-BELLINGHAM DISTRICT</t>
  </si>
  <si>
    <t>FP-317645</t>
  </si>
  <si>
    <t>MAIN-REPLACE-BELLINGHAM DISTRICT</t>
  </si>
  <si>
    <t>FP-317646</t>
  </si>
  <si>
    <t>SERV-GROWTH-BELLINGHAM DISTRICT</t>
  </si>
  <si>
    <t>FP-317647</t>
  </si>
  <si>
    <t>SERV-REPLACE-BELLINGHAM DISTRICT</t>
  </si>
  <si>
    <t>FP-317648</t>
  </si>
  <si>
    <t>MAIN-GROWTH-BREMERTON DISTRICT</t>
  </si>
  <si>
    <t>FP-317649</t>
  </si>
  <si>
    <t>MAIN-REPLACE-BREMERTON DISTRICT</t>
  </si>
  <si>
    <t>FP-317650</t>
  </si>
  <si>
    <t>SERV-GROWTH-BREMERTON DISTRICT</t>
  </si>
  <si>
    <t>FP-317651</t>
  </si>
  <si>
    <t>SERV-REPLACE-BREMERTON DISTRICT</t>
  </si>
  <si>
    <t>FP-317652</t>
  </si>
  <si>
    <t>MAIN-GROWTH-LONGVIEW DISTRICT</t>
  </si>
  <si>
    <t>FP-317653</t>
  </si>
  <si>
    <t>MAIN-REPLACE-LONGVIEW DISTRICT</t>
  </si>
  <si>
    <t>FP-317654</t>
  </si>
  <si>
    <t>SERV-GROWTH-LONGVIEW DISTRICT</t>
  </si>
  <si>
    <t>FP-317655</t>
  </si>
  <si>
    <t>SERV-REPLACE-LONGVIEW DISTRICT</t>
  </si>
  <si>
    <t>FP-317656</t>
  </si>
  <si>
    <t>MAIN-GROWTH-MT VERNON DISTRICT</t>
  </si>
  <si>
    <t>FP-317657</t>
  </si>
  <si>
    <t>MAIN-REPLACE-MT VERNON DISTRICT</t>
  </si>
  <si>
    <t>FP-317658</t>
  </si>
  <si>
    <t>SERV-GROWTH-MT VERNON DISTRICT</t>
  </si>
  <si>
    <t>FP-317659</t>
  </si>
  <si>
    <t>SERV-REPLACE-MT VERNON DISTRICT</t>
  </si>
  <si>
    <t>FP-317750</t>
  </si>
  <si>
    <t>MAIN-GROWTH-KENNEWICK DISTRICT</t>
  </si>
  <si>
    <t>FP-317751</t>
  </si>
  <si>
    <t>MAIN-REPLACE-KENNEWICK DISTRICT</t>
  </si>
  <si>
    <t>FP-317752</t>
  </si>
  <si>
    <t>SERV-GROWTH-KENNEWICK DISTRICT</t>
  </si>
  <si>
    <t>FP-317753</t>
  </si>
  <si>
    <t>SERV-REPLACE-KENNEWICK DISTRICT</t>
  </si>
  <si>
    <t>FP-318092</t>
  </si>
  <si>
    <t>HPSS Replacements CNG WA</t>
  </si>
  <si>
    <t>FP-318186</t>
  </si>
  <si>
    <t>Sys Safety &amp; Integrity Mains Rpl-WA</t>
  </si>
  <si>
    <t>FP-318187</t>
  </si>
  <si>
    <t>Sys Safety &amp; Integrity Srvcs Rpl-WA</t>
  </si>
  <si>
    <t>FP-318656</t>
  </si>
  <si>
    <t>RF-OAKH-4"PE-2.1MI</t>
  </si>
  <si>
    <t>FP-319021</t>
  </si>
  <si>
    <t>RP-Ferndale-V-retire V-43 8"</t>
  </si>
  <si>
    <t>FP-319027</t>
  </si>
  <si>
    <t>RP-Topp-TM-Canal Crossings</t>
  </si>
  <si>
    <t>FP-319057</t>
  </si>
  <si>
    <t>RF-S. KENN TBS-CNGC</t>
  </si>
  <si>
    <t>FP-319061</t>
  </si>
  <si>
    <t>RF-8" PE-KENN-2,500'</t>
  </si>
  <si>
    <t>FP-319104</t>
  </si>
  <si>
    <t>MAOP; 2" HP; ELMA (RHD)</t>
  </si>
  <si>
    <t>FP-319107</t>
  </si>
  <si>
    <t>MAOP; R-TBD; ELMA (RHD)</t>
  </si>
  <si>
    <t>FP-319111</t>
  </si>
  <si>
    <t>MAOP MAIN RPL CNG WA</t>
  </si>
  <si>
    <t>FP-319112</t>
  </si>
  <si>
    <t>MAOP SERV RPL CNG WA</t>
  </si>
  <si>
    <t>FP-319992</t>
  </si>
  <si>
    <t>MAOP RPL; 8" HP; BREMERTON; 2,863'</t>
  </si>
  <si>
    <t>FP-320004</t>
  </si>
  <si>
    <t>C/M RPL; 3" HP; PROSSER; 1,500'</t>
  </si>
  <si>
    <t>FP-320006</t>
  </si>
  <si>
    <t>C/M RPL; 3" HP; BURLINGTON; 410'</t>
  </si>
  <si>
    <t>FP-320106</t>
  </si>
  <si>
    <t>GR-BurlingtonSouthFeed-6"PE-DP</t>
  </si>
  <si>
    <t>FP-320114</t>
  </si>
  <si>
    <t>R-21 Replacement - Castle Rock</t>
  </si>
  <si>
    <t>FP-320144</t>
  </si>
  <si>
    <t>RF-RICHLAND Y TBS-CNGC</t>
  </si>
  <si>
    <t>FP-320159</t>
  </si>
  <si>
    <t>RF-RICH 12" HP-3.75 miles-Ph.2</t>
  </si>
  <si>
    <t>FP-320223</t>
  </si>
  <si>
    <t>Indust Reg Stations-Growth-CNGC WA</t>
  </si>
  <si>
    <t>FP-320224</t>
  </si>
  <si>
    <t>Indust Reg Stations-Replace-CNGC WA</t>
  </si>
  <si>
    <t>FP-321116</t>
  </si>
  <si>
    <t>RP; 4" HP, WAPATO, 31,000'</t>
  </si>
  <si>
    <t>FP-321468</t>
  </si>
  <si>
    <t>C/M RPL; 6" HP TOPP-ZILLAH; 2,400'</t>
  </si>
  <si>
    <t>FP-321511</t>
  </si>
  <si>
    <t>RF-PASCO-6" HP-5-mi</t>
  </si>
  <si>
    <t>FP-321795</t>
  </si>
  <si>
    <t>RP; 3" ST; BELL; 2549 ALLEY PROJ</t>
  </si>
  <si>
    <t>FP-321861</t>
  </si>
  <si>
    <t>RF; 6" PE; KENN; 2000' OLYMPIA</t>
  </si>
  <si>
    <t>FP-321879</t>
  </si>
  <si>
    <t>RF-8" HP-ABER 1.7mi-WISHKAH RD</t>
  </si>
  <si>
    <t>FP-321983</t>
  </si>
  <si>
    <t>GR; 2" PE; VIEW; 6,000'</t>
  </si>
  <si>
    <t>FP-322143</t>
  </si>
  <si>
    <t>RL; 6" HP; MTVE; 100'</t>
  </si>
  <si>
    <t>FP-322144</t>
  </si>
  <si>
    <t>Instl Main Gibralter Rd Anacortes</t>
  </si>
  <si>
    <t>FP-322165</t>
  </si>
  <si>
    <t>MAOP; R-096 (R-001) YAKIMA</t>
  </si>
  <si>
    <t>FP-322173</t>
  </si>
  <si>
    <t>MAOP; R-097 YAKIMA</t>
  </si>
  <si>
    <t>FP-322391</t>
  </si>
  <si>
    <t>RPL MN CAMANO ISLAND EXPOSRE</t>
  </si>
  <si>
    <t>FP-322504</t>
  </si>
  <si>
    <t>RP-4" HP MN-PASCO-160'</t>
  </si>
  <si>
    <t>FP-322639</t>
  </si>
  <si>
    <t>C/M RPL; 4" HP; E FINLEY; 2,498'</t>
  </si>
  <si>
    <t>FP-322765</t>
  </si>
  <si>
    <t>RP; R-099 (R-054); SUNNYSIDE</t>
  </si>
  <si>
    <t>FP-322776</t>
  </si>
  <si>
    <t xml:space="preserve">RF; BURLINGTON; 6 MILES OF 20 INCH </t>
  </si>
  <si>
    <t>FP-322783</t>
  </si>
  <si>
    <t>RF; LAND FOR 6 MILE 20IN BURLINGTON</t>
  </si>
  <si>
    <t>FP-322784</t>
  </si>
  <si>
    <t>RF; R-XX IN JOSH WILSON RD, BURLING</t>
  </si>
  <si>
    <t>FP-323166</t>
  </si>
  <si>
    <t>RP Bremerton R-023</t>
  </si>
  <si>
    <t>FP-323236</t>
  </si>
  <si>
    <t>RPL MN - SHORTED CASING - WA</t>
  </si>
  <si>
    <t>FP-323431</t>
  </si>
  <si>
    <t>GR L'view -2" HP MN, Divert INC RNG</t>
  </si>
  <si>
    <t>FP-323432</t>
  </si>
  <si>
    <t>INST RNG RS, DIVERT INC, Longview</t>
  </si>
  <si>
    <t>FP-323434</t>
  </si>
  <si>
    <t>INST RNG ODRIZR, DIVERT INC, L'VIEW</t>
  </si>
  <si>
    <t>FP-323435</t>
  </si>
  <si>
    <t>INST RNG MTR SET, DIVERT INC, LVIEW</t>
  </si>
  <si>
    <t>FP-323443</t>
  </si>
  <si>
    <t>RNG;O-18 &amp; CHROM, HORN RAPIDS</t>
  </si>
  <si>
    <t>FP-323446</t>
  </si>
  <si>
    <t>RNG- Horn Rapids Reg Station R-139</t>
  </si>
  <si>
    <t>FP-323452</t>
  </si>
  <si>
    <t>RNG-Horn Rapids Meter Set</t>
  </si>
  <si>
    <t>FP-323467</t>
  </si>
  <si>
    <t>RNG; LAMB WESTON METER SET RICHLAND</t>
  </si>
  <si>
    <t>FP-323469</t>
  </si>
  <si>
    <t>RNG; 0-19 &amp; CHROM, LAMB WESTON RICH</t>
  </si>
  <si>
    <t>FP-323472</t>
  </si>
  <si>
    <t>RNG; LAMB WESTON RICHLAND R-141</t>
  </si>
  <si>
    <t>FP-323530</t>
  </si>
  <si>
    <t>Instl PE Main McCormick N Pt Orchrd</t>
  </si>
  <si>
    <t>FP-323595</t>
  </si>
  <si>
    <t>RF; 4" PE; 10,000'; Lynden</t>
  </si>
  <si>
    <t>FP-323636</t>
  </si>
  <si>
    <t>RP-SHEL R-17 (R-84) MAIN</t>
  </si>
  <si>
    <t>FP-323730</t>
  </si>
  <si>
    <t>RP-SHEL R-17 (R-84)</t>
  </si>
  <si>
    <t>FP-323731</t>
  </si>
  <si>
    <t xml:space="preserve">Fredonia CS Scrubber Replacement </t>
  </si>
  <si>
    <t>FP-323775</t>
  </si>
  <si>
    <t>RNG-METER-PASCO-PWRF</t>
  </si>
  <si>
    <t>FP-323795</t>
  </si>
  <si>
    <t>Fredonia CS Flame / PLC spare parts</t>
  </si>
  <si>
    <t>FP-323823</t>
  </si>
  <si>
    <t>RP; R-81 WHEE; RPL (R-53 &amp; R-54)</t>
  </si>
  <si>
    <t>FP-323824</t>
  </si>
  <si>
    <t>RNG-2.5-mi 4" HP-PASCO-PWRF</t>
  </si>
  <si>
    <t>FP-323840</t>
  </si>
  <si>
    <t>Pasco PWRF RNG Chro, Odor, GQ</t>
  </si>
  <si>
    <t>FP-323841</t>
  </si>
  <si>
    <t>Pasco PWRF Regs and Relief</t>
  </si>
  <si>
    <t>FP-324005</t>
  </si>
  <si>
    <t>RP; 4" PE &amp; 6" STL; ANAC; 1200'</t>
  </si>
  <si>
    <t>FP-324007</t>
  </si>
  <si>
    <t>RF; 2" PE; OAKH; 2000'</t>
  </si>
  <si>
    <t>FP-324021</t>
  </si>
  <si>
    <t>FRL; R-195 (R-170) ANAC</t>
  </si>
  <si>
    <t>FP-324101</t>
  </si>
  <si>
    <t>C/M RPL; 8" TM; ANACORTES; 3,000'</t>
  </si>
  <si>
    <t>FP-324150</t>
  </si>
  <si>
    <t>Bremerton Replace R-36</t>
  </si>
  <si>
    <t>FP-324342</t>
  </si>
  <si>
    <t>RP; 2" ST; BELL; 360'; FLORA/UNITY</t>
  </si>
  <si>
    <t>FP-324375</t>
  </si>
  <si>
    <t>Rpl Main Nelson Rd/Ctr Vly Brmrtn</t>
  </si>
  <si>
    <t>FP-324495</t>
  </si>
  <si>
    <t xml:space="preserve">Fredonia CS Storage Shed </t>
  </si>
  <si>
    <t>FP-324502</t>
  </si>
  <si>
    <t>Fredonia CS Update facility Lights</t>
  </si>
  <si>
    <t>FP-324581</t>
  </si>
  <si>
    <t>RF-OAKH-4"PE-1000'</t>
  </si>
  <si>
    <t>FP-324689</t>
  </si>
  <si>
    <t>RP-8" HP- ELMA 1100' WILD CAT CREEK</t>
  </si>
  <si>
    <t>FP-324704</t>
  </si>
  <si>
    <t>Fredonia CS Security Install</t>
  </si>
  <si>
    <t>8/15/204</t>
  </si>
  <si>
    <t>FP-324799</t>
  </si>
  <si>
    <t>FRL-MTV-HWY 9-6" HP-400FT</t>
  </si>
  <si>
    <t>FP-324820</t>
  </si>
  <si>
    <t>MAOP;4' ST;ARLI;5,610'</t>
  </si>
  <si>
    <t>FP-324823</t>
  </si>
  <si>
    <t>Bellingham 1 TBS RTU Replacement</t>
  </si>
  <si>
    <t>FP-324824</t>
  </si>
  <si>
    <t>C/M;R-198(R-66) ARL</t>
  </si>
  <si>
    <t>FP-324827</t>
  </si>
  <si>
    <t>Sumas TBS RTU Replacement</t>
  </si>
  <si>
    <t>FP-324828</t>
  </si>
  <si>
    <t>Bend TBS RTU Replacement</t>
  </si>
  <si>
    <t>FP-324829</t>
  </si>
  <si>
    <t>Hermiston TBS RTU Replacement</t>
  </si>
  <si>
    <t>FP-324830</t>
  </si>
  <si>
    <t>Stanwood TBS RTU replacment</t>
  </si>
  <si>
    <t>FP-324831</t>
  </si>
  <si>
    <t>Mt Vernon TBS RTU replacement</t>
  </si>
  <si>
    <t>FP-324832</t>
  </si>
  <si>
    <t>Nyssa TBS RTU Replacement</t>
  </si>
  <si>
    <t>FP-324833</t>
  </si>
  <si>
    <t>Othello TBS RTU Replacement.</t>
  </si>
  <si>
    <t>FP-324834</t>
  </si>
  <si>
    <t>Redmond TBS RTU Replacement</t>
  </si>
  <si>
    <t>FP-324835</t>
  </si>
  <si>
    <t>Shelton TBS RTU replacement</t>
  </si>
  <si>
    <t>FP-324836</t>
  </si>
  <si>
    <t>South Bend TBS RTU Replacement</t>
  </si>
  <si>
    <t>FP-324932</t>
  </si>
  <si>
    <t>RP; 6" HP; OAKH; 3000'</t>
  </si>
  <si>
    <t>FP-324988</t>
  </si>
  <si>
    <t>Inst Reinf main for R99, Yakima</t>
  </si>
  <si>
    <t>FP-324995</t>
  </si>
  <si>
    <t>C/M; R-199(R-7) MTVE;</t>
  </si>
  <si>
    <t>FP-325037</t>
  </si>
  <si>
    <t>RP; 8" PE CLINTON; HDD 400'</t>
  </si>
  <si>
    <t>FP-325057</t>
  </si>
  <si>
    <t>Fredonia CS New Relief 1910K</t>
  </si>
  <si>
    <t>FP-325160</t>
  </si>
  <si>
    <t>RTU Replacement Kalama TBS</t>
  </si>
  <si>
    <t>FP-325161</t>
  </si>
  <si>
    <t>Kelso RTU replacement</t>
  </si>
  <si>
    <t>FP-325162</t>
  </si>
  <si>
    <t>Selah TBS RTU Replacement</t>
  </si>
  <si>
    <t>FP-325163</t>
  </si>
  <si>
    <t>R-38 Longview RTU Replacement</t>
  </si>
  <si>
    <t>FP-325187</t>
  </si>
  <si>
    <t>FRL;2'';VIEW'800' OIE HWY</t>
  </si>
  <si>
    <t>FP-325196</t>
  </si>
  <si>
    <t>RP; 6" ST; BELL; 2400'; NORTHWEST</t>
  </si>
  <si>
    <t>FP-325206</t>
  </si>
  <si>
    <t>FRL;2'' ST;WAPA;1,000' S.Naches A</t>
  </si>
  <si>
    <t>Total Distribution Plant</t>
  </si>
  <si>
    <t>Gas General</t>
  </si>
  <si>
    <t>FP-101163</t>
  </si>
  <si>
    <t>Gas Work Equipment-CNGC</t>
  </si>
  <si>
    <t>FP-101164</t>
  </si>
  <si>
    <t>IT Network Equipment-CNG</t>
  </si>
  <si>
    <t>FP-101215</t>
  </si>
  <si>
    <t>Gas Vehicles-CNGC</t>
  </si>
  <si>
    <t>FP-200662</t>
  </si>
  <si>
    <t>Personal Computers&amp;Peripherals CNGC</t>
  </si>
  <si>
    <t>FP-316445</t>
  </si>
  <si>
    <t>Toughbook Replacements-CNG</t>
  </si>
  <si>
    <t>FP-316832</t>
  </si>
  <si>
    <t>Office Structure &amp; Eq-Kennewick GO</t>
  </si>
  <si>
    <t>FP-317565</t>
  </si>
  <si>
    <t>Impl Work Asset Mgmt Hardware-CNG</t>
  </si>
  <si>
    <t>FP-317744</t>
  </si>
  <si>
    <t>Tools &amp; Minor Work Equip CNG WA</t>
  </si>
  <si>
    <t>FP-318192</t>
  </si>
  <si>
    <t>Fixed Network Equipment-CNG</t>
  </si>
  <si>
    <t>FP-318197</t>
  </si>
  <si>
    <t>Gas SCADA Equipment-CNG</t>
  </si>
  <si>
    <t>FP-318211</t>
  </si>
  <si>
    <t>Communications Equipment CNG</t>
  </si>
  <si>
    <t>FP-320934</t>
  </si>
  <si>
    <t>PUR Trng Props Bremerton WA Trl.</t>
  </si>
  <si>
    <t>FP-320935</t>
  </si>
  <si>
    <t>PUR Trng Props Kennewick Wa Trlr</t>
  </si>
  <si>
    <t>FP-322468</t>
  </si>
  <si>
    <t>PURCHASE RMLD MT VERNON</t>
  </si>
  <si>
    <t>FP-322488</t>
  </si>
  <si>
    <t>PUR (2) STOP MACHINES MT VERNON</t>
  </si>
  <si>
    <t>FP-322580</t>
  </si>
  <si>
    <t>Purchase MBW Air Rammer Kelso</t>
  </si>
  <si>
    <t>FP-322598</t>
  </si>
  <si>
    <t>Install Generator -Bremerton Office</t>
  </si>
  <si>
    <t>FP-322655</t>
  </si>
  <si>
    <t>Purch (2) RD8100 Locators Mt Vernon</t>
  </si>
  <si>
    <t>FP-323024</t>
  </si>
  <si>
    <t>REP RADIO REPEATERS CNGC</t>
  </si>
  <si>
    <t>FP-323311</t>
  </si>
  <si>
    <t>Sale of Aberdeen Office</t>
  </si>
  <si>
    <t>FP-323791</t>
  </si>
  <si>
    <t>Purchase Mueller Tools - Bellingham</t>
  </si>
  <si>
    <t>FP-323909</t>
  </si>
  <si>
    <t>Yakima Enclose Canopy CS Fab</t>
  </si>
  <si>
    <t>FP-323914</t>
  </si>
  <si>
    <t>PUR MUELLER GATE VALVES MT VERNON</t>
  </si>
  <si>
    <t>FP-323917</t>
  </si>
  <si>
    <t>PURCHASE BEVELING MACHINE MT VERNON</t>
  </si>
  <si>
    <t>FP-323918</t>
  </si>
  <si>
    <t>Purchase Fresh Air Paks Mt Vernon</t>
  </si>
  <si>
    <t>FP-323926</t>
  </si>
  <si>
    <t>Repl Mueller Equip CS WA</t>
  </si>
  <si>
    <t>FP-323951</t>
  </si>
  <si>
    <t>Purch Leak Survey Equip Kennewick</t>
  </si>
  <si>
    <t>FP-323953</t>
  </si>
  <si>
    <t>Purch Gas Detection Equip Kennewick</t>
  </si>
  <si>
    <t>FP-323956</t>
  </si>
  <si>
    <t>PURCHASE LEAK DETECTOR MT VERNON</t>
  </si>
  <si>
    <t>FP-324015</t>
  </si>
  <si>
    <t>PUR FORKLIFT SPREADER BAR MT VERNON</t>
  </si>
  <si>
    <t>FP-324018</t>
  </si>
  <si>
    <t>Purchase Steel Squeezer Elma</t>
  </si>
  <si>
    <t>FP-324053</t>
  </si>
  <si>
    <t>CONST Training Yard Elma D Off</t>
  </si>
  <si>
    <t>FP-324128</t>
  </si>
  <si>
    <t>PURCHASE ICE MACHINE BELLINGHAM</t>
  </si>
  <si>
    <t>FP-324134</t>
  </si>
  <si>
    <t>PURCH SPREADER BAR BELLINGHAM</t>
  </si>
  <si>
    <t>FP-324146</t>
  </si>
  <si>
    <t>Pur Shop Air Compressor Walla Walla</t>
  </si>
  <si>
    <t>FP-324239</t>
  </si>
  <si>
    <t>Purch Electric Grease Gun Mt Vernon</t>
  </si>
  <si>
    <t>FP-324251</t>
  </si>
  <si>
    <t>Purch AED for Bellingham WA</t>
  </si>
  <si>
    <t>FP-324253</t>
  </si>
  <si>
    <t>Purch PAPR's for Washington 2024</t>
  </si>
  <si>
    <t>FP-324259</t>
  </si>
  <si>
    <t>Repl SAN &amp; FC Switches CNGC GO</t>
  </si>
  <si>
    <t>FP-324263</t>
  </si>
  <si>
    <t>Replace Office Servers CNG</t>
  </si>
  <si>
    <t>FP-324267</t>
  </si>
  <si>
    <t>Pur Emr TrlrCellCommWiFi Hdwr CNGC</t>
  </si>
  <si>
    <t>FP-324273</t>
  </si>
  <si>
    <t>Purch Electric Grease Gun Longview</t>
  </si>
  <si>
    <t>FP-324274</t>
  </si>
  <si>
    <t>Purch Electric Grease Gun Kennewick</t>
  </si>
  <si>
    <t>FP-324276</t>
  </si>
  <si>
    <t>Replace Vacuum Pump Yak MS</t>
  </si>
  <si>
    <t>FP-324281</t>
  </si>
  <si>
    <t>Add HEPA Vacuum at the CNG meter sh</t>
  </si>
  <si>
    <t>FP-324301</t>
  </si>
  <si>
    <t>Pur Completion Machine Mt Vern CS</t>
  </si>
  <si>
    <t>FP-324315</t>
  </si>
  <si>
    <t>Pur 12in Shell Cutter Mt Vernon CS</t>
  </si>
  <si>
    <t>FP-324378</t>
  </si>
  <si>
    <t>Purchase LMM Walla Walla</t>
  </si>
  <si>
    <t>FP-324475</t>
  </si>
  <si>
    <t>Pur Elec Fume Extractor Mt Ver CS</t>
  </si>
  <si>
    <t>FP-324480</t>
  </si>
  <si>
    <t>Pur 2 Custom Pallets Mt Vernon CS</t>
  </si>
  <si>
    <t>FP-324500</t>
  </si>
  <si>
    <t>Purchase Odorator Walla Walla</t>
  </si>
  <si>
    <t>FP-324503</t>
  </si>
  <si>
    <t>Purchase Traffic Plates Walla Walla</t>
  </si>
  <si>
    <t>FP-324524</t>
  </si>
  <si>
    <t>Purch Fork Lift Spreader Bar Kelso</t>
  </si>
  <si>
    <t>FP-324527</t>
  </si>
  <si>
    <t>Purch Fork Lift Spreader Bar Elma</t>
  </si>
  <si>
    <t>FP-324530</t>
  </si>
  <si>
    <t>Purchase Mueller Gate Valves Kelso</t>
  </si>
  <si>
    <t>FP-324556</t>
  </si>
  <si>
    <t>CNGC-Picarro Leak Survey Equipment</t>
  </si>
  <si>
    <t>FP-324559</t>
  </si>
  <si>
    <t>Purchase Shop Welder Bremerton</t>
  </si>
  <si>
    <t>FP-324560</t>
  </si>
  <si>
    <t>FP-324690</t>
  </si>
  <si>
    <t>Purch Steel Road Plates Kelso</t>
  </si>
  <si>
    <t>FP-324695</t>
  </si>
  <si>
    <t>FP-324711</t>
  </si>
  <si>
    <t>FP-324761</t>
  </si>
  <si>
    <t>Crack Seal Parking Lot Walla Walla</t>
  </si>
  <si>
    <t>FP-324778</t>
  </si>
  <si>
    <t>CONST SVCS - TOOL SHED &amp; REMODEL</t>
  </si>
  <si>
    <t>FP-324790</t>
  </si>
  <si>
    <t>Instl Shop Lighting Wentachee</t>
  </si>
  <si>
    <t>FP-324804</t>
  </si>
  <si>
    <t>UPGRADE MODEL 5 PROVER - YAKIMA</t>
  </si>
  <si>
    <t>FP-324806</t>
  </si>
  <si>
    <t>MODEL 5 PROVER UPGRADE - BELLINGHAM</t>
  </si>
  <si>
    <t>FP-324847</t>
  </si>
  <si>
    <t>Instl Back Up Generator Walla Walla</t>
  </si>
  <si>
    <t>FP-324946</t>
  </si>
  <si>
    <t>PUR CONTROL RADIOS AVTEC SYS - WA</t>
  </si>
  <si>
    <t>FP-324982</t>
  </si>
  <si>
    <t>CNG UPS Replacements</t>
  </si>
  <si>
    <t>FP-325055</t>
  </si>
  <si>
    <t>REPLACE SHOP TUBE HEATER BREMERTON</t>
  </si>
  <si>
    <t>FP-325059</t>
  </si>
  <si>
    <t>Purchase  Sensit Gold Kennewick</t>
  </si>
  <si>
    <t>FP-325186</t>
  </si>
  <si>
    <t>PUR VIVAX METROTECH LOCATOR-YAKIMA</t>
  </si>
  <si>
    <t>FP-325214</t>
  </si>
  <si>
    <t>PUR Sensit LZ-30s - Washington</t>
  </si>
  <si>
    <t>FP-325218</t>
  </si>
  <si>
    <t>PUR 1 Rivet Buster, Bellingham</t>
  </si>
  <si>
    <t>Capital Lease</t>
  </si>
  <si>
    <t>Locus View Capital Lease</t>
  </si>
  <si>
    <t>Total General Plant</t>
  </si>
  <si>
    <t>FERC Account No</t>
  </si>
  <si>
    <t>2024 Investment</t>
  </si>
  <si>
    <t>Depr. Rate (UG-200278)</t>
  </si>
  <si>
    <t>2024 Depn Expense</t>
  </si>
  <si>
    <t>2025 Investment</t>
  </si>
  <si>
    <t>2025 Depn Expense</t>
  </si>
  <si>
    <t>N/A</t>
  </si>
  <si>
    <t>Remove from book depreciation expense</t>
  </si>
  <si>
    <t>397.4 - Capital Lease</t>
  </si>
  <si>
    <t>Totals</t>
  </si>
  <si>
    <t>2024 Cost of Removal</t>
  </si>
  <si>
    <t>Estimated Complete Date</t>
  </si>
  <si>
    <t>2025 Cost of Removal</t>
  </si>
  <si>
    <t>FP-322451</t>
  </si>
  <si>
    <t>RE-KENN TBS-WILLIAMS SIDE</t>
  </si>
  <si>
    <t>FP-324743</t>
  </si>
  <si>
    <t>RE-N. PASCO TBS - WILLIAMS</t>
  </si>
  <si>
    <t>FP-321753</t>
  </si>
  <si>
    <t>RL-8" HP-4,500' PASCO-DARIGOLD</t>
  </si>
  <si>
    <t>FP-321243</t>
  </si>
  <si>
    <t>C/M RPL; 8" HP; WALLA WALLA; 4,595'</t>
  </si>
  <si>
    <t>Fredonia CS Scrubber Replacement</t>
  </si>
  <si>
    <t>FP-323746</t>
  </si>
  <si>
    <t>MAOP; R-100(R-52) SIDE;</t>
  </si>
  <si>
    <t>FP-324734</t>
  </si>
  <si>
    <t>RE-N. PASCO TBS - CNGC</t>
  </si>
  <si>
    <t>FP-322448</t>
  </si>
  <si>
    <t>RE-KENN TBS-CNGC</t>
  </si>
  <si>
    <t>LTD</t>
  </si>
  <si>
    <t>AE</t>
  </si>
  <si>
    <t>AF</t>
  </si>
  <si>
    <t>AG</t>
  </si>
  <si>
    <t>AH</t>
  </si>
  <si>
    <t>AI</t>
  </si>
  <si>
    <t>AJ</t>
  </si>
  <si>
    <t>AK</t>
  </si>
  <si>
    <t>AL</t>
  </si>
  <si>
    <t>AM</t>
  </si>
  <si>
    <t>AN</t>
  </si>
  <si>
    <t>AO</t>
  </si>
  <si>
    <t>AP</t>
  </si>
  <si>
    <t>AQ</t>
  </si>
  <si>
    <t>AR</t>
  </si>
  <si>
    <t>AT</t>
  </si>
  <si>
    <t>AU</t>
  </si>
  <si>
    <t>AV</t>
  </si>
  <si>
    <t>AW</t>
  </si>
  <si>
    <t>Figures are exported from JDE the company's accounting software.</t>
  </si>
  <si>
    <t>Ledger Type</t>
  </si>
  <si>
    <t>UW</t>
  </si>
  <si>
    <t>UO</t>
  </si>
  <si>
    <t>SYSTEM</t>
  </si>
  <si>
    <t>Year</t>
  </si>
  <si>
    <t>2022</t>
  </si>
  <si>
    <t>2023</t>
  </si>
  <si>
    <t>Format</t>
  </si>
  <si>
    <t>Period</t>
  </si>
  <si>
    <t>12</t>
  </si>
  <si>
    <t>1</t>
  </si>
  <si>
    <t>2</t>
  </si>
  <si>
    <t>3</t>
  </si>
  <si>
    <t>4</t>
  </si>
  <si>
    <t>5</t>
  </si>
  <si>
    <t>7</t>
  </si>
  <si>
    <t>8</t>
  </si>
  <si>
    <t>9</t>
  </si>
  <si>
    <t>10</t>
  </si>
  <si>
    <t>11</t>
  </si>
  <si>
    <t>Currency</t>
  </si>
  <si>
    <t>***</t>
  </si>
  <si>
    <t>CO</t>
  </si>
  <si>
    <t>BUS UNIT</t>
  </si>
  <si>
    <t>OBJ</t>
  </si>
  <si>
    <t>SUB ACCT</t>
  </si>
  <si>
    <t>S/L TYPE</t>
  </si>
  <si>
    <t>S/L NAME</t>
  </si>
  <si>
    <t>CUSTOMER ADVANCES FOR CONSTRUCTION:</t>
  </si>
  <si>
    <t>WA OLD ACCOUNTS</t>
  </si>
  <si>
    <t>00047</t>
  </si>
  <si>
    <t>47WA</t>
  </si>
  <si>
    <t>2520</t>
  </si>
  <si>
    <t>[2000.2900]</t>
  </si>
  <si>
    <t>NEW ACCOUNTS</t>
  </si>
  <si>
    <t>[000.2000]</t>
  </si>
  <si>
    <t>FORFEITURES</t>
  </si>
  <si>
    <t>47</t>
  </si>
  <si>
    <t>300</t>
  </si>
  <si>
    <t>MRC</t>
  </si>
  <si>
    <t>2991</t>
  </si>
  <si>
    <t>REFUND. CUST COM.</t>
  </si>
  <si>
    <t>2992</t>
  </si>
  <si>
    <t>REFUND. COMM CONTR.</t>
  </si>
  <si>
    <t>2993</t>
  </si>
  <si>
    <t>DEFERRED TAXES:</t>
  </si>
  <si>
    <t>FED UTIL ACRS DEP.</t>
  </si>
  <si>
    <t>2820</t>
  </si>
  <si>
    <t>96301</t>
  </si>
  <si>
    <t>47OR</t>
  </si>
  <si>
    <t>FED DEBT REFINANCING COSTS</t>
  </si>
  <si>
    <t>2830</t>
  </si>
  <si>
    <t>96302</t>
  </si>
  <si>
    <t>FED CUSTOMER ADVANCES</t>
  </si>
  <si>
    <t>1900</t>
  </si>
  <si>
    <t>96303</t>
  </si>
  <si>
    <t>FED TAX REFORM-PLANT</t>
  </si>
  <si>
    <t>96304</t>
  </si>
  <si>
    <t>FED TAX REFORM-RATE BASE</t>
  </si>
  <si>
    <t>96305</t>
  </si>
  <si>
    <t>STATE UTIL ACRS DEP.</t>
  </si>
  <si>
    <t>86301</t>
  </si>
  <si>
    <t>STATE DEBT REFINANCING COSTS</t>
  </si>
  <si>
    <t>86302</t>
  </si>
  <si>
    <t>STATE CUSTOMER ADVANCES</t>
  </si>
  <si>
    <t>86303</t>
  </si>
  <si>
    <t>STATE TAX REFROM-RATE BASE</t>
  </si>
  <si>
    <t>86305</t>
  </si>
  <si>
    <t>OTHER DEFERRED TAXES:</t>
  </si>
  <si>
    <t>jan</t>
  </si>
  <si>
    <t>feb</t>
  </si>
  <si>
    <t>mar</t>
  </si>
  <si>
    <t>apr</t>
  </si>
  <si>
    <t>may</t>
  </si>
  <si>
    <t>june</t>
  </si>
  <si>
    <t>july</t>
  </si>
  <si>
    <t>aug</t>
  </si>
  <si>
    <t>sept</t>
  </si>
  <si>
    <t>oct</t>
  </si>
  <si>
    <t>nov</t>
  </si>
  <si>
    <t>dec</t>
  </si>
  <si>
    <t>Federal Grossup</t>
  </si>
  <si>
    <t>961</t>
  </si>
  <si>
    <t>Federal FAS 109 adj</t>
  </si>
  <si>
    <t>962</t>
  </si>
  <si>
    <t xml:space="preserve">Federal NonReg </t>
  </si>
  <si>
    <t>Federal Non-current deferred Tax</t>
  </si>
  <si>
    <t>965</t>
  </si>
  <si>
    <t>Federal Current Deferred Tax</t>
  </si>
  <si>
    <t>975</t>
  </si>
  <si>
    <t>State FAS109 Grossup</t>
  </si>
  <si>
    <t>861</t>
  </si>
  <si>
    <t>State FAS109 Adjustment</t>
  </si>
  <si>
    <t>862</t>
  </si>
  <si>
    <t>State NonReg</t>
  </si>
  <si>
    <t>864</t>
  </si>
  <si>
    <t>State noncurrent Reg</t>
  </si>
  <si>
    <t>865</t>
  </si>
  <si>
    <t>State current Reg</t>
  </si>
  <si>
    <t>Total - 1900</t>
  </si>
  <si>
    <t>State Oregon Rate Change Def</t>
  </si>
  <si>
    <t>Total - 2820</t>
  </si>
  <si>
    <t>Federal Def Tax Liability, NonReg</t>
  </si>
  <si>
    <t>Federal Def Tax Liability, NC, Reg</t>
  </si>
  <si>
    <t>State Def Tax Liability, NonReg</t>
  </si>
  <si>
    <t>State Def Tax Liability, NC, Reg</t>
  </si>
  <si>
    <t>Total - 2830</t>
  </si>
  <si>
    <t>Per Books</t>
  </si>
  <si>
    <t>Projected 2024</t>
  </si>
  <si>
    <t>Projected 2025</t>
  </si>
  <si>
    <t>Accumulated Deferred Income Taxes</t>
  </si>
  <si>
    <t>Changes</t>
  </si>
  <si>
    <t>Balance</t>
  </si>
  <si>
    <t>Plant Depreciation</t>
  </si>
  <si>
    <t>Excess Deferred Income Taxes - Plant</t>
  </si>
  <si>
    <t>Excess Deferred Income Taxes - Non-Plant</t>
  </si>
  <si>
    <t>Unamortized Loss on Reaquired Debt</t>
  </si>
  <si>
    <t>Projected Deferred Income Taxes on Investment through 2023</t>
  </si>
  <si>
    <t>Ending</t>
  </si>
  <si>
    <t>Annual Book</t>
  </si>
  <si>
    <t>Book-Tax</t>
  </si>
  <si>
    <t>Deferred Income</t>
  </si>
  <si>
    <t>Plant Balance</t>
  </si>
  <si>
    <t>Depreciation</t>
  </si>
  <si>
    <t>Intangible Plant</t>
  </si>
  <si>
    <t>Transmission Plant</t>
  </si>
  <si>
    <t>Distribution Plant</t>
  </si>
  <si>
    <t>General Plant</t>
  </si>
  <si>
    <t>Projected Deferred Income Taxes on 2024 Provisional Plant Additions</t>
  </si>
  <si>
    <t>Provisional</t>
  </si>
  <si>
    <t>Plant Additions</t>
  </si>
  <si>
    <t xml:space="preserve">  Other</t>
  </si>
  <si>
    <t xml:space="preserve">  Structures &amp; Improvement</t>
  </si>
  <si>
    <t xml:space="preserve">  Computer Equipment</t>
  </si>
  <si>
    <t xml:space="preserve">  Vehicles</t>
  </si>
  <si>
    <t xml:space="preserve">  Work Equipment.</t>
  </si>
  <si>
    <t>Projected Deferred Income Taxes on 2025 Provisional Plant Additions</t>
  </si>
  <si>
    <t>Production Plant</t>
  </si>
  <si>
    <t>Projected Deferred Income Taxes on 2024-2025 Provisional Plant Retirements</t>
  </si>
  <si>
    <t>Plant Retirements</t>
  </si>
  <si>
    <t>2024 Provisional Plant Retirements</t>
  </si>
  <si>
    <t>2025 Provisional Plant Retirements</t>
  </si>
  <si>
    <t>Tax depreciation rates:</t>
  </si>
  <si>
    <t>Year 1</t>
  </si>
  <si>
    <t>Year 2</t>
  </si>
  <si>
    <t>(20 Yr.)</t>
  </si>
  <si>
    <t>(7 Yr.)</t>
  </si>
  <si>
    <t>General</t>
  </si>
  <si>
    <t>(39 Yr.)</t>
  </si>
  <si>
    <t>Transportation, Work Equip. &amp; Computer</t>
  </si>
  <si>
    <t>(5 Yr.)</t>
  </si>
  <si>
    <t>Intangible</t>
  </si>
  <si>
    <t>(3 Yr.)</t>
  </si>
  <si>
    <t>Allocator (3-Factor Formula)</t>
  </si>
  <si>
    <t>YTD</t>
  </si>
  <si>
    <t>Bus'n</t>
  </si>
  <si>
    <t>Sub</t>
  </si>
  <si>
    <t xml:space="preserve">           Operating Investment</t>
  </si>
  <si>
    <t>Ln</t>
  </si>
  <si>
    <t>Acct</t>
  </si>
  <si>
    <t>Current</t>
  </si>
  <si>
    <t>Invested</t>
  </si>
  <si>
    <t>#</t>
  </si>
  <si>
    <t>Unit</t>
  </si>
  <si>
    <t>Jauary 2023</t>
  </si>
  <si>
    <t>February 2023</t>
  </si>
  <si>
    <t>March 2023</t>
  </si>
  <si>
    <t>April 2023</t>
  </si>
  <si>
    <t>May 2023</t>
  </si>
  <si>
    <t>June 2023</t>
  </si>
  <si>
    <t>July 2023</t>
  </si>
  <si>
    <t>August 2023</t>
  </si>
  <si>
    <t>September 2023</t>
  </si>
  <si>
    <t>October 2023</t>
  </si>
  <si>
    <t>November 2023</t>
  </si>
  <si>
    <t>AMA Total</t>
  </si>
  <si>
    <t>Assets</t>
  </si>
  <si>
    <t>Liabilities</t>
  </si>
  <si>
    <t>Capital</t>
  </si>
  <si>
    <t>Investment</t>
  </si>
  <si>
    <t>Non-Utility</t>
  </si>
  <si>
    <t>Invested Capital</t>
  </si>
  <si>
    <t>Working Capital</t>
  </si>
  <si>
    <t>(a)</t>
  </si>
  <si>
    <t>(b)</t>
  </si>
  <si>
    <t>( c)</t>
  </si>
  <si>
    <t>(d)</t>
  </si>
  <si>
    <t>( e)</t>
  </si>
  <si>
    <t>(f)</t>
  </si>
  <si>
    <t>(g)</t>
  </si>
  <si>
    <t>(h)</t>
  </si>
  <si>
    <t>1012</t>
  </si>
  <si>
    <t>Gas Plant In Service - WA (includes 1062 account for U Books)</t>
  </si>
  <si>
    <t>Gas Plant In Service - OR (includes 1062 account for U Books)</t>
  </si>
  <si>
    <t>48</t>
  </si>
  <si>
    <t>020</t>
  </si>
  <si>
    <t>Gas Plant In Service-Excluding ARO</t>
  </si>
  <si>
    <t>49</t>
  </si>
  <si>
    <t>1014</t>
  </si>
  <si>
    <t>Gas Plant In Service-ARO Only</t>
  </si>
  <si>
    <t>50</t>
  </si>
  <si>
    <t>1052</t>
  </si>
  <si>
    <t>Plant Held for Future Use - WA</t>
  </si>
  <si>
    <t>51</t>
  </si>
  <si>
    <t>Plant Held for Future Use - OR</t>
  </si>
  <si>
    <t>52</t>
  </si>
  <si>
    <t>1062</t>
  </si>
  <si>
    <t>Gas Plant Completed Not Classified - WA (included in 1012 account for U Books)</t>
  </si>
  <si>
    <t>Gas Plant Completed Not Classified - OR (included in 1012 account for U Books)</t>
  </si>
  <si>
    <t>1072</t>
  </si>
  <si>
    <t>CWIP - Gas - WA</t>
  </si>
  <si>
    <t>CWIP - Gas - OR</t>
  </si>
  <si>
    <t xml:space="preserve">   TOTAL UTILITY PLANT</t>
  </si>
  <si>
    <t>1082</t>
  </si>
  <si>
    <t>RWIP - Gas -WA</t>
  </si>
  <si>
    <t>RWIP - Gas - OR</t>
  </si>
  <si>
    <t>Accum Prov Deprec - Gas Util - WA</t>
  </si>
  <si>
    <t>Accum Prov Deprec - Gas Util -OR</t>
  </si>
  <si>
    <t>Accum Prov Deprec - Gas Util Excluding ARO</t>
  </si>
  <si>
    <t>1084</t>
  </si>
  <si>
    <t>Accum Prov Deprec - Gas Util ARO Only</t>
  </si>
  <si>
    <t>1112</t>
  </si>
  <si>
    <t>Amortization Expense (Intangible Plant) -WA</t>
  </si>
  <si>
    <t>Amortization Expense (Intangible Plant) - OR</t>
  </si>
  <si>
    <t>1152</t>
  </si>
  <si>
    <t>Accum Prov for Gas Acq Adj</t>
  </si>
  <si>
    <t xml:space="preserve">    Subtotal - Accum Depreciation</t>
  </si>
  <si>
    <t>1087</t>
  </si>
  <si>
    <t>Accum Prov Gas - Non-ARO -WA</t>
  </si>
  <si>
    <t>Accum Prov Gas - Non-ARO - OR</t>
  </si>
  <si>
    <t>1088</t>
  </si>
  <si>
    <t>Gas Accum Prov ARO - WA</t>
  </si>
  <si>
    <t>Gas Accum Prov ARO - OR</t>
  </si>
  <si>
    <t xml:space="preserve">    Subtotal - reclass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</si>
  <si>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</si>
  <si>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</si>
  <si>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</si>
  <si>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</si>
  <si>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</si>
  <si>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</si>
  <si>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</si>
  <si>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</si>
  <si>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</si>
  <si>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1244</t>
  </si>
  <si>
    <t>01</t>
  </si>
  <si>
    <t>Other Investments - Funds held in trust</t>
  </si>
  <si>
    <t>02</t>
  </si>
  <si>
    <t>Other Investments - Misc Insurance Assets</t>
  </si>
  <si>
    <t>04</t>
  </si>
  <si>
    <t>Other Investments - SISP Defined Cont Plan</t>
  </si>
  <si>
    <t>051</t>
  </si>
  <si>
    <t>Other Investments - Deferred Compensation Assets</t>
  </si>
  <si>
    <t>052</t>
  </si>
  <si>
    <t>Other Investments - Unrealized Gains Deferred Comp</t>
  </si>
  <si>
    <t xml:space="preserve">   TOTAL OTHER INVESTMENTS</t>
  </si>
  <si>
    <t>1310</t>
  </si>
  <si>
    <t>2104</t>
  </si>
  <si>
    <t>Cash - General Account US Bank</t>
  </si>
  <si>
    <t>2105</t>
  </si>
  <si>
    <t>Cash - Acct Payable Disbursement</t>
  </si>
  <si>
    <t>2106</t>
  </si>
  <si>
    <t>Cash - Payroll Disbursement</t>
  </si>
  <si>
    <t>2107</t>
  </si>
  <si>
    <t>Cash - Concentration AP and Payroll</t>
  </si>
  <si>
    <t>2110</t>
  </si>
  <si>
    <t>Money Center Acctount - US Bank</t>
  </si>
  <si>
    <t>2112</t>
  </si>
  <si>
    <t>Cash - General Account Wells Fargo</t>
  </si>
  <si>
    <t>2199</t>
  </si>
  <si>
    <t>Money Sweep (REPO) Account</t>
  </si>
  <si>
    <t>1350</t>
  </si>
  <si>
    <t>47031</t>
  </si>
  <si>
    <t>Working Funds - Aberdeen</t>
  </si>
  <si>
    <t>47088</t>
  </si>
  <si>
    <t>Working Funds - Bellingham</t>
  </si>
  <si>
    <t>47107</t>
  </si>
  <si>
    <t>Working Funds - Bremerton</t>
  </si>
  <si>
    <t>47531</t>
  </si>
  <si>
    <t>Working Funds - Longview</t>
  </si>
  <si>
    <t xml:space="preserve">   TOTAL CASH</t>
  </si>
  <si>
    <t>1360</t>
  </si>
  <si>
    <t>2101</t>
  </si>
  <si>
    <t>Temporary Cash Investments - Money Center Account - US Bank</t>
  </si>
  <si>
    <t>2103</t>
  </si>
  <si>
    <t>Temporary Cash Investments - Money Sweep (REPO) Account</t>
  </si>
  <si>
    <t xml:space="preserve">   TOTAL CASH EQUIVALENTS</t>
  </si>
  <si>
    <t>1420</t>
  </si>
  <si>
    <t>Customer Accounts Receivable - Suspense</t>
  </si>
  <si>
    <t>1432</t>
  </si>
  <si>
    <t>00</t>
  </si>
  <si>
    <t>Other Accounts Receivable - Misc.</t>
  </si>
  <si>
    <t xml:space="preserve">Other Accounts Receivable - Receivable CC&amp;B </t>
  </si>
  <si>
    <t>Other Accounts Receivable - Billing Clearing Control</t>
  </si>
  <si>
    <t>03</t>
  </si>
  <si>
    <t>Other Accounts Receivable - Empolyee Receivable</t>
  </si>
  <si>
    <t>Other Accounts Receivable - Old Cascade SISP Payments &amp; Unbilled Oregon PPF accrual</t>
  </si>
  <si>
    <t>041</t>
  </si>
  <si>
    <t>Other Accounts Receivable - IRS Tax Levy</t>
  </si>
  <si>
    <t>06</t>
  </si>
  <si>
    <t>Other Accounts Receivable - Federal Income Tax</t>
  </si>
  <si>
    <t>20</t>
  </si>
  <si>
    <t>Other Accounts Receivable - Prepaid FIN48 - Current</t>
  </si>
  <si>
    <t>08</t>
  </si>
  <si>
    <t>Other Accounts Receivable - LIHEAP Pledge Receivable</t>
  </si>
  <si>
    <t>09</t>
  </si>
  <si>
    <t>Other Accounts Receivable - WA CCA Consignment Receivable</t>
  </si>
  <si>
    <t>07</t>
  </si>
  <si>
    <t>Other Accounts Receivable - State Income Tax</t>
  </si>
  <si>
    <t>1710</t>
  </si>
  <si>
    <t>Interest &amp; Dividends Receivable</t>
  </si>
  <si>
    <t>Customer Accounts Receivable - Gas</t>
  </si>
  <si>
    <t>Customer Accounts Receivable - Large Volume</t>
  </si>
  <si>
    <t xml:space="preserve">   Subtotal - Other A/R</t>
  </si>
  <si>
    <t xml:space="preserve">   </t>
  </si>
  <si>
    <t>1410</t>
  </si>
  <si>
    <t>1*</t>
  </si>
  <si>
    <t xml:space="preserve">Notes Receivable - Imperium Renewable  </t>
  </si>
  <si>
    <t>2*</t>
  </si>
  <si>
    <t>Notes Receivable - Touchstone</t>
  </si>
  <si>
    <t>1460</t>
  </si>
  <si>
    <t>001*</t>
  </si>
  <si>
    <t>Accts Receivable - MDU</t>
  </si>
  <si>
    <t>004*</t>
  </si>
  <si>
    <t>Accts Receivable - MDUR Resources</t>
  </si>
  <si>
    <t>005*</t>
  </si>
  <si>
    <t>Accts Receivable - Centenial Holdings</t>
  </si>
  <si>
    <t>008*</t>
  </si>
  <si>
    <t>Accts Receivable - FutureSource</t>
  </si>
  <si>
    <t>046*</t>
  </si>
  <si>
    <t>Accts Receivable - PCEH</t>
  </si>
  <si>
    <t>048*</t>
  </si>
  <si>
    <t>Accts Receivable - IGC</t>
  </si>
  <si>
    <t>060*</t>
  </si>
  <si>
    <t>Accts Receivable - WBI</t>
  </si>
  <si>
    <t>062*</t>
  </si>
  <si>
    <t>Accts Receivable - Knife River</t>
  </si>
  <si>
    <t>067*</t>
  </si>
  <si>
    <t>Accts Receivable - CSG</t>
  </si>
  <si>
    <t xml:space="preserve">   Subtotal - Interco A/R</t>
  </si>
  <si>
    <t>1466</t>
  </si>
  <si>
    <t>Intercompany settlements</t>
  </si>
  <si>
    <t xml:space="preserve">   TOTAL RECEIVABLES</t>
  </si>
  <si>
    <t>1449</t>
  </si>
  <si>
    <t>000</t>
  </si>
  <si>
    <t>Other Receivables - Balance Forward</t>
  </si>
  <si>
    <t>100</t>
  </si>
  <si>
    <t>Other Receivables - Current Year Write-Offs</t>
  </si>
  <si>
    <t>Other Receivables - Current Year Recoveries</t>
  </si>
  <si>
    <t>400</t>
  </si>
  <si>
    <t>Other Receivables - Current Year Provision</t>
  </si>
  <si>
    <t>1442</t>
  </si>
  <si>
    <t>Accum Prov for Uncollect - Gas Balance Forward</t>
  </si>
  <si>
    <t>Accum Prov for Uncollect - Gas Current Year Write-Offs</t>
  </si>
  <si>
    <t>Accum Prov for Uncollect - Gas Current Year Recoveries</t>
  </si>
  <si>
    <t>Accum Prov for Uncollect - Gas Current Year Provision</t>
  </si>
  <si>
    <t>1443</t>
  </si>
  <si>
    <t>Accum Prov for Uncollect - Large Volume Balance Forward</t>
  </si>
  <si>
    <t>Accum Prov for Uncollect - Large Volume Current Year Write-Offs</t>
  </si>
  <si>
    <t>Accum Prov for Uncollect - Large Volume Current Year Provision</t>
  </si>
  <si>
    <t>Accum Prov for Uncollect - Large Volume Current Year Recoveries</t>
  </si>
  <si>
    <t xml:space="preserve">   TOTAL ACCUM PROV UNCOLLECT</t>
  </si>
  <si>
    <t xml:space="preserve">   NET RECEIVABLES</t>
  </si>
  <si>
    <t>4700001</t>
  </si>
  <si>
    <t>1540</t>
  </si>
  <si>
    <t>2300</t>
  </si>
  <si>
    <t>Plant Materials &amp; Op Supplies - Central Stores</t>
  </si>
  <si>
    <t>4701100</t>
  </si>
  <si>
    <t>Plant Materials &amp; Op Supplies - Bellingham</t>
  </si>
  <si>
    <t>4701200</t>
  </si>
  <si>
    <t>Plant Materials &amp; Op Supplies - Mount Vernon</t>
  </si>
  <si>
    <t>4701201</t>
  </si>
  <si>
    <t>Plant Materials &amp; Op Supplies - Mount Vernon Fab Shop</t>
  </si>
  <si>
    <t>4702100</t>
  </si>
  <si>
    <t>Plant Materials &amp; Op Supplies - Bremerton</t>
  </si>
  <si>
    <t>4702200</t>
  </si>
  <si>
    <t>Plant Materials &amp; Op Supplies - Longview</t>
  </si>
  <si>
    <t>4702300</t>
  </si>
  <si>
    <t>Plant Materials &amp; Op Supplies - Aberdeen</t>
  </si>
  <si>
    <t>4703200</t>
  </si>
  <si>
    <t>Plant Materials &amp; Op Supplies - Kennewick</t>
  </si>
  <si>
    <t>4703300</t>
  </si>
  <si>
    <t>Plant Materials &amp; Op Supplies - Walla Walla</t>
  </si>
  <si>
    <t>4703400</t>
  </si>
  <si>
    <t>Plant Materials &amp; Op Supplies - Wenatchee</t>
  </si>
  <si>
    <t>4703401</t>
  </si>
  <si>
    <t>Plant Materials &amp; Op Supplies - Moses Lake</t>
  </si>
  <si>
    <t>4703500</t>
  </si>
  <si>
    <t>Plant Materials &amp; Op Supplies - Yakima</t>
  </si>
  <si>
    <t>4703501</t>
  </si>
  <si>
    <t>Plant Materials &amp; Op Supplies - Yakima Fab Shop</t>
  </si>
  <si>
    <t>4704100</t>
  </si>
  <si>
    <t>Plant Materials &amp; Op Supplies - Bend</t>
  </si>
  <si>
    <t>4704200</t>
  </si>
  <si>
    <t>Plant Materials &amp; Op Supplies - Pendleton</t>
  </si>
  <si>
    <t>4704201</t>
  </si>
  <si>
    <t>Plant Materials &amp; Op Supplies - Hermiston</t>
  </si>
  <si>
    <t>4704300</t>
  </si>
  <si>
    <t>Plant Materials &amp; Op Supplies - Ontario</t>
  </si>
  <si>
    <t>4704301</t>
  </si>
  <si>
    <t>Plant Materials &amp; Op Supplies - Baker City</t>
  </si>
  <si>
    <t>47031000</t>
  </si>
  <si>
    <t>47088000</t>
  </si>
  <si>
    <t>47090000</t>
  </si>
  <si>
    <t>47107000</t>
  </si>
  <si>
    <t>47358000</t>
  </si>
  <si>
    <t>47491000</t>
  </si>
  <si>
    <t>47531000</t>
  </si>
  <si>
    <t>47585000</t>
  </si>
  <si>
    <t>47586000</t>
  </si>
  <si>
    <t>47586001</t>
  </si>
  <si>
    <t>47657000</t>
  </si>
  <si>
    <t>47698000</t>
  </si>
  <si>
    <t>47920000</t>
  </si>
  <si>
    <t>47931000</t>
  </si>
  <si>
    <t>47968000</t>
  </si>
  <si>
    <t>47968001</t>
  </si>
  <si>
    <t>2308</t>
  </si>
  <si>
    <t>Plant Materials &amp; Op Supplies - Odorant Inventory</t>
  </si>
  <si>
    <t>2400</t>
  </si>
  <si>
    <t>Plant Materials &amp; Op Supplies - Truck Stock WA</t>
  </si>
  <si>
    <t>1581</t>
  </si>
  <si>
    <t>WA CCA Allowances Noncurrent</t>
  </si>
  <si>
    <t>OR CCP Allowances Noncurrent</t>
  </si>
  <si>
    <t>WA CCA Allowances Current</t>
  </si>
  <si>
    <t>WA CCA Liability NonCurrent</t>
  </si>
  <si>
    <t>22</t>
  </si>
  <si>
    <t>OR CCP Liability NonCurrent</t>
  </si>
  <si>
    <t>32</t>
  </si>
  <si>
    <t>WA CCA Liability Current</t>
  </si>
  <si>
    <t>1630</t>
  </si>
  <si>
    <t>2301</t>
  </si>
  <si>
    <t>Undistributed Stores Exp - Inventory Freight Clearing</t>
  </si>
  <si>
    <t>2401</t>
  </si>
  <si>
    <t>Undistributed Stores Exp - Non-Inventory Purchases Clearing</t>
  </si>
  <si>
    <t>2501</t>
  </si>
  <si>
    <t>Undistributed Stores Exp - Inventory Adjustment/Variance Clearing</t>
  </si>
  <si>
    <t>2601</t>
  </si>
  <si>
    <t>Inventory Loading Clearing</t>
  </si>
  <si>
    <t>1641</t>
  </si>
  <si>
    <t>Pipeline Imbalances</t>
  </si>
  <si>
    <t>Storage Boil-Off</t>
  </si>
  <si>
    <t>1642</t>
  </si>
  <si>
    <t>Liquified Natural Gas Stored</t>
  </si>
  <si>
    <t xml:space="preserve">    NET INVENTORIES</t>
  </si>
  <si>
    <t>1655</t>
  </si>
  <si>
    <t xml:space="preserve">Prepayments - Insurance </t>
  </si>
  <si>
    <t>1659</t>
  </si>
  <si>
    <t>Prepayments - Vehicle Licensing</t>
  </si>
  <si>
    <t>14</t>
  </si>
  <si>
    <t>Prepayments - Software Maintenance Fee</t>
  </si>
  <si>
    <t>15</t>
  </si>
  <si>
    <t>Prepayments - Gas Cost</t>
  </si>
  <si>
    <t>18</t>
  </si>
  <si>
    <t>Prepayments - Federal Income Tax</t>
  </si>
  <si>
    <t>Prepayments - FIN48 Current</t>
  </si>
  <si>
    <t>Prepayments - Gas Storage</t>
  </si>
  <si>
    <t>23</t>
  </si>
  <si>
    <t>Prepayments - Other</t>
  </si>
  <si>
    <t>24</t>
  </si>
  <si>
    <t>Prepayments - Other Non-Deductible</t>
  </si>
  <si>
    <t>1747</t>
  </si>
  <si>
    <t>Misc Current and Accrued Assets</t>
  </si>
  <si>
    <t>1750</t>
  </si>
  <si>
    <t>Derivative Instruments - Current</t>
  </si>
  <si>
    <t>Prepayments - Gross Revenue Fee</t>
  </si>
  <si>
    <t>Prepayments - Dept. of Energy Fee</t>
  </si>
  <si>
    <t>Prepayments - Property Tax</t>
  </si>
  <si>
    <t>19</t>
  </si>
  <si>
    <t>Prepayments - State Income Tax</t>
  </si>
  <si>
    <t>1860</t>
  </si>
  <si>
    <t>20425</t>
  </si>
  <si>
    <t>Misc Def Dr - Regulatory assets current Core Gas Supply Hedging</t>
  </si>
  <si>
    <t>20424</t>
  </si>
  <si>
    <t xml:space="preserve">   TOTAL CURRENT &amp; ACCR ASSETS</t>
  </si>
  <si>
    <t>1732</t>
  </si>
  <si>
    <t>Accrued Gas Revenues - Unbilled Residential</t>
  </si>
  <si>
    <t>Accrued Gas Revenues - Unbilled Commercial</t>
  </si>
  <si>
    <t>Accrued Gas Revenues - Unbilled Industrial</t>
  </si>
  <si>
    <t>1734</t>
  </si>
  <si>
    <t>Accrued Transportation Revenues - Unbilled Transportation</t>
  </si>
  <si>
    <t>Accrued Transportation Revenues - Unbilled Transportation - Egen</t>
  </si>
  <si>
    <t xml:space="preserve">   TOTAL ACCRUED REVENUES</t>
  </si>
  <si>
    <t>Accumulated Deferred Income Tax - Federal FAS109 Grossup</t>
  </si>
  <si>
    <t>Accumulated Deferred Income Tax - Federal FAS109 Adjustment</t>
  </si>
  <si>
    <t>Accumulated Deferred Income Tax - Federal Customer Advances</t>
  </si>
  <si>
    <t>964</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</si>
  <si>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</si>
  <si>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</si>
  <si>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</si>
  <si>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</si>
  <si>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</si>
  <si>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</si>
  <si>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</si>
  <si>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</si>
  <si>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</si>
  <si>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</si>
  <si>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</si>
  <si>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1910</t>
  </si>
  <si>
    <t>(Over) Under Recovery of Purchased Gas Costs</t>
  </si>
  <si>
    <t>01272</t>
  </si>
  <si>
    <t>Core Market Commodity</t>
  </si>
  <si>
    <t>01273</t>
  </si>
  <si>
    <t>Core Market Demand</t>
  </si>
  <si>
    <t>01287</t>
  </si>
  <si>
    <t>Gas Cost Ammortization</t>
  </si>
  <si>
    <t>01999</t>
  </si>
  <si>
    <t>Gas Cost Ammortization Accrual Unbilled</t>
  </si>
  <si>
    <t>01253</t>
  </si>
  <si>
    <t>01254</t>
  </si>
  <si>
    <t>01286</t>
  </si>
  <si>
    <t>01288</t>
  </si>
  <si>
    <t>Gas Cost Ammortization- 3 year</t>
  </si>
  <si>
    <t>01289</t>
  </si>
  <si>
    <t>Gas Cost Ammortization- 2 year</t>
  </si>
  <si>
    <t>1810</t>
  </si>
  <si>
    <t>Unamort Debt Exp - 7.48% - 2027</t>
  </si>
  <si>
    <t>13</t>
  </si>
  <si>
    <t>Unamort Debt Exp - 7.10% - 2029</t>
  </si>
  <si>
    <t>17</t>
  </si>
  <si>
    <t xml:space="preserve">Unamort Debt Exp - 5.25% Insured notes </t>
  </si>
  <si>
    <t>Unamort Debt Exp - 5.21% - 2020</t>
  </si>
  <si>
    <t>Unamort Debt Exp - 5.79% - 2037</t>
  </si>
  <si>
    <t>Unamort Debt Exp - 4.11% - 2025</t>
  </si>
  <si>
    <t>21</t>
  </si>
  <si>
    <t>Unamort Debt Exp - 4.36% - 2028</t>
  </si>
  <si>
    <t>Unamort Debt Exp - LOC 7/9/2018</t>
  </si>
  <si>
    <t>Unamort Debt Exp - 4.09% - 2044</t>
  </si>
  <si>
    <t>Unamort Debt Exp - 4.24% - 2054</t>
  </si>
  <si>
    <t>25</t>
  </si>
  <si>
    <t>Unamort Debt Exp - 4.09% - 2045</t>
  </si>
  <si>
    <t>26</t>
  </si>
  <si>
    <t>Unamort Debt Exp - 4.24% - 2055</t>
  </si>
  <si>
    <t>27</t>
  </si>
  <si>
    <t>Unamort Debt Exp - 3.62% - 2029</t>
  </si>
  <si>
    <t>28</t>
  </si>
  <si>
    <t>Unamort Debt Exp - 3.82% - 2034</t>
  </si>
  <si>
    <t>29</t>
  </si>
  <si>
    <t>Unamort Debt Exp - 4.26% - 2049</t>
  </si>
  <si>
    <t>30</t>
  </si>
  <si>
    <t>Unamort Debt Exp - 3.58% - 2050</t>
  </si>
  <si>
    <t>31</t>
  </si>
  <si>
    <t>Unamort Debt Exp - 3.78% - 2060</t>
  </si>
  <si>
    <t>Unamort Debt Exp - 3.34% - 2060</t>
  </si>
  <si>
    <t>33</t>
  </si>
  <si>
    <t>Unamort Debt Exp - 4.26% - 2032</t>
  </si>
  <si>
    <t>34</t>
  </si>
  <si>
    <t>Unamort Debt Exp - 4.60% - 2052</t>
  </si>
  <si>
    <t>35</t>
  </si>
  <si>
    <t>Unamort Debt Exp - 6.39% - 2033</t>
  </si>
  <si>
    <t xml:space="preserve">   TOTAL UNAMORT DEBT EXPENSE</t>
  </si>
  <si>
    <t>1890</t>
  </si>
  <si>
    <t>Unam Loss Reaq Debt - 7.50% - 2031</t>
  </si>
  <si>
    <t>Unam Loss Reaq Debt - Retired IQN 5.25% (Issued 3.34%)</t>
  </si>
  <si>
    <t>Other Accounts Receivable - US EPA</t>
  </si>
  <si>
    <t>Derivative Instruments - Noncurrent</t>
  </si>
  <si>
    <t>1832</t>
  </si>
  <si>
    <t>Preliminary Survey &amp; Investigations</t>
  </si>
  <si>
    <t>1823</t>
  </si>
  <si>
    <t>2042</t>
  </si>
  <si>
    <t>Other Regulatory Asset - FAS 158 Pension</t>
  </si>
  <si>
    <t>2044</t>
  </si>
  <si>
    <t>Other Regulatory Asset - FAS 158 - MDUR Pension</t>
  </si>
  <si>
    <t>2048</t>
  </si>
  <si>
    <t>Other Regulatory Asset - FAS 158 - MDUR Post-Retirement</t>
  </si>
  <si>
    <t>2049</t>
  </si>
  <si>
    <t>Other Regulatory Asset - FAS 158 Post-Retirment</t>
  </si>
  <si>
    <t>2037</t>
  </si>
  <si>
    <t>Other Regulatory Asset - SFAS 109</t>
  </si>
  <si>
    <t>2047</t>
  </si>
  <si>
    <t>Other Regulatory Asset - MAOP</t>
  </si>
  <si>
    <t>2050</t>
  </si>
  <si>
    <t>Other Regulatory Asset - CAT Regulatory Asset</t>
  </si>
  <si>
    <t>2051</t>
  </si>
  <si>
    <t>Other Regulatory Asset - OR Covid-19 Deferred Costs-Current</t>
  </si>
  <si>
    <t>2052</t>
  </si>
  <si>
    <t>Other Regulatory Asset - Big Heart Grant</t>
  </si>
  <si>
    <t>2053</t>
  </si>
  <si>
    <t>Other Regulatory Asset - OR Covid-19 Deferred Costs-Non-Current</t>
  </si>
  <si>
    <t>2054</t>
  </si>
  <si>
    <t>Other Regulatory Asset - OR EDP Discounts-Current</t>
  </si>
  <si>
    <t>2055</t>
  </si>
  <si>
    <t>Other Regulatory Asset - OR EDP Admin Costs-Current</t>
  </si>
  <si>
    <t>2056</t>
  </si>
  <si>
    <t>Other Regulatory Asset - OR EDP Recovery Program-Current</t>
  </si>
  <si>
    <t>2057</t>
  </si>
  <si>
    <t>Other Regulatory Asset - OR Climate Control Plan-Current</t>
  </si>
  <si>
    <t>2068</t>
  </si>
  <si>
    <t>Other Regulatory Asset - OR CCP Purchase Allowances Noncurrent</t>
  </si>
  <si>
    <t>2069</t>
  </si>
  <si>
    <t>Other Regulatory Asset - OR CCP Liability Offset Noncurrent</t>
  </si>
  <si>
    <t>2070</t>
  </si>
  <si>
    <t>Other Regulatory Asset - OR CPP Allowances Interest Current</t>
  </si>
  <si>
    <t>2077</t>
  </si>
  <si>
    <t>Other Regulatory Asset - OR Covid-19 Recovery Current</t>
  </si>
  <si>
    <t>2058</t>
  </si>
  <si>
    <t>Other Regulatory Asset - WA Climate Commitment Act-Current</t>
  </si>
  <si>
    <t>2059</t>
  </si>
  <si>
    <t>Other Regulatory Asset - WA Intervenor Deferral-Current</t>
  </si>
  <si>
    <t>2060</t>
  </si>
  <si>
    <t>Other Regulatory Asset - WA Intervenor Amortization-Current</t>
  </si>
  <si>
    <t>2061</t>
  </si>
  <si>
    <t>Other Regulatory Asset - WA EDIT Recovery-Current</t>
  </si>
  <si>
    <t>2062</t>
  </si>
  <si>
    <t>Other Regulatory Asset - WA EDIT Recovery-Non-Current</t>
  </si>
  <si>
    <t>2063</t>
  </si>
  <si>
    <t>Other Regulatory Asset - WA CCA Purchase Allowances NonCurrent</t>
  </si>
  <si>
    <t>2064</t>
  </si>
  <si>
    <t>Other Regulatory Asset - WA CCA Liability Offset NonCurrent</t>
  </si>
  <si>
    <t>2065</t>
  </si>
  <si>
    <t>Other Regulatory Asset - WA CCA Allowances Interest Current</t>
  </si>
  <si>
    <t>2073</t>
  </si>
  <si>
    <t>Other Regulatory Asset - WA EDP-AMP Discounts Current</t>
  </si>
  <si>
    <t>2074</t>
  </si>
  <si>
    <t>Other Regulatory Asset - WA EDP-AMP Admin Costs Current</t>
  </si>
  <si>
    <t>2075</t>
  </si>
  <si>
    <t>Other Regulatory Asset - WA EDP-AMP Arrears Forgiveness Current</t>
  </si>
  <si>
    <t>2076</t>
  </si>
  <si>
    <t>Other Regulatory Asset - WA EDP-AMP Recovery Current</t>
  </si>
  <si>
    <t>2078</t>
  </si>
  <si>
    <t>Other Regulatory Asset - WA Big Heart Grant Current</t>
  </si>
  <si>
    <t>47020430</t>
  </si>
  <si>
    <t>Other Regulatory Asset - Commercial Conservation Program</t>
  </si>
  <si>
    <t>47020431</t>
  </si>
  <si>
    <t>Other Regulatory Asset - Low Income Weatherization</t>
  </si>
  <si>
    <t>47020444</t>
  </si>
  <si>
    <t>Other Regulatory Asset - Conservation Administration &amp; Program Delivery Fees</t>
  </si>
  <si>
    <t>47020449</t>
  </si>
  <si>
    <t>Other Regulatory Asset - Residential Conservation Program</t>
  </si>
  <si>
    <t>47020478</t>
  </si>
  <si>
    <t>Other Regulatory Asset - Conservation Consolidated Adjustment</t>
  </si>
  <si>
    <t>1840</t>
  </si>
  <si>
    <t>1000</t>
  </si>
  <si>
    <t>Payroll clearing - Medical post tax</t>
  </si>
  <si>
    <t>1010</t>
  </si>
  <si>
    <t>Payroll clearing - Medical pre tax</t>
  </si>
  <si>
    <t>1020</t>
  </si>
  <si>
    <t>Payroll clearing - Medical Employer</t>
  </si>
  <si>
    <t>1100</t>
  </si>
  <si>
    <t>Payroll clearing - Dental post tax</t>
  </si>
  <si>
    <t>1110</t>
  </si>
  <si>
    <t>Payroll clearing - Dental pre tax</t>
  </si>
  <si>
    <t>1120</t>
  </si>
  <si>
    <t>Payroll clearing - Dental Employer</t>
  </si>
  <si>
    <t>1200</t>
  </si>
  <si>
    <t>Payroll clearing - Vision post tax</t>
  </si>
  <si>
    <t>Payroll clearing - Vision pre tax</t>
  </si>
  <si>
    <t>2020</t>
  </si>
  <si>
    <t>Payroll clearing - NCLI employer</t>
  </si>
  <si>
    <t>2100</t>
  </si>
  <si>
    <t>Payroll clearing - Voluntary Life</t>
  </si>
  <si>
    <t>2200</t>
  </si>
  <si>
    <t>Payroll clearing - AD&amp;D</t>
  </si>
  <si>
    <t>2220</t>
  </si>
  <si>
    <t>Payroll clearing - AD&amp;D Employer</t>
  </si>
  <si>
    <t>Payroll clearing - Spouse Life</t>
  </si>
  <si>
    <t>Payroll clearing - Dependent Life</t>
  </si>
  <si>
    <t>4020</t>
  </si>
  <si>
    <t>Payroll clearing - EAP Employer</t>
  </si>
  <si>
    <t>4100</t>
  </si>
  <si>
    <t>Payroll clearing - LTD</t>
  </si>
  <si>
    <t>4120</t>
  </si>
  <si>
    <t>Payroll clearing - LTD Employer</t>
  </si>
  <si>
    <t>4220</t>
  </si>
  <si>
    <t>Payroll clearing - STD Employer</t>
  </si>
  <si>
    <t>4920</t>
  </si>
  <si>
    <t>Payroll clearing - Business Travel Employer</t>
  </si>
  <si>
    <t>Payroll clearing - Oregon Workers Comp.</t>
  </si>
  <si>
    <t>OR1</t>
  </si>
  <si>
    <t>Payroll clearing - Oregon Workers Comp. - Benefit Assess</t>
  </si>
  <si>
    <t>Payroll clearing - Washington Workers Comp.</t>
  </si>
  <si>
    <t>@ACCTCatCode02:184</t>
  </si>
  <si>
    <t>Other clearing</t>
  </si>
  <si>
    <t>20208</t>
  </si>
  <si>
    <t>Misc Def Dr - Post Retirement FAS158</t>
  </si>
  <si>
    <t>20443</t>
  </si>
  <si>
    <t>Misc Def Dr - Intervener Funding Residual</t>
  </si>
  <si>
    <t>20444</t>
  </si>
  <si>
    <t>Misc Def Dr - Intervener Funding Deferral</t>
  </si>
  <si>
    <t>20448</t>
  </si>
  <si>
    <t>Misc Def Dr - Intervener Funding Preauth. Mat</t>
  </si>
  <si>
    <t>20449</t>
  </si>
  <si>
    <t>20472</t>
  </si>
  <si>
    <t>Misc Def Dr - Eugene MGP</t>
  </si>
  <si>
    <t>20480</t>
  </si>
  <si>
    <t>Misc Def Dr - Enviromental Remediation Cost Adjustment</t>
  </si>
  <si>
    <t>20482</t>
  </si>
  <si>
    <t>Misc Def Dr - MAOP Deferred Costs</t>
  </si>
  <si>
    <t>20460</t>
  </si>
  <si>
    <t>Misc Def Dr - Bremerton MGP</t>
  </si>
  <si>
    <t>20461</t>
  </si>
  <si>
    <t>Misc Def Dr - Bellingham MGP</t>
  </si>
  <si>
    <t>20479</t>
  </si>
  <si>
    <t>20481</t>
  </si>
  <si>
    <t>Misc Def Dr - MAOP Pre-Code Costs</t>
  </si>
  <si>
    <t>20483</t>
  </si>
  <si>
    <t>Misc Def Dr - Over-Refunded Temp FIT</t>
  </si>
  <si>
    <t>20484</t>
  </si>
  <si>
    <t>Misc Def Dr - MAOP Non-Current 8/18 Amort</t>
  </si>
  <si>
    <t>20485</t>
  </si>
  <si>
    <t>Misc Def Dr - MAOP Non-Current 3/20 Amort</t>
  </si>
  <si>
    <t>20486</t>
  </si>
  <si>
    <t>Misc Def Dr - MAOP Non-Current 5/21 Amort</t>
  </si>
  <si>
    <t>20487</t>
  </si>
  <si>
    <t>Misc Def Dr - WA Covid-19 Deferred Costs-Current</t>
  </si>
  <si>
    <t>20488</t>
  </si>
  <si>
    <t>Misc Def Dr - Big Heart Grant</t>
  </si>
  <si>
    <t>20489</t>
  </si>
  <si>
    <t>Misc Def Dr - WA Covid-19 Deferred Costs-Non-Current</t>
  </si>
  <si>
    <t>20490</t>
  </si>
  <si>
    <t>Misc Def Dr - WA Gross Revenue Fee Increase Deferral-Current</t>
  </si>
  <si>
    <t>1862</t>
  </si>
  <si>
    <t>20462</t>
  </si>
  <si>
    <t>Misc Def Dr - Weather Variance Deferral</t>
  </si>
  <si>
    <t>20463</t>
  </si>
  <si>
    <t>Misc Def Dr - Conservation Variance Deferral</t>
  </si>
  <si>
    <t>20476</t>
  </si>
  <si>
    <t>Misc Def Dr - Conservation Technical Adjustment</t>
  </si>
  <si>
    <t>Misc Def Dr - OR CAP Residential Weather Deferral</t>
  </si>
  <si>
    <t>Misc Def Dr - OR CAP Residential Conservation Deferral</t>
  </si>
  <si>
    <t>Misc Def Dr - OR CAP Commercial Weather Deferral</t>
  </si>
  <si>
    <t>Misc Def Dr - OR CAP Commercial Conservation Deferral</t>
  </si>
  <si>
    <t>[01999,20401999]</t>
  </si>
  <si>
    <t>Misc Def Dr - Unbilled Decoupling Amort</t>
  </si>
  <si>
    <t>20430</t>
  </si>
  <si>
    <t>20431</t>
  </si>
  <si>
    <t>20477</t>
  </si>
  <si>
    <t>Misc Def Dr - Decoupling Deferral</t>
  </si>
  <si>
    <t>20478</t>
  </si>
  <si>
    <t>Misc Def Dr - Decoupling Mechanism Adjustment</t>
  </si>
  <si>
    <t>1866</t>
  </si>
  <si>
    <t>I/C Asset-Net Benefit Funding</t>
  </si>
  <si>
    <t>I/C Asset-Unrealized Gain/Loss</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</si>
  <si>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</si>
  <si>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</si>
  <si>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</si>
  <si>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</si>
  <si>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</si>
  <si>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</si>
  <si>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</si>
  <si>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</si>
  <si>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</si>
  <si>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</si>
  <si>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</si>
  <si>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</si>
  <si>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</si>
  <si>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</si>
  <si>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299</t>
  </si>
  <si>
    <t>Taxes Other Than Income - Delaware - MDUR</t>
  </si>
  <si>
    <t>3441</t>
  </si>
  <si>
    <t>Taxes Other Than Income - Property Tax</t>
  </si>
  <si>
    <t>3442</t>
  </si>
  <si>
    <t>Taxes Other Than Income - Other Tax</t>
  </si>
  <si>
    <t>1441</t>
  </si>
  <si>
    <t>Taxes Other Than Income - Gross Revenue Regulatory Fee</t>
  </si>
  <si>
    <t>1445</t>
  </si>
  <si>
    <t>Taxes Other Than Income - Department of Energy Fee</t>
  </si>
  <si>
    <t>2442</t>
  </si>
  <si>
    <t>Taxes Other Than Income - Franchise Taxes</t>
  </si>
  <si>
    <t>2443</t>
  </si>
  <si>
    <t>Taxes Other Than Income - Franchise Taxes Add on</t>
  </si>
  <si>
    <t>Taxes Other Than Income - Business &amp; Occupation Tax</t>
  </si>
  <si>
    <t>Taxes Other Than Income - Public Utility Tax</t>
  </si>
  <si>
    <t>^TOIPR</t>
  </si>
  <si>
    <t>Taxes Other Than Income - Payroll Taxes</t>
  </si>
  <si>
    <t xml:space="preserve">     Subtotal Taxes Other Than Income</t>
  </si>
  <si>
    <t>4032</t>
  </si>
  <si>
    <t xml:space="preserve"> Depreciation Expense - Gas </t>
  </si>
  <si>
    <t>4042</t>
  </si>
  <si>
    <t xml:space="preserve"> Amortization Lim-Term Plant - Software </t>
  </si>
  <si>
    <t>4062</t>
  </si>
  <si>
    <t xml:space="preserve"> Amort Acquis Adj - Gas </t>
  </si>
  <si>
    <t xml:space="preserve">   TOTAL DEPRECIATION</t>
  </si>
  <si>
    <t>4271</t>
  </si>
  <si>
    <t>Interest on LTD - 1st Mortgage Bonds</t>
  </si>
  <si>
    <t>4279</t>
  </si>
  <si>
    <t>LOC Interest</t>
  </si>
  <si>
    <t>LOC - Commitment Fee</t>
  </si>
  <si>
    <t>Interest on LTD - Other</t>
  </si>
  <si>
    <t>4280</t>
  </si>
  <si>
    <t>Amort of Debt Disc &amp; Expense</t>
  </si>
  <si>
    <t>4281</t>
  </si>
  <si>
    <t>Amort of Loss on Reacquired Debt</t>
  </si>
  <si>
    <t>4310</t>
  </si>
  <si>
    <t>011</t>
  </si>
  <si>
    <t>Accrued Tax Interest</t>
  </si>
  <si>
    <t>1111</t>
  </si>
  <si>
    <t>Other Interest Expense - Short-term debt</t>
  </si>
  <si>
    <t>Other Interest Expense - Commitment Fee</t>
  </si>
  <si>
    <t>4111</t>
  </si>
  <si>
    <t>Other Interest Expense - Deferred Compensation</t>
  </si>
  <si>
    <t>2111</t>
  </si>
  <si>
    <t>Other Interest Expense - Customer Deposits</t>
  </si>
  <si>
    <t>3111</t>
  </si>
  <si>
    <t>Other Interest Expense - Deferred Gas Costs</t>
  </si>
  <si>
    <t>3112</t>
  </si>
  <si>
    <t>Other Interest Expense - Other Deferral Balances</t>
  </si>
  <si>
    <t>Other Interest Expense - Other</t>
  </si>
  <si>
    <t xml:space="preserve">     Subtotal Interest Expense</t>
  </si>
  <si>
    <t>4092</t>
  </si>
  <si>
    <t>1221</t>
  </si>
  <si>
    <t>Income Taxes, Other Inc &amp; Deductions - Federal</t>
  </si>
  <si>
    <t>4102</t>
  </si>
  <si>
    <t>Prov for DIT- Other Inc &amp; Deductions - Federal Non-Utility</t>
  </si>
  <si>
    <t>4114</t>
  </si>
  <si>
    <t>Investment Tax Credits</t>
  </si>
  <si>
    <t>4091</t>
  </si>
  <si>
    <t>Income Taxes, Utility Operations - Federal</t>
  </si>
  <si>
    <t>1222</t>
  </si>
  <si>
    <t>Income Taxes, Utility Operations - State</t>
  </si>
  <si>
    <t>Income Taxes, Other Inc &amp; Deductions - State</t>
  </si>
  <si>
    <t>4101</t>
  </si>
  <si>
    <t>Prov for DIT- Utility Operations - Federal</t>
  </si>
  <si>
    <t>Prov for DIT- Utility Operations - State</t>
  </si>
  <si>
    <t>Prov for DIT- Other Inc &amp; Deductions - State Non-Utility</t>
  </si>
  <si>
    <t>Prov for DIT (CR) - Utility Op Income - Federal</t>
  </si>
  <si>
    <t>Prov for DIT (CR) - Utility Op Income - State</t>
  </si>
  <si>
    <t>4112</t>
  </si>
  <si>
    <t>Prov for DIT (CR) - Other Inc &amp; Deductions - Federal Non-Utility</t>
  </si>
  <si>
    <t>Prov for DIT (CR) - Other Inc &amp; Deductions - State Non-Utility</t>
  </si>
  <si>
    <t xml:space="preserve">     Subtotal Income Taxes</t>
  </si>
  <si>
    <t>4211</t>
  </si>
  <si>
    <t>4212</t>
  </si>
  <si>
    <t>4261</t>
  </si>
  <si>
    <t>4262*</t>
  </si>
  <si>
    <t>SISP</t>
  </si>
  <si>
    <t>4263</t>
  </si>
  <si>
    <t>4264</t>
  </si>
  <si>
    <t>Lobbying</t>
  </si>
  <si>
    <t>4265</t>
  </si>
  <si>
    <t>Other Deductions - Corporate Development</t>
  </si>
  <si>
    <t>4171</t>
  </si>
  <si>
    <t>Expense of Nonutility</t>
  </si>
  <si>
    <t>6011</t>
  </si>
  <si>
    <t>Purchased Gas Expense of Nonutility</t>
  </si>
  <si>
    <t>4082</t>
  </si>
  <si>
    <t>Taxes Other Than Income - BTL Property Tax</t>
  </si>
  <si>
    <t xml:space="preserve">     Subtotal BTL Expense</t>
  </si>
  <si>
    <t>4380</t>
  </si>
  <si>
    <t>Dividend Decl - Common Stock</t>
  </si>
  <si>
    <t xml:space="preserve">     Subtotal Dividends</t>
  </si>
  <si>
    <t xml:space="preserve">   TOTAL DEBITS</t>
  </si>
  <si>
    <t>2010</t>
  </si>
  <si>
    <t>0</t>
  </si>
  <si>
    <t>Common Stock Issued</t>
  </si>
  <si>
    <t>2160</t>
  </si>
  <si>
    <t>Unapprop Retained Earnings</t>
  </si>
  <si>
    <t>R/E Performance Share Dividend Equivalents</t>
  </si>
  <si>
    <t>2071</t>
  </si>
  <si>
    <t>Premium on Capital Stock</t>
  </si>
  <si>
    <t>4390</t>
  </si>
  <si>
    <t>Misc Paid in Capital</t>
  </si>
  <si>
    <t>2190</t>
  </si>
  <si>
    <t>Other Comprehensive Income - CNG SERP</t>
  </si>
  <si>
    <t>Other Comprehensive Income - CNG SERP Tax</t>
  </si>
  <si>
    <t>Other Comprehensive Income - MDUR Resources SISP</t>
  </si>
  <si>
    <t xml:space="preserve">     TOTAL EQUITY</t>
  </si>
  <si>
    <t>2240</t>
  </si>
  <si>
    <t>7.48% MTN Due 9/15/2027</t>
  </si>
  <si>
    <t>7.10% MTN Due 3/16/2029</t>
  </si>
  <si>
    <t>Insured Qtrly 5.25% Notes Due 2/1/2035</t>
  </si>
  <si>
    <t>5.21% MTN Due 9/1/2020</t>
  </si>
  <si>
    <t>5.79% MTN Due 3/8/2037</t>
  </si>
  <si>
    <t>4.11% Snr Nt Due 8/23/2025</t>
  </si>
  <si>
    <t>4.36% Snr Nt Due 8/23/2028</t>
  </si>
  <si>
    <t>4.09% Snr Nt Due 11/24/2044</t>
  </si>
  <si>
    <t>4.24% Snr Nt Due 11/24/2054</t>
  </si>
  <si>
    <t>4.09% Snr Nt Due 01/15/2045</t>
  </si>
  <si>
    <t>4.24% Snr Nt Due 01/15/2055</t>
  </si>
  <si>
    <t>3.62% Snr Nt Due 06/13/2029</t>
  </si>
  <si>
    <t>3.82% Snr Nt Due 06/13/2034</t>
  </si>
  <si>
    <t>4.26% Snr Nt Due 06/13/2049</t>
  </si>
  <si>
    <t>3.58% Snr Nt Due 06/15/2050</t>
  </si>
  <si>
    <t>3.78% Snr Nt Due 06/15/2060</t>
  </si>
  <si>
    <t>3.34% Snr Nt Due 10/30/2060</t>
  </si>
  <si>
    <t>4.26% Snr Nt Due 06/15/2032</t>
  </si>
  <si>
    <t>4.60% Snr Nt Due 06/15/2052</t>
  </si>
  <si>
    <t>6.39% Snr Nt Due 11/30/2033</t>
  </si>
  <si>
    <t>2241</t>
  </si>
  <si>
    <t>5.21% MTN Due 9/1/2020 - Due within 1 Year</t>
  </si>
  <si>
    <t>2242</t>
  </si>
  <si>
    <t>Committed Line of Credit</t>
  </si>
  <si>
    <t xml:space="preserve">     TOTAL LONG-TERM DEBT</t>
  </si>
  <si>
    <t>2310</t>
  </si>
  <si>
    <t>Short-term debt</t>
  </si>
  <si>
    <t>2330</t>
  </si>
  <si>
    <t>045</t>
  </si>
  <si>
    <t>Notes payable to Associated Companies</t>
  </si>
  <si>
    <t>2321</t>
  </si>
  <si>
    <t xml:space="preserve">Trade Accounts Payable </t>
  </si>
  <si>
    <t>2322</t>
  </si>
  <si>
    <t>Accts Pay - VISA Credit Card - PNC Bank</t>
  </si>
  <si>
    <t>005</t>
  </si>
  <si>
    <t>Accts Pay - Ghostcard Payable Clearing</t>
  </si>
  <si>
    <t>009</t>
  </si>
  <si>
    <t>Accts Pay - Miscellaneous</t>
  </si>
  <si>
    <t>010</t>
  </si>
  <si>
    <t>Accts Pay - Cap-Ex</t>
  </si>
  <si>
    <t>101</t>
  </si>
  <si>
    <t>Accts Pay - Gas costs</t>
  </si>
  <si>
    <t>Accts Pay - Bank Charges</t>
  </si>
  <si>
    <t>312</t>
  </si>
  <si>
    <t>Accts Pay - Employee Union Dues</t>
  </si>
  <si>
    <t>320</t>
  </si>
  <si>
    <t>Accts Pay - Misc. Payroll Deductions</t>
  </si>
  <si>
    <t>321</t>
  </si>
  <si>
    <t>Accts Pay - 401K Employee Contribution</t>
  </si>
  <si>
    <t>322</t>
  </si>
  <si>
    <t>Accts Pay - FSA - Medical</t>
  </si>
  <si>
    <t>323</t>
  </si>
  <si>
    <t>Accts Pay - Child Support</t>
  </si>
  <si>
    <t>335</t>
  </si>
  <si>
    <t>Accts Pay - HSA Employee Contribution</t>
  </si>
  <si>
    <t>339</t>
  </si>
  <si>
    <t>Accts Pay - 401K Loan Provision</t>
  </si>
  <si>
    <t>401</t>
  </si>
  <si>
    <t>Accts Pay - CC&amp;B Customer Refund Requests</t>
  </si>
  <si>
    <t>2323</t>
  </si>
  <si>
    <t>Invoice Pending - Goods O</t>
  </si>
  <si>
    <t>2340</t>
  </si>
  <si>
    <t>Accts Pay - MDU</t>
  </si>
  <si>
    <t>Accts Pay - MDUR Resources</t>
  </si>
  <si>
    <t>007*</t>
  </si>
  <si>
    <t>Accts Pay - InterSource</t>
  </si>
  <si>
    <t>Accts Pay - Centenial Holdings</t>
  </si>
  <si>
    <t>Accts Pay - Future Source</t>
  </si>
  <si>
    <t>Accts Pay - PCEH</t>
  </si>
  <si>
    <t>Accts Pay - IGC</t>
  </si>
  <si>
    <t>Accts Pay - WBI</t>
  </si>
  <si>
    <t>Accts Pay - Knife River</t>
  </si>
  <si>
    <t>Accts Pay - CSG</t>
  </si>
  <si>
    <t xml:space="preserve">     Subtotal Accounts Payable Intercompany</t>
  </si>
  <si>
    <t>2411</t>
  </si>
  <si>
    <t>Tax Collection Pay - Employee Federeal Income Tax W/H</t>
  </si>
  <si>
    <t>Tax Collection Pay - Employee FICA W/H</t>
  </si>
  <si>
    <t>Tax Collection Pay - Employee Medicare W/H</t>
  </si>
  <si>
    <t>2412</t>
  </si>
  <si>
    <t>Tax Collection Pay - Employee State Income Tax W/H</t>
  </si>
  <si>
    <t>ID</t>
  </si>
  <si>
    <t>TRA</t>
  </si>
  <si>
    <t>Tax Collection Pay - Employee State Transit W/H</t>
  </si>
  <si>
    <t xml:space="preserve">     Subtotal Tax Collections Payable</t>
  </si>
  <si>
    <t xml:space="preserve">     TOTAL ACCOUNTS PAYABLE</t>
  </si>
  <si>
    <t>2282</t>
  </si>
  <si>
    <t>Accrued Provision - Injuries &amp; Damages Current</t>
  </si>
  <si>
    <t>2284</t>
  </si>
  <si>
    <t>05</t>
  </si>
  <si>
    <t>2361</t>
  </si>
  <si>
    <t>Income Taxes Accrued - Federal</t>
  </si>
  <si>
    <t>41</t>
  </si>
  <si>
    <t>FIN 48 - Current</t>
  </si>
  <si>
    <t>2362</t>
  </si>
  <si>
    <t>Other Taxes Accrued - FICA</t>
  </si>
  <si>
    <t>Other Taxes Accrued - FICA - Incentive Comp</t>
  </si>
  <si>
    <t>102</t>
  </si>
  <si>
    <t>Other Taxes Accrued - FICA - Deferred</t>
  </si>
  <si>
    <t>105</t>
  </si>
  <si>
    <t>Other Taxes Accrued - Medicare</t>
  </si>
  <si>
    <t>Other Taxes Accrued - Federal Unemployment</t>
  </si>
  <si>
    <t>301</t>
  </si>
  <si>
    <t>Other Taxes Accrued - Worker's Compensation-St</t>
  </si>
  <si>
    <t>Other Taxes Accrued - Idaho Unemployment</t>
  </si>
  <si>
    <t>Other Taxes Accrued - Oregon Unemployment</t>
  </si>
  <si>
    <t>Other Taxes Accrued - Oregon Workers Comp</t>
  </si>
  <si>
    <t>OR2</t>
  </si>
  <si>
    <t>Other Taxes Accrued - Oregon Workers Comp Benefit Assist</t>
  </si>
  <si>
    <t>OR3</t>
  </si>
  <si>
    <t>Other Taxes Accrued - Oregon Paid &amp; Family</t>
  </si>
  <si>
    <t>Other Taxes Accrued - Washington Unemployment</t>
  </si>
  <si>
    <t>WA1</t>
  </si>
  <si>
    <t>Other Taxes Accrued - Washington Workers Comp</t>
  </si>
  <si>
    <t>WA2</t>
  </si>
  <si>
    <t>WA3</t>
  </si>
  <si>
    <t>Other Taxes Accrued - Washington Cares Tax</t>
  </si>
  <si>
    <t>2363</t>
  </si>
  <si>
    <t>Other Taxes Accrued - Washington Use Tax</t>
  </si>
  <si>
    <t>Other Taxes Accrued - Washington Sales Tax</t>
  </si>
  <si>
    <t>2370</t>
  </si>
  <si>
    <t>Interest Accrued - Short-term debt</t>
  </si>
  <si>
    <t>2372</t>
  </si>
  <si>
    <t>Interest Accrued - Line of Credit Loan Fee</t>
  </si>
  <si>
    <t>Interest Accrued - Line of Credit Accrued Interest</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</si>
  <si>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</si>
  <si>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</si>
  <si>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</si>
  <si>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</si>
  <si>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</si>
  <si>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</si>
  <si>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</si>
  <si>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</si>
  <si>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</si>
  <si>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</si>
  <si>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</si>
  <si>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Interest Accrued - 3.62% Sr Nt due 6/13/2029</t>
  </si>
  <si>
    <t>Interest Accrued - 3.82% Sr Nt due 6/13/2034</t>
  </si>
  <si>
    <t>Interest Accrued - 4.26% Sr Nt due 6/13/2049</t>
  </si>
  <si>
    <t>Interest Accrued - 3.58% Sr Nt due 6/15/2050</t>
  </si>
  <si>
    <t>Interest Accrued - 3.78% Sr Nt due 6/15/2060</t>
  </si>
  <si>
    <t>Interest Accrued - 3.34% Sr Nt due 10/30/2060</t>
  </si>
  <si>
    <t>Interest Accrued - 4.26% Sr Nt due 06/15/2032</t>
  </si>
  <si>
    <t>Interest Accrued - 4.60% Sr Nt due 06/15/2052</t>
  </si>
  <si>
    <t>Interest Accrued - 6.39% Sr Nt due 11/30/2033</t>
  </si>
  <si>
    <t>2380</t>
  </si>
  <si>
    <t>Dividends Declared</t>
  </si>
  <si>
    <t>2420</t>
  </si>
  <si>
    <t>201</t>
  </si>
  <si>
    <t>Other Current Liabilities - Misc. Accruals</t>
  </si>
  <si>
    <t>202</t>
  </si>
  <si>
    <t>Other Current Liabilities - Accrued Accounting, Audit &amp; Tax</t>
  </si>
  <si>
    <t>224</t>
  </si>
  <si>
    <t>Other Current Liabilities - SERP Current Liability</t>
  </si>
  <si>
    <t>2422</t>
  </si>
  <si>
    <t>Misc Current Liab - Wages Payable</t>
  </si>
  <si>
    <t>Misc Current Liab - Variable Pay Incentive Comp.</t>
  </si>
  <si>
    <t>2423</t>
  </si>
  <si>
    <t>Misc Current Liab - Vacation Wages</t>
  </si>
  <si>
    <t>2428</t>
  </si>
  <si>
    <t>2429</t>
  </si>
  <si>
    <t>304</t>
  </si>
  <si>
    <t>Misc Current Liab - 401K - Employer Match</t>
  </si>
  <si>
    <t>Misc Current Liab - Deferred Comp - Current</t>
  </si>
  <si>
    <t>329</t>
  </si>
  <si>
    <t>Misc Current Liab - Accrued 401K Defined Con</t>
  </si>
  <si>
    <t>336</t>
  </si>
  <si>
    <t>Misc Current Liab - Accrued 401K Profit Plan</t>
  </si>
  <si>
    <t>408</t>
  </si>
  <si>
    <t>Misc Current Liab - Winter Help Program</t>
  </si>
  <si>
    <t>2440</t>
  </si>
  <si>
    <t>2530</t>
  </si>
  <si>
    <t>4000</t>
  </si>
  <si>
    <t>MDU COS</t>
  </si>
  <si>
    <t>2539</t>
  </si>
  <si>
    <t>0111</t>
  </si>
  <si>
    <t>Other Deferred Credits - Resers Current</t>
  </si>
  <si>
    <t>2292</t>
  </si>
  <si>
    <t>Accrued Provision - Tax Reform</t>
  </si>
  <si>
    <t>2351</t>
  </si>
  <si>
    <t>Customer Deposits</t>
  </si>
  <si>
    <t>Income Taxes Accrued</t>
  </si>
  <si>
    <t>2364</t>
  </si>
  <si>
    <t>Other Taxes Accrued - Property Tax</t>
  </si>
  <si>
    <t>Other Taxes Accrued - City Franchise Tax</t>
  </si>
  <si>
    <t>Other Taxes Accrued - Gross Revenue Fee</t>
  </si>
  <si>
    <t>40</t>
  </si>
  <si>
    <t>Other Taxes Accrued - Dept. of Energy Fee</t>
  </si>
  <si>
    <t>Other Taxes Accrued - CAT Fee</t>
  </si>
  <si>
    <t>Misc Current Liab - Energy Trust of Oregon</t>
  </si>
  <si>
    <t>Misc Current Liab - Weatherization</t>
  </si>
  <si>
    <t>Misc Current Liab - Low Income Bill Assist</t>
  </si>
  <si>
    <t>Misc Current Liab - Conservation Achievement Tariff</t>
  </si>
  <si>
    <t>Other Deferred Credits - Gas Costs</t>
  </si>
  <si>
    <t>Other Deferred Credits - Commodity Deferral</t>
  </si>
  <si>
    <t>Other Deferred Credits - Demand Deferral</t>
  </si>
  <si>
    <t>Other Deferred Credits - Consolidated Gas Cost Tech Adjustment</t>
  </si>
  <si>
    <t>01291</t>
  </si>
  <si>
    <t>Other Deferred Credits - OR Covid-19 Savings</t>
  </si>
  <si>
    <t>Other Deferred Credits - Gas Cost Unbilled Ammortization</t>
  </si>
  <si>
    <t>02009</t>
  </si>
  <si>
    <t>Core Gas Supply Hedging - Reg Liability</t>
  </si>
  <si>
    <t>Other Taxes Accrued - City Tax</t>
  </si>
  <si>
    <t>Other Taxes Accrued - Yakama Indian Nation Tax</t>
  </si>
  <si>
    <t>Other Taxes Accrued - Swinomish Tribal Tax</t>
  </si>
  <si>
    <t>Other Taxes Accrued - Excise Tax</t>
  </si>
  <si>
    <t>Other Deferred Credits - Temporary Gas Cst 3-year Ammortization</t>
  </si>
  <si>
    <t>01290</t>
  </si>
  <si>
    <t>Other Deferred Credits - WA Covid-19 Savings</t>
  </si>
  <si>
    <t>02008</t>
  </si>
  <si>
    <t xml:space="preserve">     TOTAL MISC CURRENT LIABILITIES</t>
  </si>
  <si>
    <t>Accrued Provision - Injuries &amp; Damages Non Current</t>
  </si>
  <si>
    <t>2283</t>
  </si>
  <si>
    <t>Pension and Benefits - SERP Deferred Compensation</t>
  </si>
  <si>
    <t>Pension and Benefits - Deferred Compensation</t>
  </si>
  <si>
    <t>Pension and Benefits - SISP Defined Contribution Plan</t>
  </si>
  <si>
    <t>Pension and Benefits - MDUR SISP FAS158</t>
  </si>
  <si>
    <t>0200</t>
  </si>
  <si>
    <t>ARO Liability - Noncurrent</t>
  </si>
  <si>
    <t>1021</t>
  </si>
  <si>
    <t>Other Taxes Accrued - FICA - Deferred-Noncurrent</t>
  </si>
  <si>
    <t>Customer Advances for Construction - Balance - WA</t>
  </si>
  <si>
    <t>Customer Advances for Construction - Balance - OR</t>
  </si>
  <si>
    <t>Customer Advances for Construction - Addition</t>
  </si>
  <si>
    <t>200</t>
  </si>
  <si>
    <t>Customer Advances for Construction - Refund</t>
  </si>
  <si>
    <t>Customer Advances for Construction - DCC/CCC Refundable - WA</t>
  </si>
  <si>
    <t>Customer Advances for Construction - DCC/CCC Refundable - OR</t>
  </si>
  <si>
    <t>Customer Advances for Construction - Forfeitures</t>
  </si>
  <si>
    <t>0101</t>
  </si>
  <si>
    <t>Other Deferred Credits - Customer Unclaimed Credit</t>
  </si>
  <si>
    <t>0104</t>
  </si>
  <si>
    <t>Pension Contribution</t>
  </si>
  <si>
    <t>0106</t>
  </si>
  <si>
    <t>Other Deferred Credits - SGL Automotive</t>
  </si>
  <si>
    <t>0108</t>
  </si>
  <si>
    <t>FAS 158 - MDUR Pension</t>
  </si>
  <si>
    <t>0109</t>
  </si>
  <si>
    <t>FAS 158 - MDUR Post-Retirement</t>
  </si>
  <si>
    <t>0110</t>
  </si>
  <si>
    <t>Other Deferred Credits - Resers Noncurrent</t>
  </si>
  <si>
    <t>2540</t>
  </si>
  <si>
    <t>20201</t>
  </si>
  <si>
    <t>Other Regulatory Liabilities - SFAS 109 Regulatory</t>
  </si>
  <si>
    <t>20217</t>
  </si>
  <si>
    <t>Other Regulatory Liabilities - Federal impOR rate change</t>
  </si>
  <si>
    <t>20222</t>
  </si>
  <si>
    <t>Reg Liab Post Retirement FAS 158</t>
  </si>
  <si>
    <t>Accrued Provision - Injuries &amp; Damages NC (Eugene MGP)</t>
  </si>
  <si>
    <t>02011</t>
  </si>
  <si>
    <t>Core Gas Supply Hedging</t>
  </si>
  <si>
    <t>Other Regulatory Liabilities - Unbilled Ammortization</t>
  </si>
  <si>
    <t>Other Regulatory Liabilities - Unprotected EDIT</t>
  </si>
  <si>
    <t>Other Regulatory Liabilities - OR Temp Federal Income Tax Credit</t>
  </si>
  <si>
    <t>Accrued Provision - Injuries &amp; Damages NC (Bremerton MGP)</t>
  </si>
  <si>
    <t>Accrued Provision - Injuries &amp; Damages NC (Bellingham MGP)</t>
  </si>
  <si>
    <t>02010</t>
  </si>
  <si>
    <t>Other Regulatory Liabilities - Protected-Plus EDIT</t>
  </si>
  <si>
    <t>Other Regulatory Liabilities - Protected-Plus EDIT grossup</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</si>
  <si>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</si>
  <si>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</si>
  <si>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</si>
  <si>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</si>
  <si>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Other Regulatory Liabilities - WA CCA Consignment Proceeds-Current</t>
  </si>
  <si>
    <t>20491</t>
  </si>
  <si>
    <t>Other Regulatory Liabilities - WA CCA Consignment Proceeds-NonCurrent</t>
  </si>
  <si>
    <t>20209</t>
  </si>
  <si>
    <t>Regulatory Asset - ARO</t>
  </si>
  <si>
    <t xml:space="preserve">     TOTAL DEFERRED CREDITS</t>
  </si>
  <si>
    <t>2550</t>
  </si>
  <si>
    <t>Deferred Investment Tax Credits</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</si>
  <si>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</si>
  <si>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</si>
  <si>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</si>
  <si>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</si>
  <si>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</si>
  <si>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</si>
  <si>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</si>
  <si>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</si>
  <si>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</si>
  <si>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</si>
  <si>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</si>
  <si>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</si>
  <si>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</si>
  <si>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</si>
  <si>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</si>
  <si>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 xml:space="preserve">    TOTAL INCOME TAXES</t>
  </si>
  <si>
    <t>062</t>
  </si>
  <si>
    <t>Cost of Servce - Knife River</t>
  </si>
  <si>
    <t>0621</t>
  </si>
  <si>
    <t>001</t>
  </si>
  <si>
    <t>Interdepartmental Rents - MDU</t>
  </si>
  <si>
    <t>004</t>
  </si>
  <si>
    <t>Interdepartmental Rents - MDUR</t>
  </si>
  <si>
    <t>048</t>
  </si>
  <si>
    <t>Interdepartmental Rents - IGC</t>
  </si>
  <si>
    <t>MISC</t>
  </si>
  <si>
    <t>Other Gas Revenues - Miscelllaneous</t>
  </si>
  <si>
    <t>4002</t>
  </si>
  <si>
    <t>4800</t>
  </si>
  <si>
    <t>Gas Billed Revenue - Residential</t>
  </si>
  <si>
    <t>4800CP</t>
  </si>
  <si>
    <t>Gas Billed Revenue - Residential CAP</t>
  </si>
  <si>
    <t>4809</t>
  </si>
  <si>
    <t>Gas Billed Revenue - Industrial</t>
  </si>
  <si>
    <t>4809DE</t>
  </si>
  <si>
    <t>Gas Billed Revenue - Industrial Deficiency Billing</t>
  </si>
  <si>
    <t>4810</t>
  </si>
  <si>
    <t>Gas Billed Revenue - Commercial</t>
  </si>
  <si>
    <t>4810CP</t>
  </si>
  <si>
    <t>Gas Billed Revenue - Commercial CAP</t>
  </si>
  <si>
    <t>4810DE</t>
  </si>
  <si>
    <t>Gas Billed Revenue - Commercial Deficiency Billing</t>
  </si>
  <si>
    <t>4813</t>
  </si>
  <si>
    <t>Gas Billed Revenue - Interruptible Industrial</t>
  </si>
  <si>
    <t>4009</t>
  </si>
  <si>
    <t>Unbilled Gas Revenue - Residential</t>
  </si>
  <si>
    <t>Unbilled Gas Revenue - Industrial</t>
  </si>
  <si>
    <t>Unbilled Gas Revenue - Commercial</t>
  </si>
  <si>
    <t>Unbilled Gas Revenue - Interruptible Industrial</t>
  </si>
  <si>
    <t>4880</t>
  </si>
  <si>
    <t>MSRV</t>
  </si>
  <si>
    <t>Misc Gas Service Revenue - Miscellaneous</t>
  </si>
  <si>
    <t>SLMD</t>
  </si>
  <si>
    <t>Misc Gas Service Revenue - Service Line Modifications</t>
  </si>
  <si>
    <t>4861</t>
  </si>
  <si>
    <t>Gas Transportation Revenues - Large Volume Industrial</t>
  </si>
  <si>
    <t>4863</t>
  </si>
  <si>
    <t>Gas Transportation Revenues - Electric Generation Industrial</t>
  </si>
  <si>
    <t>4891</t>
  </si>
  <si>
    <t>Unbilled Gas Transport Revenues - Large Volume Industrial</t>
  </si>
  <si>
    <t>Unbilled Gas Transport Revenues - Electric Generation Industrial</t>
  </si>
  <si>
    <t>Rent from Gas Properties</t>
  </si>
  <si>
    <t>DAMG</t>
  </si>
  <si>
    <t>Other Gas Revenues - 3rd Party Damage</t>
  </si>
  <si>
    <t>MMAT</t>
  </si>
  <si>
    <t>Other Gas Revenues - Miscelllaneous Material Sales</t>
  </si>
  <si>
    <t>Other Gas Revenues - Service Line Modifications</t>
  </si>
  <si>
    <t>4962</t>
  </si>
  <si>
    <t>Tax Reform</t>
  </si>
  <si>
    <t>Tax Reform - Noncore</t>
  </si>
  <si>
    <t>Gas Billed Revenue - Residential Decoupling</t>
  </si>
  <si>
    <t>4800CV</t>
  </si>
  <si>
    <t>Gas Billed Revenue - Residential Conservation</t>
  </si>
  <si>
    <t>4809CP</t>
  </si>
  <si>
    <t>Gas Billed Revenue - Industrial Decoupling</t>
  </si>
  <si>
    <t>4809CV</t>
  </si>
  <si>
    <t>Gas Billed Revenue - Industrial Conservation</t>
  </si>
  <si>
    <t>Gas Billed Revenue - Commercial Decoupling</t>
  </si>
  <si>
    <t>4810CV</t>
  </si>
  <si>
    <t>Gas Billed Revenue - Commercial Conservation</t>
  </si>
  <si>
    <t>4811</t>
  </si>
  <si>
    <t>Gas Billed Revenue - Interruptible Commercial</t>
  </si>
  <si>
    <t>4811CP</t>
  </si>
  <si>
    <t>Gas Billed Revenue - Interruptible Commercial Decoupling</t>
  </si>
  <si>
    <t>4811CV</t>
  </si>
  <si>
    <t>Gas Billed Revenue - Interruptible Commercial Conservation</t>
  </si>
  <si>
    <t>4811DE</t>
  </si>
  <si>
    <t>Gas Billed Revenue - Interruptible Commercial Deficiency Billing</t>
  </si>
  <si>
    <t>4813CP</t>
  </si>
  <si>
    <t>Gas Billed Revenue - Interruptible Industrial Decoupling</t>
  </si>
  <si>
    <t>4813CV</t>
  </si>
  <si>
    <t>Gas Billed Revenue - Interruptible Industrial Conservation</t>
  </si>
  <si>
    <t>4005</t>
  </si>
  <si>
    <t>Unbilled Gas Revenue - Residential EDIT Recovery</t>
  </si>
  <si>
    <t>Unbilled Gas Revenue - Industrial EDIT Recovery</t>
  </si>
  <si>
    <t>Unbilled Gas Revenue - Commercial EDIT Recovery</t>
  </si>
  <si>
    <t>Unbilled Gas Revenue - Interruptible Industrial EDIT Recovery</t>
  </si>
  <si>
    <t>Unbilled Gas Revenue - Residential Conservation</t>
  </si>
  <si>
    <t>Unbilled Gas Revenue - Commercial Conservation</t>
  </si>
  <si>
    <t>Unbilled Gas Revenue - Interruptible Commercial</t>
  </si>
  <si>
    <t>Misc Gas Service Revenue - 3rd Party Damages</t>
  </si>
  <si>
    <t>Misc Gas Service Revenue - Miscellaneous Material Sales</t>
  </si>
  <si>
    <t>Misc Gas Service Revenue - Service Line Modification</t>
  </si>
  <si>
    <t>4895</t>
  </si>
  <si>
    <t>Unbilled Gas Transport Revenues - Large Volume Industrial EDIT Recovery</t>
  </si>
  <si>
    <t>Unbilled Gas Transport Revenues - Electric Generation Industrial EDIT Recovery</t>
  </si>
  <si>
    <t xml:space="preserve">     TOTAL GAS REVENUE</t>
  </si>
  <si>
    <t>4170</t>
  </si>
  <si>
    <t>Nonutility Revenues</t>
  </si>
  <si>
    <t>4190</t>
  </si>
  <si>
    <t>1331</t>
  </si>
  <si>
    <t>Interest and Dividend Income - Short Term Investments</t>
  </si>
  <si>
    <t>4191</t>
  </si>
  <si>
    <t>Allow Other Funds Used During Construction</t>
  </si>
  <si>
    <t>4210</t>
  </si>
  <si>
    <t>Misc Non-Oper Income</t>
  </si>
  <si>
    <t>1511</t>
  </si>
  <si>
    <t>Cash Discounts</t>
  </si>
  <si>
    <t>4320</t>
  </si>
  <si>
    <t>Allow Borrowed Funds Used During Construction</t>
  </si>
  <si>
    <t>Interest and Dividend Income - CIAC Tax grossup</t>
  </si>
  <si>
    <t>1333</t>
  </si>
  <si>
    <t>Interest and Dividend Income - PGA related</t>
  </si>
  <si>
    <t>1334</t>
  </si>
  <si>
    <t>Interest and Dividend Income - Non PGA related</t>
  </si>
  <si>
    <t xml:space="preserve">     TOTAL OTHER REVENUE</t>
  </si>
  <si>
    <t xml:space="preserve">     TOTAL CREDITS</t>
  </si>
  <si>
    <t>TOTALS</t>
  </si>
  <si>
    <t>Cash Working Capital</t>
  </si>
  <si>
    <t>CWC</t>
  </si>
  <si>
    <t>ISWC</t>
  </si>
  <si>
    <t>Allocation Percentages based to Total Investment</t>
  </si>
  <si>
    <t>Allocated Investor Supplied Working Capital</t>
  </si>
  <si>
    <t>Account Description</t>
  </si>
  <si>
    <t>Account Balance</t>
  </si>
  <si>
    <t>Labor Balance</t>
  </si>
  <si>
    <t>Notes/Questions</t>
  </si>
  <si>
    <t>RATE BASE</t>
  </si>
  <si>
    <t>month13endbalance</t>
  </si>
  <si>
    <t>month13endreserve</t>
  </si>
  <si>
    <t>Plant in Service</t>
  </si>
  <si>
    <t>367</t>
  </si>
  <si>
    <t>Organization</t>
  </si>
  <si>
    <t>369</t>
  </si>
  <si>
    <t>Franchises &amp; Consents</t>
  </si>
  <si>
    <t>375</t>
  </si>
  <si>
    <t>Misc. Intangible Plant</t>
  </si>
  <si>
    <t>376</t>
  </si>
  <si>
    <t>377</t>
  </si>
  <si>
    <t>378</t>
  </si>
  <si>
    <t>Natural Gas Other Storage Plant</t>
  </si>
  <si>
    <t>379</t>
  </si>
  <si>
    <t>Land &amp; Land Rights - LNG</t>
  </si>
  <si>
    <t>380</t>
  </si>
  <si>
    <t>Structures &amp; improvement - LNG</t>
  </si>
  <si>
    <t>381</t>
  </si>
  <si>
    <t>Gas Holders - LNG</t>
  </si>
  <si>
    <t>383</t>
  </si>
  <si>
    <t>LNG Equipment</t>
  </si>
  <si>
    <t>385</t>
  </si>
  <si>
    <t>390</t>
  </si>
  <si>
    <t>392</t>
  </si>
  <si>
    <t xml:space="preserve">Transmission plant </t>
  </si>
  <si>
    <t>396</t>
  </si>
  <si>
    <t>Land and Land Rights</t>
  </si>
  <si>
    <t>398</t>
  </si>
  <si>
    <t>Structures and improvements</t>
  </si>
  <si>
    <t>Compressor station equipment</t>
  </si>
  <si>
    <t>Measuring/Regulating Equipment</t>
  </si>
  <si>
    <t>Communication equipment</t>
  </si>
  <si>
    <t>Land and land rights</t>
  </si>
  <si>
    <t>Measuring and regulating station equipment—general</t>
  </si>
  <si>
    <t>Measuring and regulating station equipment—City Gate</t>
  </si>
  <si>
    <t>Meters</t>
  </si>
  <si>
    <t>Meter installations</t>
  </si>
  <si>
    <t>House regulators</t>
  </si>
  <si>
    <t>Industrial measuring and regulating station equipment</t>
  </si>
  <si>
    <t>Structures and Improvements</t>
  </si>
  <si>
    <t>Office Furniture and Equipment</t>
  </si>
  <si>
    <t>Transportation Equipment</t>
  </si>
  <si>
    <t>Stores Equipment</t>
  </si>
  <si>
    <t xml:space="preserve">Tools, Shop, and Garage Equipment </t>
  </si>
  <si>
    <t>Laboratory Equipment</t>
  </si>
  <si>
    <t>Power Operated Equipment</t>
  </si>
  <si>
    <t>Communication Equipment</t>
  </si>
  <si>
    <t>Misc. Equipment</t>
  </si>
  <si>
    <t>Accumulated Depreciation &amp; Amortization Expense</t>
  </si>
  <si>
    <t>379-G-Measure/Regulation City Gate</t>
  </si>
  <si>
    <t>380-G-Services-Plastic-CNGC</t>
  </si>
  <si>
    <t>380-G-Services-Steel-CNGC</t>
  </si>
  <si>
    <t>381-G-ERT Units-CNGC-IGC</t>
  </si>
  <si>
    <t>Other Rate Base Items</t>
  </si>
  <si>
    <t>381-G-Meters Incl GPNG-MDU ERT</t>
  </si>
  <si>
    <t>Deferred Income Taxes</t>
  </si>
  <si>
    <t>1900/2820/2830</t>
  </si>
  <si>
    <t>Working Captial</t>
  </si>
  <si>
    <t>Customer advances for construction</t>
  </si>
  <si>
    <t>OPERATION AND MAINTENANCE EXPENSE</t>
  </si>
  <si>
    <t>Production, Storage, LNG, Transmission, and Distribution Expense</t>
  </si>
  <si>
    <t>Other gas supply expenses</t>
  </si>
  <si>
    <t>Begin Labor input</t>
  </si>
  <si>
    <t>Other Storage Expenses - Operation</t>
  </si>
  <si>
    <t>Operation supervision and engineering</t>
  </si>
  <si>
    <t>Operation labor and expenses</t>
  </si>
  <si>
    <t>Fuel</t>
  </si>
  <si>
    <t>Power</t>
  </si>
  <si>
    <t>Other Storage Expenses - Maintenance</t>
  </si>
  <si>
    <t>Maintenance of structures and improvements</t>
  </si>
  <si>
    <t>Maintenance of gas holders</t>
  </si>
  <si>
    <t>Maintenance of purification equipment</t>
  </si>
  <si>
    <t>Maintenance of liquefaction equipment</t>
  </si>
  <si>
    <t>Maintenance of vaporizing equipment</t>
  </si>
  <si>
    <t>Maintenance of compressor equipment</t>
  </si>
  <si>
    <t>Maintenance of other equipment</t>
  </si>
  <si>
    <t>Transmission Operation Expenses</t>
  </si>
  <si>
    <t>Communication system expenses</t>
  </si>
  <si>
    <t>Compressor station labor and expenses</t>
  </si>
  <si>
    <t>Mains expenses</t>
  </si>
  <si>
    <t>Transmission Maintenance Expenses</t>
  </si>
  <si>
    <t>Maintenance of mains</t>
  </si>
  <si>
    <t>Transmission Mains- Pipeline Integrity</t>
  </si>
  <si>
    <t>Maintenance of communication equipment</t>
  </si>
  <si>
    <t>Distribution Operation Expenses</t>
  </si>
  <si>
    <t>Distribution load dispatching</t>
  </si>
  <si>
    <t>Mains and services expenses</t>
  </si>
  <si>
    <t>Measuring and regulating station expenses—general</t>
  </si>
  <si>
    <t>Measuring and regulating station expenses—industrial</t>
  </si>
  <si>
    <t>Meter and house regulator expenses</t>
  </si>
  <si>
    <t>Customer installations expenses</t>
  </si>
  <si>
    <t>Other expenses</t>
  </si>
  <si>
    <t>Transportation Expense</t>
  </si>
  <si>
    <t>Labor Only (Object Codes 5110-5199) O&amp;M by FERC:</t>
  </si>
  <si>
    <t>Amount before Regulatory Adjustment</t>
  </si>
  <si>
    <t>Pro Forma Medical Expense Adjustment</t>
  </si>
  <si>
    <t>Adjusted Labor</t>
  </si>
  <si>
    <t>Distribution Maintenance Expenses</t>
  </si>
  <si>
    <t>Maintenance supervision and engineering</t>
  </si>
  <si>
    <t>Maintenance of measuring and regulating station equipment—general</t>
  </si>
  <si>
    <t>Maintenance of measuring and regulating station equipment—industrial</t>
  </si>
  <si>
    <t>Maintenance of measuring and regulating station equipment—City Gate</t>
  </si>
  <si>
    <t>Maintenance of services</t>
  </si>
  <si>
    <t>Maintenance of meters and house regulators</t>
  </si>
  <si>
    <t>Maintenance of Other Equipment</t>
  </si>
  <si>
    <t>Customer Accounts, Service, and Sales Expense</t>
  </si>
  <si>
    <t>Customer Account</t>
  </si>
  <si>
    <t>891</t>
  </si>
  <si>
    <t xml:space="preserve">Supervision </t>
  </si>
  <si>
    <t>Meter reading expenses</t>
  </si>
  <si>
    <t>Customer records and collection expenses</t>
  </si>
  <si>
    <t>Uncollectible accounts</t>
  </si>
  <si>
    <t>Uncollectible increase is at the end of inputs</t>
  </si>
  <si>
    <t>Miscellaneous Expense</t>
  </si>
  <si>
    <t>Customer Service &amp; Information Expenses</t>
  </si>
  <si>
    <t xml:space="preserve">Customer assistance expenses </t>
  </si>
  <si>
    <t xml:space="preserve">Informational and instructional advertising expenses </t>
  </si>
  <si>
    <t>Miscellaneous Customer Service and informational expense</t>
  </si>
  <si>
    <t>935</t>
  </si>
  <si>
    <t>Sales Expenses</t>
  </si>
  <si>
    <t>Demonstrating and selling expenses</t>
  </si>
  <si>
    <t>Advertising expenses</t>
  </si>
  <si>
    <t>Miscellaneous sales expenses</t>
  </si>
  <si>
    <t>End Labor Input</t>
  </si>
  <si>
    <t>Administrative and General Expenses</t>
  </si>
  <si>
    <t>Administrative and general salaries</t>
  </si>
  <si>
    <t>Office supplies and expenses</t>
  </si>
  <si>
    <t>Outside services employed</t>
  </si>
  <si>
    <t>Property insurance</t>
  </si>
  <si>
    <t>Injuries and damages</t>
  </si>
  <si>
    <t>Employee pensions and benefits</t>
  </si>
  <si>
    <t>Regulatory commission expenses</t>
  </si>
  <si>
    <t>General advertising expenses</t>
  </si>
  <si>
    <t>Miscellaneous general expenses</t>
  </si>
  <si>
    <t>Maintenance of general plant</t>
  </si>
  <si>
    <t>Adjustments, Depreciation and Amortization Expense</t>
  </si>
  <si>
    <t>Structures</t>
  </si>
  <si>
    <t>Taxes Other Than Income Taxes</t>
  </si>
  <si>
    <t>Taxes Other Than Income Taxes - Property, Payroll, &amp; Misc. Taxes</t>
  </si>
  <si>
    <t>Income Taxes</t>
  </si>
  <si>
    <t>Income Taxes - Federal</t>
  </si>
  <si>
    <t>Income Taxes - Provisions for Deferred Federal Income Taxes</t>
  </si>
  <si>
    <t>Provision for Deferred Income Tax - Credit</t>
  </si>
  <si>
    <t>Operating Revenue</t>
  </si>
  <si>
    <t>Revenue From Gas Sales</t>
  </si>
  <si>
    <t>480 &amp; 481</t>
  </si>
  <si>
    <t>Gas Transportation Revenues</t>
  </si>
  <si>
    <t>OPERATING INCOME AT CURRENT RATES</t>
  </si>
  <si>
    <t>REVENUE REQUIREMENT AT EQUAL RATES OF RETURN</t>
  </si>
  <si>
    <t>Test Year Expenses at Current Rates</t>
  </si>
  <si>
    <t>Return on Rate Base</t>
  </si>
  <si>
    <t>Gross Up Items</t>
  </si>
  <si>
    <t>Federal Income Tax</t>
  </si>
  <si>
    <t>Uncollectable Account - Increase</t>
  </si>
  <si>
    <t>Sch. 503</t>
  </si>
  <si>
    <t>Sch. 504</t>
  </si>
  <si>
    <t>Annual Therms</t>
  </si>
  <si>
    <t>Monthly Therms</t>
  </si>
  <si>
    <t>January</t>
  </si>
  <si>
    <t>Sch. 505 Block 1</t>
  </si>
  <si>
    <t>Sch. 505 Block 2</t>
  </si>
  <si>
    <t>Sch. 505 Block 3</t>
  </si>
  <si>
    <t>February</t>
  </si>
  <si>
    <t>March</t>
  </si>
  <si>
    <t>2023 EOP</t>
  </si>
  <si>
    <t xml:space="preserve">April </t>
  </si>
  <si>
    <t>2024 Incremental</t>
  </si>
  <si>
    <t xml:space="preserve">May </t>
  </si>
  <si>
    <t xml:space="preserve">June </t>
  </si>
  <si>
    <t xml:space="preserve">July </t>
  </si>
  <si>
    <t xml:space="preserve">August </t>
  </si>
  <si>
    <t>2025 Incremental</t>
  </si>
  <si>
    <t xml:space="preserve">September </t>
  </si>
  <si>
    <t>October</t>
  </si>
  <si>
    <t xml:space="preserve">November </t>
  </si>
  <si>
    <t>December</t>
  </si>
  <si>
    <t>Present</t>
  </si>
  <si>
    <t>Delivery Charge</t>
  </si>
  <si>
    <t>Proposed Rates</t>
  </si>
  <si>
    <t>426.4</t>
  </si>
  <si>
    <t>Total with BTL</t>
  </si>
  <si>
    <t>Total without BTL</t>
  </si>
  <si>
    <t>Unamortized  Balance</t>
  </si>
  <si>
    <t>Amortization Period</t>
  </si>
  <si>
    <t>2024 Estimate:</t>
  </si>
  <si>
    <t>Basic Service Charge and Margin Rates:</t>
  </si>
  <si>
    <t>Schedule 503 - Basic Service Charge</t>
  </si>
  <si>
    <t>Schedule 503 - Margin</t>
  </si>
  <si>
    <t>Schedule 504 - Basic Service Charge</t>
  </si>
  <si>
    <t>Schedule 504 - Margin</t>
  </si>
  <si>
    <t>Schedule 505 - Basic Service Charge</t>
  </si>
  <si>
    <t>Schedule 505 Block 1 - Margin</t>
  </si>
  <si>
    <t>Schedule 505 Block 2 - Margin</t>
  </si>
  <si>
    <t>Schedule 505 Block 3 - Margin</t>
  </si>
  <si>
    <t>2024 Pro Forma Misc. O&amp;M Expense Adjustment</t>
  </si>
  <si>
    <t>Realized Revenue Requirement</t>
  </si>
  <si>
    <t>From Atrium, COS file, Rate Spread tab</t>
  </si>
  <si>
    <t>Incremental Adjusted Base Revenue - Provisional Year 1</t>
  </si>
  <si>
    <t>From this model</t>
  </si>
  <si>
    <t>Total Adjusted Base Revenue - Provisional Year 1</t>
  </si>
  <si>
    <t>Total Revenue Requirement - TY &amp; Prov Year 1</t>
  </si>
  <si>
    <t>From Atrium, Rate Design file, Rate Spread tab</t>
  </si>
  <si>
    <t>Incremental Adjusted Base Revenue - Provisional Year 2</t>
  </si>
  <si>
    <t>Total Revenue Requirement - Prov Year 2</t>
  </si>
  <si>
    <t>Average Bill Impacts</t>
  </si>
  <si>
    <t>March 1, 2025</t>
  </si>
  <si>
    <t>Monthly Bill Change</t>
  </si>
  <si>
    <t>Monthly Consumption</t>
  </si>
  <si>
    <t>Rates</t>
  </si>
  <si>
    <t>Percent</t>
  </si>
  <si>
    <t>Pass-Through Rates</t>
  </si>
  <si>
    <t>Average Usage</t>
  </si>
  <si>
    <t>Delivery Charge - Block 1</t>
  </si>
  <si>
    <t>Delivery Charge - Block 2</t>
  </si>
  <si>
    <t>Delivery Charge - Block 3</t>
  </si>
  <si>
    <t>Block 1 - Includes BSC</t>
  </si>
  <si>
    <t>Delivery Charge - Block 4</t>
  </si>
  <si>
    <t>Average Contract Demand</t>
  </si>
  <si>
    <t>Block 1 - Includes CD, BSC, and SBC</t>
  </si>
  <si>
    <t>Revenue Increase $ and % by Customer Class</t>
  </si>
  <si>
    <t>Overall Revenue Change - March 1, 2025</t>
  </si>
  <si>
    <t>Base Rate</t>
  </si>
  <si>
    <t>COVID</t>
  </si>
  <si>
    <t>UTC</t>
  </si>
  <si>
    <t>Total Customers</t>
  </si>
  <si>
    <t>Residential Service (Sch. 503) (average 53 therms/mo)</t>
  </si>
  <si>
    <t>Docket UG-240008</t>
  </si>
  <si>
    <t>Base Rate Bill Impact Amount Changes</t>
  </si>
  <si>
    <t>Base Rate Bill Impact Percentage Changes</t>
  </si>
  <si>
    <t>Total for March 1, 2025</t>
  </si>
  <si>
    <t>Total for March 1, 2026</t>
  </si>
  <si>
    <t>pgs. 9-12</t>
  </si>
  <si>
    <t>pgs. 14-18</t>
  </si>
  <si>
    <t>pgs. 19-20</t>
  </si>
  <si>
    <t>pgs. 21-23</t>
  </si>
  <si>
    <t>Annual Customers</t>
  </si>
  <si>
    <t>Monthly Average Customers</t>
  </si>
  <si>
    <t>Sch. 505 - All Blocks</t>
  </si>
  <si>
    <t>Sch. 511 - All Blocks</t>
  </si>
  <si>
    <t>Sch. 570 - All Blocks</t>
  </si>
  <si>
    <t>Sch. 663 - All Blocks</t>
  </si>
  <si>
    <t xml:space="preserve">Summary Therms and Customers </t>
  </si>
  <si>
    <t>Cost of Service Transfer File</t>
  </si>
  <si>
    <t>JAD WP-1.33</t>
  </si>
  <si>
    <t>JAD WP-1.34</t>
  </si>
  <si>
    <t>Cost of Service Inputs</t>
  </si>
  <si>
    <t>Summary Therms and Customers</t>
  </si>
  <si>
    <t>FERC Acct #</t>
  </si>
  <si>
    <t>Total Washington CBR/ROO</t>
  </si>
  <si>
    <t>Total Restating Adjustments</t>
  </si>
  <si>
    <t>Total Proforma Adjustments</t>
  </si>
  <si>
    <t>Total Adjustments</t>
  </si>
  <si>
    <t>Adjusted ROO</t>
  </si>
  <si>
    <t>ROO after Rate Change</t>
  </si>
  <si>
    <t>Adjustment number</t>
  </si>
  <si>
    <t>Sum of restating adjustments</t>
  </si>
  <si>
    <t>Sum of proforma adjustments</t>
  </si>
  <si>
    <t>D+E</t>
  </si>
  <si>
    <t>C+F</t>
  </si>
  <si>
    <t>RR Input and revenue sensitive items</t>
  </si>
  <si>
    <t>G+H</t>
  </si>
  <si>
    <t>Natural Gas operating revenues</t>
  </si>
  <si>
    <t>Residential sales</t>
  </si>
  <si>
    <t>Commercial and industrial sales</t>
  </si>
  <si>
    <t>Other sales to public authorities</t>
  </si>
  <si>
    <t>Interdepartmental sales</t>
  </si>
  <si>
    <t>Intracompany transfers</t>
  </si>
  <si>
    <t>Total sales to ultimate customers</t>
  </si>
  <si>
    <t>Sales for resale</t>
  </si>
  <si>
    <t>Total sales of gas</t>
  </si>
  <si>
    <t>Provision for rate refunds</t>
  </si>
  <si>
    <t>Total revenues net of provision for rate refunds</t>
  </si>
  <si>
    <t>Revenues from transportation of gas of others through gathering facilities</t>
  </si>
  <si>
    <t>Revenues from transportation of gas of others through transmission facilities</t>
  </si>
  <si>
    <t>Revenues from transportation of gas of others through distribution facilities</t>
  </si>
  <si>
    <t>Total revenues from transportation of gas</t>
  </si>
  <si>
    <t>Revenues from storing gas of others</t>
  </si>
  <si>
    <t>Forfeited discounts</t>
  </si>
  <si>
    <t>Miscellaneous service revenues</t>
  </si>
  <si>
    <t>Sales of products extracted from natural gas</t>
  </si>
  <si>
    <t>Revenues from natural gas processed by others</t>
  </si>
  <si>
    <t>Incidental gasoline and oil sales</t>
  </si>
  <si>
    <t>Rent from gas property</t>
  </si>
  <si>
    <t>Interdepartmental rents</t>
  </si>
  <si>
    <t>Other gas revenues</t>
  </si>
  <si>
    <t>Total other operating revenues</t>
  </si>
  <si>
    <t>Total natural gas operating revenues</t>
  </si>
  <si>
    <t>Production expenses</t>
  </si>
  <si>
    <t>Manufactured gas production operation</t>
  </si>
  <si>
    <t>Steam expenses</t>
  </si>
  <si>
    <t>Other power expenses</t>
  </si>
  <si>
    <t>Coke oven expenses</t>
  </si>
  <si>
    <t>Producer gas expenses</t>
  </si>
  <si>
    <t>Water gas generating expenses</t>
  </si>
  <si>
    <t>Oil gas generating expenses</t>
  </si>
  <si>
    <t>Liquefied petroleum gas expenses</t>
  </si>
  <si>
    <t>Other process production expenses</t>
  </si>
  <si>
    <t>Fuel under coke ovens</t>
  </si>
  <si>
    <t>Producer gas fuel</t>
  </si>
  <si>
    <t>Water gas generator fuel</t>
  </si>
  <si>
    <t>Fuel for oil gas</t>
  </si>
  <si>
    <t>Fuel for liquefied petroleum gas process</t>
  </si>
  <si>
    <t>Other gas fuels</t>
  </si>
  <si>
    <t>Coal carbonized in coke ovens</t>
  </si>
  <si>
    <t>Oil for water gas</t>
  </si>
  <si>
    <t>Oil for oil gas</t>
  </si>
  <si>
    <t>Liquefied petroleum gas</t>
  </si>
  <si>
    <t>Raw materials for other gas processes</t>
  </si>
  <si>
    <t>Residuals expenses</t>
  </si>
  <si>
    <t>Residuals produced—credit</t>
  </si>
  <si>
    <t>Purification expenses</t>
  </si>
  <si>
    <t>Gas mixing expenses</t>
  </si>
  <si>
    <t>Duplicate charges—credit</t>
  </si>
  <si>
    <t>Miscellaneous production expenses</t>
  </si>
  <si>
    <t>Maintenance of production equipment</t>
  </si>
  <si>
    <t>Total manufactured gas production expenses</t>
  </si>
  <si>
    <t>Natural gas well head purchases</t>
  </si>
  <si>
    <t>Natural gas well head purchases, intracompany transfers</t>
  </si>
  <si>
    <t>Natural gas field line purchases</t>
  </si>
  <si>
    <t>Natural gas gasoline plant outlet purchases</t>
  </si>
  <si>
    <t>Natural gas transmission line purchases</t>
  </si>
  <si>
    <t>Natural gas city gate purchases</t>
  </si>
  <si>
    <t>Liquefied natural gas purchases</t>
  </si>
  <si>
    <t>Other gas purchases</t>
  </si>
  <si>
    <t>Purchased gas cost adjustments</t>
  </si>
  <si>
    <t>Exchange gas</t>
  </si>
  <si>
    <t>Purchased gas expenses</t>
  </si>
  <si>
    <t>Gas withdrawn from storage—debit</t>
  </si>
  <si>
    <t>Gas delivered to storage—credit</t>
  </si>
  <si>
    <t>Withdrawals of liquefied natural gas held for processing—debt</t>
  </si>
  <si>
    <t>Deliveries of natural gas for processing—credit</t>
  </si>
  <si>
    <t>Gas used for compressor station fuel—credit</t>
  </si>
  <si>
    <t>Gas used for products extraction—credit</t>
  </si>
  <si>
    <t>Gas used for other utility operations—credit</t>
  </si>
  <si>
    <t>Total other gas supply expenses</t>
  </si>
  <si>
    <t xml:space="preserve"> Natural Gas Storage, Terminaling and Processing Expenses</t>
  </si>
  <si>
    <t>Maps and records</t>
  </si>
  <si>
    <t>Wells expenses</t>
  </si>
  <si>
    <t>Lines expenses</t>
  </si>
  <si>
    <t>Compressor station expenses</t>
  </si>
  <si>
    <t>Compressor station fuel and power</t>
  </si>
  <si>
    <t>Measuring and regulating station expenses</t>
  </si>
  <si>
    <t>Exploration and development</t>
  </si>
  <si>
    <t>Gas losses</t>
  </si>
  <si>
    <t>Storage well royalties</t>
  </si>
  <si>
    <t>Total underground storage expenses - operation</t>
  </si>
  <si>
    <t>Maintenance of reservoirs and wells</t>
  </si>
  <si>
    <t>Maintenance of lines</t>
  </si>
  <si>
    <t>Maintenance of compressor station equipment</t>
  </si>
  <si>
    <t>Maintenance of measuring and regulating station equipment</t>
  </si>
  <si>
    <t>Total underground storage expenses - maintenance</t>
  </si>
  <si>
    <t>Total other storage expenses - operation</t>
  </si>
  <si>
    <t>Maintenance of measuring and regulating equipment</t>
  </si>
  <si>
    <t>Total other storage expenses - maintenance</t>
  </si>
  <si>
    <t>Natural Gas Storage, Terminaling and Processing Expenses</t>
  </si>
  <si>
    <t>Transmission expenses</t>
  </si>
  <si>
    <t>System control and load dispatching</t>
  </si>
  <si>
    <t>Gas for compressor station fuel</t>
  </si>
  <si>
    <t>Other fuel and power for compressor stations</t>
  </si>
  <si>
    <t>Transmission and compression of gas by others</t>
  </si>
  <si>
    <t>Total transmission expenses - operation</t>
  </si>
  <si>
    <t>Total transmission expenses - maintenance</t>
  </si>
  <si>
    <t>Transmission Expenses</t>
  </si>
  <si>
    <t>Distribution expenses</t>
  </si>
  <si>
    <t>Compressor station fuel and power (major only)</t>
  </si>
  <si>
    <t>Measuring and regulating station expenses—city gate check stations</t>
  </si>
  <si>
    <t>Total distribution expenses - operation</t>
  </si>
  <si>
    <t>Maintenance of measuring and regulating station equipment—city gate</t>
  </si>
  <si>
    <t>Total distribution expenses - maintenance</t>
  </si>
  <si>
    <t>Distribution Expenses</t>
  </si>
  <si>
    <t>Total distribution expenses</t>
  </si>
  <si>
    <t>Customer account expenses</t>
  </si>
  <si>
    <t xml:space="preserve">Miscellaneous customer accounts expenses </t>
  </si>
  <si>
    <t>Total customer account expenses</t>
  </si>
  <si>
    <t>Customer service and informational expenses</t>
  </si>
  <si>
    <t>Miscellaneous customer service and informational expenses</t>
  </si>
  <si>
    <t>Total customer service and informational expenses</t>
  </si>
  <si>
    <t>Administrative and general expenses</t>
  </si>
  <si>
    <t>Administrative expenses transferred—Credit</t>
  </si>
  <si>
    <t>Franchise requirements</t>
  </si>
  <si>
    <t>Duplicate charges—Credit</t>
  </si>
  <si>
    <t>Total administrative and general expenses</t>
  </si>
  <si>
    <t>Depreciation expenses</t>
  </si>
  <si>
    <t>Depreciation expense production</t>
  </si>
  <si>
    <t>403, 403.1</t>
  </si>
  <si>
    <t xml:space="preserve">Depreciation expense storage and terminaling </t>
  </si>
  <si>
    <t>Depreciation expense transmission</t>
  </si>
  <si>
    <t>Depreciation expense distribution</t>
  </si>
  <si>
    <t>Depreciation expense general plant</t>
  </si>
  <si>
    <t>Depreciation expense common</t>
  </si>
  <si>
    <t>Total depreciation expenses</t>
  </si>
  <si>
    <t>Amortization expenses</t>
  </si>
  <si>
    <t>Intangible plant</t>
  </si>
  <si>
    <t>404, 405</t>
  </si>
  <si>
    <t>Amortization and depletion of producing natural gas land and land</t>
  </si>
  <si>
    <t>Amortization of underground storage land and land rights</t>
  </si>
  <si>
    <t>Amortization of other limited-term gas plant</t>
  </si>
  <si>
    <t>Amortization of other gas plant</t>
  </si>
  <si>
    <t>Amortization of gas plant acquisition adjustments</t>
  </si>
  <si>
    <t>Amortization of property losses, unrecovered plant and regulatory</t>
  </si>
  <si>
    <t>Amortization of conversion expense</t>
  </si>
  <si>
    <t>Total amortization expenses</t>
  </si>
  <si>
    <t>Regulatory debits and credits</t>
  </si>
  <si>
    <t xml:space="preserve">Regulatory debits and credits </t>
  </si>
  <si>
    <t>407.3, 407.4</t>
  </si>
  <si>
    <t>Total regulatory debits and credits</t>
  </si>
  <si>
    <t xml:space="preserve">Taxes other than income </t>
  </si>
  <si>
    <t>Income Taxes - federal taxes utility operating income</t>
  </si>
  <si>
    <t>Income Taxes - other taxes utility operating income</t>
  </si>
  <si>
    <t>Provisions for deferred income taxes, utility operating income</t>
  </si>
  <si>
    <t>Provision for deferred income taxes—credit, utility operating income</t>
  </si>
  <si>
    <t>Investment Tax credit Adj.</t>
  </si>
  <si>
    <t>Total taxes</t>
  </si>
  <si>
    <t>Various utility operating income items</t>
  </si>
  <si>
    <t>Gains from disposition of utility plant</t>
  </si>
  <si>
    <t>Losses from disposition of utility plant</t>
  </si>
  <si>
    <t>Revenues from natural gas plant leased to others</t>
  </si>
  <si>
    <t>Expenses of natural gas plant leased to others</t>
  </si>
  <si>
    <t>Other utility operating income</t>
  </si>
  <si>
    <t>Total various utility operating income items</t>
  </si>
  <si>
    <t>Natural gas operating expenses</t>
  </si>
  <si>
    <t>Net Operating Income = natural gas operating revenues - natural gas operating expenses</t>
  </si>
  <si>
    <t>Natural gas plant in service</t>
  </si>
  <si>
    <t>Franchises and consents</t>
  </si>
  <si>
    <t>Miscellaneous intangible plant</t>
  </si>
  <si>
    <t xml:space="preserve">Intangible plant </t>
  </si>
  <si>
    <t>Land</t>
  </si>
  <si>
    <t>Rights-of-way</t>
  </si>
  <si>
    <t>Wells</t>
  </si>
  <si>
    <t>Storage leaseholds and rights</t>
  </si>
  <si>
    <t>Reservoirs</t>
  </si>
  <si>
    <t>Nonrecoverable natural gas</t>
  </si>
  <si>
    <t>Lines</t>
  </si>
  <si>
    <t>Measuring and regulating equipment</t>
  </si>
  <si>
    <t>Purification equipment</t>
  </si>
  <si>
    <t>Other equipment</t>
  </si>
  <si>
    <t xml:space="preserve">Underground storage plant </t>
  </si>
  <si>
    <t>Measuring and regulating station equipment</t>
  </si>
  <si>
    <t>Measuring and regulating station equipment—city gate check stations</t>
  </si>
  <si>
    <t>House regulatory installations</t>
  </si>
  <si>
    <t>Other property on customers' premises</t>
  </si>
  <si>
    <t xml:space="preserve">Distribution plant </t>
  </si>
  <si>
    <t>Office furniture and equipment</t>
  </si>
  <si>
    <t>Transportation equipment</t>
  </si>
  <si>
    <t>Stores equipment</t>
  </si>
  <si>
    <t>Tools, shop and garage equipment</t>
  </si>
  <si>
    <t>Laboratory equipment</t>
  </si>
  <si>
    <t>Power operated equipment</t>
  </si>
  <si>
    <t>Miscellaneous equipment</t>
  </si>
  <si>
    <t>Other tangible property</t>
  </si>
  <si>
    <t xml:space="preserve">General plant </t>
  </si>
  <si>
    <t>Property under capital leases</t>
  </si>
  <si>
    <t>Total property under capital leases</t>
  </si>
  <si>
    <t>Gas plant purchased or sold</t>
  </si>
  <si>
    <t>Total gas plant purchased or sold</t>
  </si>
  <si>
    <t>Gas plant leased to others</t>
  </si>
  <si>
    <t>Total gas plant leased to others</t>
  </si>
  <si>
    <t>Gas plant held for future use</t>
  </si>
  <si>
    <t>Total natural gas plant for future use</t>
  </si>
  <si>
    <t>Completed construction not classified</t>
  </si>
  <si>
    <t>Total completed construction not classified</t>
  </si>
  <si>
    <t>Construction work in progress</t>
  </si>
  <si>
    <t>Total construction work in progress</t>
  </si>
  <si>
    <t>Accumulated provision for depreciation of natural gas utility plant</t>
  </si>
  <si>
    <t>Total accumulated provision for depreciation of natural gas utility plant</t>
  </si>
  <si>
    <t>Accumulated provision for amortization of natural gas utility plant</t>
  </si>
  <si>
    <t>Natural gas plant acquisition adjustments</t>
  </si>
  <si>
    <t>Total natural gas plant acquisition adjustments</t>
  </si>
  <si>
    <t>Accumulated provision for asset acquisition adjustments</t>
  </si>
  <si>
    <t>Total accumulated provision for asset acquisition adjustments</t>
  </si>
  <si>
    <t>Natural Gas</t>
  </si>
  <si>
    <t>Gas stored - base gas</t>
  </si>
  <si>
    <t>System balancing gas</t>
  </si>
  <si>
    <t>Gas stored in reservoirs and pipelines - noncurrent</t>
  </si>
  <si>
    <t>Gas owed to system gas</t>
  </si>
  <si>
    <t>Total natural gas</t>
  </si>
  <si>
    <t xml:space="preserve"> Net Plant</t>
  </si>
  <si>
    <t>Prepayments</t>
  </si>
  <si>
    <t>Total Prepayments</t>
  </si>
  <si>
    <t>Current and accrued assets</t>
  </si>
  <si>
    <t>Deferred debits</t>
  </si>
  <si>
    <t>Other regulatory assets</t>
  </si>
  <si>
    <t>Miscellaneous deferred debits</t>
  </si>
  <si>
    <t>Accumulated deferred income taxes</t>
  </si>
  <si>
    <t>Total Deferred debits</t>
  </si>
  <si>
    <t>Other non current liabilities</t>
  </si>
  <si>
    <t>Accumulated provision for property insurance</t>
  </si>
  <si>
    <t>Accumulated provision for injuries and damages</t>
  </si>
  <si>
    <t>Accumulated provision for pensions and benefits</t>
  </si>
  <si>
    <t>Accumulated miscellaneous operating provisions</t>
  </si>
  <si>
    <t>Accumulated provision for rate refunds</t>
  </si>
  <si>
    <t>Customer deposits</t>
  </si>
  <si>
    <t>Current and accrued liabilities</t>
  </si>
  <si>
    <t>Deferred  credits</t>
  </si>
  <si>
    <t>Deferred credits</t>
  </si>
  <si>
    <t>Accumulated deferred income taxes—accelerated amortization property</t>
  </si>
  <si>
    <t>Accumulated deferred income taxes—other property</t>
  </si>
  <si>
    <t>Accumulated deferred income taxes—other</t>
  </si>
  <si>
    <t>Accumulated deferred investment tax credits</t>
  </si>
  <si>
    <t>Other regulatory liabilities</t>
  </si>
  <si>
    <t>Total deferred credits</t>
  </si>
  <si>
    <t>Working capital allowance</t>
  </si>
  <si>
    <t>Total working capital allowance</t>
  </si>
  <si>
    <t>Rate base</t>
  </si>
  <si>
    <t xml:space="preserve">   Revenue Requirement Impact</t>
  </si>
  <si>
    <t xml:space="preserve">   Change in rate base</t>
  </si>
  <si>
    <t>ROR</t>
  </si>
  <si>
    <t>Service territory : Washington</t>
  </si>
  <si>
    <t>Service: Natural Gas</t>
  </si>
  <si>
    <t>Service = Electric</t>
  </si>
  <si>
    <t>Washington Natural Gas</t>
  </si>
  <si>
    <t>Column</t>
  </si>
  <si>
    <t>Work paper reference</t>
  </si>
  <si>
    <t>Description of Adjustment</t>
  </si>
  <si>
    <t xml:space="preserve">NOI   </t>
  </si>
  <si>
    <t>Revenue Requirement</t>
  </si>
  <si>
    <t>Results of Operations</t>
  </si>
  <si>
    <t xml:space="preserve">     Restated Total</t>
  </si>
  <si>
    <t xml:space="preserve">     Pro Forma Total</t>
  </si>
  <si>
    <t>AMA - PIS</t>
  </si>
  <si>
    <t>AMA - Accum</t>
  </si>
  <si>
    <t>389-N-Land &amp; Land Rights</t>
  </si>
  <si>
    <t>2023 Depreciation &amp; Amortization Expense</t>
  </si>
  <si>
    <t>Gas Transmission</t>
  </si>
  <si>
    <t>Total Gas Intangible</t>
  </si>
  <si>
    <t>Total Gas Transmission</t>
  </si>
  <si>
    <t>Total Gas Distribution</t>
  </si>
  <si>
    <t>Total Gas General</t>
  </si>
  <si>
    <t>RWIP - End Balance</t>
  </si>
  <si>
    <t>RWIP - AMA</t>
  </si>
  <si>
    <t>394</t>
  </si>
  <si>
    <t>End Balance - PIS</t>
  </si>
  <si>
    <t>End Balance - Accum</t>
  </si>
  <si>
    <t>Time period : Twelve Months ended December 31, 2023</t>
  </si>
  <si>
    <t>Exh JAD-3</t>
  </si>
  <si>
    <t>JAD WP-1.6 &amp; WP-1.7</t>
  </si>
  <si>
    <t>Exh JAD-6</t>
  </si>
  <si>
    <t>Gas Cost of Service Template - Tab A-RR Cross-Reference</t>
  </si>
  <si>
    <t>JAD WP-1.35</t>
  </si>
  <si>
    <t>JAD WP-1.36</t>
  </si>
  <si>
    <t>Gas Cost of Service Template - Tab D-Summary of Adjustments</t>
  </si>
  <si>
    <t>pgs. 84-95</t>
  </si>
  <si>
    <t>pgs. 97-121</t>
  </si>
  <si>
    <t>AWEC Proposed</t>
  </si>
  <si>
    <t>Impact of AWEC Adjustments</t>
  </si>
  <si>
    <t>Rev. Req. Parameters</t>
  </si>
  <si>
    <t xml:space="preserve">Rev. Req. </t>
  </si>
  <si>
    <t xml:space="preserve">Adj. </t>
  </si>
  <si>
    <t xml:space="preserve">Net Oper. </t>
  </si>
  <si>
    <t xml:space="preserve">Def. / </t>
  </si>
  <si>
    <t>AWEC</t>
  </si>
  <si>
    <t>Revenue Conversion</t>
  </si>
  <si>
    <t>Line</t>
  </si>
  <si>
    <t xml:space="preserve">No. </t>
  </si>
  <si>
    <t>Income</t>
  </si>
  <si>
    <t>(Suf.)</t>
  </si>
  <si>
    <t>Position</t>
  </si>
  <si>
    <t>Tax Rate</t>
  </si>
  <si>
    <t>Rev. Sens</t>
  </si>
  <si>
    <t>Restating Adjustments:</t>
  </si>
  <si>
    <t>AWEC Cost of Capital</t>
  </si>
  <si>
    <t>Weighted</t>
  </si>
  <si>
    <t>Oppose</t>
  </si>
  <si>
    <t>Component</t>
  </si>
  <si>
    <t>Structure</t>
  </si>
  <si>
    <t>Filed Cost of Capital</t>
  </si>
  <si>
    <t>Sub-total Restating</t>
  </si>
  <si>
    <t>Rate Year 1 PF Adjustments:</t>
  </si>
  <si>
    <t>Propose</t>
  </si>
  <si>
    <t>Sub-total Pro Forma Year 1</t>
  </si>
  <si>
    <t>Total Rate Year 1</t>
  </si>
  <si>
    <t>Rate Year 2 PF Adjustments:</t>
  </si>
  <si>
    <t>Rate Year 1 Revenue Increase</t>
  </si>
  <si>
    <t>Total Rate Year 2 Results</t>
  </si>
  <si>
    <t xml:space="preserve">Filed </t>
  </si>
  <si>
    <t>At AWEC</t>
  </si>
  <si>
    <t>Rev. Req.</t>
  </si>
  <si>
    <t>Impact</t>
  </si>
  <si>
    <t>Pre-Tax</t>
  </si>
  <si>
    <t>Long-Term Debt</t>
  </si>
  <si>
    <t xml:space="preserve"> Results of  Operations </t>
  </si>
  <si>
    <t>Cascade Filed @ AWEC RoR</t>
  </si>
  <si>
    <t>ROO</t>
  </si>
  <si>
    <t>Filed</t>
  </si>
  <si>
    <t>Delta</t>
  </si>
  <si>
    <t>O&amp;M</t>
  </si>
  <si>
    <t>% Chage</t>
  </si>
  <si>
    <t xml:space="preserve">Compound Growth </t>
  </si>
  <si>
    <t>=</t>
  </si>
  <si>
    <t>Log Difference ln(yr[n]/yr[n-1])</t>
  </si>
  <si>
    <t>Filed Adjustment</t>
  </si>
  <si>
    <t>Less: Stock Compensation</t>
  </si>
  <si>
    <t>Remove Stock Compensation</t>
  </si>
  <si>
    <t xml:space="preserve">Total </t>
  </si>
  <si>
    <t xml:space="preserve">Filed Adj. </t>
  </si>
  <si>
    <t>Legal Expenses</t>
  </si>
  <si>
    <t xml:space="preserve">Common Stock </t>
  </si>
  <si>
    <t>Cascade</t>
  </si>
  <si>
    <t>MYRP 2</t>
  </si>
  <si>
    <t>MYRP 1</t>
  </si>
  <si>
    <t>Rate Schedule Revenue as Proposed</t>
  </si>
  <si>
    <t>Revenue at Current Rates</t>
  </si>
  <si>
    <t>Special Contracts - 9xx</t>
  </si>
  <si>
    <t>Transport - 663</t>
  </si>
  <si>
    <t>Interruptible - 570</t>
  </si>
  <si>
    <t>Large Volume - 511</t>
  </si>
  <si>
    <t>Industrial - 505</t>
  </si>
  <si>
    <t>Commercial - 504</t>
  </si>
  <si>
    <t>Residential - 503</t>
  </si>
  <si>
    <t>Total Cascade</t>
  </si>
  <si>
    <t>Scenario</t>
  </si>
  <si>
    <t>Revenue Spread</t>
  </si>
  <si>
    <t>RNG</t>
  </si>
  <si>
    <t>Large</t>
  </si>
  <si>
    <t>Studied Run Rate</t>
  </si>
  <si>
    <t>Small</t>
  </si>
  <si>
    <t>Studied</t>
  </si>
  <si>
    <t>CNG Filed 2024</t>
  </si>
  <si>
    <t>CNG Filed 2025</t>
  </si>
  <si>
    <t>MWA Rec 2025</t>
  </si>
  <si>
    <t>MWA Rec2025</t>
  </si>
  <si>
    <t>RY1</t>
  </si>
  <si>
    <t>RY2</t>
  </si>
  <si>
    <t>Plant</t>
  </si>
  <si>
    <t>ADIT</t>
  </si>
  <si>
    <t>Exp.</t>
  </si>
  <si>
    <t>Remove RNG</t>
  </si>
  <si>
    <t>Run Rate Capital Adjustments</t>
  </si>
  <si>
    <t>Accumulated Depreciation</t>
  </si>
  <si>
    <t>Prior Step</t>
  </si>
  <si>
    <t>RY 1</t>
  </si>
  <si>
    <t>%</t>
  </si>
  <si>
    <t xml:space="preserve">Cost of Capital </t>
  </si>
  <si>
    <t>Filed Rev</t>
  </si>
  <si>
    <t>Adj. Rev</t>
  </si>
  <si>
    <t>Sp. Contract</t>
  </si>
  <si>
    <t>Adjusted % with Sp. Contract</t>
  </si>
  <si>
    <t>R-12</t>
  </si>
  <si>
    <t>RY2-X</t>
  </si>
  <si>
    <t>Union Increase</t>
  </si>
  <si>
    <t>Base</t>
  </si>
  <si>
    <t>Capital Adj</t>
  </si>
  <si>
    <t>Net Adj.</t>
  </si>
  <si>
    <t>2023 O&amp;M %</t>
  </si>
  <si>
    <t>2024 O&amp;M%</t>
  </si>
  <si>
    <t>Non-Union Increase</t>
  </si>
  <si>
    <t>Net % Change</t>
  </si>
  <si>
    <t>Cascade Proposed</t>
  </si>
  <si>
    <t xml:space="preserve">Remove Affiliate </t>
  </si>
  <si>
    <t>TY</t>
  </si>
  <si>
    <t>Prorate Union RY1 (9/12ths)</t>
  </si>
  <si>
    <t>Prorate Non-Union RY1 (352/366)</t>
  </si>
  <si>
    <t>Proposed Wage Escalation</t>
  </si>
  <si>
    <t>Adjust Non-Union</t>
  </si>
  <si>
    <t>Allocated Affiliate</t>
  </si>
  <si>
    <t>Less: Capitalization Rate ∆</t>
  </si>
  <si>
    <t>Log Average  (a)</t>
  </si>
  <si>
    <t>Base 10 Average [e^(a)-1]</t>
  </si>
  <si>
    <t>Remove RNG (PR-1, PR-3)</t>
  </si>
  <si>
    <t>Discrete Projects (PR-1, PR-3)</t>
  </si>
  <si>
    <t>Run Rate Capital (PR-1, PR-3)</t>
  </si>
  <si>
    <t>Accumulated Depr. (PR-1, PR-3)</t>
  </si>
  <si>
    <t>Labor Expense (R-6, P-2, PR-5)</t>
  </si>
  <si>
    <t>Non-Labor O&amp;M (P-9, PR-10)</t>
  </si>
  <si>
    <t>Rate Case Expense (P-4)</t>
  </si>
  <si>
    <t>Legal Expense (R-12)</t>
  </si>
  <si>
    <t>Pension Expense (P-7, PR-6)</t>
  </si>
  <si>
    <t>Gross Plant
Dec 31, 2024</t>
  </si>
  <si>
    <t>Accum. Depr.
Dec 31, 2024</t>
  </si>
  <si>
    <t>Gross 
Plant</t>
  </si>
  <si>
    <t>Depr.</t>
  </si>
  <si>
    <t>Accum. Depr.</t>
  </si>
  <si>
    <t>Discrete Capital Adjustments</t>
  </si>
  <si>
    <t>Natural Gas Revenue Requirement Summary ($000)</t>
  </si>
  <si>
    <t xml:space="preserve">Natural Gas Revenue Requirement With AWEC Adjustment Detail ($000) </t>
  </si>
  <si>
    <t>D&amp;O Expense (R-8)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</si>
</sst>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
    <numFmt numFmtId="165" formatCode="_(* #,##0_);_(* \(#,##0\);_(* &quot;-&quot;??_);_(@_)"/>
    <numFmt numFmtId="166" formatCode="0.000%"/>
    <numFmt numFmtId="167" formatCode="0.0000%"/>
    <numFmt numFmtId="168" formatCode="_-* #,##0\ &quot;F&quot;_-;\-* #,##0\ &quot;F&quot;_-;_-* &quot;-&quot;\ &quot;F&quot;_-;_-@_-"/>
    <numFmt numFmtId="169" formatCode="&quot;$&quot;###0;[Red]\(&quot;$&quot;###0\)"/>
    <numFmt numFmtId="170" formatCode="&quot;$&quot;#,##0\ ;\(&quot;$&quot;#,##0\)"/>
    <numFmt numFmtId="171" formatCode="########\-###\-###"/>
    <numFmt numFmtId="172" formatCode="0.0"/>
    <numFmt numFmtId="173" formatCode="#,##0.000;[Red]\-#,##0.000"/>
    <numFmt numFmtId="174" formatCode="#,##0.0_);\(#,##0.0\);\-\ ;"/>
    <numFmt numFmtId="175" formatCode="#,##0.0000"/>
    <numFmt numFmtId="176" formatCode="mmm\ dd\,\ yyyy"/>
    <numFmt numFmtId="177" formatCode="General_)"/>
    <numFmt numFmtId="178" formatCode="mmmm\ d\,\ yyyy"/>
    <numFmt numFmtId="179" formatCode="_-* #,##0.000000_-;\-* #,##0.000000_-;_-* &quot;-&quot;??????_-;_-@_-"/>
    <numFmt numFmtId="180" formatCode="#,##0.0_);\(#,##0.0\)"/>
    <numFmt numFmtId="181" formatCode="&quot;$&quot;#,##0.000_);\(&quot;$&quot;#,##0.000\)"/>
    <numFmt numFmtId="182" formatCode="&quot;$&quot;#,##0.00000000_);\(&quot;$&quot;#,##0.00000000\)"/>
    <numFmt numFmtId="183" formatCode="0.00000"/>
    <numFmt numFmtId="184" formatCode="0.0000000%"/>
    <numFmt numFmtId="185" formatCode="#,##0.00000_);\(#,##0.00000\)"/>
    <numFmt numFmtId="186" formatCode="&quot;$&quot;#,##0"/>
    <numFmt numFmtId="187" formatCode="dd\-mmm\-yy_)"/>
    <numFmt numFmtId="188" formatCode="&quot;$&quot;#,##0.00"/>
    <numFmt numFmtId="189" formatCode="#,##0.0000000000_);[Red]\(#,##0.0000000000\)"/>
    <numFmt numFmtId="190" formatCode="0.00000%"/>
    <numFmt numFmtId="191" formatCode="mmm\-yy_)"/>
    <numFmt numFmtId="192" formatCode="0_)"/>
    <numFmt numFmtId="193" formatCode="[$-409]m/d/yy\ h:mm\ AM/PM;@"/>
    <numFmt numFmtId="194" formatCode="0_);\(0\)"/>
    <numFmt numFmtId="195" formatCode="_(&quot;$&quot;* #,##0_);_(&quot;$&quot;* \(#,##0\);_(&quot;$&quot;* &quot;-&quot;??_);_(@_)"/>
    <numFmt numFmtId="196" formatCode="0.0%"/>
    <numFmt numFmtId="197" formatCode="&quot;$&quot;#,##0.00000"/>
    <numFmt numFmtId="198" formatCode="_(&quot;$&quot;* #,##0.00000_);_(&quot;$&quot;* \(#,##0.00000\);_(&quot;$&quot;* &quot;-&quot;??_);_(@_)"/>
    <numFmt numFmtId="199" formatCode="ddd\,\ m/d/yyyy"/>
    <numFmt numFmtId="200" formatCode="m/d/yy;@"/>
    <numFmt numFmtId="201" formatCode="_(* #,##0.0000000_);_(* \(#,##0.0000000\);_(* &quot;-&quot;??_);_(@_)"/>
    <numFmt numFmtId="202" formatCode="0.0000"/>
    <numFmt numFmtId="203" formatCode="0.00_);\(0.00\)"/>
    <numFmt numFmtId="204" formatCode="[$-409]mmm\-yy;@"/>
    <numFmt numFmtId="205" formatCode="_(* #,##0.00000_);_(* \(#,##0.00000\);_(* &quot;-&quot;??_);_(@_)"/>
    <numFmt numFmtId="206" formatCode="_(&quot;$&quot;* #,##0.0000_);_(&quot;$&quot;* \(#,##0.0000\);_(&quot;$&quot;* &quot;-&quot;????_);_(@_)"/>
    <numFmt numFmtId="207" formatCode="_(* #,##0.0_);_(* \(#,##0.0\);_(* &quot;-&quot;??_);_(@_)"/>
    <numFmt numFmtId="208" formatCode="#,##0.000000000_);[Red]\(#,##0.000000000\)"/>
    <numFmt numFmtId="209" formatCode="_(* #,##0_);[Red]_(* \(#,##0\);_(* &quot;-&quot;??_);_(@_)"/>
    <numFmt numFmtId="210" formatCode="_([$$-409]* #,##0_);_([$$-409]* \(#,##0\);_([$$-409]* &quot;-&quot;??_);_(@_)"/>
    <numFmt numFmtId="211" formatCode="mm/dd/yy;@"/>
    <numFmt numFmtId="212" formatCode="0.0_);\(0.0\)"/>
    <numFmt numFmtId="213" formatCode="_(* #,##0.000_);_(* \(#,##0.000\);_(* &quot;-&quot;??_);_(@_)"/>
    <numFmt numFmtId="214" formatCode="_(&quot;$&quot;* #,##0.00000_);_(&quot;$&quot;* \(#,##0.00000\);_(&quot;$&quot;* &quot;-&quot;?????_);_(@_)"/>
    <numFmt numFmtId="215" formatCode="_(* #,##0_);[Black]_(* \(#,##0\);_(* &quot;-&quot;??_);_(@_)"/>
    <numFmt numFmtId="216" formatCode="[$-409]mmmm\-yy;@"/>
    <numFmt numFmtId="217" formatCode="[$-409]mmmm\ d\,\ yyyy;@"/>
    <numFmt numFmtId="218" formatCode="#,##0.0"/>
    <numFmt numFmtId="219" formatCode="_(* #,##0.00000_);_(* \(#,##0.00000\);_(* &quot;-&quot;_);_(@_)"/>
    <numFmt numFmtId="220" formatCode="mmmm\ dd\,\ yyyy"/>
  </numFmts>
  <fonts count="21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10"/>
      <name val="Courier"/>
      <family val="3"/>
    </font>
    <font>
      <sz val="11"/>
      <name val="Calibri"/>
      <family val="2"/>
      <scheme val="minor"/>
    </font>
    <font>
      <sz val="10"/>
      <color theme="1"/>
      <name val="Arial Narrow"/>
      <family val="2"/>
    </font>
    <font>
      <sz val="8"/>
      <name val="Calibri"/>
      <family val="2"/>
      <scheme val="minor"/>
    </font>
    <font>
      <sz val="11"/>
      <color rgb="FFC00000"/>
      <name val="Calibri"/>
      <family val="2"/>
      <scheme val="minor"/>
    </font>
    <font>
      <b/>
      <sz val="11"/>
      <name val="Calibri"/>
      <family val="2"/>
      <scheme val="minor"/>
    </font>
    <font>
      <b/>
      <sz val="11"/>
      <color rgb="FFFF0000"/>
      <name val="Calibri"/>
      <family val="2"/>
      <scheme val="minor"/>
    </font>
    <font>
      <sz val="11"/>
      <color theme="0" tint="-0.499984740745262"/>
      <name val="Calibri"/>
      <family val="2"/>
      <scheme val="minor"/>
    </font>
    <font>
      <b/>
      <u/>
      <sz val="11"/>
      <color theme="1"/>
      <name val="Calibri"/>
      <family val="2"/>
      <scheme val="minor"/>
    </font>
    <font>
      <u/>
      <sz val="11"/>
      <color theme="1"/>
      <name val="Calibri"/>
      <family val="2"/>
      <scheme val="minor"/>
    </font>
    <font>
      <u/>
      <sz val="11"/>
      <name val="Calibri"/>
      <family val="2"/>
      <scheme val="minor"/>
    </font>
    <font>
      <b/>
      <sz val="22"/>
      <color theme="1" tint="0.34998626667073579"/>
      <name val="Cambria"/>
      <family val="2"/>
      <scheme val="major"/>
    </font>
    <font>
      <sz val="14"/>
      <color theme="1"/>
      <name val="Calibri"/>
      <family val="2"/>
      <scheme val="minor"/>
    </font>
    <font>
      <u/>
      <sz val="11"/>
      <color indexed="12"/>
      <name val="Arial"/>
      <family val="2"/>
    </font>
    <font>
      <i/>
      <sz val="11"/>
      <color theme="1"/>
      <name val="Calibri"/>
      <family val="2"/>
      <scheme val="minor"/>
    </font>
    <font>
      <sz val="11"/>
      <color indexed="8"/>
      <name val="Calibri"/>
      <family val="2"/>
      <scheme val="minor"/>
    </font>
    <font>
      <i/>
      <sz val="11"/>
      <name val="Calibri"/>
      <family val="2"/>
      <scheme val="minor"/>
    </font>
    <font>
      <i/>
      <sz val="11"/>
      <color rgb="FFFF0000"/>
      <name val="Calibri"/>
      <family val="2"/>
      <scheme val="minor"/>
    </font>
    <font>
      <u/>
      <sz val="11"/>
      <color theme="10"/>
      <name val="Calibri"/>
      <family val="2"/>
      <scheme val="minor"/>
    </font>
    <font>
      <sz val="12"/>
      <name val="SWISS"/>
    </font>
    <font>
      <b/>
      <sz val="12"/>
      <color indexed="56"/>
      <name val="Arial"/>
      <family val="2"/>
    </font>
    <font>
      <b/>
      <sz val="14"/>
      <color indexed="56"/>
      <name val="Arial"/>
      <family val="2"/>
    </font>
    <font>
      <sz val="12"/>
      <color theme="1"/>
      <name val="Times New Roman"/>
      <family val="2"/>
    </font>
    <font>
      <i/>
      <u/>
      <sz val="11"/>
      <color theme="1"/>
      <name val="Calibri"/>
      <family val="2"/>
      <scheme val="minor"/>
    </font>
    <font>
      <b/>
      <i/>
      <sz val="11"/>
      <name val="Calibri"/>
      <family val="2"/>
      <scheme val="minor"/>
    </font>
    <font>
      <sz val="11"/>
      <color rgb="FF000000"/>
      <name val="Calibri"/>
      <family val="2"/>
      <scheme val="minor"/>
    </font>
    <font>
      <i/>
      <u/>
      <sz val="11"/>
      <name val="Calibri"/>
      <family val="2"/>
      <scheme val="minor"/>
    </font>
    <font>
      <sz val="11"/>
      <color rgb="FF0000FF"/>
      <name val="Calibri"/>
      <family val="2"/>
      <scheme val="minor"/>
    </font>
    <font>
      <b/>
      <i/>
      <u/>
      <sz val="11"/>
      <color theme="1"/>
      <name val="Calibri"/>
      <family val="2"/>
      <scheme val="minor"/>
    </font>
    <font>
      <sz val="11"/>
      <name val="Calibri"/>
      <family val="2"/>
    </font>
    <font>
      <sz val="11"/>
      <color rgb="FF000000"/>
      <name val="Calibri"/>
      <family val="2"/>
    </font>
    <font>
      <b/>
      <sz val="11"/>
      <name val="Calibri"/>
      <family val="2"/>
    </font>
    <font>
      <sz val="12"/>
      <color theme="1"/>
      <name val="Times New Roman"/>
      <family val="1"/>
    </font>
    <font>
      <b/>
      <sz val="12"/>
      <name val="Times New Roman"/>
      <family val="1"/>
    </font>
    <font>
      <b/>
      <sz val="12"/>
      <color theme="1"/>
      <name val="Times New Roman"/>
      <family val="1"/>
    </font>
    <font>
      <b/>
      <u/>
      <sz val="12"/>
      <color theme="1"/>
      <name val="Times New Roman"/>
      <family val="1"/>
    </font>
    <font>
      <b/>
      <u/>
      <sz val="12"/>
      <name val="Times New Roman"/>
      <family val="1"/>
    </font>
    <font>
      <sz val="12"/>
      <color rgb="FF000000"/>
      <name val="Times New Roman"/>
      <family val="1"/>
    </font>
    <font>
      <b/>
      <sz val="12"/>
      <color rgb="FF000000"/>
      <name val="Times New Roman"/>
      <family val="1"/>
    </font>
    <font>
      <b/>
      <u/>
      <sz val="12"/>
      <color rgb="FF000000"/>
      <name val="Times New Roman"/>
      <family val="1"/>
    </font>
    <font>
      <sz val="11"/>
      <color theme="1"/>
      <name val="Times New Roman"/>
      <family val="1"/>
    </font>
    <font>
      <sz val="26"/>
      <color theme="1"/>
      <name val="Calibri"/>
      <family val="2"/>
      <scheme val="minor"/>
    </font>
    <font>
      <sz val="11"/>
      <name val="Dialog"/>
    </font>
    <font>
      <b/>
      <i/>
      <sz val="11"/>
      <color theme="1"/>
      <name val="Calibri"/>
      <family val="2"/>
      <scheme val="minor"/>
    </font>
    <font>
      <sz val="10"/>
      <color rgb="FFFF0000"/>
      <name val="Arial"/>
      <family val="2"/>
    </font>
    <font>
      <b/>
      <sz val="12"/>
      <color theme="1"/>
      <name val="Calibri"/>
      <family val="2"/>
      <scheme val="minor"/>
    </font>
    <font>
      <sz val="10"/>
      <name val="Arial Unicode MS"/>
    </font>
    <font>
      <b/>
      <i/>
      <sz val="11"/>
      <name val="Calibri"/>
      <family val="2"/>
    </font>
    <font>
      <u/>
      <sz val="11"/>
      <name val="Calibri"/>
      <family val="2"/>
    </font>
    <font>
      <vertAlign val="superscript"/>
      <sz val="11"/>
      <color theme="1"/>
      <name val="Calibri"/>
      <family val="2"/>
      <scheme val="minor"/>
    </font>
    <font>
      <b/>
      <sz val="11"/>
      <color theme="1"/>
      <name val="Times New Roman"/>
      <family val="1"/>
    </font>
    <font>
      <b/>
      <sz val="11"/>
      <name val="Times New Roman"/>
      <family val="1"/>
    </font>
    <font>
      <sz val="11"/>
      <color rgb="FF0000FF"/>
      <name val="Times New Roman"/>
      <family val="1"/>
    </font>
    <font>
      <b/>
      <sz val="11"/>
      <color indexed="8"/>
      <name val="Times New Roman"/>
      <family val="1"/>
    </font>
    <font>
      <b/>
      <u val="singleAccounting"/>
      <sz val="11"/>
      <name val="Calibri"/>
      <family val="2"/>
      <scheme val="minor"/>
    </font>
    <font>
      <b/>
      <i/>
      <u/>
      <sz val="11"/>
      <name val="Calibri"/>
      <family val="2"/>
      <scheme val="minor"/>
    </font>
    <font>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sz val="12"/>
      <color theme="0"/>
      <name val="Calibri"/>
      <family val="2"/>
      <scheme val="minor"/>
    </font>
    <font>
      <b/>
      <sz val="9"/>
      <color indexed="81"/>
      <name val="Tahoma"/>
      <family val="2"/>
    </font>
    <font>
      <sz val="9"/>
      <color indexed="81"/>
      <name val="Tahoma"/>
      <family val="2"/>
    </font>
    <font>
      <u/>
      <sz val="12"/>
      <name val="Calibri"/>
      <family val="2"/>
      <scheme val="minor"/>
    </font>
    <font>
      <sz val="12"/>
      <color indexed="12"/>
      <name val="Calibri"/>
      <family val="2"/>
      <scheme val="minor"/>
    </font>
    <font>
      <sz val="12"/>
      <color indexed="21"/>
      <name val="Calibri"/>
      <family val="2"/>
      <scheme val="minor"/>
    </font>
    <font>
      <b/>
      <sz val="10"/>
      <name val="Times New Roman"/>
      <family val="1"/>
    </font>
    <font>
      <i/>
      <sz val="10"/>
      <name val="Times New Roman"/>
      <family val="1"/>
    </font>
    <font>
      <i/>
      <u/>
      <sz val="10"/>
      <name val="Times New Roman"/>
      <family val="1"/>
    </font>
    <font>
      <b/>
      <u/>
      <sz val="10"/>
      <name val="Times New Roman"/>
      <family val="1"/>
    </font>
    <font>
      <b/>
      <i/>
      <sz val="10"/>
      <name val="Times New Roman"/>
      <family val="1"/>
    </font>
    <font>
      <sz val="10"/>
      <color rgb="FFFF0000"/>
      <name val="Times New Roman"/>
      <family val="1"/>
    </font>
    <font>
      <u/>
      <sz val="10"/>
      <name val="Times New Roman"/>
      <family val="1"/>
    </font>
    <font>
      <sz val="10"/>
      <color rgb="FFC00000"/>
      <name val="Times New Roman"/>
      <family val="1"/>
    </font>
    <font>
      <i/>
      <sz val="10"/>
      <color rgb="FFC00000"/>
      <name val="Times New Roman"/>
      <family val="1"/>
    </font>
    <font>
      <sz val="10"/>
      <color theme="1"/>
      <name val="Calibri"/>
      <family val="2"/>
      <scheme val="minor"/>
    </font>
    <font>
      <sz val="10"/>
      <color theme="1"/>
      <name val="Times New Roman"/>
      <family val="1"/>
    </font>
    <font>
      <i/>
      <sz val="11"/>
      <color theme="1"/>
      <name val="Times New Roman"/>
      <family val="1"/>
    </font>
    <font>
      <u/>
      <sz val="11"/>
      <color theme="1"/>
      <name val="Times New Roman"/>
      <family val="1"/>
    </font>
    <font>
      <sz val="11"/>
      <color theme="1"/>
      <name val="Rimwa"/>
    </font>
    <font>
      <sz val="9"/>
      <color theme="1"/>
      <name val="Times New Roman"/>
      <family val="1"/>
    </font>
    <font>
      <sz val="9"/>
      <color theme="1"/>
      <name val="Calibri"/>
      <family val="2"/>
      <scheme val="minor"/>
    </font>
    <font>
      <sz val="10"/>
      <name val="Calibri"/>
      <family val="2"/>
      <scheme val="minor"/>
    </font>
    <font>
      <sz val="9"/>
      <name val="Times New Roman"/>
      <family val="1"/>
    </font>
    <font>
      <u/>
      <sz val="11"/>
      <name val="Times New Roman"/>
      <family val="1"/>
    </font>
    <font>
      <sz val="10"/>
      <color theme="4"/>
      <name val="Times New Roman"/>
      <family val="1"/>
    </font>
    <font>
      <sz val="8"/>
      <color theme="4"/>
      <name val="Times New Roman"/>
      <family val="1"/>
    </font>
    <font>
      <i/>
      <sz val="10"/>
      <color theme="4"/>
      <name val="Times New Roman"/>
      <family val="1"/>
    </font>
    <font>
      <b/>
      <i/>
      <sz val="11"/>
      <color theme="4"/>
      <name val="Times New Roman"/>
      <family val="1"/>
    </font>
    <font>
      <b/>
      <sz val="11"/>
      <color theme="4"/>
      <name val="Times New Roman"/>
      <family val="1"/>
    </font>
    <font>
      <b/>
      <i/>
      <sz val="11"/>
      <color theme="1"/>
      <name val="Times New Roman"/>
      <family val="1"/>
    </font>
    <font>
      <b/>
      <u/>
      <sz val="11"/>
      <color theme="1"/>
      <name val="Times New Roman"/>
      <family val="1"/>
    </font>
    <font>
      <sz val="8"/>
      <color theme="1"/>
      <name val="Times New Roman"/>
      <family val="1"/>
    </font>
    <font>
      <sz val="8"/>
      <color theme="0"/>
      <name val="Times New Roman"/>
      <family val="1"/>
    </font>
    <font>
      <b/>
      <sz val="8"/>
      <color theme="0"/>
      <name val="Times New Roman"/>
      <family val="1"/>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rgb="FF3C343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bgColor indexed="64"/>
      </patternFill>
    </fill>
  </fills>
  <borders count="1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right/>
      <top style="thin">
        <color auto="1"/>
      </top>
      <bottom style="thin">
        <color auto="1"/>
      </bottom>
      <diagonal/>
    </border>
    <border>
      <left/>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auto="1"/>
      </left>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medium">
        <color indexed="64"/>
      </left>
      <right/>
      <top/>
      <bottom style="double">
        <color indexed="64"/>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theme="0" tint="-0.14996795556505021"/>
      </top>
      <bottom style="medium">
        <color theme="0" tint="-0.14996795556505021"/>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auto="1"/>
      </top>
      <bottom style="double">
        <color auto="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rgb="FF000000"/>
      </right>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double">
        <color indexed="64"/>
      </bottom>
      <diagonal/>
    </border>
    <border>
      <left style="double">
        <color auto="1"/>
      </left>
      <right/>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auto="1"/>
      </left>
      <right style="thin">
        <color indexed="64"/>
      </right>
      <top/>
      <bottom/>
      <diagonal/>
    </border>
    <border>
      <left style="thin">
        <color indexed="64"/>
      </left>
      <right style="thin">
        <color indexed="64"/>
      </right>
      <top/>
      <bottom style="thin">
        <color auto="1"/>
      </bottom>
      <diagonal/>
    </border>
    <border>
      <left/>
      <right/>
      <top/>
      <bottom style="thin">
        <color auto="1"/>
      </bottom>
      <diagonal/>
    </border>
    <border>
      <left/>
      <right style="thin">
        <color indexed="64"/>
      </right>
      <top/>
      <bottom style="thin">
        <color auto="1"/>
      </bottom>
      <diagonal/>
    </border>
    <border>
      <left style="thin">
        <color indexed="64"/>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diagonal/>
    </border>
    <border>
      <left style="thin">
        <color indexed="64"/>
      </left>
      <right/>
      <top/>
      <bottom style="thin">
        <color auto="1"/>
      </bottom>
      <diagonal/>
    </border>
  </borders>
  <cellStyleXfs count="33399">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69" fontId="36" fillId="0" borderId="0" applyFont="0" applyFill="0" applyBorder="0" applyProtection="0">
      <alignment horizontal="right"/>
    </xf>
    <xf numFmtId="5" fontId="35" fillId="0" borderId="0"/>
    <xf numFmtId="170"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18" applyNumberFormat="0" applyAlignment="0" applyProtection="0">
      <alignment horizontal="left" vertical="center"/>
    </xf>
    <xf numFmtId="0" fontId="26" fillId="0" borderId="17">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3" applyNumberFormat="0" applyBorder="0" applyAlignment="0" applyProtection="0"/>
    <xf numFmtId="0" fontId="41" fillId="0" borderId="0" applyNumberFormat="0" applyFill="0" applyBorder="0" applyAlignment="0">
      <protection locked="0"/>
    </xf>
    <xf numFmtId="171" fontId="19" fillId="0" borderId="0"/>
    <xf numFmtId="172" fontId="24" fillId="0" borderId="0" applyNumberFormat="0" applyFill="0" applyBorder="0" applyAlignment="0" applyProtection="0"/>
    <xf numFmtId="165" fontId="42" fillId="0" borderId="0" applyFont="0" applyAlignment="0" applyProtection="0"/>
    <xf numFmtId="0" fontId="21" fillId="0" borderId="19" applyNumberFormat="0" applyBorder="0" applyAlignment="0"/>
    <xf numFmtId="173"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4" fontId="32" fillId="0" borderId="0" applyFont="0" applyFill="0" applyBorder="0" applyProtection="0"/>
    <xf numFmtId="12" fontId="26" fillId="36" borderId="16">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0" applyNumberFormat="0" applyProtection="0">
      <alignment vertical="center"/>
    </xf>
    <xf numFmtId="4" fontId="46" fillId="38" borderId="20" applyNumberFormat="0" applyProtection="0">
      <alignmen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0" fontId="27" fillId="38" borderId="20" applyNumberFormat="0" applyProtection="0">
      <alignment horizontal="left" vertical="top" indent="1"/>
    </xf>
    <xf numFmtId="4" fontId="27" fillId="34" borderId="20" applyNumberFormat="0" applyProtection="0"/>
    <xf numFmtId="4" fontId="27" fillId="34" borderId="0" applyNumberFormat="0" applyProtection="0">
      <alignment horizontal="left" vertical="center" indent="1"/>
    </xf>
    <xf numFmtId="4" fontId="47" fillId="39" borderId="20" applyNumberFormat="0" applyProtection="0">
      <alignment horizontal="right" vertical="center"/>
    </xf>
    <xf numFmtId="4" fontId="47" fillId="40" borderId="20" applyNumberFormat="0" applyProtection="0">
      <alignment horizontal="right" vertical="center"/>
    </xf>
    <xf numFmtId="4" fontId="47" fillId="41" borderId="20" applyNumberFormat="0" applyProtection="0">
      <alignment horizontal="right" vertical="center"/>
    </xf>
    <xf numFmtId="4" fontId="47" fillId="42" borderId="20" applyNumberFormat="0" applyProtection="0">
      <alignment horizontal="right" vertical="center"/>
    </xf>
    <xf numFmtId="4" fontId="47" fillId="43" borderId="20" applyNumberFormat="0" applyProtection="0">
      <alignment horizontal="right" vertical="center"/>
    </xf>
    <xf numFmtId="4" fontId="47" fillId="44" borderId="20" applyNumberFormat="0" applyProtection="0">
      <alignment horizontal="right" vertical="center"/>
    </xf>
    <xf numFmtId="4" fontId="47" fillId="45" borderId="20" applyNumberFormat="0" applyProtection="0">
      <alignment horizontal="right" vertical="center"/>
    </xf>
    <xf numFmtId="4" fontId="47" fillId="46" borderId="20" applyNumberFormat="0" applyProtection="0">
      <alignment horizontal="right" vertical="center"/>
    </xf>
    <xf numFmtId="4" fontId="47" fillId="47" borderId="20" applyNumberFormat="0" applyProtection="0">
      <alignment horizontal="right" vertical="center"/>
    </xf>
    <xf numFmtId="4" fontId="27" fillId="48" borderId="21"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0"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4" fontId="47" fillId="35" borderId="20" applyNumberFormat="0" applyProtection="0">
      <alignment vertical="center"/>
    </xf>
    <xf numFmtId="4" fontId="51" fillId="35" borderId="20" applyNumberFormat="0" applyProtection="0">
      <alignment vertical="center"/>
    </xf>
    <xf numFmtId="4" fontId="47" fillId="35" borderId="20" applyNumberFormat="0" applyProtection="0">
      <alignment horizontal="left" vertical="center" indent="1"/>
    </xf>
    <xf numFmtId="0" fontId="47" fillId="3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51" fillId="49"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0" applyNumberFormat="0" applyProtection="0">
      <alignment horizontal="right" vertical="center"/>
    </xf>
    <xf numFmtId="37" fontId="52" fillId="57" borderId="0" applyNumberFormat="0" applyFont="0" applyBorder="0" applyAlignment="0" applyProtection="0"/>
    <xf numFmtId="175" fontId="19" fillId="0" borderId="15">
      <alignment horizontal="justify" vertical="top" wrapText="1"/>
    </xf>
    <xf numFmtId="0" fontId="19" fillId="0" borderId="0">
      <alignment horizontal="left" wrapText="1"/>
    </xf>
    <xf numFmtId="176"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3">
      <alignment horizontal="center" vertical="center" wrapText="1"/>
    </xf>
    <xf numFmtId="0" fontId="34" fillId="0" borderId="22" applyNumberFormat="0" applyFont="0" applyFill="0" applyAlignment="0" applyProtection="0"/>
    <xf numFmtId="0" fontId="35" fillId="0" borderId="23"/>
    <xf numFmtId="177" fontId="53" fillId="0" borderId="0">
      <alignment horizontal="left"/>
    </xf>
    <xf numFmtId="0" fontId="35" fillId="0" borderId="24"/>
    <xf numFmtId="37" fontId="21" fillId="38" borderId="0" applyNumberFormat="0" applyBorder="0" applyAlignment="0" applyProtection="0"/>
    <xf numFmtId="37" fontId="21" fillId="0" borderId="0"/>
    <xf numFmtId="3" fontId="54" fillId="58" borderId="25"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vertical="center"/>
    </xf>
    <xf numFmtId="4" fontId="27" fillId="38" borderId="20" applyNumberFormat="0" applyProtection="0">
      <alignment horizontal="left" vertical="center" indent="1"/>
    </xf>
    <xf numFmtId="4" fontId="27" fillId="34" borderId="20" applyNumberFormat="0" applyProtection="0"/>
    <xf numFmtId="4" fontId="27" fillId="34" borderId="20" applyNumberFormat="0" applyProtection="0"/>
    <xf numFmtId="4" fontId="27" fillId="34" borderId="20" applyNumberFormat="0" applyProtection="0"/>
    <xf numFmtId="4" fontId="27" fillId="34" borderId="20" applyNumberFormat="0" applyProtection="0"/>
    <xf numFmtId="4" fontId="27" fillId="34" borderId="10" applyNumberFormat="0" applyProtection="0">
      <alignment vertical="center"/>
    </xf>
    <xf numFmtId="4" fontId="27" fillId="34" borderId="20"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59" borderId="26"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59"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center" vertical="top"/>
    </xf>
    <xf numFmtId="0" fontId="47" fillId="34" borderId="20"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8" fontId="19" fillId="0" borderId="0" applyFill="0" applyBorder="0" applyAlignment="0" applyProtection="0"/>
    <xf numFmtId="2" fontId="19" fillId="0" borderId="0" applyFill="0" applyBorder="0" applyAlignment="0" applyProtection="0"/>
    <xf numFmtId="0" fontId="26" fillId="0" borderId="27">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8" fontId="19" fillId="0" borderId="0" applyFill="0" applyBorder="0" applyAlignment="0" applyProtection="0"/>
    <xf numFmtId="4" fontId="47" fillId="51" borderId="20"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0"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0"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0" applyNumberFormat="0" applyProtection="0">
      <alignment horizontal="right" vertical="center"/>
    </xf>
    <xf numFmtId="4" fontId="47" fillId="0" borderId="20" applyNumberFormat="0" applyProtection="0">
      <alignment horizontal="left" vertical="center" indent="1"/>
    </xf>
    <xf numFmtId="0" fontId="47" fillId="34" borderId="20"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4" fontId="27" fillId="34" borderId="10" applyNumberFormat="0" applyProtection="0">
      <alignment vertical="center"/>
    </xf>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29"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16" applyNumberFormat="0" applyFont="0" applyFill="0" applyAlignment="0" applyProtection="0"/>
    <xf numFmtId="0" fontId="19" fillId="0" borderId="30"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3"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79"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3"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7"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28" applyNumberFormat="0" applyFont="0" applyFill="0" applyAlignment="0" applyProtection="0">
      <protection locked="0"/>
    </xf>
    <xf numFmtId="0" fontId="63" fillId="59" borderId="31"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4" applyFill="0" applyBorder="0" applyAlignment="0" applyProtection="0">
      <protection locked="0"/>
    </xf>
    <xf numFmtId="0" fontId="24" fillId="59" borderId="0" applyNumberFormat="0" applyFont="0" applyAlignment="0" applyProtection="0"/>
    <xf numFmtId="0" fontId="24" fillId="59" borderId="28"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17">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2" applyNumberFormat="0" applyProtection="0">
      <alignment vertical="center"/>
    </xf>
    <xf numFmtId="4" fontId="46" fillId="38" borderId="32" applyNumberFormat="0" applyProtection="0">
      <alignment vertical="center"/>
    </xf>
    <xf numFmtId="4" fontId="27" fillId="38" borderId="32" applyNumberFormat="0" applyProtection="0">
      <alignment horizontal="left" vertical="center" indent="1"/>
    </xf>
    <xf numFmtId="4" fontId="27" fillId="38" borderId="32" applyNumberFormat="0" applyProtection="0">
      <alignment horizontal="left" vertical="center" indent="1"/>
    </xf>
    <xf numFmtId="0" fontId="27" fillId="38" borderId="32" applyNumberFormat="0" applyProtection="0">
      <alignment horizontal="left" vertical="top" indent="1"/>
    </xf>
    <xf numFmtId="4" fontId="27" fillId="34" borderId="32" applyNumberFormat="0" applyProtection="0"/>
    <xf numFmtId="4" fontId="47" fillId="39" borderId="32" applyNumberFormat="0" applyProtection="0">
      <alignment horizontal="right" vertical="center"/>
    </xf>
    <xf numFmtId="4" fontId="47" fillId="40" borderId="32" applyNumberFormat="0" applyProtection="0">
      <alignment horizontal="right" vertical="center"/>
    </xf>
    <xf numFmtId="4" fontId="47" fillId="41" borderId="32" applyNumberFormat="0" applyProtection="0">
      <alignment horizontal="right" vertical="center"/>
    </xf>
    <xf numFmtId="4" fontId="47" fillId="42" borderId="32" applyNumberFormat="0" applyProtection="0">
      <alignment horizontal="right" vertical="center"/>
    </xf>
    <xf numFmtId="4" fontId="47" fillId="43" borderId="32" applyNumberFormat="0" applyProtection="0">
      <alignment horizontal="right" vertical="center"/>
    </xf>
    <xf numFmtId="4" fontId="47" fillId="44" borderId="32" applyNumberFormat="0" applyProtection="0">
      <alignment horizontal="right" vertical="center"/>
    </xf>
    <xf numFmtId="4" fontId="47" fillId="45" borderId="32" applyNumberFormat="0" applyProtection="0">
      <alignment horizontal="right" vertical="center"/>
    </xf>
    <xf numFmtId="4" fontId="47" fillId="46" borderId="32" applyNumberFormat="0" applyProtection="0">
      <alignment horizontal="right" vertical="center"/>
    </xf>
    <xf numFmtId="4" fontId="47" fillId="47" borderId="32" applyNumberFormat="0" applyProtection="0">
      <alignment horizontal="right" vertical="center"/>
    </xf>
    <xf numFmtId="4" fontId="47" fillId="51" borderId="32" applyNumberFormat="0" applyProtection="0">
      <alignment horizontal="right" vertical="center"/>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top" indent="1"/>
    </xf>
    <xf numFmtId="0" fontId="19" fillId="55" borderId="32" applyNumberFormat="0" applyProtection="0">
      <alignment horizontal="left" vertical="top" indent="1"/>
    </xf>
    <xf numFmtId="0" fontId="19" fillId="55" borderId="32" applyNumberFormat="0" applyProtection="0">
      <alignment horizontal="left" vertical="top" indent="1"/>
    </xf>
    <xf numFmtId="0" fontId="19" fillId="55" borderId="32" applyNumberFormat="0" applyProtection="0">
      <alignment horizontal="left" vertical="top" indent="1"/>
    </xf>
    <xf numFmtId="4" fontId="47" fillId="35" borderId="32" applyNumberFormat="0" applyProtection="0">
      <alignment vertical="center"/>
    </xf>
    <xf numFmtId="4" fontId="51" fillId="35" borderId="32" applyNumberFormat="0" applyProtection="0">
      <alignment vertical="center"/>
    </xf>
    <xf numFmtId="4" fontId="47" fillId="35" borderId="32" applyNumberFormat="0" applyProtection="0">
      <alignment horizontal="left" vertical="center" indent="1"/>
    </xf>
    <xf numFmtId="0" fontId="47" fillId="35" borderId="32" applyNumberFormat="0" applyProtection="0">
      <alignment horizontal="left" vertical="top" indent="1"/>
    </xf>
    <xf numFmtId="4" fontId="47" fillId="0" borderId="32" applyNumberFormat="0" applyProtection="0">
      <alignment horizontal="right" vertical="center"/>
    </xf>
    <xf numFmtId="4" fontId="47" fillId="0" borderId="32" applyNumberFormat="0" applyProtection="0">
      <alignment horizontal="right" vertical="center"/>
    </xf>
    <xf numFmtId="4" fontId="51" fillId="49" borderId="32" applyNumberFormat="0" applyProtection="0">
      <alignment horizontal="right" vertical="center"/>
    </xf>
    <xf numFmtId="4" fontId="47" fillId="0" borderId="32" applyNumberFormat="0" applyProtection="0">
      <alignment horizontal="left" vertical="center" indent="1"/>
    </xf>
    <xf numFmtId="4" fontId="47" fillId="0" borderId="32" applyNumberFormat="0" applyProtection="0">
      <alignment horizontal="left" vertical="center" indent="1"/>
    </xf>
    <xf numFmtId="0" fontId="47" fillId="34" borderId="32" applyNumberFormat="0" applyProtection="0">
      <alignment horizontal="left" vertical="top"/>
    </xf>
    <xf numFmtId="0" fontId="47" fillId="34" borderId="32" applyNumberFormat="0" applyProtection="0">
      <alignment horizontal="left" vertical="top"/>
    </xf>
    <xf numFmtId="4" fontId="25" fillId="49" borderId="32" applyNumberFormat="0" applyProtection="0">
      <alignment horizontal="right" vertical="center"/>
    </xf>
    <xf numFmtId="0" fontId="34" fillId="0" borderId="22"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vertical="center"/>
    </xf>
    <xf numFmtId="4" fontId="27" fillId="34" borderId="32" applyNumberFormat="0" applyProtection="0"/>
    <xf numFmtId="4" fontId="27" fillId="34" borderId="32" applyNumberFormat="0" applyProtection="0"/>
    <xf numFmtId="4" fontId="27" fillId="34" borderId="32" applyNumberFormat="0" applyProtection="0"/>
    <xf numFmtId="4" fontId="27" fillId="34" borderId="32" applyNumberFormat="0" applyProtection="0"/>
    <xf numFmtId="4" fontId="27" fillId="34" borderId="29" applyNumberFormat="0" applyProtection="0">
      <alignment vertical="center"/>
    </xf>
    <xf numFmtId="0" fontId="19" fillId="50" borderId="32" applyNumberFormat="0" applyProtection="0">
      <alignment horizontal="left" vertical="center" indent="1"/>
    </xf>
    <xf numFmtId="0" fontId="19" fillId="50" borderId="32" applyNumberFormat="0" applyProtection="0">
      <alignment horizontal="left" vertical="top" indent="1"/>
    </xf>
    <xf numFmtId="0" fontId="19" fillId="34" borderId="32" applyNumberFormat="0" applyProtection="0">
      <alignment horizontal="left" vertical="center" indent="1"/>
    </xf>
    <xf numFmtId="0" fontId="19" fillId="34" borderId="32" applyNumberFormat="0" applyProtection="0">
      <alignment horizontal="left" vertical="top" indent="1"/>
    </xf>
    <xf numFmtId="0" fontId="19" fillId="54" borderId="32" applyNumberFormat="0" applyProtection="0">
      <alignment horizontal="left" vertical="center" indent="1"/>
    </xf>
    <xf numFmtId="0" fontId="19" fillId="54" borderId="32" applyNumberFormat="0" applyProtection="0">
      <alignment horizontal="left" vertical="top" indent="1"/>
    </xf>
    <xf numFmtId="0" fontId="19" fillId="55" borderId="32" applyNumberFormat="0" applyProtection="0">
      <alignment horizontal="left" vertical="center" indent="1"/>
    </xf>
    <xf numFmtId="0" fontId="19" fillId="55" borderId="32" applyNumberFormat="0" applyProtection="0">
      <alignment horizontal="left" vertical="top" indent="1"/>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59" borderId="32" applyNumberFormat="0" applyProtection="0">
      <alignment horizontal="left" vertical="center" indent="1"/>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17">
      <alignment horizontal="left" vertical="center"/>
    </xf>
    <xf numFmtId="0" fontId="1" fillId="0" borderId="0"/>
    <xf numFmtId="43" fontId="1" fillId="0" borderId="0" applyFont="0" applyFill="0" applyBorder="0" applyAlignment="0" applyProtection="0"/>
    <xf numFmtId="4" fontId="47" fillId="51" borderId="32"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2" applyNumberFormat="0" applyProtection="0">
      <alignment horizontal="left" vertical="center" indent="1"/>
    </xf>
    <xf numFmtId="4" fontId="47" fillId="0" borderId="32" applyNumberFormat="0" applyProtection="0">
      <alignment horizontal="right" vertical="center"/>
    </xf>
    <xf numFmtId="4" fontId="47" fillId="0" borderId="32" applyNumberFormat="0" applyProtection="0">
      <alignment horizontal="left" vertical="center" indent="1"/>
    </xf>
    <xf numFmtId="0" fontId="47" fillId="34" borderId="32"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29"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29"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2"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0" applyNumberFormat="0" applyFill="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3" fillId="69" borderId="34" applyNumberFormat="0" applyAlignment="0" applyProtection="0"/>
    <xf numFmtId="0" fontId="103" fillId="69" borderId="34" applyNumberFormat="0" applyAlignment="0" applyProtection="0"/>
    <xf numFmtId="0" fontId="103" fillId="69" borderId="34" applyNumberFormat="0" applyAlignment="0" applyProtection="0"/>
    <xf numFmtId="0" fontId="103" fillId="69" borderId="34"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8"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3"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35" applyNumberFormat="0" applyFill="0" applyAlignment="0" applyProtection="0"/>
    <xf numFmtId="0" fontId="107" fillId="0" borderId="35" applyNumberFormat="0" applyFill="0" applyAlignment="0" applyProtection="0"/>
    <xf numFmtId="0" fontId="107" fillId="0" borderId="35" applyNumberFormat="0" applyFill="0" applyAlignment="0" applyProtection="0"/>
    <xf numFmtId="0" fontId="107" fillId="0" borderId="35"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38" applyNumberFormat="0" applyFill="0" applyAlignment="0" applyProtection="0"/>
    <xf numFmtId="0" fontId="111" fillId="0" borderId="38" applyNumberFormat="0" applyFill="0" applyAlignment="0" applyProtection="0"/>
    <xf numFmtId="0" fontId="111" fillId="0" borderId="38" applyNumberFormat="0" applyFill="0" applyAlignment="0" applyProtection="0"/>
    <xf numFmtId="0" fontId="111" fillId="0" borderId="38"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4"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23" fillId="0" borderId="0" applyNumberFormat="0" applyFill="0" applyBorder="0" applyAlignment="0" applyProtection="0"/>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49" borderId="32" applyNumberFormat="0" applyProtection="0">
      <alignment horizontal="left" vertical="top" indent="1"/>
    </xf>
    <xf numFmtId="0" fontId="19" fillId="49" borderId="32" applyNumberFormat="0" applyProtection="0">
      <alignment horizontal="left" vertical="top" indent="1"/>
    </xf>
    <xf numFmtId="0" fontId="19" fillId="61" borderId="13" applyNumberFormat="0">
      <protection locked="0"/>
    </xf>
    <xf numFmtId="0" fontId="19" fillId="61" borderId="13" applyNumberFormat="0">
      <protection locked="0"/>
    </xf>
    <xf numFmtId="0" fontId="19" fillId="61" borderId="13"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38" fontId="47" fillId="0" borderId="14" applyFill="0" applyBorder="0" applyAlignment="0" applyProtection="0">
      <protection locked="0"/>
    </xf>
    <xf numFmtId="0" fontId="65" fillId="0" borderId="42"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4" fontId="32" fillId="0" borderId="0" applyFont="0" applyFill="0" applyBorder="0" applyProtection="0"/>
    <xf numFmtId="174" fontId="32" fillId="0" borderId="0" applyFont="0" applyFill="0" applyBorder="0" applyProtection="0"/>
    <xf numFmtId="174" fontId="32" fillId="0" borderId="0" applyFont="0" applyFill="0" applyBorder="0" applyProtection="0"/>
    <xf numFmtId="0" fontId="67" fillId="0" borderId="0">
      <alignment vertical="top"/>
    </xf>
    <xf numFmtId="0" fontId="67" fillId="0" borderId="0">
      <alignment vertical="top"/>
    </xf>
    <xf numFmtId="0" fontId="19" fillId="0" borderId="0"/>
    <xf numFmtId="178" fontId="19" fillId="0" borderId="0" applyFill="0" applyBorder="0" applyAlignment="0" applyProtection="0"/>
    <xf numFmtId="0" fontId="1" fillId="0" borderId="0"/>
    <xf numFmtId="178"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4"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8" fontId="19" fillId="0" borderId="0" applyFill="0" applyBorder="0" applyAlignment="0" applyProtection="0"/>
    <xf numFmtId="178"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4"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4"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8" fontId="19" fillId="0" borderId="0" applyFill="0" applyBorder="0" applyAlignment="0" applyProtection="0"/>
    <xf numFmtId="178" fontId="19" fillId="0" borderId="0" applyFill="0" applyBorder="0" applyAlignment="0" applyProtection="0"/>
    <xf numFmtId="0" fontId="19" fillId="0" borderId="0"/>
    <xf numFmtId="178" fontId="19" fillId="0" borderId="0" applyFill="0" applyBorder="0" applyAlignment="0" applyProtection="0"/>
    <xf numFmtId="0" fontId="67" fillId="0" borderId="0">
      <alignment vertical="top"/>
    </xf>
    <xf numFmtId="178" fontId="19" fillId="0" borderId="0" applyFill="0" applyBorder="0" applyAlignment="0" applyProtection="0"/>
    <xf numFmtId="0" fontId="19" fillId="0" borderId="0"/>
    <xf numFmtId="178"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8"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8"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2">
      <alignment horizontal="left"/>
    </xf>
    <xf numFmtId="0" fontId="24" fillId="59" borderId="43" applyNumberFormat="0" applyFont="0" applyAlignment="0" applyProtection="0">
      <protection locked="0"/>
    </xf>
    <xf numFmtId="0" fontId="19" fillId="0" borderId="0" applyFont="0" applyFill="0" applyBorder="0" applyAlignment="0" applyProtection="0"/>
    <xf numFmtId="0" fontId="63" fillId="59" borderId="43"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3"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2" applyNumberFormat="0" applyProtection="0">
      <alignment horizontal="right" vertical="center"/>
    </xf>
    <xf numFmtId="0" fontId="47" fillId="34" borderId="32" applyNumberFormat="0" applyProtection="0">
      <alignment horizontal="left" vertical="top"/>
    </xf>
    <xf numFmtId="4" fontId="47" fillId="0" borderId="32" applyNumberFormat="0" applyProtection="0">
      <alignment horizontal="left" vertical="center" indent="1"/>
    </xf>
    <xf numFmtId="4" fontId="51" fillId="49" borderId="32" applyNumberFormat="0" applyProtection="0">
      <alignment horizontal="right" vertical="center"/>
    </xf>
    <xf numFmtId="4" fontId="47" fillId="0" borderId="32" applyNumberFormat="0" applyProtection="0">
      <alignment horizontal="right" vertical="center"/>
    </xf>
    <xf numFmtId="0" fontId="47" fillId="35" borderId="32" applyNumberFormat="0" applyProtection="0">
      <alignment horizontal="left" vertical="top" indent="1"/>
    </xf>
    <xf numFmtId="4" fontId="47" fillId="35" borderId="32" applyNumberFormat="0" applyProtection="0">
      <alignment horizontal="left" vertical="center" indent="1"/>
    </xf>
    <xf numFmtId="4" fontId="51" fillId="35" borderId="32" applyNumberFormat="0" applyProtection="0">
      <alignment vertical="center"/>
    </xf>
    <xf numFmtId="4" fontId="47" fillId="35" borderId="32" applyNumberFormat="0" applyProtection="0">
      <alignment vertical="center"/>
    </xf>
    <xf numFmtId="0" fontId="19" fillId="49" borderId="32" applyNumberFormat="0" applyProtection="0">
      <alignment horizontal="left" vertical="top" indent="1"/>
    </xf>
    <xf numFmtId="0" fontId="19" fillId="49" borderId="32" applyNumberFormat="0" applyProtection="0">
      <alignment horizontal="left" vertical="top" indent="1"/>
    </xf>
    <xf numFmtId="0" fontId="19" fillId="55" borderId="32" applyNumberFormat="0" applyProtection="0">
      <alignment horizontal="left" vertical="top"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55" borderId="32" applyNumberFormat="0" applyProtection="0">
      <alignment horizontal="left" vertical="center"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54" borderId="32" applyNumberFormat="0" applyProtection="0">
      <alignment horizontal="left" vertical="top" indent="1"/>
    </xf>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54" borderId="32" applyNumberFormat="0" applyProtection="0">
      <alignment horizontal="left" vertical="center"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19" fillId="34" borderId="32" applyNumberFormat="0" applyProtection="0">
      <alignment horizontal="left" vertical="top"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34" borderId="32" applyNumberFormat="0" applyProtection="0">
      <alignment horizontal="left" vertical="center"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50" borderId="32" applyNumberFormat="0" applyProtection="0">
      <alignment horizontal="left" vertical="top"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50" borderId="32"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2" applyNumberFormat="0" applyProtection="0">
      <alignment horizontal="right" vertical="center"/>
    </xf>
    <xf numFmtId="4" fontId="47" fillId="47" borderId="32" applyNumberFormat="0" applyProtection="0">
      <alignment horizontal="right" vertical="center"/>
    </xf>
    <xf numFmtId="4" fontId="47" fillId="46" borderId="32" applyNumberFormat="0" applyProtection="0">
      <alignment horizontal="right" vertical="center"/>
    </xf>
    <xf numFmtId="4" fontId="47" fillId="45" borderId="32" applyNumberFormat="0" applyProtection="0">
      <alignment horizontal="right" vertical="center"/>
    </xf>
    <xf numFmtId="4" fontId="47" fillId="44" borderId="32" applyNumberFormat="0" applyProtection="0">
      <alignment horizontal="right" vertical="center"/>
    </xf>
    <xf numFmtId="4" fontId="47" fillId="43" borderId="32" applyNumberFormat="0" applyProtection="0">
      <alignment horizontal="right" vertical="center"/>
    </xf>
    <xf numFmtId="4" fontId="47" fillId="42" borderId="32" applyNumberFormat="0" applyProtection="0">
      <alignment horizontal="right" vertical="center"/>
    </xf>
    <xf numFmtId="4" fontId="47" fillId="41" borderId="32" applyNumberFormat="0" applyProtection="0">
      <alignment horizontal="right" vertical="center"/>
    </xf>
    <xf numFmtId="4" fontId="47" fillId="40" borderId="32" applyNumberFormat="0" applyProtection="0">
      <alignment horizontal="right" vertical="center"/>
    </xf>
    <xf numFmtId="4" fontId="47" fillId="39" borderId="32" applyNumberFormat="0" applyProtection="0">
      <alignment horizontal="right" vertical="center"/>
    </xf>
    <xf numFmtId="0" fontId="27" fillId="38" borderId="32" applyNumberFormat="0" applyProtection="0">
      <alignment horizontal="left" vertical="top" indent="1"/>
    </xf>
    <xf numFmtId="4" fontId="27" fillId="38" borderId="32" applyNumberFormat="0" applyProtection="0">
      <alignment horizontal="left" vertical="center" indent="1"/>
    </xf>
    <xf numFmtId="4" fontId="46" fillId="38" borderId="32" applyNumberFormat="0" applyProtection="0">
      <alignment vertical="center"/>
    </xf>
    <xf numFmtId="4" fontId="27" fillId="37" borderId="32" applyNumberFormat="0" applyProtection="0">
      <alignment vertical="center"/>
    </xf>
    <xf numFmtId="3" fontId="19" fillId="0" borderId="0" applyFont="0" applyFill="0" applyBorder="0" applyAlignment="0" applyProtection="0"/>
    <xf numFmtId="0" fontId="63" fillId="59" borderId="43"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43" applyNumberFormat="0" applyFont="0" applyAlignment="0" applyProtection="0">
      <protection locked="0"/>
    </xf>
    <xf numFmtId="1" fontId="24" fillId="0" borderId="0" applyFont="0" applyFill="0" applyBorder="0" applyAlignment="0" applyProtection="0">
      <protection locked="0"/>
    </xf>
    <xf numFmtId="0" fontId="19" fillId="61" borderId="13"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3"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3"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17">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3"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3" applyNumberFormat="0">
      <protection locked="0"/>
    </xf>
    <xf numFmtId="0" fontId="19" fillId="0" borderId="0" applyFont="0" applyFill="0" applyBorder="0" applyAlignment="0" applyProtection="0"/>
    <xf numFmtId="0" fontId="19" fillId="0" borderId="0"/>
    <xf numFmtId="0" fontId="19" fillId="61" borderId="13" applyNumberFormat="0">
      <protection locked="0"/>
    </xf>
    <xf numFmtId="0" fontId="19" fillId="0" borderId="0" applyFont="0" applyFill="0" applyBorder="0" applyAlignment="0" applyProtection="0"/>
    <xf numFmtId="0" fontId="20" fillId="0" borderId="13">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2" applyNumberFormat="0" applyProtection="0">
      <alignment vertical="center"/>
    </xf>
    <xf numFmtId="4" fontId="46" fillId="38" borderId="32" applyNumberFormat="0" applyProtection="0">
      <alignment vertical="center"/>
    </xf>
    <xf numFmtId="4" fontId="27" fillId="38" borderId="32" applyNumberFormat="0" applyProtection="0">
      <alignment horizontal="left" vertical="center" indent="1"/>
    </xf>
    <xf numFmtId="0" fontId="27" fillId="38" borderId="32" applyNumberFormat="0" applyProtection="0">
      <alignment horizontal="left" vertical="top" indent="1"/>
    </xf>
    <xf numFmtId="4" fontId="47" fillId="39" borderId="32" applyNumberFormat="0" applyProtection="0">
      <alignment horizontal="right" vertical="center"/>
    </xf>
    <xf numFmtId="4" fontId="47" fillId="40" borderId="32" applyNumberFormat="0" applyProtection="0">
      <alignment horizontal="right" vertical="center"/>
    </xf>
    <xf numFmtId="4" fontId="47" fillId="41" borderId="32" applyNumberFormat="0" applyProtection="0">
      <alignment horizontal="right" vertical="center"/>
    </xf>
    <xf numFmtId="4" fontId="47" fillId="42" borderId="32" applyNumberFormat="0" applyProtection="0">
      <alignment horizontal="right" vertical="center"/>
    </xf>
    <xf numFmtId="4" fontId="47" fillId="43" borderId="32" applyNumberFormat="0" applyProtection="0">
      <alignment horizontal="right" vertical="center"/>
    </xf>
    <xf numFmtId="4" fontId="47" fillId="44" borderId="32" applyNumberFormat="0" applyProtection="0">
      <alignment horizontal="right" vertical="center"/>
    </xf>
    <xf numFmtId="4" fontId="47" fillId="45" borderId="32" applyNumberFormat="0" applyProtection="0">
      <alignment horizontal="right" vertical="center"/>
    </xf>
    <xf numFmtId="4" fontId="47" fillId="46" borderId="32" applyNumberFormat="0" applyProtection="0">
      <alignment horizontal="right" vertical="center"/>
    </xf>
    <xf numFmtId="4" fontId="47" fillId="47" borderId="32" applyNumberFormat="0" applyProtection="0">
      <alignment horizontal="right" vertical="center"/>
    </xf>
    <xf numFmtId="4" fontId="47" fillId="51" borderId="32" applyNumberFormat="0" applyProtection="0">
      <alignment horizontal="right" vertical="center"/>
    </xf>
    <xf numFmtId="0" fontId="19" fillId="50" borderId="32"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50" borderId="32" applyNumberFormat="0" applyProtection="0">
      <alignment horizontal="left" vertical="top"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34" borderId="32" applyNumberFormat="0" applyProtection="0">
      <alignment horizontal="left" vertical="center"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34" borderId="32" applyNumberFormat="0" applyProtection="0">
      <alignment horizontal="left" vertical="top"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19" fillId="54" borderId="32" applyNumberFormat="0" applyProtection="0">
      <alignment horizontal="left" vertical="center" indent="1"/>
    </xf>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54" borderId="32" applyNumberFormat="0" applyProtection="0">
      <alignment horizontal="left" vertical="top"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55" borderId="32" applyNumberFormat="0" applyProtection="0">
      <alignment horizontal="left" vertical="center"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55" borderId="32" applyNumberFormat="0" applyProtection="0">
      <alignment horizontal="left" vertical="top" indent="1"/>
    </xf>
    <xf numFmtId="0" fontId="19" fillId="49" borderId="32" applyNumberFormat="0" applyProtection="0">
      <alignment horizontal="left" vertical="top" indent="1"/>
    </xf>
    <xf numFmtId="0" fontId="19" fillId="49" borderId="32" applyNumberFormat="0" applyProtection="0">
      <alignment horizontal="left" vertical="top" indent="1"/>
    </xf>
    <xf numFmtId="4" fontId="47" fillId="35" borderId="32" applyNumberFormat="0" applyProtection="0">
      <alignment vertical="center"/>
    </xf>
    <xf numFmtId="4" fontId="51" fillId="35" borderId="32" applyNumberFormat="0" applyProtection="0">
      <alignment vertical="center"/>
    </xf>
    <xf numFmtId="4" fontId="47" fillId="35" borderId="32" applyNumberFormat="0" applyProtection="0">
      <alignment horizontal="left" vertical="center" indent="1"/>
    </xf>
    <xf numFmtId="0" fontId="47" fillId="35" borderId="32" applyNumberFormat="0" applyProtection="0">
      <alignment horizontal="left" vertical="top" indent="1"/>
    </xf>
    <xf numFmtId="4" fontId="47" fillId="0" borderId="32" applyNumberFormat="0" applyProtection="0">
      <alignment horizontal="right" vertical="center"/>
    </xf>
    <xf numFmtId="4" fontId="51" fillId="49" borderId="32" applyNumberFormat="0" applyProtection="0">
      <alignment horizontal="right" vertical="center"/>
    </xf>
    <xf numFmtId="4" fontId="47" fillId="0" borderId="32" applyNumberFormat="0" applyProtection="0">
      <alignment horizontal="left" vertical="center" indent="1"/>
    </xf>
    <xf numFmtId="0" fontId="47" fillId="34" borderId="32" applyNumberFormat="0" applyProtection="0">
      <alignment horizontal="left" vertical="top"/>
    </xf>
    <xf numFmtId="4" fontId="25" fillId="49" borderId="32" applyNumberFormat="0" applyProtection="0">
      <alignment horizontal="right" vertical="center"/>
    </xf>
    <xf numFmtId="0" fontId="20" fillId="0" borderId="13">
      <alignment horizontal="center" vertical="center" wrapText="1"/>
    </xf>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44">
      <alignment horizontal="left" vertical="center"/>
    </xf>
    <xf numFmtId="4" fontId="27" fillId="34" borderId="46" applyNumberFormat="0" applyProtection="0">
      <alignment vertical="center"/>
    </xf>
    <xf numFmtId="4" fontId="47" fillId="0" borderId="52" applyNumberFormat="0" applyProtection="0">
      <alignment horizontal="right" vertical="center"/>
    </xf>
    <xf numFmtId="0" fontId="19" fillId="51" borderId="52" applyNumberFormat="0" applyProtection="0">
      <alignment horizontal="left" vertical="center" indent="1"/>
    </xf>
    <xf numFmtId="4" fontId="27" fillId="37" borderId="52" applyNumberFormat="0" applyProtection="0">
      <alignment vertical="center"/>
    </xf>
    <xf numFmtId="0" fontId="110" fillId="77" borderId="51" applyNumberFormat="0" applyAlignment="0" applyProtection="0"/>
    <xf numFmtId="0" fontId="24" fillId="59" borderId="50" applyNumberFormat="0" applyFont="0" applyAlignment="0" applyProtection="0">
      <protection locked="0"/>
    </xf>
    <xf numFmtId="0" fontId="102" fillId="79" borderId="51" applyNumberFormat="0" applyAlignment="0" applyProtection="0"/>
    <xf numFmtId="4" fontId="47" fillId="42" borderId="52" applyNumberFormat="0" applyProtection="0">
      <alignment horizontal="right" vertical="center"/>
    </xf>
    <xf numFmtId="0" fontId="19" fillId="51" borderId="52" applyNumberFormat="0" applyProtection="0">
      <alignment horizontal="left" vertical="top" indent="1"/>
    </xf>
    <xf numFmtId="4" fontId="25" fillId="49" borderId="52" applyNumberFormat="0" applyProtection="0">
      <alignment horizontal="right" vertical="center"/>
    </xf>
    <xf numFmtId="0" fontId="114" fillId="79" borderId="48"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52" applyNumberFormat="0" applyProtection="0">
      <alignment horizontal="left" vertical="top" indent="1"/>
    </xf>
    <xf numFmtId="0" fontId="19" fillId="34" borderId="52" applyNumberFormat="0" applyProtection="0">
      <alignment horizontal="left" vertical="center" indent="1"/>
    </xf>
    <xf numFmtId="0" fontId="102" fillId="79" borderId="51" applyNumberFormat="0" applyAlignment="0" applyProtection="0"/>
    <xf numFmtId="4" fontId="47" fillId="43" borderId="52" applyNumberFormat="0" applyProtection="0">
      <alignment horizontal="right" vertical="center"/>
    </xf>
    <xf numFmtId="0" fontId="19" fillId="54" borderId="52" applyNumberFormat="0" applyProtection="0">
      <alignment horizontal="left" vertical="center" indent="1"/>
    </xf>
    <xf numFmtId="0" fontId="114" fillId="79" borderId="48" applyNumberFormat="0" applyAlignment="0" applyProtection="0"/>
    <xf numFmtId="4" fontId="25" fillId="49" borderId="52" applyNumberFormat="0" applyProtection="0">
      <alignment horizontal="right" vertical="center"/>
    </xf>
    <xf numFmtId="0" fontId="19" fillId="51" borderId="52" applyNumberFormat="0" applyProtection="0">
      <alignment horizontal="left" vertical="top" indent="1"/>
    </xf>
    <xf numFmtId="4" fontId="47" fillId="39" borderId="52" applyNumberFormat="0" applyProtection="0">
      <alignment horizontal="right" vertical="center"/>
    </xf>
    <xf numFmtId="0" fontId="19" fillId="76" borderId="47" applyNumberFormat="0" applyFont="0" applyAlignment="0" applyProtection="0"/>
    <xf numFmtId="0" fontId="105" fillId="0" borderId="49" applyNumberFormat="0" applyFill="0" applyAlignment="0" applyProtection="0"/>
    <xf numFmtId="0" fontId="27" fillId="38" borderId="52" applyNumberFormat="0" applyProtection="0">
      <alignment horizontal="left" vertical="top" indent="1"/>
    </xf>
    <xf numFmtId="0" fontId="19" fillId="51" borderId="52" applyNumberFormat="0" applyProtection="0">
      <alignment horizontal="left" vertical="center" indent="1"/>
    </xf>
    <xf numFmtId="4" fontId="47" fillId="0" borderId="52" applyNumberFormat="0" applyProtection="0">
      <alignment horizontal="right" vertical="center"/>
    </xf>
    <xf numFmtId="0" fontId="105" fillId="0" borderId="49" applyNumberFormat="0" applyFill="0" applyAlignment="0" applyProtection="0"/>
    <xf numFmtId="0" fontId="19" fillId="76" borderId="47" applyNumberFormat="0" applyFont="0" applyAlignment="0" applyProtection="0"/>
    <xf numFmtId="0" fontId="21" fillId="35" borderId="45" applyNumberFormat="0" applyFont="0" applyAlignment="0" applyProtection="0">
      <alignment horizontal="center"/>
      <protection locked="0"/>
    </xf>
    <xf numFmtId="0" fontId="19" fillId="49" borderId="52" applyNumberFormat="0" applyProtection="0">
      <alignment horizontal="left" vertical="center" indent="1"/>
    </xf>
    <xf numFmtId="4" fontId="47" fillId="51" borderId="52" applyNumberFormat="0" applyProtection="0">
      <alignment horizontal="right" vertical="center"/>
    </xf>
    <xf numFmtId="0" fontId="114" fillId="79" borderId="48" applyNumberFormat="0" applyAlignment="0" applyProtection="0"/>
    <xf numFmtId="0" fontId="114" fillId="79" borderId="48" applyNumberFormat="0" applyAlignment="0" applyProtection="0"/>
    <xf numFmtId="0" fontId="19" fillId="49" borderId="52" applyNumberFormat="0" applyProtection="0">
      <alignment horizontal="left" vertical="center" indent="1"/>
    </xf>
    <xf numFmtId="0" fontId="105" fillId="0" borderId="49" applyNumberFormat="0" applyFill="0" applyAlignment="0" applyProtection="0"/>
    <xf numFmtId="0" fontId="19" fillId="85" borderId="52" applyNumberFormat="0" applyProtection="0">
      <alignment horizontal="left" vertical="center" indent="1"/>
    </xf>
    <xf numFmtId="4" fontId="47" fillId="41" borderId="52" applyNumberFormat="0" applyProtection="0">
      <alignment horizontal="right" vertical="center"/>
    </xf>
    <xf numFmtId="0" fontId="19" fillId="76" borderId="47" applyNumberFormat="0" applyFont="0" applyAlignment="0" applyProtection="0"/>
    <xf numFmtId="4" fontId="46" fillId="38" borderId="52" applyNumberFormat="0" applyProtection="0">
      <alignment vertical="center"/>
    </xf>
    <xf numFmtId="0" fontId="19" fillId="84" borderId="52" applyNumberFormat="0" applyProtection="0">
      <alignment horizontal="left" vertical="top" indent="1"/>
    </xf>
    <xf numFmtId="4" fontId="47" fillId="35" borderId="52" applyNumberFormat="0" applyProtection="0">
      <alignment horizontal="left" vertical="center" indent="1"/>
    </xf>
    <xf numFmtId="0" fontId="105" fillId="0" borderId="49" applyNumberFormat="0" applyFill="0" applyAlignment="0" applyProtection="0"/>
    <xf numFmtId="0" fontId="19" fillId="76" borderId="47" applyNumberFormat="0" applyFont="0" applyAlignment="0" applyProtection="0"/>
    <xf numFmtId="0" fontId="19" fillId="49" borderId="52" applyNumberFormat="0" applyProtection="0">
      <alignment horizontal="left" vertical="top" indent="1"/>
    </xf>
    <xf numFmtId="0" fontId="19" fillId="84" borderId="52" applyNumberFormat="0" applyProtection="0">
      <alignment horizontal="left" vertical="center"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51" borderId="52" applyNumberFormat="0" applyProtection="0">
      <alignment horizontal="right" vertical="center"/>
    </xf>
    <xf numFmtId="0" fontId="19" fillId="85" borderId="52" applyNumberFormat="0" applyProtection="0">
      <alignment horizontal="left" vertical="top" indent="1"/>
    </xf>
    <xf numFmtId="0" fontId="105" fillId="0" borderId="49" applyNumberFormat="0" applyFill="0" applyAlignment="0" applyProtection="0"/>
    <xf numFmtId="0" fontId="24" fillId="59" borderId="50" applyNumberFormat="0" applyFont="0" applyAlignment="0" applyProtection="0">
      <protection locked="0"/>
    </xf>
    <xf numFmtId="4" fontId="47" fillId="43" borderId="52" applyNumberFormat="0" applyProtection="0">
      <alignment horizontal="right" vertical="center"/>
    </xf>
    <xf numFmtId="0" fontId="19" fillId="54" borderId="52" applyNumberFormat="0" applyProtection="0">
      <alignment horizontal="left" vertical="top" indent="1"/>
    </xf>
    <xf numFmtId="0" fontId="19" fillId="76" borderId="47" applyNumberFormat="0" applyFont="0" applyAlignment="0" applyProtection="0"/>
    <xf numFmtId="0" fontId="105" fillId="0" borderId="49" applyNumberFormat="0" applyFill="0" applyAlignment="0" applyProtection="0"/>
    <xf numFmtId="0" fontId="19" fillId="50" borderId="52" applyNumberFormat="0" applyProtection="0">
      <alignment horizontal="left" vertical="top" indent="1"/>
    </xf>
    <xf numFmtId="4" fontId="47" fillId="35" borderId="52" applyNumberFormat="0" applyProtection="0">
      <alignment vertical="center"/>
    </xf>
    <xf numFmtId="0" fontId="105" fillId="0" borderId="49" applyNumberFormat="0" applyFill="0" applyAlignment="0" applyProtection="0"/>
    <xf numFmtId="0" fontId="19" fillId="76" borderId="47" applyNumberFormat="0" applyFont="0" applyAlignment="0" applyProtection="0"/>
    <xf numFmtId="4" fontId="47" fillId="35" borderId="52" applyNumberFormat="0" applyProtection="0">
      <alignment vertical="center"/>
    </xf>
    <xf numFmtId="0" fontId="19" fillId="50" borderId="52" applyNumberFormat="0" applyProtection="0">
      <alignment horizontal="left" vertical="top"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6" borderId="52" applyNumberFormat="0" applyProtection="0">
      <alignment horizontal="right" vertical="center"/>
    </xf>
    <xf numFmtId="0" fontId="19" fillId="54" borderId="52" applyNumberFormat="0" applyProtection="0">
      <alignment horizontal="left" vertical="top" indent="1"/>
    </xf>
    <xf numFmtId="0" fontId="105" fillId="0" borderId="49" applyNumberFormat="0" applyFill="0" applyAlignment="0" applyProtection="0"/>
    <xf numFmtId="0" fontId="63" fillId="59" borderId="50" applyNumberFormat="0" applyFont="0" applyFill="0" applyAlignment="0" applyProtection="0">
      <protection locked="0"/>
    </xf>
    <xf numFmtId="0" fontId="105" fillId="0" borderId="49" applyNumberFormat="0" applyFill="0" applyAlignment="0" applyProtection="0"/>
    <xf numFmtId="0" fontId="19" fillId="85" borderId="52" applyNumberFormat="0" applyProtection="0">
      <alignment horizontal="left" vertical="top" indent="1"/>
    </xf>
    <xf numFmtId="4" fontId="47" fillId="45" borderId="52" applyNumberFormat="0" applyProtection="0">
      <alignment horizontal="right" vertical="center"/>
    </xf>
    <xf numFmtId="0" fontId="110" fillId="77" borderId="51" applyNumberFormat="0" applyAlignment="0" applyProtection="0"/>
    <xf numFmtId="0" fontId="19" fillId="84" borderId="52" applyNumberFormat="0" applyProtection="0">
      <alignment horizontal="left" vertical="center" indent="1"/>
    </xf>
    <xf numFmtId="0" fontId="19" fillId="49" borderId="52" applyNumberFormat="0" applyProtection="0">
      <alignment horizontal="left" vertical="top" indent="1"/>
    </xf>
    <xf numFmtId="4" fontId="47" fillId="35" borderId="52" applyNumberFormat="0" applyProtection="0">
      <alignment horizontal="left" vertical="center" indent="1"/>
    </xf>
    <xf numFmtId="0" fontId="19" fillId="84" borderId="52" applyNumberFormat="0" applyProtection="0">
      <alignment horizontal="left" vertical="top" indent="1"/>
    </xf>
    <xf numFmtId="0" fontId="102" fillId="79" borderId="51" applyNumberFormat="0" applyAlignment="0" applyProtection="0"/>
    <xf numFmtId="4" fontId="47" fillId="44" borderId="52" applyNumberFormat="0" applyProtection="0">
      <alignment horizontal="right" vertical="center"/>
    </xf>
    <xf numFmtId="0" fontId="19" fillId="85" borderId="52" applyNumberFormat="0" applyProtection="0">
      <alignment horizontal="left" vertical="center" indent="1"/>
    </xf>
    <xf numFmtId="0" fontId="114" fillId="79" borderId="48" applyNumberFormat="0" applyAlignment="0" applyProtection="0"/>
    <xf numFmtId="4" fontId="51" fillId="49" borderId="52" applyNumberFormat="0" applyProtection="0">
      <alignment horizontal="right" vertical="center"/>
    </xf>
    <xf numFmtId="0" fontId="19" fillId="51" borderId="52" applyNumberFormat="0" applyProtection="0">
      <alignment horizontal="left" vertical="center" indent="1"/>
    </xf>
    <xf numFmtId="4" fontId="46" fillId="38" borderId="52" applyNumberFormat="0" applyProtection="0">
      <alignment vertical="center"/>
    </xf>
    <xf numFmtId="0" fontId="110" fillId="77" borderId="51" applyNumberFormat="0" applyAlignment="0" applyProtection="0"/>
    <xf numFmtId="0" fontId="102" fillId="79" borderId="51" applyNumberFormat="0" applyAlignment="0" applyProtection="0"/>
    <xf numFmtId="4" fontId="47" fillId="41" borderId="52" applyNumberFormat="0" applyProtection="0">
      <alignment horizontal="right" vertical="center"/>
    </xf>
    <xf numFmtId="0" fontId="19" fillId="51" borderId="52" applyNumberFormat="0" applyProtection="0">
      <alignment horizontal="left" vertical="top" indent="1"/>
    </xf>
    <xf numFmtId="0" fontId="47" fillId="34" borderId="52" applyNumberFormat="0" applyProtection="0">
      <alignment horizontal="left" vertical="top"/>
    </xf>
    <xf numFmtId="0" fontId="114" fillId="79" borderId="48" applyNumberFormat="0" applyAlignment="0" applyProtection="0"/>
    <xf numFmtId="0" fontId="26" fillId="0" borderId="44">
      <alignment horizontal="left" vertical="center"/>
    </xf>
    <xf numFmtId="4" fontId="27" fillId="34" borderId="46" applyNumberFormat="0" applyProtection="0">
      <alignment vertical="center"/>
    </xf>
    <xf numFmtId="0" fontId="26" fillId="0" borderId="44">
      <alignment horizontal="left" vertical="center"/>
    </xf>
    <xf numFmtId="4" fontId="27" fillId="34" borderId="46" applyNumberFormat="0" applyProtection="0">
      <alignment vertical="center"/>
    </xf>
    <xf numFmtId="4" fontId="27" fillId="34" borderId="46" applyNumberFormat="0" applyProtection="0">
      <alignment vertical="center"/>
    </xf>
    <xf numFmtId="4" fontId="47" fillId="0" borderId="52" applyNumberFormat="0" applyProtection="0">
      <alignment horizontal="left" vertical="center" indent="1"/>
    </xf>
    <xf numFmtId="0" fontId="19" fillId="34" borderId="52" applyNumberFormat="0" applyProtection="0">
      <alignment horizontal="left" vertical="top" indent="1"/>
    </xf>
    <xf numFmtId="4" fontId="27" fillId="38" borderId="52" applyNumberFormat="0" applyProtection="0">
      <alignment horizontal="left" vertical="center" indent="1"/>
    </xf>
    <xf numFmtId="0" fontId="110" fillId="77" borderId="51" applyNumberFormat="0" applyAlignment="0" applyProtection="0"/>
    <xf numFmtId="4" fontId="47" fillId="40" borderId="52" applyNumberFormat="0" applyProtection="0">
      <alignment horizontal="right" vertical="center"/>
    </xf>
    <xf numFmtId="0" fontId="19" fillId="34" borderId="52" applyNumberFormat="0" applyProtection="0">
      <alignment horizontal="left" vertical="top" indent="1"/>
    </xf>
    <xf numFmtId="4" fontId="47" fillId="0" borderId="52" applyNumberFormat="0" applyProtection="0">
      <alignment horizontal="left" vertical="center" indent="1"/>
    </xf>
    <xf numFmtId="0" fontId="114" fillId="79" borderId="48" applyNumberFormat="0" applyAlignment="0" applyProtection="0"/>
    <xf numFmtId="0" fontId="105" fillId="0" borderId="49" applyNumberFormat="0" applyFill="0" applyAlignment="0" applyProtection="0"/>
    <xf numFmtId="0" fontId="19" fillId="55" borderId="52" applyNumberFormat="0" applyProtection="0">
      <alignment horizontal="left" vertical="center" indent="1"/>
    </xf>
    <xf numFmtId="4" fontId="47" fillId="46" borderId="52" applyNumberFormat="0" applyProtection="0">
      <alignment horizontal="right" vertical="center"/>
    </xf>
    <xf numFmtId="0" fontId="110" fillId="77" borderId="51" applyNumberFormat="0" applyAlignment="0" applyProtection="0"/>
    <xf numFmtId="0" fontId="19" fillId="50" borderId="52" applyNumberFormat="0" applyProtection="0">
      <alignment horizontal="left" vertical="center" indent="1"/>
    </xf>
    <xf numFmtId="0" fontId="19" fillId="55" borderId="52" applyNumberFormat="0" applyProtection="0">
      <alignment horizontal="left" vertical="top" indent="1"/>
    </xf>
    <xf numFmtId="0" fontId="47" fillId="34" borderId="52" applyNumberFormat="0" applyProtection="0">
      <alignment horizontal="left" vertical="top"/>
    </xf>
    <xf numFmtId="0" fontId="19" fillId="51" borderId="52" applyNumberFormat="0" applyProtection="0">
      <alignment horizontal="left" vertical="top" indent="1"/>
    </xf>
    <xf numFmtId="0" fontId="27" fillId="38" borderId="52" applyNumberFormat="0" applyProtection="0">
      <alignment horizontal="left" vertical="top" indent="1"/>
    </xf>
    <xf numFmtId="0" fontId="19" fillId="76" borderId="47" applyNumberFormat="0" applyFont="0" applyAlignment="0" applyProtection="0"/>
    <xf numFmtId="0" fontId="110" fillId="77" borderId="51" applyNumberFormat="0" applyAlignment="0" applyProtection="0"/>
    <xf numFmtId="0" fontId="105" fillId="0" borderId="49" applyNumberFormat="0" applyFill="0" applyAlignment="0" applyProtection="0"/>
    <xf numFmtId="4" fontId="47" fillId="39" borderId="52" applyNumberFormat="0" applyProtection="0">
      <alignment horizontal="right" vertical="center"/>
    </xf>
    <xf numFmtId="0" fontId="19" fillId="51" borderId="52" applyNumberFormat="0" applyProtection="0">
      <alignment horizontal="left" vertical="center" indent="1"/>
    </xf>
    <xf numFmtId="4" fontId="51" fillId="49" borderId="52" applyNumberFormat="0" applyProtection="0">
      <alignment horizontal="right" vertical="center"/>
    </xf>
    <xf numFmtId="0" fontId="19" fillId="49" borderId="52" applyNumberFormat="0" applyProtection="0">
      <alignment horizontal="left" vertical="center" indent="1"/>
    </xf>
    <xf numFmtId="4" fontId="47" fillId="47" borderId="52" applyNumberFormat="0" applyProtection="0">
      <alignment horizontal="right" vertical="center"/>
    </xf>
    <xf numFmtId="0" fontId="110" fillId="77" borderId="51" applyNumberFormat="0" applyAlignment="0" applyProtection="0"/>
    <xf numFmtId="0" fontId="19" fillId="49" borderId="52" applyNumberFormat="0" applyProtection="0">
      <alignment horizontal="left" vertical="center" indent="1"/>
    </xf>
    <xf numFmtId="0" fontId="19" fillId="54" borderId="52" applyNumberFormat="0" applyProtection="0">
      <alignment horizontal="left" vertical="center" indent="1"/>
    </xf>
    <xf numFmtId="4" fontId="47" fillId="40" borderId="52" applyNumberFormat="0" applyProtection="0">
      <alignment horizontal="right" vertical="center"/>
    </xf>
    <xf numFmtId="0" fontId="19" fillId="76" borderId="47" applyNumberFormat="0" applyFont="0" applyAlignment="0" applyProtection="0"/>
    <xf numFmtId="4" fontId="27" fillId="38" borderId="52" applyNumberFormat="0" applyProtection="0">
      <alignment horizontal="left" vertical="center" indent="1"/>
    </xf>
    <xf numFmtId="0" fontId="19" fillId="34" borderId="52" applyNumberFormat="0" applyProtection="0">
      <alignment horizontal="left" vertical="center" indent="1"/>
    </xf>
    <xf numFmtId="0" fontId="47" fillId="35" borderId="52" applyNumberFormat="0" applyProtection="0">
      <alignment horizontal="left" vertical="top" indent="1"/>
    </xf>
    <xf numFmtId="0" fontId="105" fillId="0" borderId="49" applyNumberFormat="0" applyFill="0" applyAlignment="0" applyProtection="0"/>
    <xf numFmtId="0" fontId="19" fillId="76" borderId="47" applyNumberFormat="0" applyFont="0" applyAlignment="0" applyProtection="0"/>
    <xf numFmtId="0" fontId="19" fillId="55" borderId="52" applyNumberFormat="0" applyProtection="0">
      <alignment horizontal="left" vertical="top" indent="1"/>
    </xf>
    <xf numFmtId="0" fontId="19" fillId="50" borderId="52" applyNumberFormat="0" applyProtection="0">
      <alignment horizontal="left" vertical="center" indent="1"/>
    </xf>
    <xf numFmtId="0" fontId="114" fillId="79" borderId="48" applyNumberFormat="0" applyAlignment="0" applyProtection="0"/>
    <xf numFmtId="0" fontId="114" fillId="79" borderId="48" applyNumberFormat="0" applyAlignment="0" applyProtection="0"/>
    <xf numFmtId="0" fontId="19" fillId="55" borderId="52" applyNumberFormat="0" applyProtection="0">
      <alignment horizontal="left" vertical="center" indent="1"/>
    </xf>
    <xf numFmtId="4" fontId="47" fillId="42" borderId="52" applyNumberFormat="0" applyProtection="0">
      <alignment horizontal="right" vertical="center"/>
    </xf>
    <xf numFmtId="0" fontId="19" fillId="85" borderId="52" applyNumberFormat="0" applyProtection="0">
      <alignment horizontal="left" vertical="center" indent="1"/>
    </xf>
    <xf numFmtId="0" fontId="19" fillId="76" borderId="47" applyNumberFormat="0" applyFont="0" applyAlignment="0" applyProtection="0"/>
    <xf numFmtId="0" fontId="105" fillId="0" borderId="49" applyNumberFormat="0" applyFill="0" applyAlignment="0" applyProtection="0"/>
    <xf numFmtId="4" fontId="27" fillId="37" borderId="52" applyNumberFormat="0" applyProtection="0">
      <alignment vertical="center"/>
    </xf>
    <xf numFmtId="0" fontId="19" fillId="84" borderId="52" applyNumberFormat="0" applyProtection="0">
      <alignment horizontal="left" vertical="top" indent="1"/>
    </xf>
    <xf numFmtId="4" fontId="51" fillId="35" borderId="52" applyNumberFormat="0" applyProtection="0">
      <alignment vertical="center"/>
    </xf>
    <xf numFmtId="0" fontId="105" fillId="0" borderId="49" applyNumberFormat="0" applyFill="0" applyAlignment="0" applyProtection="0"/>
    <xf numFmtId="0" fontId="19" fillId="76" borderId="47" applyNumberFormat="0" applyFont="0" applyAlignment="0" applyProtection="0"/>
    <xf numFmtId="0" fontId="19" fillId="49" borderId="52" applyNumberFormat="0" applyProtection="0">
      <alignment horizontal="left" vertical="top" indent="1"/>
    </xf>
    <xf numFmtId="0" fontId="19" fillId="84" borderId="52" applyNumberFormat="0" applyProtection="0">
      <alignment horizontal="left" vertical="center"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7" borderId="52" applyNumberFormat="0" applyProtection="0">
      <alignment horizontal="right" vertical="center"/>
    </xf>
    <xf numFmtId="0" fontId="19" fillId="85" borderId="52" applyNumberFormat="0" applyProtection="0">
      <alignment horizontal="left" vertical="top" indent="1"/>
    </xf>
    <xf numFmtId="0" fontId="105" fillId="0" borderId="49" applyNumberFormat="0" applyFill="0" applyAlignment="0" applyProtection="0"/>
    <xf numFmtId="0" fontId="105" fillId="0" borderId="49" applyNumberFormat="0" applyFill="0" applyAlignment="0" applyProtection="0"/>
    <xf numFmtId="0" fontId="19" fillId="85" borderId="52" applyNumberFormat="0" applyProtection="0">
      <alignment horizontal="left" vertical="top" indent="1"/>
    </xf>
    <xf numFmtId="4" fontId="47" fillId="44" borderId="52" applyNumberFormat="0" applyProtection="0">
      <alignment horizontal="right" vertical="center"/>
    </xf>
    <xf numFmtId="0" fontId="110" fillId="77" borderId="51" applyNumberFormat="0" applyAlignment="0" applyProtection="0"/>
    <xf numFmtId="0" fontId="63" fillId="59" borderId="50" applyNumberFormat="0" applyFont="0" applyFill="0" applyAlignment="0" applyProtection="0">
      <protection locked="0"/>
    </xf>
    <xf numFmtId="0" fontId="19" fillId="84" borderId="52" applyNumberFormat="0" applyProtection="0">
      <alignment horizontal="left" vertical="center" indent="1"/>
    </xf>
    <xf numFmtId="0" fontId="19" fillId="49" borderId="52" applyNumberFormat="0" applyProtection="0">
      <alignment horizontal="left" vertical="top" indent="1"/>
    </xf>
    <xf numFmtId="0" fontId="105" fillId="0" borderId="49" applyNumberFormat="0" applyFill="0" applyAlignment="0" applyProtection="0"/>
    <xf numFmtId="0" fontId="19" fillId="76" borderId="47" applyNumberFormat="0" applyFont="0" applyAlignment="0" applyProtection="0"/>
    <xf numFmtId="4" fontId="51" fillId="35" borderId="52" applyNumberFormat="0" applyProtection="0">
      <alignment vertical="center"/>
    </xf>
    <xf numFmtId="0" fontId="19" fillId="84" borderId="52" applyNumberFormat="0" applyProtection="0">
      <alignment horizontal="left" vertical="top"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5" borderId="52" applyNumberFormat="0" applyProtection="0">
      <alignment horizontal="right" vertical="center"/>
    </xf>
    <xf numFmtId="0" fontId="19" fillId="85" borderId="52" applyNumberFormat="0" applyProtection="0">
      <alignment horizontal="left" vertical="center" indent="1"/>
    </xf>
    <xf numFmtId="0" fontId="105" fillId="0" borderId="49" applyNumberFormat="0" applyFill="0" applyAlignment="0" applyProtection="0"/>
    <xf numFmtId="0" fontId="114" fillId="79" borderId="48" applyNumberFormat="0" applyAlignment="0" applyProtection="0"/>
    <xf numFmtId="0" fontId="21" fillId="35" borderId="4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0" applyNumberFormat="0" applyProtection="0">
      <alignment vertical="center"/>
    </xf>
    <xf numFmtId="4" fontId="46" fillId="38" borderId="20" applyNumberFormat="0" applyProtection="0">
      <alignmen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0" fontId="27" fillId="38" borderId="20" applyNumberFormat="0" applyProtection="0">
      <alignment horizontal="left" vertical="top" indent="1"/>
    </xf>
    <xf numFmtId="4" fontId="27" fillId="34" borderId="20" applyNumberFormat="0" applyProtection="0"/>
    <xf numFmtId="4" fontId="47" fillId="39" borderId="20" applyNumberFormat="0" applyProtection="0">
      <alignment horizontal="right" vertical="center"/>
    </xf>
    <xf numFmtId="4" fontId="47" fillId="40" borderId="20" applyNumberFormat="0" applyProtection="0">
      <alignment horizontal="right" vertical="center"/>
    </xf>
    <xf numFmtId="4" fontId="47" fillId="41" borderId="20" applyNumberFormat="0" applyProtection="0">
      <alignment horizontal="right" vertical="center"/>
    </xf>
    <xf numFmtId="4" fontId="47" fillId="42" borderId="20" applyNumberFormat="0" applyProtection="0">
      <alignment horizontal="right" vertical="center"/>
    </xf>
    <xf numFmtId="4" fontId="47" fillId="43" borderId="20" applyNumberFormat="0" applyProtection="0">
      <alignment horizontal="right" vertical="center"/>
    </xf>
    <xf numFmtId="4" fontId="47" fillId="44" borderId="20" applyNumberFormat="0" applyProtection="0">
      <alignment horizontal="right" vertical="center"/>
    </xf>
    <xf numFmtId="4" fontId="47" fillId="45" borderId="20" applyNumberFormat="0" applyProtection="0">
      <alignment horizontal="right" vertical="center"/>
    </xf>
    <xf numFmtId="4" fontId="47" fillId="46" borderId="20" applyNumberFormat="0" applyProtection="0">
      <alignment horizontal="right" vertical="center"/>
    </xf>
    <xf numFmtId="4" fontId="47" fillId="47" borderId="20" applyNumberFormat="0" applyProtection="0">
      <alignment horizontal="right" vertical="center"/>
    </xf>
    <xf numFmtId="4" fontId="47" fillId="51" borderId="20" applyNumberFormat="0" applyProtection="0">
      <alignment horizontal="right" vertical="center"/>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4" fontId="47" fillId="35" borderId="20" applyNumberFormat="0" applyProtection="0">
      <alignment vertical="center"/>
    </xf>
    <xf numFmtId="4" fontId="51" fillId="35" borderId="20" applyNumberFormat="0" applyProtection="0">
      <alignment vertical="center"/>
    </xf>
    <xf numFmtId="4" fontId="47" fillId="35" borderId="20" applyNumberFormat="0" applyProtection="0">
      <alignment horizontal="left" vertical="center" indent="1"/>
    </xf>
    <xf numFmtId="0" fontId="47" fillId="3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51" fillId="49"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4" fontId="25" fillId="49" borderId="20" applyNumberFormat="0" applyProtection="0">
      <alignment horizontal="righ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vertical="center"/>
    </xf>
    <xf numFmtId="4" fontId="27" fillId="34" borderId="20" applyNumberFormat="0" applyProtection="0"/>
    <xf numFmtId="4" fontId="27" fillId="34" borderId="20" applyNumberFormat="0" applyProtection="0"/>
    <xf numFmtId="4" fontId="27" fillId="34" borderId="20" applyNumberFormat="0" applyProtection="0"/>
    <xf numFmtId="4" fontId="27" fillId="34" borderId="20" applyNumberFormat="0" applyProtection="0"/>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59"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center" vertical="top"/>
    </xf>
    <xf numFmtId="4" fontId="47" fillId="51" borderId="20" applyNumberFormat="0" applyProtection="0">
      <alignment horizontal="left" vertical="center" indent="1"/>
    </xf>
    <xf numFmtId="4" fontId="27" fillId="38" borderId="20" applyNumberFormat="0" applyProtection="0">
      <alignment horizontal="left" vertical="center" indent="1"/>
    </xf>
    <xf numFmtId="4" fontId="47" fillId="0" borderId="20" applyNumberFormat="0" applyProtection="0">
      <alignment horizontal="right" vertical="center"/>
    </xf>
    <xf numFmtId="4" fontId="47" fillId="0" borderId="20" applyNumberFormat="0" applyProtection="0">
      <alignment horizontal="left" vertical="center" indent="1"/>
    </xf>
    <xf numFmtId="0" fontId="47" fillId="34" borderId="20" applyNumberFormat="0" applyProtection="0">
      <alignment horizontal="left" vertical="top"/>
    </xf>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9" fillId="84" borderId="20" applyNumberFormat="0" applyProtection="0">
      <alignment horizontal="left" vertical="center" indent="1"/>
    </xf>
    <xf numFmtId="0" fontId="19" fillId="84" borderId="20" applyNumberFormat="0" applyProtection="0">
      <alignment horizontal="left" vertical="center" indent="1"/>
    </xf>
    <xf numFmtId="0" fontId="19" fillId="84" borderId="20" applyNumberFormat="0" applyProtection="0">
      <alignment horizontal="left" vertical="top" indent="1"/>
    </xf>
    <xf numFmtId="0" fontId="19" fillId="84" borderId="20" applyNumberFormat="0" applyProtection="0">
      <alignment horizontal="left" vertical="top" indent="1"/>
    </xf>
    <xf numFmtId="0" fontId="19" fillId="51" borderId="20" applyNumberFormat="0" applyProtection="0">
      <alignment horizontal="left" vertical="center" indent="1"/>
    </xf>
    <xf numFmtId="0" fontId="19" fillId="51" borderId="20" applyNumberFormat="0" applyProtection="0">
      <alignment horizontal="left" vertical="center" indent="1"/>
    </xf>
    <xf numFmtId="0" fontId="19" fillId="51" borderId="20" applyNumberFormat="0" applyProtection="0">
      <alignment horizontal="left" vertical="top" indent="1"/>
    </xf>
    <xf numFmtId="0" fontId="19" fillId="51" borderId="20" applyNumberFormat="0" applyProtection="0">
      <alignment horizontal="left" vertical="top" indent="1"/>
    </xf>
    <xf numFmtId="0" fontId="19" fillId="85" borderId="20" applyNumberFormat="0" applyProtection="0">
      <alignment horizontal="left" vertical="center" indent="1"/>
    </xf>
    <xf numFmtId="0" fontId="19" fillId="85" borderId="20" applyNumberFormat="0" applyProtection="0">
      <alignment horizontal="left" vertical="center" indent="1"/>
    </xf>
    <xf numFmtId="0" fontId="19" fillId="85" borderId="20" applyNumberFormat="0" applyProtection="0">
      <alignment horizontal="left" vertical="top" indent="1"/>
    </xf>
    <xf numFmtId="0" fontId="19" fillId="85" borderId="20" applyNumberFormat="0" applyProtection="0">
      <alignment horizontal="left" vertical="top" indent="1"/>
    </xf>
    <xf numFmtId="0" fontId="19" fillId="49" borderId="20" applyNumberFormat="0" applyProtection="0">
      <alignment horizontal="left" vertical="center" indent="1"/>
    </xf>
    <xf numFmtId="0" fontId="19" fillId="49" borderId="20" applyNumberFormat="0" applyProtection="0">
      <alignment horizontal="left" vertical="center" indent="1"/>
    </xf>
    <xf numFmtId="0" fontId="19" fillId="49" borderId="20" applyNumberFormat="0" applyProtection="0">
      <alignment horizontal="left" vertical="top" indent="1"/>
    </xf>
    <xf numFmtId="0" fontId="19" fillId="49" borderId="20" applyNumberFormat="0" applyProtection="0">
      <alignment horizontal="left" vertical="top" indent="1"/>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24" fillId="59" borderId="57" applyNumberFormat="0" applyFont="0" applyAlignment="0" applyProtection="0">
      <protection locked="0"/>
    </xf>
    <xf numFmtId="0" fontId="63" fillId="59" borderId="57" applyNumberFormat="0" applyFont="0" applyFill="0" applyAlignment="0" applyProtection="0">
      <protection locked="0"/>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4" fontId="25" fillId="49" borderId="20" applyNumberFormat="0" applyProtection="0">
      <alignment horizontal="right" vertical="center"/>
    </xf>
    <xf numFmtId="0" fontId="47" fillId="34" borderId="20" applyNumberFormat="0" applyProtection="0">
      <alignment horizontal="left" vertical="top"/>
    </xf>
    <xf numFmtId="4" fontId="47" fillId="0" borderId="20" applyNumberFormat="0" applyProtection="0">
      <alignment horizontal="left" vertical="center" indent="1"/>
    </xf>
    <xf numFmtId="4" fontId="51" fillId="49" borderId="20" applyNumberFormat="0" applyProtection="0">
      <alignment horizontal="right" vertical="center"/>
    </xf>
    <xf numFmtId="4" fontId="47" fillId="0" borderId="20" applyNumberFormat="0" applyProtection="0">
      <alignment horizontal="right" vertical="center"/>
    </xf>
    <xf numFmtId="0" fontId="47" fillId="35" borderId="20" applyNumberFormat="0" applyProtection="0">
      <alignment horizontal="left" vertical="top" indent="1"/>
    </xf>
    <xf numFmtId="4" fontId="47" fillId="35" borderId="20" applyNumberFormat="0" applyProtection="0">
      <alignment horizontal="left" vertical="center" indent="1"/>
    </xf>
    <xf numFmtId="4" fontId="51" fillId="35" borderId="20" applyNumberFormat="0" applyProtection="0">
      <alignment vertical="center"/>
    </xf>
    <xf numFmtId="4" fontId="47" fillId="35" borderId="20" applyNumberFormat="0" applyProtection="0">
      <alignment vertical="center"/>
    </xf>
    <xf numFmtId="0" fontId="19" fillId="49" borderId="20" applyNumberFormat="0" applyProtection="0">
      <alignment horizontal="left" vertical="top" indent="1"/>
    </xf>
    <xf numFmtId="0" fontId="19" fillId="49" borderId="20" applyNumberFormat="0" applyProtection="0">
      <alignment horizontal="left" vertical="top" indent="1"/>
    </xf>
    <xf numFmtId="0" fontId="19" fillId="55" borderId="20" applyNumberFormat="0" applyProtection="0">
      <alignment horizontal="left" vertical="top" indent="1"/>
    </xf>
    <xf numFmtId="0" fontId="19" fillId="49" borderId="20" applyNumberFormat="0" applyProtection="0">
      <alignment horizontal="left" vertical="center" indent="1"/>
    </xf>
    <xf numFmtId="0" fontId="19" fillId="49" borderId="20" applyNumberFormat="0" applyProtection="0">
      <alignment horizontal="left" vertical="center" indent="1"/>
    </xf>
    <xf numFmtId="0" fontId="19" fillId="55" borderId="20" applyNumberFormat="0" applyProtection="0">
      <alignment horizontal="left" vertical="center" indent="1"/>
    </xf>
    <xf numFmtId="0" fontId="19" fillId="85" borderId="20" applyNumberFormat="0" applyProtection="0">
      <alignment horizontal="left" vertical="top" indent="1"/>
    </xf>
    <xf numFmtId="0" fontId="19" fillId="85" borderId="20" applyNumberFormat="0" applyProtection="0">
      <alignment horizontal="left" vertical="top" indent="1"/>
    </xf>
    <xf numFmtId="0" fontId="19" fillId="54" borderId="20" applyNumberFormat="0" applyProtection="0">
      <alignment horizontal="left" vertical="top" indent="1"/>
    </xf>
    <xf numFmtId="0" fontId="19" fillId="85" borderId="20" applyNumberFormat="0" applyProtection="0">
      <alignment horizontal="left" vertical="center" indent="1"/>
    </xf>
    <xf numFmtId="0" fontId="19" fillId="85" borderId="20" applyNumberFormat="0" applyProtection="0">
      <alignment horizontal="left" vertical="center" indent="1"/>
    </xf>
    <xf numFmtId="0" fontId="19" fillId="54" borderId="20" applyNumberFormat="0" applyProtection="0">
      <alignment horizontal="left" vertical="center" indent="1"/>
    </xf>
    <xf numFmtId="0" fontId="19" fillId="51" borderId="20" applyNumberFormat="0" applyProtection="0">
      <alignment horizontal="left" vertical="top" indent="1"/>
    </xf>
    <xf numFmtId="0" fontId="19" fillId="51" borderId="20" applyNumberFormat="0" applyProtection="0">
      <alignment horizontal="left" vertical="top" indent="1"/>
    </xf>
    <xf numFmtId="0" fontId="19" fillId="34" borderId="20" applyNumberFormat="0" applyProtection="0">
      <alignment horizontal="left" vertical="top" indent="1"/>
    </xf>
    <xf numFmtId="0" fontId="19" fillId="51" borderId="20" applyNumberFormat="0" applyProtection="0">
      <alignment horizontal="left" vertical="center" indent="1"/>
    </xf>
    <xf numFmtId="0" fontId="19" fillId="51" borderId="20" applyNumberFormat="0" applyProtection="0">
      <alignment horizontal="left" vertical="center" indent="1"/>
    </xf>
    <xf numFmtId="0" fontId="19" fillId="34" borderId="20" applyNumberFormat="0" applyProtection="0">
      <alignment horizontal="left" vertical="center" indent="1"/>
    </xf>
    <xf numFmtId="0" fontId="19" fillId="84" borderId="20" applyNumberFormat="0" applyProtection="0">
      <alignment horizontal="left" vertical="top" indent="1"/>
    </xf>
    <xf numFmtId="0" fontId="19" fillId="84" borderId="20" applyNumberFormat="0" applyProtection="0">
      <alignment horizontal="left" vertical="top" indent="1"/>
    </xf>
    <xf numFmtId="0" fontId="19" fillId="50" borderId="20" applyNumberFormat="0" applyProtection="0">
      <alignment horizontal="left" vertical="top" indent="1"/>
    </xf>
    <xf numFmtId="0" fontId="19" fillId="84" borderId="20" applyNumberFormat="0" applyProtection="0">
      <alignment horizontal="left" vertical="center" indent="1"/>
    </xf>
    <xf numFmtId="0" fontId="19" fillId="84" borderId="20" applyNumberFormat="0" applyProtection="0">
      <alignment horizontal="left" vertical="center" indent="1"/>
    </xf>
    <xf numFmtId="0" fontId="19" fillId="50" borderId="20" applyNumberFormat="0" applyProtection="0">
      <alignment horizontal="left" vertical="center" indent="1"/>
    </xf>
    <xf numFmtId="4" fontId="47" fillId="51" borderId="20" applyNumberFormat="0" applyProtection="0">
      <alignment horizontal="right" vertical="center"/>
    </xf>
    <xf numFmtId="4" fontId="47" fillId="47" borderId="20" applyNumberFormat="0" applyProtection="0">
      <alignment horizontal="right" vertical="center"/>
    </xf>
    <xf numFmtId="4" fontId="47" fillId="46" borderId="20" applyNumberFormat="0" applyProtection="0">
      <alignment horizontal="right" vertical="center"/>
    </xf>
    <xf numFmtId="4" fontId="47" fillId="45" borderId="20" applyNumberFormat="0" applyProtection="0">
      <alignment horizontal="right" vertical="center"/>
    </xf>
    <xf numFmtId="4" fontId="47" fillId="44" borderId="20" applyNumberFormat="0" applyProtection="0">
      <alignment horizontal="right" vertical="center"/>
    </xf>
    <xf numFmtId="4" fontId="47" fillId="43" borderId="20" applyNumberFormat="0" applyProtection="0">
      <alignment horizontal="right" vertical="center"/>
    </xf>
    <xf numFmtId="4" fontId="47" fillId="42" borderId="20" applyNumberFormat="0" applyProtection="0">
      <alignment horizontal="right" vertical="center"/>
    </xf>
    <xf numFmtId="4" fontId="47" fillId="41" borderId="20" applyNumberFormat="0" applyProtection="0">
      <alignment horizontal="right" vertical="center"/>
    </xf>
    <xf numFmtId="4" fontId="47" fillId="40" borderId="20" applyNumberFormat="0" applyProtection="0">
      <alignment horizontal="right" vertical="center"/>
    </xf>
    <xf numFmtId="4" fontId="47" fillId="39" borderId="20" applyNumberFormat="0" applyProtection="0">
      <alignment horizontal="right" vertical="center"/>
    </xf>
    <xf numFmtId="0" fontId="27" fillId="38" borderId="20" applyNumberFormat="0" applyProtection="0">
      <alignment horizontal="left" vertical="top" indent="1"/>
    </xf>
    <xf numFmtId="4" fontId="27" fillId="38" borderId="20" applyNumberFormat="0" applyProtection="0">
      <alignment horizontal="left" vertical="center" indent="1"/>
    </xf>
    <xf numFmtId="4" fontId="46" fillId="38" borderId="20" applyNumberFormat="0" applyProtection="0">
      <alignment vertical="center"/>
    </xf>
    <xf numFmtId="4" fontId="27" fillId="37" borderId="20" applyNumberFormat="0" applyProtection="0">
      <alignment vertical="center"/>
    </xf>
    <xf numFmtId="0" fontId="63" fillId="59" borderId="57" applyNumberFormat="0" applyFont="0" applyFill="0" applyAlignment="0" applyProtection="0">
      <protection locked="0"/>
    </xf>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24" fillId="59" borderId="57" applyNumberFormat="0" applyFont="0" applyAlignment="0" applyProtection="0">
      <protection locked="0"/>
    </xf>
    <xf numFmtId="0" fontId="105" fillId="0" borderId="56" applyNumberFormat="0" applyFill="0" applyAlignment="0" applyProtection="0"/>
    <xf numFmtId="0" fontId="105" fillId="0" borderId="56" applyNumberFormat="0" applyFill="0" applyAlignment="0" applyProtection="0"/>
    <xf numFmtId="0" fontId="102" fillId="79" borderId="58" applyNumberFormat="0" applyAlignment="0" applyProtection="0"/>
    <xf numFmtId="0" fontId="102" fillId="79" borderId="58" applyNumberFormat="0" applyAlignment="0" applyProtection="0"/>
    <xf numFmtId="0" fontId="102" fillId="79" borderId="58" applyNumberFormat="0" applyAlignment="0" applyProtection="0"/>
    <xf numFmtId="0" fontId="102" fillId="79" borderId="58" applyNumberFormat="0" applyAlignment="0" applyProtection="0"/>
    <xf numFmtId="0" fontId="110" fillId="77" borderId="58" applyNumberFormat="0" applyAlignment="0" applyProtection="0"/>
    <xf numFmtId="0" fontId="110" fillId="77" borderId="58" applyNumberFormat="0" applyAlignment="0" applyProtection="0"/>
    <xf numFmtId="0" fontId="110" fillId="77" borderId="58" applyNumberFormat="0" applyAlignment="0" applyProtection="0"/>
    <xf numFmtId="0" fontId="110" fillId="77" borderId="58" applyNumberForma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4" fontId="27" fillId="37" borderId="61" applyNumberFormat="0" applyProtection="0">
      <alignment vertical="center"/>
    </xf>
    <xf numFmtId="4" fontId="46" fillId="38" borderId="61" applyNumberFormat="0" applyProtection="0">
      <alignment vertical="center"/>
    </xf>
    <xf numFmtId="4" fontId="27" fillId="38" borderId="61" applyNumberFormat="0" applyProtection="0">
      <alignment horizontal="left" vertical="center" indent="1"/>
    </xf>
    <xf numFmtId="0" fontId="27" fillId="38" borderId="61" applyNumberFormat="0" applyProtection="0">
      <alignment horizontal="left" vertical="top" indent="1"/>
    </xf>
    <xf numFmtId="4" fontId="47" fillId="39" borderId="61" applyNumberFormat="0" applyProtection="0">
      <alignment horizontal="right" vertical="center"/>
    </xf>
    <xf numFmtId="4" fontId="47" fillId="40" borderId="61" applyNumberFormat="0" applyProtection="0">
      <alignment horizontal="right" vertical="center"/>
    </xf>
    <xf numFmtId="4" fontId="47" fillId="41" borderId="61" applyNumberFormat="0" applyProtection="0">
      <alignment horizontal="right" vertical="center"/>
    </xf>
    <xf numFmtId="4" fontId="47" fillId="42" borderId="61" applyNumberFormat="0" applyProtection="0">
      <alignment horizontal="right" vertical="center"/>
    </xf>
    <xf numFmtId="4" fontId="47" fillId="43" borderId="61" applyNumberFormat="0" applyProtection="0">
      <alignment horizontal="right" vertical="center"/>
    </xf>
    <xf numFmtId="4" fontId="47" fillId="44" borderId="61" applyNumberFormat="0" applyProtection="0">
      <alignment horizontal="right" vertical="center"/>
    </xf>
    <xf numFmtId="4" fontId="47" fillId="45" borderId="61" applyNumberFormat="0" applyProtection="0">
      <alignment horizontal="right" vertical="center"/>
    </xf>
    <xf numFmtId="4" fontId="47" fillId="46" borderId="61" applyNumberFormat="0" applyProtection="0">
      <alignment horizontal="right" vertical="center"/>
    </xf>
    <xf numFmtId="4" fontId="47" fillId="47" borderId="61" applyNumberFormat="0" applyProtection="0">
      <alignment horizontal="right" vertical="center"/>
    </xf>
    <xf numFmtId="4" fontId="47" fillId="51" borderId="61" applyNumberFormat="0" applyProtection="0">
      <alignment horizontal="right" vertical="center"/>
    </xf>
    <xf numFmtId="0" fontId="19" fillId="50" borderId="61" applyNumberFormat="0" applyProtection="0">
      <alignment horizontal="left" vertical="center" indent="1"/>
    </xf>
    <xf numFmtId="0" fontId="19" fillId="84" borderId="61" applyNumberFormat="0" applyProtection="0">
      <alignment horizontal="left" vertical="center" indent="1"/>
    </xf>
    <xf numFmtId="0" fontId="19" fillId="84" borderId="61" applyNumberFormat="0" applyProtection="0">
      <alignment horizontal="left" vertical="center" indent="1"/>
    </xf>
    <xf numFmtId="0" fontId="19" fillId="50" borderId="61" applyNumberFormat="0" applyProtection="0">
      <alignment horizontal="left" vertical="top" indent="1"/>
    </xf>
    <xf numFmtId="0" fontId="19" fillId="84" borderId="61" applyNumberFormat="0" applyProtection="0">
      <alignment horizontal="left" vertical="top" indent="1"/>
    </xf>
    <xf numFmtId="0" fontId="19" fillId="84" borderId="61" applyNumberFormat="0" applyProtection="0">
      <alignment horizontal="left" vertical="top" indent="1"/>
    </xf>
    <xf numFmtId="0" fontId="19" fillId="34" borderId="61" applyNumberFormat="0" applyProtection="0">
      <alignment horizontal="left" vertical="center" indent="1"/>
    </xf>
    <xf numFmtId="0" fontId="19" fillId="51" borderId="61" applyNumberFormat="0" applyProtection="0">
      <alignment horizontal="left" vertical="center" indent="1"/>
    </xf>
    <xf numFmtId="0" fontId="19" fillId="51" borderId="61" applyNumberFormat="0" applyProtection="0">
      <alignment horizontal="left" vertical="center" indent="1"/>
    </xf>
    <xf numFmtId="0" fontId="19" fillId="34" borderId="61" applyNumberFormat="0" applyProtection="0">
      <alignment horizontal="left" vertical="top" indent="1"/>
    </xf>
    <xf numFmtId="0" fontId="19" fillId="51" borderId="61" applyNumberFormat="0" applyProtection="0">
      <alignment horizontal="left" vertical="top" indent="1"/>
    </xf>
    <xf numFmtId="0" fontId="19" fillId="51" borderId="61" applyNumberFormat="0" applyProtection="0">
      <alignment horizontal="left" vertical="top" indent="1"/>
    </xf>
    <xf numFmtId="0" fontId="19" fillId="54" borderId="61" applyNumberFormat="0" applyProtection="0">
      <alignment horizontal="left" vertical="center" indent="1"/>
    </xf>
    <xf numFmtId="0" fontId="19" fillId="85" borderId="61" applyNumberFormat="0" applyProtection="0">
      <alignment horizontal="left" vertical="center" indent="1"/>
    </xf>
    <xf numFmtId="0" fontId="19" fillId="85" borderId="61" applyNumberFormat="0" applyProtection="0">
      <alignment horizontal="left" vertical="center" indent="1"/>
    </xf>
    <xf numFmtId="0" fontId="19" fillId="54" borderId="61" applyNumberFormat="0" applyProtection="0">
      <alignment horizontal="left" vertical="top" indent="1"/>
    </xf>
    <xf numFmtId="0" fontId="19" fillId="85" borderId="61" applyNumberFormat="0" applyProtection="0">
      <alignment horizontal="left" vertical="top" indent="1"/>
    </xf>
    <xf numFmtId="0" fontId="19" fillId="85" borderId="61" applyNumberFormat="0" applyProtection="0">
      <alignment horizontal="left" vertical="top" indent="1"/>
    </xf>
    <xf numFmtId="0" fontId="19" fillId="55" borderId="61" applyNumberFormat="0" applyProtection="0">
      <alignment horizontal="left" vertical="center" indent="1"/>
    </xf>
    <xf numFmtId="0" fontId="19" fillId="49" borderId="61" applyNumberFormat="0" applyProtection="0">
      <alignment horizontal="left" vertical="center" indent="1"/>
    </xf>
    <xf numFmtId="0" fontId="19" fillId="49" borderId="61" applyNumberFormat="0" applyProtection="0">
      <alignment horizontal="left" vertical="center" indent="1"/>
    </xf>
    <xf numFmtId="0" fontId="19" fillId="55" borderId="61" applyNumberFormat="0" applyProtection="0">
      <alignment horizontal="left" vertical="top" indent="1"/>
    </xf>
    <xf numFmtId="0" fontId="19" fillId="49" borderId="61" applyNumberFormat="0" applyProtection="0">
      <alignment horizontal="left" vertical="top" indent="1"/>
    </xf>
    <xf numFmtId="0" fontId="19" fillId="49" borderId="61" applyNumberFormat="0" applyProtection="0">
      <alignment horizontal="left" vertical="top" indent="1"/>
    </xf>
    <xf numFmtId="4" fontId="47" fillId="35" borderId="61" applyNumberFormat="0" applyProtection="0">
      <alignment vertical="center"/>
    </xf>
    <xf numFmtId="4" fontId="51" fillId="35" borderId="61" applyNumberFormat="0" applyProtection="0">
      <alignment vertical="center"/>
    </xf>
    <xf numFmtId="4" fontId="47" fillId="35" borderId="61" applyNumberFormat="0" applyProtection="0">
      <alignment horizontal="left" vertical="center" indent="1"/>
    </xf>
    <xf numFmtId="0" fontId="47" fillId="35" borderId="61" applyNumberFormat="0" applyProtection="0">
      <alignment horizontal="left" vertical="top" indent="1"/>
    </xf>
    <xf numFmtId="4" fontId="47" fillId="0" borderId="61" applyNumberFormat="0" applyProtection="0">
      <alignment horizontal="right" vertical="center"/>
    </xf>
    <xf numFmtId="4" fontId="51" fillId="49" borderId="61" applyNumberFormat="0" applyProtection="0">
      <alignment horizontal="right" vertical="center"/>
    </xf>
    <xf numFmtId="4" fontId="47" fillId="0" borderId="61" applyNumberFormat="0" applyProtection="0">
      <alignment horizontal="left" vertical="center" indent="1"/>
    </xf>
    <xf numFmtId="0" fontId="47" fillId="34" borderId="61" applyNumberFormat="0" applyProtection="0">
      <alignment horizontal="left" vertical="top"/>
    </xf>
    <xf numFmtId="4" fontId="25" fillId="49" borderId="61" applyNumberFormat="0" applyProtection="0">
      <alignment horizontal="right" vertical="center"/>
    </xf>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7"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19"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43" fontId="18" fillId="0" borderId="0" applyFont="0" applyFill="0" applyBorder="0" applyAlignment="0" applyProtection="0"/>
    <xf numFmtId="0" fontId="26" fillId="0" borderId="81" applyNumberFormat="0" applyAlignment="0" applyProtection="0">
      <alignment horizontal="left" vertical="center"/>
    </xf>
    <xf numFmtId="171" fontId="18" fillId="0" borderId="0"/>
    <xf numFmtId="173" fontId="18" fillId="0" borderId="0"/>
    <xf numFmtId="0" fontId="18" fillId="0" borderId="0"/>
    <xf numFmtId="0" fontId="24" fillId="59" borderId="97"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27" fillId="48" borderId="83" applyNumberFormat="0" applyProtection="0">
      <alignment horizontal="left" vertical="center" indent="1"/>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175" fontId="18" fillId="0" borderId="77">
      <alignment horizontal="justify" vertical="top" wrapText="1"/>
    </xf>
    <xf numFmtId="0" fontId="18" fillId="0" borderId="0">
      <alignment horizontal="left" wrapText="1"/>
    </xf>
    <xf numFmtId="176"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4" fontId="27" fillId="34" borderId="63" applyNumberFormat="0" applyProtection="0">
      <alignment vertical="center"/>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8" fontId="18" fillId="0" borderId="0" applyFill="0" applyBorder="0" applyAlignment="0" applyProtection="0"/>
    <xf numFmtId="2" fontId="18" fillId="0" borderId="0" applyFill="0" applyBorder="0" applyAlignment="0" applyProtection="0"/>
    <xf numFmtId="0" fontId="18" fillId="0" borderId="0"/>
    <xf numFmtId="178" fontId="18" fillId="0" borderId="0" applyFill="0" applyBorder="0" applyAlignment="0" applyProtection="0"/>
    <xf numFmtId="4" fontId="47" fillId="51" borderId="82"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4" fontId="27" fillId="34" borderId="63" applyNumberFormat="0" applyProtection="0">
      <alignment vertical="center"/>
    </xf>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96" applyNumberFormat="0" applyAlignment="0" applyProtection="0"/>
    <xf numFmtId="4" fontId="27" fillId="34" borderId="63" applyNumberFormat="0" applyProtection="0">
      <alignment vertical="center"/>
    </xf>
    <xf numFmtId="0" fontId="63" fillId="59" borderId="97" applyNumberFormat="0" applyFont="0" applyFill="0" applyAlignment="0" applyProtection="0">
      <protection locked="0"/>
    </xf>
    <xf numFmtId="0" fontId="18" fillId="51" borderId="99" applyNumberFormat="0" applyProtection="0">
      <alignment horizontal="left" vertical="center" indent="1"/>
    </xf>
    <xf numFmtId="0" fontId="110" fillId="77" borderId="96" applyNumberFormat="0" applyAlignment="0" applyProtection="0"/>
    <xf numFmtId="0" fontId="18" fillId="0" borderId="30"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70"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99" applyNumberFormat="0" applyProtection="0">
      <alignment horizontal="right" vertical="center"/>
    </xf>
    <xf numFmtId="4" fontId="47" fillId="0" borderId="99" applyNumberFormat="0" applyProtection="0">
      <alignment horizontal="left" vertical="center" indent="1"/>
    </xf>
    <xf numFmtId="0" fontId="18" fillId="54" borderId="99" applyNumberFormat="0" applyProtection="0">
      <alignment horizontal="left" vertical="top" indent="1"/>
    </xf>
    <xf numFmtId="4" fontId="27" fillId="38" borderId="99" applyNumberFormat="0" applyProtection="0">
      <alignment horizontal="left" vertical="center" indent="1"/>
    </xf>
    <xf numFmtId="0" fontId="18" fillId="0" borderId="0"/>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4" fontId="47" fillId="35" borderId="99" applyNumberFormat="0" applyProtection="0">
      <alignment horizontal="left" vertical="center" indent="1"/>
    </xf>
    <xf numFmtId="0" fontId="18" fillId="50" borderId="99" applyNumberFormat="0" applyProtection="0">
      <alignment horizontal="left" vertical="center" indent="1"/>
    </xf>
    <xf numFmtId="4" fontId="27" fillId="38" borderId="99" applyNumberFormat="0" applyProtection="0">
      <alignment horizontal="left" vertical="center" indent="1"/>
    </xf>
    <xf numFmtId="0" fontId="18" fillId="51" borderId="99" applyNumberFormat="0" applyProtection="0">
      <alignment horizontal="left" vertical="top" indent="1"/>
    </xf>
    <xf numFmtId="0" fontId="21" fillId="35" borderId="12" applyNumberFormat="0" applyFont="0" applyAlignment="0" applyProtection="0">
      <alignment horizontal="center"/>
      <protection locked="0"/>
    </xf>
    <xf numFmtId="4" fontId="47" fillId="44" borderId="99" applyNumberFormat="0" applyProtection="0">
      <alignment horizontal="right" vertical="center"/>
    </xf>
    <xf numFmtId="0" fontId="18" fillId="34" borderId="99" applyNumberFormat="0" applyProtection="0">
      <alignment horizontal="left" vertical="top" indent="1"/>
    </xf>
    <xf numFmtId="0" fontId="18" fillId="85" borderId="99" applyNumberFormat="0" applyProtection="0">
      <alignment horizontal="left" vertical="center" indent="1"/>
    </xf>
    <xf numFmtId="0" fontId="18" fillId="85" borderId="99" applyNumberFormat="0" applyProtection="0">
      <alignment horizontal="left" vertical="center" indent="1"/>
    </xf>
    <xf numFmtId="0" fontId="18" fillId="50" borderId="99" applyNumberFormat="0" applyProtection="0">
      <alignment horizontal="left" vertical="top" indent="1"/>
    </xf>
    <xf numFmtId="4" fontId="47" fillId="43" borderId="99" applyNumberFormat="0" applyProtection="0">
      <alignment horizontal="right" vertical="center"/>
    </xf>
    <xf numFmtId="0" fontId="18" fillId="54" borderId="99" applyNumberFormat="0" applyProtection="0">
      <alignment horizontal="left" vertical="center" indent="1"/>
    </xf>
    <xf numFmtId="0" fontId="105" fillId="0" borderId="103" applyNumberFormat="0" applyFill="0" applyAlignment="0" applyProtection="0"/>
    <xf numFmtId="0" fontId="105" fillId="0" borderId="103" applyNumberFormat="0" applyFill="0" applyAlignment="0" applyProtection="0"/>
    <xf numFmtId="4" fontId="47" fillId="45" borderId="99" applyNumberFormat="0" applyProtection="0">
      <alignment horizontal="right" vertical="center"/>
    </xf>
    <xf numFmtId="0" fontId="102" fillId="79" borderId="100" applyNumberFormat="0" applyAlignment="0" applyProtection="0"/>
    <xf numFmtId="4" fontId="47" fillId="0" borderId="99" applyNumberFormat="0" applyProtection="0">
      <alignment horizontal="right" vertical="center"/>
    </xf>
    <xf numFmtId="0" fontId="18" fillId="34" borderId="99" applyNumberFormat="0" applyProtection="0">
      <alignment horizontal="left" vertical="top" indent="1"/>
    </xf>
    <xf numFmtId="0" fontId="18" fillId="84" borderId="99" applyNumberFormat="0" applyProtection="0">
      <alignment horizontal="left" vertical="center" indent="1"/>
    </xf>
    <xf numFmtId="0" fontId="18" fillId="34" borderId="99" applyNumberFormat="0" applyProtection="0">
      <alignment horizontal="left" vertical="center" indent="1"/>
    </xf>
    <xf numFmtId="0" fontId="18" fillId="50" borderId="99" applyNumberFormat="0" applyProtection="0">
      <alignment horizontal="left" vertical="center" indent="1"/>
    </xf>
    <xf numFmtId="0" fontId="18" fillId="50" borderId="99" applyNumberFormat="0" applyProtection="0">
      <alignment horizontal="left" vertical="top" indent="1"/>
    </xf>
    <xf numFmtId="0" fontId="110" fillId="77" borderId="100" applyNumberFormat="0" applyAlignment="0" applyProtection="0"/>
    <xf numFmtId="4" fontId="47" fillId="41" borderId="99" applyNumberFormat="0" applyProtection="0">
      <alignment horizontal="right" vertical="center"/>
    </xf>
    <xf numFmtId="0" fontId="105" fillId="0" borderId="103" applyNumberFormat="0" applyFill="0" applyAlignment="0" applyProtection="0"/>
    <xf numFmtId="0" fontId="18" fillId="50" borderId="99" applyNumberFormat="0" applyProtection="0">
      <alignment horizontal="left" vertical="center" indent="1"/>
    </xf>
    <xf numFmtId="4" fontId="27" fillId="37" borderId="99" applyNumberFormat="0" applyProtection="0">
      <alignment vertical="center"/>
    </xf>
    <xf numFmtId="0" fontId="18" fillId="85" borderId="99" applyNumberFormat="0" applyProtection="0">
      <alignment horizontal="left" vertical="center" indent="1"/>
    </xf>
    <xf numFmtId="4" fontId="47" fillId="51" borderId="99" applyNumberFormat="0" applyProtection="0">
      <alignment horizontal="right" vertical="center"/>
    </xf>
    <xf numFmtId="4" fontId="47" fillId="35" borderId="99" applyNumberFormat="0" applyProtection="0">
      <alignment horizontal="left" vertical="center" indent="1"/>
    </xf>
    <xf numFmtId="0" fontId="18" fillId="84" borderId="99" applyNumberFormat="0" applyProtection="0">
      <alignment horizontal="left" vertical="top" indent="1"/>
    </xf>
    <xf numFmtId="0" fontId="114" fillId="79" borderId="102" applyNumberFormat="0" applyAlignment="0" applyProtection="0"/>
    <xf numFmtId="0" fontId="24" fillId="59" borderId="104" applyNumberFormat="0" applyFont="0" applyAlignment="0" applyProtection="0">
      <protection locked="0"/>
    </xf>
    <xf numFmtId="4" fontId="47" fillId="40" borderId="99" applyNumberFormat="0" applyProtection="0">
      <alignment horizontal="right" vertical="center"/>
    </xf>
    <xf numFmtId="0" fontId="18" fillId="54" borderId="99" applyNumberFormat="0" applyProtection="0">
      <alignment horizontal="left" vertical="center" indent="1"/>
    </xf>
    <xf numFmtId="0" fontId="105" fillId="0" borderId="103" applyNumberFormat="0" applyFill="0" applyAlignment="0" applyProtection="0"/>
    <xf numFmtId="0" fontId="18" fillId="51" borderId="99" applyNumberFormat="0" applyProtection="0">
      <alignment horizontal="left" vertical="top" indent="1"/>
    </xf>
    <xf numFmtId="0" fontId="110" fillId="77" borderId="100" applyNumberFormat="0" applyAlignment="0" applyProtection="0"/>
    <xf numFmtId="4" fontId="47" fillId="0" borderId="99" applyNumberFormat="0" applyProtection="0">
      <alignment horizontal="right" vertical="center"/>
    </xf>
    <xf numFmtId="0" fontId="47" fillId="34" borderId="99" applyNumberFormat="0" applyProtection="0">
      <alignment horizontal="left" vertical="top"/>
    </xf>
    <xf numFmtId="0" fontId="18" fillId="54" borderId="99" applyNumberFormat="0" applyProtection="0">
      <alignment horizontal="left" vertical="center" indent="1"/>
    </xf>
    <xf numFmtId="4" fontId="47" fillId="44" borderId="99" applyNumberFormat="0" applyProtection="0">
      <alignment horizontal="right" vertical="center"/>
    </xf>
    <xf numFmtId="0" fontId="114" fillId="79" borderId="102" applyNumberFormat="0" applyAlignment="0" applyProtection="0"/>
    <xf numFmtId="0" fontId="18" fillId="49" borderId="99" applyNumberFormat="0" applyProtection="0">
      <alignment horizontal="left" vertical="top" indent="1"/>
    </xf>
    <xf numFmtId="4" fontId="47" fillId="40" borderId="99" applyNumberFormat="0" applyProtection="0">
      <alignment horizontal="right" vertical="center"/>
    </xf>
    <xf numFmtId="0" fontId="114" fillId="79" borderId="102" applyNumberFormat="0" applyAlignment="0" applyProtection="0"/>
    <xf numFmtId="4" fontId="51" fillId="49" borderId="99" applyNumberFormat="0" applyProtection="0">
      <alignment horizontal="right" vertical="center"/>
    </xf>
    <xf numFmtId="4" fontId="47" fillId="35" borderId="99" applyNumberFormat="0" applyProtection="0">
      <alignment vertical="center"/>
    </xf>
    <xf numFmtId="0" fontId="18" fillId="84" borderId="99" applyNumberFormat="0" applyProtection="0">
      <alignment horizontal="left" vertical="top" indent="1"/>
    </xf>
    <xf numFmtId="4" fontId="25" fillId="49" borderId="99" applyNumberFormat="0" applyProtection="0">
      <alignment horizontal="right" vertical="center"/>
    </xf>
    <xf numFmtId="4" fontId="47" fillId="35" borderId="99" applyNumberFormat="0" applyProtection="0">
      <alignment vertical="center"/>
    </xf>
    <xf numFmtId="0" fontId="18" fillId="50"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4" fontId="47" fillId="46" borderId="99" applyNumberFormat="0" applyProtection="0">
      <alignment horizontal="right" vertical="center"/>
    </xf>
    <xf numFmtId="0" fontId="18" fillId="54" borderId="99" applyNumberFormat="0" applyProtection="0">
      <alignment horizontal="left" vertical="top" indent="1"/>
    </xf>
    <xf numFmtId="0" fontId="105" fillId="0" borderId="103" applyNumberFormat="0" applyFill="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4" fontId="27" fillId="38" borderId="99" applyNumberFormat="0" applyProtection="0">
      <alignment horizontal="left" vertical="center" indent="1"/>
    </xf>
    <xf numFmtId="0" fontId="18" fillId="55" borderId="99" applyNumberFormat="0" applyProtection="0">
      <alignment horizontal="left" vertical="top" indent="1"/>
    </xf>
    <xf numFmtId="0" fontId="18" fillId="50" borderId="99" applyNumberFormat="0" applyProtection="0">
      <alignment horizontal="left" vertical="top" indent="1"/>
    </xf>
    <xf numFmtId="4" fontId="47" fillId="47" borderId="99" applyNumberFormat="0" applyProtection="0">
      <alignment horizontal="right" vertical="center"/>
    </xf>
    <xf numFmtId="0" fontId="102" fillId="79" borderId="100" applyNumberFormat="0" applyAlignment="0" applyProtection="0"/>
    <xf numFmtId="0" fontId="18" fillId="49" borderId="99" applyNumberFormat="0" applyProtection="0">
      <alignment horizontal="left" vertical="center" indent="1"/>
    </xf>
    <xf numFmtId="0" fontId="105" fillId="0" borderId="103" applyNumberFormat="0" applyFill="0" applyAlignment="0" applyProtection="0"/>
    <xf numFmtId="0" fontId="18" fillId="54" borderId="99" applyNumberFormat="0" applyProtection="0">
      <alignment horizontal="left" vertical="center" indent="1"/>
    </xf>
    <xf numFmtId="0" fontId="18" fillId="55" borderId="99" applyNumberFormat="0" applyProtection="0">
      <alignment horizontal="left" vertical="top" indent="1"/>
    </xf>
    <xf numFmtId="0" fontId="114" fillId="79" borderId="102" applyNumberFormat="0" applyAlignment="0" applyProtection="0"/>
    <xf numFmtId="4" fontId="47" fillId="0" borderId="99" applyNumberFormat="0" applyProtection="0">
      <alignment horizontal="left" vertical="center" indent="1"/>
    </xf>
    <xf numFmtId="0" fontId="18" fillId="49" borderId="99" applyNumberFormat="0" applyProtection="0">
      <alignment horizontal="left" vertical="center" indent="1"/>
    </xf>
    <xf numFmtId="0" fontId="18" fillId="76" borderId="101" applyNumberFormat="0" applyFont="0" applyAlignment="0" applyProtection="0"/>
    <xf numFmtId="0" fontId="18" fillId="34" borderId="99" applyNumberFormat="0" applyProtection="0">
      <alignment horizontal="left" vertical="center" indent="1"/>
    </xf>
    <xf numFmtId="0" fontId="27" fillId="38" borderId="99" applyNumberFormat="0" applyProtection="0">
      <alignment horizontal="left" vertical="top" indent="1"/>
    </xf>
    <xf numFmtId="0" fontId="18" fillId="76" borderId="101" applyNumberFormat="0" applyFont="0" applyAlignment="0" applyProtection="0"/>
    <xf numFmtId="0" fontId="18" fillId="51" borderId="99" applyNumberFormat="0" applyProtection="0">
      <alignment horizontal="left" vertical="center" indent="1"/>
    </xf>
    <xf numFmtId="4" fontId="47" fillId="0" borderId="99" applyNumberFormat="0" applyProtection="0">
      <alignment horizontal="left" vertical="center" indent="1"/>
    </xf>
    <xf numFmtId="0" fontId="18" fillId="49" borderId="99" applyNumberFormat="0" applyProtection="0">
      <alignment horizontal="left" vertical="top" indent="1"/>
    </xf>
    <xf numFmtId="0" fontId="18" fillId="54" borderId="99" applyNumberFormat="0" applyProtection="0">
      <alignment horizontal="left" vertical="top" indent="1"/>
    </xf>
    <xf numFmtId="0" fontId="114" fillId="79" borderId="102" applyNumberFormat="0" applyAlignment="0" applyProtection="0"/>
    <xf numFmtId="0" fontId="105" fillId="0" borderId="103" applyNumberFormat="0" applyFill="0" applyAlignment="0" applyProtection="0"/>
    <xf numFmtId="0" fontId="18" fillId="85" borderId="99" applyNumberFormat="0" applyProtection="0">
      <alignment horizontal="left" vertical="top" indent="1"/>
    </xf>
    <xf numFmtId="4" fontId="47" fillId="45" borderId="99" applyNumberFormat="0" applyProtection="0">
      <alignment horizontal="right" vertical="center"/>
    </xf>
    <xf numFmtId="0" fontId="110" fillId="77" borderId="100" applyNumberFormat="0" applyAlignment="0" applyProtection="0"/>
    <xf numFmtId="0" fontId="18" fillId="84" borderId="99" applyNumberFormat="0" applyProtection="0">
      <alignment horizontal="left" vertical="center" indent="1"/>
    </xf>
    <xf numFmtId="0" fontId="18" fillId="49" borderId="99" applyNumberFormat="0" applyProtection="0">
      <alignment horizontal="left" vertical="top" indent="1"/>
    </xf>
    <xf numFmtId="44" fontId="18" fillId="0" borderId="0" applyFont="0" applyFill="0" applyBorder="0" applyAlignment="0" applyProtection="0"/>
    <xf numFmtId="0" fontId="18" fillId="55" borderId="99" applyNumberFormat="0" applyProtection="0">
      <alignment horizontal="left" vertical="center" indent="1"/>
    </xf>
    <xf numFmtId="0" fontId="47" fillId="34" borderId="99" applyNumberFormat="0" applyProtection="0">
      <alignment horizontal="left" vertical="top"/>
    </xf>
    <xf numFmtId="0" fontId="18" fillId="54" borderId="99" applyNumberFormat="0" applyProtection="0">
      <alignment horizontal="left" vertical="top" indent="1"/>
    </xf>
    <xf numFmtId="4" fontId="47" fillId="44" borderId="99" applyNumberFormat="0" applyProtection="0">
      <alignment horizontal="right" vertical="center"/>
    </xf>
    <xf numFmtId="4" fontId="47" fillId="0" borderId="99" applyNumberFormat="0" applyProtection="0">
      <alignment horizontal="right" vertical="center"/>
    </xf>
    <xf numFmtId="0" fontId="18" fillId="51" borderId="99" applyNumberFormat="0" applyProtection="0">
      <alignment horizontal="left" vertical="center" indent="1"/>
    </xf>
    <xf numFmtId="4" fontId="27" fillId="37" borderId="99" applyNumberFormat="0" applyProtection="0">
      <alignment vertical="center"/>
    </xf>
    <xf numFmtId="0" fontId="105" fillId="0" borderId="103" applyNumberFormat="0" applyFill="0" applyAlignment="0" applyProtection="0"/>
    <xf numFmtId="0" fontId="27" fillId="38" borderId="99" applyNumberFormat="0" applyProtection="0">
      <alignment horizontal="left" vertical="top" indent="1"/>
    </xf>
    <xf numFmtId="0" fontId="18" fillId="51" borderId="99" applyNumberFormat="0" applyProtection="0">
      <alignment horizontal="left" vertical="top" indent="1"/>
    </xf>
    <xf numFmtId="0" fontId="47" fillId="34" borderId="99" applyNumberFormat="0" applyProtection="0">
      <alignment horizontal="left" vertical="top"/>
    </xf>
    <xf numFmtId="0" fontId="18" fillId="85"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left" vertical="center" indent="1"/>
    </xf>
    <xf numFmtId="4" fontId="25" fillId="49" borderId="99" applyNumberFormat="0" applyProtection="0">
      <alignment horizontal="right" vertical="center"/>
    </xf>
    <xf numFmtId="0" fontId="18" fillId="54" borderId="99" applyNumberFormat="0" applyProtection="0">
      <alignment horizontal="left" vertical="center" indent="1"/>
    </xf>
    <xf numFmtId="4" fontId="47" fillId="46" borderId="99" applyNumberFormat="0" applyProtection="0">
      <alignment horizontal="right" vertical="center"/>
    </xf>
    <xf numFmtId="0" fontId="18" fillId="85" borderId="99" applyNumberFormat="0" applyProtection="0">
      <alignment horizontal="left" vertical="center" indent="1"/>
    </xf>
    <xf numFmtId="0" fontId="114" fillId="79" borderId="102" applyNumberFormat="0" applyAlignment="0" applyProtection="0"/>
    <xf numFmtId="4" fontId="27" fillId="38" borderId="99" applyNumberFormat="0" applyProtection="0">
      <alignment horizontal="left" vertical="center" indent="1"/>
    </xf>
    <xf numFmtId="0" fontId="18" fillId="55" borderId="99" applyNumberFormat="0" applyProtection="0">
      <alignment horizontal="left" vertical="center" indent="1"/>
    </xf>
    <xf numFmtId="4" fontId="46" fillId="38" borderId="99" applyNumberFormat="0" applyProtection="0">
      <alignment vertical="center"/>
    </xf>
    <xf numFmtId="0" fontId="114" fillId="79" borderId="102" applyNumberFormat="0" applyAlignment="0" applyProtection="0"/>
    <xf numFmtId="0" fontId="105" fillId="0" borderId="103" applyNumberFormat="0" applyFill="0" applyAlignment="0" applyProtection="0"/>
    <xf numFmtId="4" fontId="47" fillId="39" borderId="99" applyNumberFormat="0" applyProtection="0">
      <alignment horizontal="right" vertical="center"/>
    </xf>
    <xf numFmtId="4" fontId="27" fillId="34" borderId="106" applyNumberFormat="0" applyProtection="0">
      <alignment vertical="center"/>
    </xf>
    <xf numFmtId="4" fontId="47" fillId="35" borderId="99" applyNumberFormat="0" applyProtection="0">
      <alignment horizontal="left" vertical="center" indent="1"/>
    </xf>
    <xf numFmtId="0" fontId="18" fillId="84" borderId="99" applyNumberFormat="0" applyProtection="0">
      <alignment horizontal="left" vertical="top" indent="1"/>
    </xf>
    <xf numFmtId="0" fontId="18" fillId="85" borderId="99" applyNumberFormat="0" applyProtection="0">
      <alignment horizontal="left" vertical="center" indent="1"/>
    </xf>
    <xf numFmtId="0" fontId="18" fillId="49" borderId="99" applyNumberFormat="0" applyProtection="0">
      <alignment horizontal="left" vertical="center" indent="1"/>
    </xf>
    <xf numFmtId="0" fontId="114" fillId="79" borderId="102" applyNumberFormat="0" applyAlignment="0" applyProtection="0"/>
    <xf numFmtId="0" fontId="102" fillId="79" borderId="100" applyNumberFormat="0" applyAlignment="0" applyProtection="0"/>
    <xf numFmtId="0" fontId="18" fillId="76" borderId="101" applyNumberFormat="0" applyFont="0" applyAlignment="0" applyProtection="0"/>
    <xf numFmtId="0" fontId="102" fillId="79" borderId="100" applyNumberFormat="0" applyAlignment="0" applyProtection="0"/>
    <xf numFmtId="0" fontId="18" fillId="0" borderId="0"/>
    <xf numFmtId="4" fontId="27" fillId="37" borderId="99" applyNumberFormat="0" applyProtection="0">
      <alignment vertical="center"/>
    </xf>
    <xf numFmtId="4" fontId="27" fillId="38" borderId="99" applyNumberFormat="0" applyProtection="0">
      <alignment horizontal="left" vertical="center" indent="1"/>
    </xf>
    <xf numFmtId="0" fontId="18" fillId="34" borderId="99" applyNumberFormat="0" applyProtection="0">
      <alignment horizontal="left" vertical="top" indent="1"/>
    </xf>
    <xf numFmtId="4" fontId="47" fillId="51" borderId="99" applyNumberFormat="0" applyProtection="0">
      <alignment horizontal="left" vertical="center" indent="1"/>
    </xf>
    <xf numFmtId="4" fontId="27" fillId="38" borderId="99" applyNumberFormat="0" applyProtection="0">
      <alignment vertical="center"/>
    </xf>
    <xf numFmtId="0" fontId="24" fillId="59" borderId="104" applyNumberFormat="0" applyFont="0" applyAlignment="0" applyProtection="0">
      <protection locked="0"/>
    </xf>
    <xf numFmtId="0" fontId="18" fillId="34" borderId="99" applyNumberFormat="0" applyProtection="0">
      <alignment horizontal="left" vertical="top"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8" fillId="50" borderId="99" applyNumberFormat="0" applyProtection="0">
      <alignment horizontal="left" vertical="top" indent="1"/>
    </xf>
    <xf numFmtId="4" fontId="27" fillId="34" borderId="99" applyNumberForma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50" borderId="99" applyNumberFormat="0" applyProtection="0">
      <alignment horizontal="left" vertical="center" indent="1"/>
    </xf>
    <xf numFmtId="0" fontId="18" fillId="76" borderId="91" applyNumberFormat="0" applyFont="0" applyAlignment="0" applyProtection="0"/>
    <xf numFmtId="4" fontId="51" fillId="35" borderId="99" applyNumberFormat="0" applyProtection="0">
      <alignment vertical="center"/>
    </xf>
    <xf numFmtId="0" fontId="18" fillId="50" borderId="99" applyNumberFormat="0" applyProtection="0">
      <alignment horizontal="left" vertical="center" indent="1"/>
    </xf>
    <xf numFmtId="4" fontId="27" fillId="38" borderId="99" applyNumberFormat="0" applyProtection="0">
      <alignment horizontal="left" vertical="center" indent="1"/>
    </xf>
    <xf numFmtId="0" fontId="18" fillId="54" borderId="99" applyNumberFormat="0" applyProtection="0">
      <alignment horizontal="left" vertical="top" indent="1"/>
    </xf>
    <xf numFmtId="0" fontId="21" fillId="35" borderId="12" applyNumberFormat="0" applyFont="0" applyAlignment="0" applyProtection="0">
      <alignment horizontal="center"/>
      <protection locked="0"/>
    </xf>
    <xf numFmtId="0" fontId="18" fillId="76" borderId="101" applyNumberFormat="0" applyFont="0" applyAlignment="0" applyProtection="0"/>
    <xf numFmtId="0" fontId="18" fillId="76" borderId="101" applyNumberFormat="0" applyFont="0" applyAlignment="0" applyProtection="0"/>
    <xf numFmtId="0" fontId="105" fillId="0" borderId="103" applyNumberFormat="0" applyFill="0" applyAlignment="0" applyProtection="0"/>
    <xf numFmtId="0" fontId="114" fillId="79" borderId="102" applyNumberFormat="0" applyAlignment="0" applyProtection="0"/>
    <xf numFmtId="0" fontId="114" fillId="79" borderId="102" applyNumberFormat="0" applyAlignment="0" applyProtection="0"/>
    <xf numFmtId="4" fontId="47" fillId="45" borderId="99" applyNumberFormat="0" applyProtection="0">
      <alignment horizontal="right" vertical="center"/>
    </xf>
    <xf numFmtId="0" fontId="18" fillId="54" borderId="99" applyNumberFormat="0" applyProtection="0">
      <alignment horizontal="left" vertical="top" indent="1"/>
    </xf>
    <xf numFmtId="0" fontId="110" fillId="77" borderId="100" applyNumberFormat="0" applyAlignment="0" applyProtection="0"/>
    <xf numFmtId="0" fontId="18" fillId="51" borderId="99" applyNumberFormat="0" applyProtection="0">
      <alignment horizontal="left" vertical="center" indent="1"/>
    </xf>
    <xf numFmtId="0" fontId="18" fillId="76" borderId="101" applyNumberFormat="0" applyFont="0" applyAlignment="0" applyProtection="0"/>
    <xf numFmtId="4" fontId="47" fillId="40" borderId="99" applyNumberFormat="0" applyProtection="0">
      <alignment horizontal="right" vertical="center"/>
    </xf>
    <xf numFmtId="0" fontId="27" fillId="38" borderId="99" applyNumberFormat="0" applyProtection="0">
      <alignment horizontal="left" vertical="top" indent="1"/>
    </xf>
    <xf numFmtId="0" fontId="18" fillId="49" borderId="99" applyNumberFormat="0" applyProtection="0">
      <alignment horizontal="left" vertical="top" indent="1"/>
    </xf>
    <xf numFmtId="4" fontId="46" fillId="38" borderId="99" applyNumberFormat="0" applyProtection="0">
      <alignment vertical="center"/>
    </xf>
    <xf numFmtId="0" fontId="18" fillId="51" borderId="99" applyNumberFormat="0" applyProtection="0">
      <alignment horizontal="left" vertical="top" indent="1"/>
    </xf>
    <xf numFmtId="4" fontId="47" fillId="59" borderId="99" applyNumberFormat="0" applyProtection="0">
      <alignment horizontal="left" vertical="center" indent="1"/>
    </xf>
    <xf numFmtId="4" fontId="47" fillId="44" borderId="99" applyNumberFormat="0" applyProtection="0">
      <alignment horizontal="right" vertical="center"/>
    </xf>
    <xf numFmtId="0" fontId="105" fillId="0" borderId="103" applyNumberFormat="0" applyFill="0" applyAlignment="0" applyProtection="0"/>
    <xf numFmtId="0" fontId="18" fillId="84" borderId="99" applyNumberFormat="0" applyProtection="0">
      <alignment horizontal="left" vertical="center" indent="1"/>
    </xf>
    <xf numFmtId="0" fontId="18" fillId="55" borderId="99" applyNumberFormat="0" applyProtection="0">
      <alignment horizontal="left" vertical="top" indent="1"/>
    </xf>
    <xf numFmtId="4" fontId="47" fillId="45" borderId="99" applyNumberFormat="0" applyProtection="0">
      <alignment horizontal="right" vertical="center"/>
    </xf>
    <xf numFmtId="4" fontId="47" fillId="0" borderId="99" applyNumberFormat="0" applyProtection="0">
      <alignment horizontal="righ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84" borderId="99" applyNumberFormat="0" applyProtection="0">
      <alignment horizontal="left" vertical="top" indent="1"/>
    </xf>
    <xf numFmtId="0" fontId="18" fillId="76" borderId="10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center" indent="1"/>
    </xf>
    <xf numFmtId="4" fontId="47" fillId="40" borderId="99" applyNumberFormat="0" applyProtection="0">
      <alignment horizontal="right" vertical="center"/>
    </xf>
    <xf numFmtId="4" fontId="47" fillId="35" borderId="99" applyNumberFormat="0" applyProtection="0">
      <alignment horizontal="left" vertical="center" indent="1"/>
    </xf>
    <xf numFmtId="0" fontId="105" fillId="0" borderId="103" applyNumberFormat="0" applyFill="0" applyAlignment="0" applyProtection="0"/>
    <xf numFmtId="0" fontId="18" fillId="84" borderId="99" applyNumberFormat="0" applyProtection="0">
      <alignment horizontal="left" vertical="top" indent="1"/>
    </xf>
    <xf numFmtId="4" fontId="47" fillId="0" borderId="99" applyNumberFormat="0" applyProtection="0">
      <alignment horizontal="left" vertical="center" indent="1"/>
    </xf>
    <xf numFmtId="0" fontId="18" fillId="85" borderId="99" applyNumberFormat="0" applyProtection="0">
      <alignment horizontal="left" vertical="center" indent="1"/>
    </xf>
    <xf numFmtId="0" fontId="18" fillId="51" borderId="99" applyNumberFormat="0" applyProtection="0">
      <alignment horizontal="left" vertical="top" indent="1"/>
    </xf>
    <xf numFmtId="4" fontId="51" fillId="35" borderId="99" applyNumberFormat="0" applyProtection="0">
      <alignment vertical="center"/>
    </xf>
    <xf numFmtId="4" fontId="47" fillId="45" borderId="99" applyNumberFormat="0" applyProtection="0">
      <alignment horizontal="right" vertical="center"/>
    </xf>
    <xf numFmtId="0" fontId="18" fillId="55" borderId="99" applyNumberFormat="0" applyProtection="0">
      <alignment horizontal="left" vertical="top" indent="1"/>
    </xf>
    <xf numFmtId="0" fontId="102" fillId="79" borderId="100" applyNumberFormat="0" applyAlignment="0" applyProtection="0"/>
    <xf numFmtId="0" fontId="63" fillId="59" borderId="104" applyNumberFormat="0" applyFont="0" applyFill="0" applyAlignment="0" applyProtection="0">
      <protection locked="0"/>
    </xf>
    <xf numFmtId="0" fontId="18" fillId="49" borderId="99" applyNumberFormat="0" applyProtection="0">
      <alignment horizontal="left" vertical="center" indent="1"/>
    </xf>
    <xf numFmtId="0" fontId="105" fillId="0" borderId="103" applyNumberFormat="0" applyFill="0" applyAlignment="0" applyProtection="0"/>
    <xf numFmtId="0" fontId="47" fillId="34" borderId="99" applyNumberFormat="0" applyProtection="0">
      <alignment horizontal="left" vertical="top"/>
    </xf>
    <xf numFmtId="4" fontId="27" fillId="34" borderId="99" applyNumberFormat="0" applyProtection="0"/>
    <xf numFmtId="4" fontId="27" fillId="34" borderId="99" applyNumberFormat="0" applyProtection="0"/>
    <xf numFmtId="0" fontId="114" fillId="79" borderId="102" applyNumberFormat="0" applyAlignment="0" applyProtection="0"/>
    <xf numFmtId="0" fontId="18" fillId="54" borderId="99" applyNumberFormat="0" applyProtection="0">
      <alignment horizontal="left" vertical="center" indent="1"/>
    </xf>
    <xf numFmtId="0" fontId="18" fillId="34"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right" vertical="center"/>
    </xf>
    <xf numFmtId="0" fontId="47" fillId="34" borderId="99" applyNumberFormat="0" applyProtection="0">
      <alignment horizontal="center" vertical="top"/>
    </xf>
    <xf numFmtId="4" fontId="47" fillId="41" borderId="99" applyNumberFormat="0" applyProtection="0">
      <alignment horizontal="right" vertical="center"/>
    </xf>
    <xf numFmtId="4" fontId="47" fillId="35" borderId="99" applyNumberFormat="0" applyProtection="0">
      <alignment horizontal="left" vertical="center" indent="1"/>
    </xf>
    <xf numFmtId="0" fontId="18" fillId="76" borderId="101" applyNumberFormat="0" applyFont="0" applyAlignment="0" applyProtection="0"/>
    <xf numFmtId="0" fontId="18" fillId="50" borderId="99" applyNumberFormat="0" applyProtection="0">
      <alignment horizontal="left" vertical="top" indent="1"/>
    </xf>
    <xf numFmtId="0" fontId="114" fillId="79" borderId="102" applyNumberFormat="0" applyAlignment="0" applyProtection="0"/>
    <xf numFmtId="4" fontId="27" fillId="38" borderId="99" applyNumberFormat="0" applyProtection="0">
      <alignment horizontal="left" vertical="center" indent="1"/>
    </xf>
    <xf numFmtId="0" fontId="105" fillId="0" borderId="103" applyNumberFormat="0" applyFill="0" applyAlignment="0" applyProtection="0"/>
    <xf numFmtId="4" fontId="27" fillId="38" borderId="99" applyNumberFormat="0" applyProtection="0">
      <alignment horizontal="left" vertical="center" indent="1"/>
    </xf>
    <xf numFmtId="0" fontId="18" fillId="34" borderId="99" applyNumberFormat="0" applyProtection="0">
      <alignment horizontal="left" vertical="center" indent="1"/>
    </xf>
    <xf numFmtId="4" fontId="27" fillId="34" borderId="99" applyNumberFormat="0" applyProtection="0"/>
    <xf numFmtId="0" fontId="102" fillId="79" borderId="96" applyNumberFormat="0" applyAlignment="0" applyProtection="0"/>
    <xf numFmtId="0" fontId="110" fillId="77" borderId="96" applyNumberFormat="0" applyAlignment="0" applyProtection="0"/>
    <xf numFmtId="0" fontId="114" fillId="79" borderId="92" applyNumberFormat="0" applyAlignment="0" applyProtection="0"/>
    <xf numFmtId="0" fontId="114" fillId="79" borderId="92" applyNumberFormat="0" applyAlignment="0" applyProtection="0"/>
    <xf numFmtId="0" fontId="102" fillId="79" borderId="100" applyNumberForma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63" fillId="59" borderId="104" applyNumberFormat="0" applyFont="0" applyFill="0" applyAlignment="0" applyProtection="0">
      <protection locked="0"/>
    </xf>
    <xf numFmtId="0" fontId="18" fillId="50" borderId="99" applyNumberFormat="0" applyProtection="0">
      <alignment horizontal="left" vertical="top" indent="1"/>
    </xf>
    <xf numFmtId="0" fontId="18" fillId="76" borderId="101" applyNumberFormat="0" applyFont="0" applyAlignment="0" applyProtection="0"/>
    <xf numFmtId="0" fontId="102" fillId="79" borderId="100" applyNumberFormat="0" applyAlignment="0" applyProtection="0"/>
    <xf numFmtId="0" fontId="18" fillId="49" borderId="99" applyNumberFormat="0" applyProtection="0">
      <alignment horizontal="left" vertical="center" indent="1"/>
    </xf>
    <xf numFmtId="0" fontId="110" fillId="77" borderId="100" applyNumberFormat="0" applyAlignment="0" applyProtection="0"/>
    <xf numFmtId="0" fontId="18" fillId="84" borderId="99" applyNumberFormat="0" applyProtection="0">
      <alignment horizontal="left" vertical="top" indent="1"/>
    </xf>
    <xf numFmtId="4" fontId="47" fillId="35" borderId="99" applyNumberFormat="0" applyProtection="0">
      <alignment horizontal="left" vertical="center" indent="1"/>
    </xf>
    <xf numFmtId="4" fontId="27" fillId="34" borderId="99" applyNumberFormat="0" applyProtection="0"/>
    <xf numFmtId="0" fontId="18" fillId="34" borderId="99" applyNumberFormat="0" applyProtection="0">
      <alignment horizontal="left" vertical="top" indent="1"/>
    </xf>
    <xf numFmtId="0" fontId="18" fillId="49" borderId="99" applyNumberFormat="0" applyProtection="0">
      <alignment horizontal="left" vertical="center" indent="1"/>
    </xf>
    <xf numFmtId="0" fontId="18" fillId="85" borderId="99" applyNumberFormat="0" applyProtection="0">
      <alignment horizontal="left" vertical="center" indent="1"/>
    </xf>
    <xf numFmtId="4" fontId="47" fillId="0" borderId="99" applyNumberFormat="0" applyProtection="0">
      <alignment horizontal="right" vertical="center"/>
    </xf>
    <xf numFmtId="0" fontId="18" fillId="51" borderId="99" applyNumberFormat="0" applyProtection="0">
      <alignment horizontal="left" vertical="top" indent="1"/>
    </xf>
    <xf numFmtId="0" fontId="110" fillId="77" borderId="100" applyNumberFormat="0" applyAlignment="0" applyProtection="0"/>
    <xf numFmtId="0" fontId="18" fillId="76" borderId="101" applyNumberFormat="0" applyFont="0" applyAlignment="0" applyProtection="0"/>
    <xf numFmtId="0" fontId="105" fillId="0" borderId="103" applyNumberFormat="0" applyFill="0" applyAlignment="0" applyProtection="0"/>
    <xf numFmtId="0" fontId="18" fillId="50" borderId="99" applyNumberFormat="0" applyProtection="0">
      <alignment horizontal="left" vertical="center" indent="1"/>
    </xf>
    <xf numFmtId="0" fontId="114" fillId="79" borderId="102" applyNumberFormat="0" applyAlignment="0" applyProtection="0"/>
    <xf numFmtId="0" fontId="114" fillId="79" borderId="102" applyNumberFormat="0" applyAlignment="0" applyProtection="0"/>
    <xf numFmtId="0" fontId="105" fillId="0" borderId="103" applyNumberFormat="0" applyFill="0" applyAlignment="0" applyProtection="0"/>
    <xf numFmtId="0" fontId="105" fillId="0" borderId="103" applyNumberFormat="0" applyFill="0" applyAlignment="0" applyProtection="0"/>
    <xf numFmtId="0" fontId="18" fillId="34" borderId="99" applyNumberFormat="0" applyProtection="0">
      <alignment horizontal="left" vertical="center" indent="1"/>
    </xf>
    <xf numFmtId="4" fontId="27" fillId="38"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27" fillId="38" borderId="99" applyNumberFormat="0" applyProtection="0">
      <alignment horizontal="left" vertical="center" indent="1"/>
    </xf>
    <xf numFmtId="0" fontId="110" fillId="77" borderId="100" applyNumberFormat="0" applyAlignment="0" applyProtection="0"/>
    <xf numFmtId="0" fontId="18" fillId="51" borderId="99" applyNumberFormat="0" applyProtection="0">
      <alignment horizontal="left" vertical="top" indent="1"/>
    </xf>
    <xf numFmtId="4" fontId="51" fillId="49" borderId="99" applyNumberFormat="0" applyProtection="0">
      <alignment horizontal="right" vertical="center"/>
    </xf>
    <xf numFmtId="0" fontId="18" fillId="76" borderId="91" applyNumberFormat="0" applyFont="0" applyAlignment="0" applyProtection="0"/>
    <xf numFmtId="0" fontId="18" fillId="34" borderId="99" applyNumberFormat="0" applyProtection="0">
      <alignment horizontal="left" vertical="center" indent="1"/>
    </xf>
    <xf numFmtId="0" fontId="18" fillId="54" borderId="99" applyNumberFormat="0" applyProtection="0">
      <alignment horizontal="left" vertical="top" indent="1"/>
    </xf>
    <xf numFmtId="4" fontId="27" fillId="34" borderId="99" applyNumberFormat="0" applyProtection="0"/>
    <xf numFmtId="0" fontId="26" fillId="0" borderId="105">
      <alignment horizontal="left" vertical="center"/>
    </xf>
    <xf numFmtId="0" fontId="26" fillId="0" borderId="89">
      <alignment horizontal="left" vertical="center"/>
    </xf>
    <xf numFmtId="0" fontId="114" fillId="79" borderId="102" applyNumberFormat="0" applyAlignment="0" applyProtection="0"/>
    <xf numFmtId="4" fontId="27" fillId="38" borderId="99" applyNumberFormat="0" applyProtection="0">
      <alignment horizontal="left" vertical="center" indent="1"/>
    </xf>
    <xf numFmtId="0" fontId="18" fillId="51" borderId="99" applyNumberFormat="0" applyProtection="0">
      <alignment horizontal="left" vertical="top" indent="1"/>
    </xf>
    <xf numFmtId="0" fontId="18" fillId="85" borderId="99" applyNumberFormat="0" applyProtection="0">
      <alignment horizontal="left" vertical="top" indent="1"/>
    </xf>
    <xf numFmtId="0" fontId="18" fillId="49" borderId="99" applyNumberFormat="0" applyProtection="0">
      <alignment horizontal="left" vertical="center" indent="1"/>
    </xf>
    <xf numFmtId="4" fontId="47" fillId="47" borderId="99" applyNumberFormat="0" applyProtection="0">
      <alignment horizontal="right" vertical="center"/>
    </xf>
    <xf numFmtId="0" fontId="110" fillId="77" borderId="100" applyNumberFormat="0" applyAlignment="0" applyProtection="0"/>
    <xf numFmtId="4" fontId="47" fillId="44" borderId="99" applyNumberFormat="0" applyProtection="0">
      <alignment horizontal="right" vertical="center"/>
    </xf>
    <xf numFmtId="0" fontId="18" fillId="51" borderId="99" applyNumberFormat="0" applyProtection="0">
      <alignment horizontal="left" vertical="top" indent="1"/>
    </xf>
    <xf numFmtId="0" fontId="18" fillId="76" borderId="101" applyNumberFormat="0" applyFont="0" applyAlignment="0" applyProtection="0"/>
    <xf numFmtId="4" fontId="47" fillId="39" borderId="99" applyNumberFormat="0" applyProtection="0">
      <alignment horizontal="right" vertical="center"/>
    </xf>
    <xf numFmtId="4" fontId="47" fillId="0" borderId="99" applyNumberFormat="0" applyProtection="0">
      <alignment horizontal="right" vertical="center"/>
    </xf>
    <xf numFmtId="0" fontId="18" fillId="76" borderId="101" applyNumberFormat="0" applyFont="0" applyAlignment="0" applyProtection="0"/>
    <xf numFmtId="4" fontId="47" fillId="0" borderId="99" applyNumberFormat="0" applyProtection="0">
      <alignment horizontal="right" vertical="center"/>
    </xf>
    <xf numFmtId="4" fontId="47" fillId="35" borderId="99" applyNumberFormat="0" applyProtection="0">
      <alignment vertical="center"/>
    </xf>
    <xf numFmtId="4" fontId="47" fillId="39" borderId="99" applyNumberFormat="0" applyProtection="0">
      <alignment horizontal="right" vertical="center"/>
    </xf>
    <xf numFmtId="0" fontId="18" fillId="84"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4" fontId="46" fillId="38" borderId="99" applyNumberFormat="0" applyProtection="0">
      <alignment vertical="center"/>
    </xf>
    <xf numFmtId="0" fontId="18" fillId="54" borderId="99" applyNumberFormat="0" applyProtection="0">
      <alignment horizontal="left" vertical="center" indent="1"/>
    </xf>
    <xf numFmtId="0" fontId="18" fillId="85" borderId="99" applyNumberFormat="0" applyProtection="0">
      <alignment horizontal="left" vertical="center" indent="1"/>
    </xf>
    <xf numFmtId="0" fontId="63" fillId="59" borderId="104" applyNumberFormat="0" applyFont="0" applyFill="0" applyAlignment="0" applyProtection="0">
      <protection locked="0"/>
    </xf>
    <xf numFmtId="0" fontId="105" fillId="0" borderId="103" applyNumberFormat="0" applyFill="0" applyAlignment="0" applyProtection="0"/>
    <xf numFmtId="4" fontId="27" fillId="37" borderId="99" applyNumberFormat="0" applyProtection="0">
      <alignment vertical="center"/>
    </xf>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0" fontId="47" fillId="34" borderId="99" applyNumberFormat="0" applyProtection="0">
      <alignment horizontal="left" vertical="top"/>
    </xf>
    <xf numFmtId="0" fontId="18" fillId="76" borderId="91" applyNumberFormat="0" applyFont="0" applyAlignment="0" applyProtection="0"/>
    <xf numFmtId="0" fontId="18" fillId="55" borderId="99" applyNumberFormat="0" applyProtection="0">
      <alignment horizontal="left" vertical="top" indent="1"/>
    </xf>
    <xf numFmtId="4" fontId="47" fillId="39" borderId="99" applyNumberFormat="0" applyProtection="0">
      <alignment horizontal="right" vertical="center"/>
    </xf>
    <xf numFmtId="0" fontId="114" fillId="79" borderId="102" applyNumberFormat="0" applyAlignment="0" applyProtection="0"/>
    <xf numFmtId="0" fontId="18" fillId="85" borderId="99" applyNumberFormat="0" applyProtection="0">
      <alignment horizontal="left" vertical="center" indent="1"/>
    </xf>
    <xf numFmtId="0" fontId="18" fillId="34" borderId="99" applyNumberFormat="0" applyProtection="0">
      <alignment horizontal="left" vertical="top" indent="1"/>
    </xf>
    <xf numFmtId="0" fontId="102" fillId="79" borderId="100" applyNumberFormat="0" applyAlignment="0" applyProtection="0"/>
    <xf numFmtId="0" fontId="18" fillId="54" borderId="99" applyNumberFormat="0" applyProtection="0">
      <alignment horizontal="left" vertical="top" indent="1"/>
    </xf>
    <xf numFmtId="0" fontId="18" fillId="51" borderId="99" applyNumberFormat="0" applyProtection="0">
      <alignment horizontal="left" vertical="center" indent="1"/>
    </xf>
    <xf numFmtId="0" fontId="18" fillId="76" borderId="101" applyNumberFormat="0" applyFont="0" applyAlignment="0" applyProtection="0"/>
    <xf numFmtId="0" fontId="102" fillId="79" borderId="100" applyNumberFormat="0" applyAlignment="0" applyProtection="0"/>
    <xf numFmtId="0" fontId="18" fillId="55" borderId="99" applyNumberFormat="0" applyProtection="0">
      <alignment horizontal="left" vertical="top" indent="1"/>
    </xf>
    <xf numFmtId="0" fontId="102" fillId="79" borderId="100" applyNumberFormat="0" applyAlignment="0" applyProtection="0"/>
    <xf numFmtId="4" fontId="27" fillId="37" borderId="99" applyNumberFormat="0" applyProtection="0">
      <alignment vertical="center"/>
    </xf>
    <xf numFmtId="0" fontId="102" fillId="79" borderId="100" applyNumberFormat="0" applyAlignment="0" applyProtection="0"/>
    <xf numFmtId="0" fontId="18" fillId="51" borderId="99" applyNumberFormat="0" applyProtection="0">
      <alignment horizontal="left" vertical="top" indent="1"/>
    </xf>
    <xf numFmtId="0" fontId="105" fillId="0" borderId="103" applyNumberFormat="0" applyFill="0" applyAlignment="0" applyProtection="0"/>
    <xf numFmtId="4" fontId="47" fillId="43" borderId="99" applyNumberFormat="0" applyProtection="0">
      <alignment horizontal="right" vertical="center"/>
    </xf>
    <xf numFmtId="0" fontId="18" fillId="85" borderId="99" applyNumberFormat="0" applyProtection="0">
      <alignment horizontal="left" vertical="top" indent="1"/>
    </xf>
    <xf numFmtId="0" fontId="18" fillId="34" borderId="99" applyNumberFormat="0" applyProtection="0">
      <alignment horizontal="left" vertical="top" indent="1"/>
    </xf>
    <xf numFmtId="0" fontId="18" fillId="50" borderId="99" applyNumberFormat="0" applyProtection="0">
      <alignment horizontal="left" vertical="center" indent="1"/>
    </xf>
    <xf numFmtId="4" fontId="47" fillId="47" borderId="99" applyNumberFormat="0" applyProtection="0">
      <alignment horizontal="right" vertical="center"/>
    </xf>
    <xf numFmtId="0" fontId="18" fillId="55" borderId="99" applyNumberFormat="0" applyProtection="0">
      <alignment horizontal="left" vertical="center"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0" fontId="18" fillId="54" borderId="99" applyNumberFormat="0" applyProtection="0">
      <alignment horizontal="left" vertical="top" indent="1"/>
    </xf>
    <xf numFmtId="0" fontId="18" fillId="5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8" fillId="54" borderId="99" applyNumberFormat="0" applyProtection="0">
      <alignment horizontal="left" vertical="center" indent="1"/>
    </xf>
    <xf numFmtId="4" fontId="27" fillId="34" borderId="99" applyNumberFormat="0" applyProtection="0"/>
    <xf numFmtId="0" fontId="114" fillId="79" borderId="92" applyNumberFormat="0" applyAlignment="0" applyProtection="0"/>
    <xf numFmtId="4" fontId="47" fillId="39" borderId="99" applyNumberFormat="0" applyProtection="0">
      <alignment horizontal="right" vertical="center"/>
    </xf>
    <xf numFmtId="0" fontId="18" fillId="34"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0" fontId="47" fillId="34" borderId="99" applyNumberFormat="0" applyProtection="0">
      <alignment horizontal="left" vertical="top"/>
    </xf>
    <xf numFmtId="4" fontId="27" fillId="38" borderId="99" applyNumberFormat="0" applyProtection="0">
      <alignment horizontal="left" vertical="center" indent="1"/>
    </xf>
    <xf numFmtId="4" fontId="47" fillId="0" borderId="99" applyNumberFormat="0" applyProtection="0">
      <alignment horizontal="left" vertical="center" indent="1"/>
    </xf>
    <xf numFmtId="0" fontId="18" fillId="55" borderId="99" applyNumberFormat="0" applyProtection="0">
      <alignment horizontal="left" vertical="center" indent="1"/>
    </xf>
    <xf numFmtId="0" fontId="18" fillId="76" borderId="101" applyNumberFormat="0" applyFont="0" applyAlignment="0" applyProtection="0"/>
    <xf numFmtId="0" fontId="18" fillId="55" borderId="99" applyNumberFormat="0" applyProtection="0">
      <alignment horizontal="left" vertical="top" indent="1"/>
    </xf>
    <xf numFmtId="0" fontId="105" fillId="0" borderId="103" applyNumberFormat="0" applyFill="0" applyAlignment="0" applyProtection="0"/>
    <xf numFmtId="0" fontId="18" fillId="55" borderId="99" applyNumberFormat="0" applyProtection="0">
      <alignment horizontal="left" vertical="top" indent="1"/>
    </xf>
    <xf numFmtId="4" fontId="47" fillId="35" borderId="99" applyNumberFormat="0" applyProtection="0">
      <alignment horizontal="left" vertical="center" indent="1"/>
    </xf>
    <xf numFmtId="4" fontId="27" fillId="38" borderId="99" applyNumberFormat="0" applyProtection="0">
      <alignment horizontal="left" vertical="center" indent="1"/>
    </xf>
    <xf numFmtId="0" fontId="114" fillId="79" borderId="102" applyNumberFormat="0" applyAlignment="0" applyProtection="0"/>
    <xf numFmtId="0" fontId="18" fillId="55" borderId="99" applyNumberFormat="0" applyProtection="0">
      <alignment horizontal="left" vertical="center" indent="1"/>
    </xf>
    <xf numFmtId="0" fontId="18" fillId="54" borderId="99" applyNumberFormat="0" applyProtection="0">
      <alignment horizontal="left" vertical="top" indent="1"/>
    </xf>
    <xf numFmtId="4" fontId="51" fillId="35" borderId="99" applyNumberFormat="0" applyProtection="0">
      <alignment vertical="center"/>
    </xf>
    <xf numFmtId="4" fontId="25" fillId="49" borderId="99" applyNumberFormat="0" applyProtection="0">
      <alignment horizontal="right" vertical="center"/>
    </xf>
    <xf numFmtId="0" fontId="27" fillId="38" borderId="99" applyNumberFormat="0" applyProtection="0">
      <alignment horizontal="left" vertical="top" indent="1"/>
    </xf>
    <xf numFmtId="0" fontId="18" fillId="50" borderId="99" applyNumberFormat="0" applyProtection="0">
      <alignment horizontal="left" vertical="center" indent="1"/>
    </xf>
    <xf numFmtId="0" fontId="114" fillId="79" borderId="102" applyNumberFormat="0" applyAlignment="0" applyProtection="0"/>
    <xf numFmtId="4" fontId="47" fillId="0" borderId="99" applyNumberFormat="0" applyProtection="0">
      <alignment horizontal="right" vertical="center"/>
    </xf>
    <xf numFmtId="0" fontId="18" fillId="34" borderId="99" applyNumberFormat="0" applyProtection="0">
      <alignment horizontal="left" vertical="top" indent="1"/>
    </xf>
    <xf numFmtId="0" fontId="18" fillId="84" borderId="99" applyNumberFormat="0" applyProtection="0">
      <alignment horizontal="left" vertical="center" indent="1"/>
    </xf>
    <xf numFmtId="0" fontId="105" fillId="0" borderId="103" applyNumberFormat="0" applyFill="0" applyAlignment="0" applyProtection="0"/>
    <xf numFmtId="0" fontId="18" fillId="50" borderId="99" applyNumberFormat="0" applyProtection="0">
      <alignment horizontal="left" vertical="top" indent="1"/>
    </xf>
    <xf numFmtId="0" fontId="110" fillId="77" borderId="100" applyNumberFormat="0" applyAlignment="0" applyProtection="0"/>
    <xf numFmtId="4" fontId="27" fillId="38" borderId="99" applyNumberFormat="0" applyProtection="0">
      <alignment horizontal="left" vertical="center" indent="1"/>
    </xf>
    <xf numFmtId="4" fontId="47" fillId="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8" fillId="55"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top" indent="1"/>
    </xf>
    <xf numFmtId="4" fontId="25" fillId="49" borderId="99" applyNumberFormat="0" applyProtection="0">
      <alignment horizontal="right" vertical="center"/>
    </xf>
    <xf numFmtId="0" fontId="110" fillId="77" borderId="100" applyNumberFormat="0" applyAlignment="0" applyProtection="0"/>
    <xf numFmtId="0" fontId="18" fillId="49" borderId="99" applyNumberFormat="0" applyProtection="0">
      <alignment horizontal="left" vertical="top" indent="1"/>
    </xf>
    <xf numFmtId="0" fontId="18" fillId="84" borderId="99" applyNumberFormat="0" applyProtection="0">
      <alignment horizontal="left" vertical="top" indent="1"/>
    </xf>
    <xf numFmtId="4" fontId="47" fillId="41" borderId="99" applyNumberFormat="0" applyProtection="0">
      <alignment horizontal="right" vertical="center"/>
    </xf>
    <xf numFmtId="4" fontId="47" fillId="0" borderId="99" applyNumberFormat="0" applyProtection="0">
      <alignment horizontal="right" vertical="center"/>
    </xf>
    <xf numFmtId="0" fontId="114" fillId="79" borderId="102" applyNumberFormat="0" applyAlignment="0" applyProtection="0"/>
    <xf numFmtId="0" fontId="105" fillId="0" borderId="103" applyNumberFormat="0" applyFill="0" applyAlignment="0" applyProtection="0"/>
    <xf numFmtId="4" fontId="47" fillId="46" borderId="99" applyNumberFormat="0" applyProtection="0">
      <alignment horizontal="right" vertical="center"/>
    </xf>
    <xf numFmtId="0" fontId="18" fillId="76" borderId="101" applyNumberFormat="0" applyFont="0" applyAlignment="0" applyProtection="0"/>
    <xf numFmtId="0" fontId="47" fillId="34" borderId="99" applyNumberFormat="0" applyProtection="0">
      <alignment horizontal="left" vertical="top"/>
    </xf>
    <xf numFmtId="4" fontId="47" fillId="46" borderId="99" applyNumberFormat="0" applyProtection="0">
      <alignment horizontal="right" vertical="center"/>
    </xf>
    <xf numFmtId="0" fontId="18" fillId="55" borderId="99" applyNumberFormat="0" applyProtection="0">
      <alignment horizontal="left" vertical="top" indent="1"/>
    </xf>
    <xf numFmtId="0" fontId="18" fillId="51" borderId="99" applyNumberFormat="0" applyProtection="0">
      <alignment horizontal="left" vertical="center" indent="1"/>
    </xf>
    <xf numFmtId="4" fontId="27" fillId="34" borderId="99" applyNumberFormat="0" applyProtection="0"/>
    <xf numFmtId="4" fontId="47" fillId="47" borderId="99" applyNumberFormat="0" applyProtection="0">
      <alignment horizontal="right" vertical="center"/>
    </xf>
    <xf numFmtId="0" fontId="27" fillId="38"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0" fontId="47" fillId="34" borderId="99" applyNumberFormat="0" applyProtection="0">
      <alignment horizontal="left" vertical="top"/>
    </xf>
    <xf numFmtId="0" fontId="27" fillId="38" borderId="99" applyNumberFormat="0" applyProtection="0">
      <alignment horizontal="left" vertical="top" indent="1"/>
    </xf>
    <xf numFmtId="0" fontId="114" fillId="79" borderId="102" applyNumberFormat="0" applyAlignment="0" applyProtection="0"/>
    <xf numFmtId="0" fontId="18" fillId="55" borderId="99" applyNumberFormat="0" applyProtection="0">
      <alignment horizontal="left" vertical="center" indent="1"/>
    </xf>
    <xf numFmtId="4" fontId="27" fillId="34" borderId="106" applyNumberFormat="0" applyProtection="0">
      <alignment vertical="center"/>
    </xf>
    <xf numFmtId="4" fontId="47" fillId="0" borderId="99" applyNumberFormat="0" applyProtection="0">
      <alignment horizontal="right" vertical="center"/>
    </xf>
    <xf numFmtId="0" fontId="18" fillId="76" borderId="101" applyNumberFormat="0" applyFont="0" applyAlignment="0" applyProtection="0"/>
    <xf numFmtId="4" fontId="47" fillId="42" borderId="99" applyNumberFormat="0" applyProtection="0">
      <alignment horizontal="right" vertical="center"/>
    </xf>
    <xf numFmtId="0" fontId="18" fillId="84" borderId="99" applyNumberFormat="0" applyProtection="0">
      <alignment horizontal="left" vertical="center" indent="1"/>
    </xf>
    <xf numFmtId="0" fontId="114" fillId="79" borderId="92" applyNumberFormat="0" applyAlignment="0" applyProtection="0"/>
    <xf numFmtId="4" fontId="27" fillId="34" borderId="99" applyNumberForma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4" fontId="47" fillId="40" borderId="99" applyNumberFormat="0" applyProtection="0">
      <alignment horizontal="right" vertical="center"/>
    </xf>
    <xf numFmtId="4" fontId="46" fillId="38" borderId="99" applyNumberFormat="0" applyProtection="0">
      <alignment vertical="center"/>
    </xf>
    <xf numFmtId="4" fontId="47" fillId="0" borderId="99" applyNumberFormat="0" applyProtection="0">
      <alignment horizontal="left" vertical="center" indent="1"/>
    </xf>
    <xf numFmtId="4" fontId="47" fillId="0" borderId="99" applyNumberFormat="0" applyProtection="0">
      <alignment horizontal="right" vertical="center"/>
    </xf>
    <xf numFmtId="4" fontId="47" fillId="44" borderId="99" applyNumberFormat="0" applyProtection="0">
      <alignment horizontal="right" vertical="center"/>
    </xf>
    <xf numFmtId="0" fontId="18" fillId="49" borderId="99" applyNumberFormat="0" applyProtection="0">
      <alignment horizontal="left" vertical="top" indent="1"/>
    </xf>
    <xf numFmtId="0" fontId="18" fillId="76" borderId="101" applyNumberFormat="0" applyFont="0" applyAlignment="0" applyProtection="0"/>
    <xf numFmtId="0" fontId="18" fillId="34" borderId="99" applyNumberFormat="0" applyProtection="0">
      <alignment horizontal="left" vertical="center" indent="1"/>
    </xf>
    <xf numFmtId="4" fontId="27" fillId="38" borderId="99" applyNumberFormat="0" applyProtection="0">
      <alignment horizontal="left" vertical="center" indent="1"/>
    </xf>
    <xf numFmtId="4" fontId="51" fillId="49" borderId="99" applyNumberFormat="0" applyProtection="0">
      <alignment horizontal="right" vertical="center"/>
    </xf>
    <xf numFmtId="0" fontId="18" fillId="76" borderId="101" applyNumberFormat="0" applyFont="0" applyAlignment="0" applyProtection="0"/>
    <xf numFmtId="0" fontId="18" fillId="34" borderId="99" applyNumberFormat="0" applyProtection="0">
      <alignment horizontal="left" vertical="center" indent="1"/>
    </xf>
    <xf numFmtId="0" fontId="18" fillId="54" borderId="99" applyNumberFormat="0" applyProtection="0">
      <alignment horizontal="left" vertical="center" indent="1"/>
    </xf>
    <xf numFmtId="0" fontId="114" fillId="79" borderId="102" applyNumberFormat="0" applyAlignment="0" applyProtection="0"/>
    <xf numFmtId="0" fontId="18" fillId="49" borderId="99" applyNumberFormat="0" applyProtection="0">
      <alignment horizontal="left" vertical="top" indent="1"/>
    </xf>
    <xf numFmtId="4" fontId="47" fillId="59" borderId="99" applyNumberFormat="0" applyProtection="0">
      <alignment horizontal="left" vertical="center" indent="1"/>
    </xf>
    <xf numFmtId="4" fontId="46" fillId="38" borderId="99" applyNumberFormat="0" applyProtection="0">
      <alignment vertical="center"/>
    </xf>
    <xf numFmtId="0" fontId="102" fillId="79" borderId="100" applyNumberFormat="0" applyAlignment="0" applyProtection="0"/>
    <xf numFmtId="0" fontId="114" fillId="79" borderId="102" applyNumberFormat="0" applyAlignment="0" applyProtection="0"/>
    <xf numFmtId="0" fontId="18" fillId="34" borderId="99" applyNumberFormat="0" applyProtection="0">
      <alignment horizontal="left" vertical="top" indent="1"/>
    </xf>
    <xf numFmtId="4" fontId="47" fillId="42" borderId="99" applyNumberFormat="0" applyProtection="0">
      <alignment horizontal="right" vertical="center"/>
    </xf>
    <xf numFmtId="0" fontId="18" fillId="50" borderId="99" applyNumberFormat="0" applyProtection="0">
      <alignment horizontal="left" vertical="top" indent="1"/>
    </xf>
    <xf numFmtId="4" fontId="47" fillId="0" borderId="99" applyNumberFormat="0" applyProtection="0">
      <alignment horizontal="right" vertical="center"/>
    </xf>
    <xf numFmtId="0" fontId="110" fillId="77" borderId="100" applyNumberFormat="0" applyAlignment="0" applyProtection="0"/>
    <xf numFmtId="0" fontId="24" fillId="59" borderId="104" applyNumberFormat="0" applyFont="0" applyAlignment="0" applyProtection="0">
      <protection locked="0"/>
    </xf>
    <xf numFmtId="0" fontId="18" fillId="34" borderId="99" applyNumberFormat="0" applyProtection="0">
      <alignment horizontal="left" vertical="top" indent="1"/>
    </xf>
    <xf numFmtId="0" fontId="18" fillId="34" borderId="99" applyNumberFormat="0" applyProtection="0">
      <alignment horizontal="left" vertical="center" indent="1"/>
    </xf>
    <xf numFmtId="0" fontId="18" fillId="76" borderId="101" applyNumberFormat="0" applyFont="0" applyAlignment="0" applyProtection="0"/>
    <xf numFmtId="4" fontId="27" fillId="37" borderId="99" applyNumberFormat="0" applyProtection="0">
      <alignment vertical="center"/>
    </xf>
    <xf numFmtId="4" fontId="47" fillId="0" borderId="99" applyNumberFormat="0" applyProtection="0">
      <alignment horizontal="right" vertical="center"/>
    </xf>
    <xf numFmtId="0" fontId="18" fillId="76" borderId="101" applyNumberFormat="0" applyFont="0" applyAlignment="0" applyProtection="0"/>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76" borderId="91" applyNumberFormat="0" applyFont="0" applyAlignment="0" applyProtection="0"/>
    <xf numFmtId="4" fontId="47" fillId="35" borderId="99" applyNumberFormat="0" applyProtection="0">
      <alignment vertical="center"/>
    </xf>
    <xf numFmtId="0" fontId="18" fillId="50" borderId="99" applyNumberFormat="0" applyProtection="0">
      <alignment horizontal="left" vertical="center" indent="1"/>
    </xf>
    <xf numFmtId="4" fontId="46" fillId="38" borderId="99" applyNumberFormat="0" applyProtection="0">
      <alignment vertical="center"/>
    </xf>
    <xf numFmtId="0" fontId="114" fillId="79" borderId="102" applyNumberFormat="0" applyAlignment="0" applyProtection="0"/>
    <xf numFmtId="0" fontId="114" fillId="79" borderId="102" applyNumberFormat="0" applyAlignment="0" applyProtection="0"/>
    <xf numFmtId="4" fontId="47" fillId="0" borderId="99" applyNumberFormat="0" applyProtection="0">
      <alignment horizontal="left" vertical="center" indent="1"/>
    </xf>
    <xf numFmtId="0" fontId="18" fillId="51" borderId="99" applyNumberFormat="0" applyProtection="0">
      <alignment horizontal="left" vertical="center" indent="1"/>
    </xf>
    <xf numFmtId="0" fontId="18" fillId="49" borderId="99" applyNumberFormat="0" applyProtection="0">
      <alignment horizontal="left" vertical="top" indent="1"/>
    </xf>
    <xf numFmtId="4" fontId="47" fillId="47" borderId="99" applyNumberFormat="0" applyProtection="0">
      <alignment horizontal="right" vertical="center"/>
    </xf>
    <xf numFmtId="4" fontId="47" fillId="45" borderId="99" applyNumberFormat="0" applyProtection="0">
      <alignment horizontal="right" vertical="center"/>
    </xf>
    <xf numFmtId="4" fontId="47" fillId="35" borderId="99" applyNumberFormat="0" applyProtection="0">
      <alignment vertical="center"/>
    </xf>
    <xf numFmtId="0" fontId="105" fillId="0" borderId="103" applyNumberFormat="0" applyFill="0" applyAlignment="0" applyProtection="0"/>
    <xf numFmtId="0" fontId="18" fillId="76" borderId="101" applyNumberFormat="0" applyFont="0" applyAlignment="0" applyProtection="0"/>
    <xf numFmtId="4" fontId="51" fillId="35" borderId="99" applyNumberFormat="0" applyProtection="0">
      <alignment vertical="center"/>
    </xf>
    <xf numFmtId="0" fontId="47" fillId="34" borderId="99" applyNumberFormat="0" applyProtection="0">
      <alignment horizontal="left" vertical="top"/>
    </xf>
    <xf numFmtId="4" fontId="27" fillId="37" borderId="99" applyNumberFormat="0" applyProtection="0">
      <alignment vertical="center"/>
    </xf>
    <xf numFmtId="0" fontId="114" fillId="79" borderId="102" applyNumberFormat="0" applyAlignment="0" applyProtection="0"/>
    <xf numFmtId="0" fontId="105" fillId="0" borderId="103" applyNumberFormat="0" applyFill="0" applyAlignment="0" applyProtection="0"/>
    <xf numFmtId="0" fontId="18" fillId="85" borderId="99" applyNumberFormat="0" applyProtection="0">
      <alignment horizontal="left" vertical="top" indent="1"/>
    </xf>
    <xf numFmtId="0" fontId="18" fillId="49"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0" fontId="18" fillId="51" borderId="99" applyNumberFormat="0" applyProtection="0">
      <alignment horizontal="left" vertical="center" indent="1"/>
    </xf>
    <xf numFmtId="0" fontId="114" fillId="79" borderId="102" applyNumberFormat="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0" fontId="18" fillId="50" borderId="99" applyNumberFormat="0" applyProtection="0">
      <alignment horizontal="left" vertical="top" indent="1"/>
    </xf>
    <xf numFmtId="0" fontId="18" fillId="85" borderId="99" applyNumberFormat="0" applyProtection="0">
      <alignment horizontal="left" vertical="top" indent="1"/>
    </xf>
    <xf numFmtId="0" fontId="105" fillId="0" borderId="103" applyNumberFormat="0" applyFill="0" applyAlignment="0" applyProtection="0"/>
    <xf numFmtId="0" fontId="27" fillId="38" borderId="99" applyNumberFormat="0" applyProtection="0">
      <alignment horizontal="left" vertical="top" indent="1"/>
    </xf>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76" borderId="101" applyNumberFormat="0" applyFont="0" applyAlignment="0" applyProtection="0"/>
    <xf numFmtId="0" fontId="18" fillId="50" borderId="99" applyNumberFormat="0" applyProtection="0">
      <alignment horizontal="left" vertical="top" indent="1"/>
    </xf>
    <xf numFmtId="0" fontId="27" fillId="38" borderId="99" applyNumberFormat="0" applyProtection="0">
      <alignment horizontal="left" vertical="top" indent="1"/>
    </xf>
    <xf numFmtId="0" fontId="18" fillId="55" borderId="99" applyNumberFormat="0" applyProtection="0">
      <alignment horizontal="left" vertical="top" indent="1"/>
    </xf>
    <xf numFmtId="0" fontId="18" fillId="85" borderId="99" applyNumberFormat="0" applyProtection="0">
      <alignment horizontal="left" vertical="top" indent="1"/>
    </xf>
    <xf numFmtId="0" fontId="18" fillId="84" borderId="99" applyNumberFormat="0" applyProtection="0">
      <alignment horizontal="left" vertical="center" indent="1"/>
    </xf>
    <xf numFmtId="4" fontId="47" fillId="41" borderId="99" applyNumberFormat="0" applyProtection="0">
      <alignment horizontal="right" vertical="center"/>
    </xf>
    <xf numFmtId="0" fontId="18" fillId="55" borderId="99" applyNumberFormat="0" applyProtection="0">
      <alignment horizontal="left" vertical="center" indent="1"/>
    </xf>
    <xf numFmtId="0" fontId="18" fillId="84" borderId="99" applyNumberFormat="0" applyProtection="0">
      <alignment horizontal="left" vertical="center" indent="1"/>
    </xf>
    <xf numFmtId="0" fontId="47" fillId="34" borderId="99" applyNumberFormat="0" applyProtection="0">
      <alignment horizontal="left" vertical="top"/>
    </xf>
    <xf numFmtId="0" fontId="102" fillId="79" borderId="100" applyNumberFormat="0" applyAlignment="0" applyProtection="0"/>
    <xf numFmtId="0" fontId="18" fillId="54" borderId="99" applyNumberFormat="0" applyProtection="0">
      <alignment horizontal="left" vertical="top" indent="1"/>
    </xf>
    <xf numFmtId="0" fontId="110" fillId="77" borderId="100" applyNumberFormat="0" applyAlignment="0" applyProtection="0"/>
    <xf numFmtId="0" fontId="18" fillId="55" borderId="99" applyNumberFormat="0" applyProtection="0">
      <alignment horizontal="left" vertical="top" indent="1"/>
    </xf>
    <xf numFmtId="4" fontId="47" fillId="46" borderId="99" applyNumberFormat="0" applyProtection="0">
      <alignment horizontal="right" vertical="center"/>
    </xf>
    <xf numFmtId="4" fontId="51" fillId="35" borderId="99" applyNumberFormat="0" applyProtection="0">
      <alignment vertical="center"/>
    </xf>
    <xf numFmtId="0" fontId="18" fillId="55" borderId="99" applyNumberFormat="0" applyProtection="0">
      <alignment horizontal="left" vertical="center" indent="1"/>
    </xf>
    <xf numFmtId="4" fontId="47" fillId="35" borderId="99" applyNumberFormat="0" applyProtection="0">
      <alignment vertical="center"/>
    </xf>
    <xf numFmtId="0" fontId="18" fillId="55" borderId="99" applyNumberFormat="0" applyProtection="0">
      <alignment horizontal="left" vertical="center" indent="1"/>
    </xf>
    <xf numFmtId="0" fontId="18" fillId="50" borderId="99" applyNumberFormat="0" applyProtection="0">
      <alignment horizontal="left" vertical="top" indent="1"/>
    </xf>
    <xf numFmtId="0" fontId="110" fillId="77" borderId="100" applyNumberFormat="0" applyAlignment="0" applyProtection="0"/>
    <xf numFmtId="4" fontId="47" fillId="42" borderId="99" applyNumberFormat="0" applyProtection="0">
      <alignment horizontal="right" vertical="center"/>
    </xf>
    <xf numFmtId="0" fontId="105" fillId="0" borderId="103" applyNumberFormat="0" applyFill="0" applyAlignment="0" applyProtection="0"/>
    <xf numFmtId="0" fontId="18" fillId="50" borderId="99" applyNumberFormat="0" applyProtection="0">
      <alignment horizontal="left" vertical="center" indent="1"/>
    </xf>
    <xf numFmtId="0" fontId="24" fillId="59" borderId="104" applyNumberFormat="0" applyFont="0" applyAlignment="0" applyProtection="0">
      <protection locked="0"/>
    </xf>
    <xf numFmtId="0" fontId="18" fillId="50" borderId="99" applyNumberFormat="0" applyProtection="0">
      <alignment horizontal="left" vertical="center" indent="1"/>
    </xf>
    <xf numFmtId="0" fontId="18" fillId="34" borderId="99" applyNumberFormat="0" applyProtection="0">
      <alignment horizontal="left" vertical="center" indent="1"/>
    </xf>
    <xf numFmtId="0" fontId="110" fillId="77" borderId="96" applyNumberFormat="0" applyAlignment="0" applyProtection="0"/>
    <xf numFmtId="4" fontId="27" fillId="38" borderId="99"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99"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0" fontId="18" fillId="0" borderId="0"/>
    <xf numFmtId="0" fontId="102" fillId="79" borderId="96" applyNumberFormat="0" applyAlignment="0" applyProtection="0"/>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4" fontId="27" fillId="34" borderId="63" applyNumberFormat="0" applyProtection="0">
      <alignment vertical="center"/>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96" applyNumberFormat="0" applyAlignment="0" applyProtection="0"/>
    <xf numFmtId="4" fontId="47" fillId="51" borderId="82" applyNumberFormat="0" applyProtection="0">
      <alignment horizontal="left" vertical="center" indent="1"/>
    </xf>
    <xf numFmtId="0" fontId="18" fillId="0" borderId="0"/>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05" fillId="0" borderId="103" applyNumberFormat="0" applyFill="0" applyAlignment="0" applyProtection="0"/>
    <xf numFmtId="0" fontId="110" fillId="77" borderId="96" applyNumberFormat="0" applyAlignment="0" applyProtection="0"/>
    <xf numFmtId="4" fontId="27" fillId="38" borderId="99" applyNumberFormat="0" applyProtection="0">
      <alignment vertical="center"/>
    </xf>
    <xf numFmtId="0" fontId="18" fillId="0" borderId="0"/>
    <xf numFmtId="4" fontId="27" fillId="34" borderId="63" applyNumberFormat="0" applyProtection="0">
      <alignment vertical="center"/>
    </xf>
    <xf numFmtId="0" fontId="18" fillId="0" borderId="0"/>
    <xf numFmtId="0" fontId="18" fillId="0" borderId="0"/>
    <xf numFmtId="0" fontId="18" fillId="0" borderId="0"/>
    <xf numFmtId="0" fontId="18" fillId="0" borderId="0"/>
    <xf numFmtId="0" fontId="102" fillId="79" borderId="96" applyNumberFormat="0" applyAlignment="0" applyProtection="0"/>
    <xf numFmtId="4" fontId="27" fillId="34" borderId="63" applyNumberFormat="0" applyProtection="0">
      <alignment vertical="center"/>
    </xf>
    <xf numFmtId="0" fontId="110" fillId="77" borderId="96" applyNumberFormat="0" applyAlignment="0" applyProtection="0"/>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49" borderId="99" applyNumberFormat="0" applyProtection="0">
      <alignment horizontal="left" vertical="center" indent="1"/>
    </xf>
    <xf numFmtId="0" fontId="102" fillId="79" borderId="100" applyNumberFormat="0" applyAlignment="0" applyProtection="0"/>
    <xf numFmtId="0" fontId="18" fillId="76" borderId="91" applyNumberFormat="0" applyFont="0" applyAlignment="0" applyProtection="0"/>
    <xf numFmtId="0" fontId="18" fillId="50" borderId="99" applyNumberFormat="0" applyProtection="0">
      <alignment horizontal="left" vertical="top" indent="1"/>
    </xf>
    <xf numFmtId="0" fontId="18" fillId="76" borderId="101" applyNumberFormat="0" applyFont="0" applyAlignment="0" applyProtection="0"/>
    <xf numFmtId="4" fontId="27" fillId="38" borderId="99" applyNumberFormat="0" applyProtection="0">
      <alignment horizontal="left" vertical="center" indent="1"/>
    </xf>
    <xf numFmtId="0" fontId="110" fillId="77" borderId="100" applyNumberFormat="0" applyAlignment="0" applyProtection="0"/>
    <xf numFmtId="4" fontId="27" fillId="34" borderId="106" applyNumberFormat="0" applyProtection="0">
      <alignment vertical="center"/>
    </xf>
    <xf numFmtId="4" fontId="47" fillId="0" borderId="99" applyNumberFormat="0" applyProtection="0">
      <alignment horizontal="left" vertical="center" indent="1"/>
    </xf>
    <xf numFmtId="0" fontId="114" fillId="79" borderId="102" applyNumberFormat="0" applyAlignment="0" applyProtection="0"/>
    <xf numFmtId="0" fontId="105" fillId="0" borderId="103" applyNumberFormat="0" applyFill="0" applyAlignment="0" applyProtection="0"/>
    <xf numFmtId="4" fontId="47" fillId="51" borderId="99" applyNumberFormat="0" applyProtection="0">
      <alignment horizontal="right" vertical="center"/>
    </xf>
    <xf numFmtId="4" fontId="25" fillId="49" borderId="99" applyNumberFormat="0" applyProtection="0">
      <alignment horizontal="right" vertical="center"/>
    </xf>
    <xf numFmtId="4" fontId="47" fillId="46" borderId="99" applyNumberFormat="0" applyProtection="0">
      <alignment horizontal="right" vertical="center"/>
    </xf>
    <xf numFmtId="0" fontId="102" fillId="79" borderId="100" applyNumberFormat="0" applyAlignment="0" applyProtection="0"/>
    <xf numFmtId="0" fontId="114" fillId="79" borderId="102" applyNumberFormat="0" applyAlignment="0" applyProtection="0"/>
    <xf numFmtId="4" fontId="47" fillId="41" borderId="99" applyNumberFormat="0" applyProtection="0">
      <alignment horizontal="right" vertical="center"/>
    </xf>
    <xf numFmtId="0" fontId="18" fillId="50" borderId="99" applyNumberFormat="0" applyProtection="0">
      <alignment horizontal="left" vertical="center" indent="1"/>
    </xf>
    <xf numFmtId="4" fontId="27" fillId="34" borderId="99" applyNumberFormat="0" applyProtection="0"/>
    <xf numFmtId="0" fontId="18" fillId="76" borderId="101" applyNumberFormat="0" applyFont="0" applyAlignment="0" applyProtection="0"/>
    <xf numFmtId="4" fontId="47" fillId="44" borderId="99" applyNumberFormat="0" applyProtection="0">
      <alignment horizontal="right" vertical="center"/>
    </xf>
    <xf numFmtId="0" fontId="18" fillId="55" borderId="99" applyNumberFormat="0" applyProtection="0">
      <alignment horizontal="left" vertical="center" indent="1"/>
    </xf>
    <xf numFmtId="0" fontId="110" fillId="77" borderId="100" applyNumberFormat="0" applyAlignment="0" applyProtection="0"/>
    <xf numFmtId="0" fontId="18" fillId="85" borderId="99" applyNumberFormat="0" applyProtection="0">
      <alignment horizontal="left" vertical="top" indent="1"/>
    </xf>
    <xf numFmtId="0" fontId="18" fillId="55"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left" vertical="center" indent="1"/>
    </xf>
    <xf numFmtId="4" fontId="47" fillId="35" borderId="99" applyNumberFormat="0" applyProtection="0">
      <alignment vertical="center"/>
    </xf>
    <xf numFmtId="0" fontId="102" fillId="79" borderId="96" applyNumberFormat="0" applyAlignment="0" applyProtection="0"/>
    <xf numFmtId="0" fontId="110" fillId="77" borderId="96" applyNumberFormat="0" applyAlignment="0" applyProtection="0"/>
    <xf numFmtId="4" fontId="27" fillId="34" borderId="99" applyNumberFormat="0" applyProtection="0"/>
    <xf numFmtId="0" fontId="18" fillId="0" borderId="0" applyFill="0" applyBorder="0" applyProtection="0">
      <alignment horizontal="right"/>
    </xf>
    <xf numFmtId="0" fontId="114" fillId="79" borderId="92" applyNumberFormat="0" applyAlignment="0" applyProtection="0"/>
    <xf numFmtId="4" fontId="47" fillId="42" borderId="99" applyNumberFormat="0" applyProtection="0">
      <alignment horizontal="right" vertical="center"/>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47" fillId="35" borderId="99" applyNumberFormat="0" applyProtection="0">
      <alignment horizontal="left" vertical="top" indent="1"/>
    </xf>
    <xf numFmtId="0" fontId="18" fillId="50" borderId="99" applyNumberFormat="0" applyProtection="0">
      <alignment horizontal="left" vertical="top" indent="1"/>
    </xf>
    <xf numFmtId="0" fontId="110" fillId="77" borderId="100" applyNumberFormat="0" applyAlignment="0" applyProtection="0"/>
    <xf numFmtId="0" fontId="18" fillId="54" borderId="99" applyNumberFormat="0" applyProtection="0">
      <alignment horizontal="left" vertical="center" indent="1"/>
    </xf>
    <xf numFmtId="0" fontId="114" fillId="79" borderId="102" applyNumberFormat="0" applyAlignment="0" applyProtection="0"/>
    <xf numFmtId="0" fontId="18" fillId="85" borderId="99" applyNumberFormat="0" applyProtection="0">
      <alignment horizontal="left" vertical="top" indent="1"/>
    </xf>
    <xf numFmtId="0" fontId="18" fillId="84" borderId="99" applyNumberFormat="0" applyProtection="0">
      <alignment horizontal="left" vertical="center" indent="1"/>
    </xf>
    <xf numFmtId="0" fontId="47" fillId="35" borderId="99" applyNumberFormat="0" applyProtection="0">
      <alignment horizontal="left" vertical="top" indent="1"/>
    </xf>
    <xf numFmtId="0" fontId="26" fillId="0" borderId="105">
      <alignment horizontal="left" vertical="center"/>
    </xf>
    <xf numFmtId="4" fontId="47" fillId="0" borderId="99" applyNumberFormat="0" applyProtection="0">
      <alignment horizontal="left" vertical="center" indent="1"/>
    </xf>
    <xf numFmtId="0" fontId="105" fillId="0" borderId="103" applyNumberFormat="0" applyFill="0" applyAlignment="0" applyProtection="0"/>
    <xf numFmtId="0" fontId="18" fillId="85" borderId="99" applyNumberFormat="0" applyProtection="0">
      <alignment horizontal="left" vertical="center" indent="1"/>
    </xf>
    <xf numFmtId="0" fontId="47" fillId="35" borderId="99" applyNumberFormat="0" applyProtection="0">
      <alignment horizontal="left" vertical="top" indent="1"/>
    </xf>
    <xf numFmtId="4" fontId="47" fillId="43" borderId="99" applyNumberFormat="0" applyProtection="0">
      <alignment horizontal="right" vertical="center"/>
    </xf>
    <xf numFmtId="4" fontId="47" fillId="0" borderId="99" applyNumberFormat="0" applyProtection="0">
      <alignment horizontal="right" vertical="center"/>
    </xf>
    <xf numFmtId="0" fontId="18" fillId="76" borderId="101" applyNumberFormat="0" applyFont="0" applyAlignment="0" applyProtection="0"/>
    <xf numFmtId="0" fontId="18" fillId="51" borderId="99" applyNumberFormat="0" applyProtection="0">
      <alignment horizontal="left" vertical="center" indent="1"/>
    </xf>
    <xf numFmtId="0" fontId="18" fillId="85" borderId="99" applyNumberFormat="0" applyProtection="0">
      <alignment horizontal="left" vertical="center" indent="1"/>
    </xf>
    <xf numFmtId="0" fontId="102" fillId="79" borderId="100" applyNumberFormat="0" applyAlignment="0" applyProtection="0"/>
    <xf numFmtId="4" fontId="47" fillId="43" borderId="99" applyNumberFormat="0" applyProtection="0">
      <alignment horizontal="right" vertical="center"/>
    </xf>
    <xf numFmtId="0" fontId="18" fillId="54" borderId="99" applyNumberFormat="0" applyProtection="0">
      <alignment horizontal="left" vertical="center" indent="1"/>
    </xf>
    <xf numFmtId="0" fontId="18" fillId="49" borderId="99" applyNumberFormat="0" applyProtection="0">
      <alignment horizontal="left" vertical="center" indent="1"/>
    </xf>
    <xf numFmtId="4" fontId="27" fillId="38" borderId="99" applyNumberFormat="0" applyProtection="0">
      <alignment horizontal="left" vertical="center" indent="1"/>
    </xf>
    <xf numFmtId="4" fontId="47" fillId="43" borderId="99" applyNumberFormat="0" applyProtection="0">
      <alignment horizontal="right" vertical="center"/>
    </xf>
    <xf numFmtId="4" fontId="47" fillId="35" borderId="99" applyNumberFormat="0" applyProtection="0">
      <alignment vertical="center"/>
    </xf>
    <xf numFmtId="0" fontId="18" fillId="76" borderId="101" applyNumberFormat="0" applyFont="0" applyAlignment="0" applyProtection="0"/>
    <xf numFmtId="0" fontId="18" fillId="76" borderId="101" applyNumberFormat="0" applyFont="0" applyAlignment="0" applyProtection="0"/>
    <xf numFmtId="4" fontId="46" fillId="38" borderId="99" applyNumberFormat="0" applyProtection="0">
      <alignmen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35" borderId="99" applyNumberFormat="0" applyProtection="0">
      <alignment horizontal="left" vertical="center" indent="1"/>
    </xf>
    <xf numFmtId="0" fontId="18" fillId="76" borderId="91" applyNumberFormat="0" applyFont="0" applyAlignment="0" applyProtection="0"/>
    <xf numFmtId="4" fontId="25" fillId="49" borderId="99" applyNumberFormat="0" applyProtection="0">
      <alignment horizontal="right" vertical="center"/>
    </xf>
    <xf numFmtId="0" fontId="18" fillId="50" borderId="99" applyNumberFormat="0" applyProtection="0">
      <alignment horizontal="left" vertical="top" indent="1"/>
    </xf>
    <xf numFmtId="4" fontId="47" fillId="39" borderId="99" applyNumberFormat="0" applyProtection="0">
      <alignment horizontal="right" vertical="center"/>
    </xf>
    <xf numFmtId="0" fontId="18" fillId="85" borderId="99" applyNumberFormat="0" applyProtection="0">
      <alignment horizontal="left" vertical="top" indent="1"/>
    </xf>
    <xf numFmtId="0" fontId="63" fillId="59" borderId="104" applyNumberFormat="0" applyFont="0" applyFill="0" applyAlignment="0" applyProtection="0">
      <protection locked="0"/>
    </xf>
    <xf numFmtId="0" fontId="18" fillId="34" borderId="99" applyNumberFormat="0" applyProtection="0">
      <alignment horizontal="left" vertical="center" indent="1"/>
    </xf>
    <xf numFmtId="0" fontId="18" fillId="49" borderId="99" applyNumberFormat="0" applyProtection="0">
      <alignment horizontal="left" vertical="center" indent="1"/>
    </xf>
    <xf numFmtId="0" fontId="114" fillId="79" borderId="102" applyNumberFormat="0" applyAlignment="0" applyProtection="0"/>
    <xf numFmtId="4" fontId="27" fillId="38" borderId="99" applyNumberFormat="0" applyProtection="0">
      <alignment horizontal="left" vertical="center" indent="1"/>
    </xf>
    <xf numFmtId="4" fontId="47" fillId="39" borderId="99" applyNumberFormat="0" applyProtection="0">
      <alignment horizontal="right" vertical="center"/>
    </xf>
    <xf numFmtId="0" fontId="110" fillId="77" borderId="100" applyNumberFormat="0" applyAlignment="0" applyProtection="0"/>
    <xf numFmtId="0" fontId="18" fillId="84" borderId="99" applyNumberFormat="0" applyProtection="0">
      <alignment horizontal="left" vertical="top" indent="1"/>
    </xf>
    <xf numFmtId="0" fontId="18" fillId="85" borderId="99" applyNumberFormat="0" applyProtection="0">
      <alignment horizontal="left" vertical="center" indent="1"/>
    </xf>
    <xf numFmtId="0" fontId="114" fillId="79" borderId="102" applyNumberFormat="0" applyAlignment="0" applyProtection="0"/>
    <xf numFmtId="4" fontId="47" fillId="46" borderId="99" applyNumberFormat="0" applyProtection="0">
      <alignment horizontal="right" vertical="center"/>
    </xf>
    <xf numFmtId="0" fontId="18" fillId="34" borderId="99" applyNumberFormat="0" applyProtection="0">
      <alignment horizontal="left" vertical="center" indent="1"/>
    </xf>
    <xf numFmtId="0" fontId="102" fillId="79" borderId="100" applyNumberFormat="0" applyAlignment="0" applyProtection="0"/>
    <xf numFmtId="0" fontId="18" fillId="84" borderId="99" applyNumberFormat="0" applyProtection="0">
      <alignment horizontal="left" vertical="top" indent="1"/>
    </xf>
    <xf numFmtId="4" fontId="47" fillId="51" borderId="99" applyNumberFormat="0" applyProtection="0">
      <alignment horizontal="right" vertical="center"/>
    </xf>
    <xf numFmtId="0" fontId="18" fillId="49" borderId="99" applyNumberFormat="0" applyProtection="0">
      <alignment horizontal="left" vertical="center" indent="1"/>
    </xf>
    <xf numFmtId="0" fontId="18" fillId="50" borderId="99" applyNumberFormat="0" applyProtection="0">
      <alignment horizontal="left" vertical="center" indent="1"/>
    </xf>
    <xf numFmtId="4" fontId="27" fillId="34" borderId="99" applyNumberFormat="0" applyProtection="0"/>
    <xf numFmtId="0" fontId="18" fillId="55" borderId="99" applyNumberFormat="0" applyProtection="0">
      <alignment horizontal="left" vertical="center" indent="1"/>
    </xf>
    <xf numFmtId="4" fontId="47" fillId="0" borderId="99" applyNumberFormat="0" applyProtection="0">
      <alignment horizontal="left" vertical="center" indent="1"/>
    </xf>
    <xf numFmtId="0" fontId="47" fillId="34" borderId="99" applyNumberFormat="0" applyProtection="0">
      <alignment horizontal="left" vertical="top"/>
    </xf>
    <xf numFmtId="4" fontId="47" fillId="40" borderId="99" applyNumberFormat="0" applyProtection="0">
      <alignment horizontal="right" vertical="center"/>
    </xf>
    <xf numFmtId="0" fontId="47" fillId="35" borderId="99" applyNumberFormat="0" applyProtection="0">
      <alignment horizontal="left" vertical="top" indent="1"/>
    </xf>
    <xf numFmtId="0" fontId="18" fillId="76" borderId="101" applyNumberFormat="0" applyFont="0" applyAlignment="0" applyProtection="0"/>
    <xf numFmtId="4" fontId="47" fillId="40" borderId="99" applyNumberFormat="0" applyProtection="0">
      <alignment horizontal="right" vertical="center"/>
    </xf>
    <xf numFmtId="0" fontId="18" fillId="50" borderId="99" applyNumberFormat="0" applyProtection="0">
      <alignment horizontal="left" vertical="center" indent="1"/>
    </xf>
    <xf numFmtId="0" fontId="18" fillId="76" borderId="101" applyNumberFormat="0" applyFont="0" applyAlignment="0" applyProtection="0"/>
    <xf numFmtId="0" fontId="114" fillId="79" borderId="102" applyNumberFormat="0" applyAlignment="0" applyProtection="0"/>
    <xf numFmtId="4" fontId="47" fillId="51" borderId="99" applyNumberFormat="0" applyProtection="0">
      <alignment horizontal="right" vertical="center"/>
    </xf>
    <xf numFmtId="4" fontId="27" fillId="34" borderId="106" applyNumberFormat="0" applyProtection="0">
      <alignment vertical="center"/>
    </xf>
    <xf numFmtId="0" fontId="18" fillId="55" borderId="99" applyNumberFormat="0" applyProtection="0">
      <alignment horizontal="left" vertical="center" indent="1"/>
    </xf>
    <xf numFmtId="0" fontId="102" fillId="79" borderId="96" applyNumberFormat="0" applyAlignment="0" applyProtection="0"/>
    <xf numFmtId="0" fontId="110" fillId="77" borderId="96" applyNumberFormat="0" applyAlignment="0" applyProtection="0"/>
    <xf numFmtId="0" fontId="114" fillId="79" borderId="92" applyNumberFormat="0" applyAlignment="0" applyProtection="0"/>
    <xf numFmtId="4" fontId="47" fillId="0" borderId="99" applyNumberFormat="0" applyProtection="0">
      <alignment horizontal="right" vertical="center"/>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18" fillId="34" borderId="99" applyNumberFormat="0" applyProtection="0">
      <alignment horizontal="left" vertical="center" indent="1"/>
    </xf>
    <xf numFmtId="0" fontId="18" fillId="55" borderId="99" applyNumberFormat="0" applyProtection="0">
      <alignment horizontal="left" vertical="top" indent="1"/>
    </xf>
    <xf numFmtId="0" fontId="18" fillId="76" borderId="101" applyNumberFormat="0" applyFont="0" applyAlignment="0" applyProtection="0"/>
    <xf numFmtId="0" fontId="105" fillId="0" borderId="103" applyNumberFormat="0" applyFill="0" applyAlignment="0" applyProtection="0"/>
    <xf numFmtId="0" fontId="105" fillId="0" borderId="103" applyNumberFormat="0" applyFill="0" applyAlignment="0" applyProtection="0"/>
    <xf numFmtId="0" fontId="63" fillId="59" borderId="104" applyNumberFormat="0" applyFont="0" applyFill="0" applyAlignment="0" applyProtection="0">
      <protection locked="0"/>
    </xf>
    <xf numFmtId="0" fontId="18" fillId="51" borderId="99" applyNumberFormat="0" applyProtection="0">
      <alignment horizontal="left" vertical="top" indent="1"/>
    </xf>
    <xf numFmtId="0" fontId="105" fillId="0" borderId="103" applyNumberFormat="0" applyFill="0" applyAlignment="0" applyProtection="0"/>
    <xf numFmtId="4" fontId="47" fillId="0" borderId="99" applyNumberFormat="0" applyProtection="0">
      <alignment horizontal="left" vertical="center" indent="1"/>
    </xf>
    <xf numFmtId="0" fontId="102" fillId="79" borderId="100" applyNumberFormat="0" applyAlignment="0" applyProtection="0"/>
    <xf numFmtId="0" fontId="102" fillId="79" borderId="100" applyNumberFormat="0" applyAlignment="0" applyProtection="0"/>
    <xf numFmtId="0" fontId="18" fillId="85" borderId="99" applyNumberFormat="0" applyProtection="0">
      <alignment horizontal="left" vertical="top" indent="1"/>
    </xf>
    <xf numFmtId="4" fontId="51" fillId="49" borderId="99" applyNumberFormat="0" applyProtection="0">
      <alignment horizontal="right" vertical="center"/>
    </xf>
    <xf numFmtId="0" fontId="47" fillId="34" borderId="99" applyNumberFormat="0" applyProtection="0">
      <alignment horizontal="left" vertical="top"/>
    </xf>
    <xf numFmtId="4" fontId="47" fillId="0" borderId="99" applyNumberFormat="0" applyProtection="0">
      <alignment horizontal="left" vertical="center" indent="1"/>
    </xf>
    <xf numFmtId="4" fontId="25" fillId="49" borderId="99" applyNumberFormat="0" applyProtection="0">
      <alignment horizontal="right" vertical="center"/>
    </xf>
    <xf numFmtId="0" fontId="18" fillId="84" borderId="99" applyNumberFormat="0" applyProtection="0">
      <alignment horizontal="left" vertical="top" indent="1"/>
    </xf>
    <xf numFmtId="0" fontId="114" fillId="79" borderId="102" applyNumberFormat="0" applyAlignment="0" applyProtection="0"/>
    <xf numFmtId="0" fontId="18" fillId="54" borderId="99" applyNumberFormat="0" applyProtection="0">
      <alignment horizontal="left" vertical="top" indent="1"/>
    </xf>
    <xf numFmtId="4" fontId="51" fillId="49" borderId="99" applyNumberFormat="0" applyProtection="0">
      <alignment horizontal="right" vertical="center"/>
    </xf>
    <xf numFmtId="0" fontId="105" fillId="0" borderId="103" applyNumberFormat="0" applyFill="0" applyAlignment="0" applyProtection="0"/>
    <xf numFmtId="0" fontId="114" fillId="79" borderId="102" applyNumberFormat="0" applyAlignment="0" applyProtection="0"/>
    <xf numFmtId="0" fontId="18" fillId="54" borderId="99" applyNumberFormat="0" applyProtection="0">
      <alignment horizontal="left" vertical="top" indent="1"/>
    </xf>
    <xf numFmtId="0" fontId="18" fillId="50" borderId="99" applyNumberFormat="0" applyProtection="0">
      <alignment horizontal="left" vertical="top" indent="1"/>
    </xf>
    <xf numFmtId="4" fontId="47" fillId="39" borderId="99" applyNumberFormat="0" applyProtection="0">
      <alignment horizontal="right" vertical="center"/>
    </xf>
    <xf numFmtId="0" fontId="102" fillId="79" borderId="100"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46" borderId="99" applyNumberFormat="0" applyProtection="0">
      <alignment horizontal="right" vertical="center"/>
    </xf>
    <xf numFmtId="0" fontId="114" fillId="79" borderId="102" applyNumberFormat="0" applyAlignment="0" applyProtection="0"/>
    <xf numFmtId="0" fontId="27" fillId="38" borderId="99" applyNumberFormat="0" applyProtection="0">
      <alignment horizontal="left" vertical="top" indent="1"/>
    </xf>
    <xf numFmtId="0" fontId="18" fillId="76" borderId="91" applyNumberFormat="0" applyFont="0" applyAlignment="0" applyProtection="0"/>
    <xf numFmtId="0" fontId="18" fillId="34" borderId="99" applyNumberFormat="0" applyProtection="0">
      <alignment horizontal="left" vertical="center" indent="1"/>
    </xf>
    <xf numFmtId="4" fontId="47" fillId="41" borderId="99" applyNumberFormat="0" applyProtection="0">
      <alignment horizontal="right" vertical="center"/>
    </xf>
    <xf numFmtId="0" fontId="18" fillId="50" borderId="99" applyNumberFormat="0" applyProtection="0">
      <alignment horizontal="left" vertical="center" indent="1"/>
    </xf>
    <xf numFmtId="0" fontId="102" fillId="79" borderId="100" applyNumberFormat="0" applyAlignment="0" applyProtection="0"/>
    <xf numFmtId="0" fontId="110" fillId="77" borderId="100" applyNumberFormat="0" applyAlignment="0" applyProtection="0"/>
    <xf numFmtId="4" fontId="47" fillId="45" borderId="99" applyNumberFormat="0" applyProtection="0">
      <alignment horizontal="right" vertical="center"/>
    </xf>
    <xf numFmtId="4" fontId="51" fillId="35" borderId="99" applyNumberFormat="0" applyProtection="0">
      <alignment vertical="center"/>
    </xf>
    <xf numFmtId="0" fontId="18" fillId="84" borderId="99" applyNumberFormat="0" applyProtection="0">
      <alignment horizontal="left" vertical="center" indent="1"/>
    </xf>
    <xf numFmtId="4" fontId="25" fillId="49" borderId="99" applyNumberFormat="0" applyProtection="0">
      <alignment horizontal="right" vertical="center"/>
    </xf>
    <xf numFmtId="0" fontId="114" fillId="79" borderId="102" applyNumberFormat="0" applyAlignment="0" applyProtection="0"/>
    <xf numFmtId="0" fontId="47" fillId="35" borderId="99" applyNumberFormat="0" applyProtection="0">
      <alignment horizontal="left" vertical="top" indent="1"/>
    </xf>
    <xf numFmtId="0" fontId="105" fillId="0" borderId="103" applyNumberFormat="0" applyFill="0" applyAlignment="0" applyProtection="0"/>
    <xf numFmtId="0" fontId="18" fillId="85" borderId="99" applyNumberFormat="0" applyProtection="0">
      <alignment horizontal="left" vertical="top" indent="1"/>
    </xf>
    <xf numFmtId="0" fontId="114" fillId="79" borderId="102" applyNumberFormat="0" applyAlignment="0" applyProtection="0"/>
    <xf numFmtId="4" fontId="47" fillId="47" borderId="99" applyNumberFormat="0" applyProtection="0">
      <alignment horizontal="right" vertical="center"/>
    </xf>
    <xf numFmtId="0" fontId="47" fillId="34" borderId="99" applyNumberFormat="0" applyProtection="0">
      <alignment horizontal="left" vertical="top"/>
    </xf>
    <xf numFmtId="0" fontId="18" fillId="76" borderId="101" applyNumberFormat="0" applyFont="0" applyAlignment="0" applyProtection="0"/>
    <xf numFmtId="0" fontId="18" fillId="34" borderId="99" applyNumberFormat="0" applyProtection="0">
      <alignment horizontal="left" vertical="top" indent="1"/>
    </xf>
    <xf numFmtId="0" fontId="18" fillId="49" borderId="99" applyNumberFormat="0" applyProtection="0">
      <alignment horizontal="left" vertical="top" indent="1"/>
    </xf>
    <xf numFmtId="4" fontId="27" fillId="38" borderId="99" applyNumberFormat="0" applyProtection="0">
      <alignment horizontal="left" vertical="center" indent="1"/>
    </xf>
    <xf numFmtId="4" fontId="51" fillId="35" borderId="99" applyNumberFormat="0" applyProtection="0">
      <alignment vertical="center"/>
    </xf>
    <xf numFmtId="0" fontId="114" fillId="79" borderId="102" applyNumberFormat="0" applyAlignment="0" applyProtection="0"/>
    <xf numFmtId="0" fontId="18" fillId="85" borderId="99" applyNumberFormat="0" applyProtection="0">
      <alignment horizontal="left" vertical="center" indent="1"/>
    </xf>
    <xf numFmtId="0" fontId="18" fillId="84" borderId="99" applyNumberFormat="0" applyProtection="0">
      <alignment horizontal="left" vertical="top" indent="1"/>
    </xf>
    <xf numFmtId="4" fontId="47" fillId="35" borderId="99" applyNumberFormat="0" applyProtection="0">
      <alignment vertical="center"/>
    </xf>
    <xf numFmtId="4" fontId="47" fillId="0" borderId="99" applyNumberFormat="0" applyProtection="0">
      <alignment horizontal="right" vertical="center"/>
    </xf>
    <xf numFmtId="4" fontId="47" fillId="42" borderId="99" applyNumberFormat="0" applyProtection="0">
      <alignment horizontal="right" vertical="center"/>
    </xf>
    <xf numFmtId="0" fontId="105" fillId="0" borderId="103" applyNumberFormat="0" applyFill="0" applyAlignment="0" applyProtection="0"/>
    <xf numFmtId="0" fontId="47" fillId="34" borderId="99" applyNumberFormat="0" applyProtection="0">
      <alignment horizontal="left" vertical="top"/>
    </xf>
    <xf numFmtId="0" fontId="102" fillId="79" borderId="96" applyNumberFormat="0" applyAlignment="0" applyProtection="0"/>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102" fillId="79" borderId="100" applyNumberFormat="0" applyAlignment="0" applyProtection="0"/>
    <xf numFmtId="4" fontId="47" fillId="51" borderId="99" applyNumberFormat="0" applyProtection="0">
      <alignment horizontal="left" vertical="center" indent="1"/>
    </xf>
    <xf numFmtId="4" fontId="47" fillId="42" borderId="99" applyNumberFormat="0" applyProtection="0">
      <alignment horizontal="right" vertical="center"/>
    </xf>
    <xf numFmtId="4" fontId="47" fillId="43" borderId="99" applyNumberFormat="0" applyProtection="0">
      <alignment horizontal="right" vertical="center"/>
    </xf>
    <xf numFmtId="0" fontId="65" fillId="0" borderId="16" applyNumberFormat="0" applyFont="0" applyFill="0" applyAlignment="0" applyProtection="0"/>
    <xf numFmtId="4" fontId="47" fillId="51" borderId="99" applyNumberFormat="0" applyProtection="0">
      <alignment horizontal="right" vertical="center"/>
    </xf>
    <xf numFmtId="4" fontId="47" fillId="43" borderId="99" applyNumberFormat="0" applyProtection="0">
      <alignment horizontal="right" vertical="center"/>
    </xf>
    <xf numFmtId="0" fontId="18" fillId="50" borderId="99" applyNumberFormat="0" applyProtection="0">
      <alignment horizontal="left" vertical="top" indent="1"/>
    </xf>
    <xf numFmtId="0" fontId="18" fillId="34" borderId="99" applyNumberFormat="0" applyProtection="0">
      <alignment horizontal="left" vertical="center" indent="1"/>
    </xf>
    <xf numFmtId="4" fontId="27" fillId="38" borderId="99" applyNumberFormat="0" applyProtection="0">
      <alignment horizontal="left" vertical="center" indent="1"/>
    </xf>
    <xf numFmtId="0" fontId="18" fillId="34" borderId="99" applyNumberFormat="0" applyProtection="0">
      <alignment horizontal="left" vertical="center" indent="1"/>
    </xf>
    <xf numFmtId="0" fontId="18" fillId="50" borderId="99" applyNumberFormat="0" applyProtection="0">
      <alignment horizontal="left" vertical="top" indent="1"/>
    </xf>
    <xf numFmtId="0" fontId="18" fillId="51" borderId="99" applyNumberFormat="0" applyProtection="0">
      <alignment horizontal="left" vertical="center" indent="1"/>
    </xf>
    <xf numFmtId="4" fontId="47" fillId="41" borderId="99" applyNumberFormat="0" applyProtection="0">
      <alignment horizontal="right" vertical="center"/>
    </xf>
    <xf numFmtId="4" fontId="47" fillId="51" borderId="99" applyNumberFormat="0" applyProtection="0">
      <alignment horizontal="right" vertical="center"/>
    </xf>
    <xf numFmtId="0" fontId="18" fillId="54" borderId="99" applyNumberFormat="0" applyProtection="0">
      <alignment horizontal="left" vertical="top" indent="1"/>
    </xf>
    <xf numFmtId="0" fontId="18" fillId="55" borderId="99" applyNumberFormat="0" applyProtection="0">
      <alignment horizontal="left" vertical="top" indent="1"/>
    </xf>
    <xf numFmtId="0" fontId="18" fillId="34" borderId="99" applyNumberFormat="0" applyProtection="0">
      <alignment horizontal="left" vertical="center" indent="1"/>
    </xf>
    <xf numFmtId="4" fontId="47" fillId="42" borderId="99" applyNumberFormat="0" applyProtection="0">
      <alignment horizontal="right" vertical="center"/>
    </xf>
    <xf numFmtId="0" fontId="18" fillId="55" borderId="99" applyNumberFormat="0" applyProtection="0">
      <alignment horizontal="left" vertical="top" indent="1"/>
    </xf>
    <xf numFmtId="0" fontId="18" fillId="84" borderId="99" applyNumberFormat="0" applyProtection="0">
      <alignment horizontal="left" vertical="top" indent="1"/>
    </xf>
    <xf numFmtId="4" fontId="51" fillId="35" borderId="99" applyNumberFormat="0" applyProtection="0">
      <alignment vertical="center"/>
    </xf>
    <xf numFmtId="0" fontId="18" fillId="34" borderId="99" applyNumberFormat="0" applyProtection="0">
      <alignment horizontal="left" vertical="top" indent="1"/>
    </xf>
    <xf numFmtId="4" fontId="47" fillId="45" borderId="99" applyNumberFormat="0" applyProtection="0">
      <alignment horizontal="righ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40" borderId="99" applyNumberFormat="0" applyProtection="0">
      <alignment horizontal="right" vertical="center"/>
    </xf>
    <xf numFmtId="0" fontId="47" fillId="34" borderId="99" applyNumberFormat="0" applyProtection="0">
      <alignment horizontal="left" vertical="top"/>
    </xf>
    <xf numFmtId="0" fontId="114" fillId="79" borderId="92" applyNumberFormat="0" applyAlignment="0" applyProtection="0"/>
    <xf numFmtId="0" fontId="18" fillId="51" borderId="99" applyNumberFormat="0" applyProtection="0">
      <alignment horizontal="left" vertical="center" indent="1"/>
    </xf>
    <xf numFmtId="4" fontId="27" fillId="38" borderId="99" applyNumberFormat="0" applyProtection="0">
      <alignment horizontal="left" vertical="center" indent="1"/>
    </xf>
    <xf numFmtId="0" fontId="18" fillId="34" borderId="99" applyNumberFormat="0" applyProtection="0">
      <alignment horizontal="left" vertical="center" indent="1"/>
    </xf>
    <xf numFmtId="4" fontId="27" fillId="38" borderId="99" applyNumberFormat="0" applyProtection="0">
      <alignment horizontal="left" vertical="center" indent="1"/>
    </xf>
    <xf numFmtId="0" fontId="47" fillId="34" borderId="99" applyNumberFormat="0" applyProtection="0">
      <alignment horizontal="left" vertical="top"/>
    </xf>
    <xf numFmtId="0" fontId="110" fillId="77" borderId="100" applyNumberFormat="0" applyAlignment="0" applyProtection="0"/>
    <xf numFmtId="4" fontId="46" fillId="38" borderId="99" applyNumberFormat="0" applyProtection="0">
      <alignment vertical="center"/>
    </xf>
    <xf numFmtId="0" fontId="18" fillId="34" borderId="99" applyNumberFormat="0" applyProtection="0">
      <alignment horizontal="left" vertical="center" indent="1"/>
    </xf>
    <xf numFmtId="4" fontId="47" fillId="39" borderId="99" applyNumberFormat="0" applyProtection="0">
      <alignment horizontal="right" vertical="center"/>
    </xf>
    <xf numFmtId="0" fontId="18" fillId="50" borderId="99" applyNumberFormat="0" applyProtection="0">
      <alignment horizontal="left" vertical="top" indent="1"/>
    </xf>
    <xf numFmtId="0" fontId="18" fillId="76" borderId="101" applyNumberFormat="0" applyFont="0" applyAlignment="0" applyProtection="0"/>
    <xf numFmtId="4" fontId="47" fillId="51" borderId="99" applyNumberFormat="0" applyProtection="0">
      <alignment horizontal="left" vertical="center" indent="1"/>
    </xf>
    <xf numFmtId="0" fontId="18" fillId="54" borderId="99" applyNumberFormat="0" applyProtection="0">
      <alignment horizontal="left" vertical="center" indent="1"/>
    </xf>
    <xf numFmtId="0" fontId="110" fillId="77" borderId="100" applyNumberFormat="0" applyAlignment="0" applyProtection="0"/>
    <xf numFmtId="0" fontId="105" fillId="0" borderId="103" applyNumberFormat="0" applyFill="0" applyAlignment="0" applyProtection="0"/>
    <xf numFmtId="4" fontId="47" fillId="47" borderId="99" applyNumberFormat="0" applyProtection="0">
      <alignment horizontal="right" vertical="center"/>
    </xf>
    <xf numFmtId="0" fontId="18" fillId="50" borderId="99" applyNumberFormat="0" applyProtection="0">
      <alignment horizontal="left" vertical="center" indent="1"/>
    </xf>
    <xf numFmtId="0" fontId="102" fillId="79" borderId="100" applyNumberFormat="0" applyAlignment="0" applyProtection="0"/>
    <xf numFmtId="0" fontId="47" fillId="34" borderId="99" applyNumberFormat="0" applyProtection="0">
      <alignment horizontal="left" vertical="top"/>
    </xf>
    <xf numFmtId="0" fontId="18" fillId="49" borderId="99" applyNumberFormat="0" applyProtection="0">
      <alignment horizontal="left" vertical="top" indent="1"/>
    </xf>
    <xf numFmtId="0" fontId="18" fillId="51" borderId="99" applyNumberFormat="0" applyProtection="0">
      <alignment horizontal="left" vertical="top" indent="1"/>
    </xf>
    <xf numFmtId="0" fontId="18" fillId="51" borderId="99" applyNumberFormat="0" applyProtection="0">
      <alignment horizontal="left" vertical="center" indent="1"/>
    </xf>
    <xf numFmtId="0" fontId="18" fillId="50" borderId="99" applyNumberFormat="0" applyProtection="0">
      <alignment horizontal="left" vertical="top" indent="1"/>
    </xf>
    <xf numFmtId="0" fontId="18" fillId="54" borderId="99" applyNumberFormat="0" applyProtection="0">
      <alignment horizontal="left" vertical="center" indent="1"/>
    </xf>
    <xf numFmtId="4" fontId="47" fillId="41" borderId="99" applyNumberFormat="0" applyProtection="0">
      <alignment horizontal="right" vertical="center"/>
    </xf>
    <xf numFmtId="0" fontId="18" fillId="49" borderId="99" applyNumberFormat="0" applyProtection="0">
      <alignment horizontal="left" vertical="top" indent="1"/>
    </xf>
    <xf numFmtId="0" fontId="18" fillId="84" borderId="99" applyNumberFormat="0" applyProtection="0">
      <alignment horizontal="left" vertical="center" indent="1"/>
    </xf>
    <xf numFmtId="0" fontId="18" fillId="76" borderId="101" applyNumberFormat="0" applyFont="0" applyAlignment="0" applyProtection="0"/>
    <xf numFmtId="0" fontId="105" fillId="0" borderId="103" applyNumberFormat="0" applyFill="0" applyAlignment="0" applyProtection="0"/>
    <xf numFmtId="4" fontId="27" fillId="38" borderId="99" applyNumberFormat="0" applyProtection="0">
      <alignment horizontal="left" vertical="center" indent="1"/>
    </xf>
    <xf numFmtId="0" fontId="18" fillId="84" borderId="99" applyNumberFormat="0" applyProtection="0">
      <alignment horizontal="left" vertical="top" indent="1"/>
    </xf>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0" fontId="18" fillId="76" borderId="91" applyNumberFormat="0" applyFont="0" applyAlignment="0" applyProtection="0"/>
    <xf numFmtId="0" fontId="18" fillId="55" borderId="99" applyNumberFormat="0" applyProtection="0">
      <alignment horizontal="left" vertical="top" indent="1"/>
    </xf>
    <xf numFmtId="0" fontId="18" fillId="51"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4" fontId="51" fillId="35" borderId="99" applyNumberFormat="0" applyProtection="0">
      <alignment vertical="center"/>
    </xf>
    <xf numFmtId="4" fontId="47" fillId="0" borderId="99" applyNumberFormat="0" applyProtection="0">
      <alignment horizontal="left" vertical="center" indent="1"/>
    </xf>
    <xf numFmtId="0" fontId="18" fillId="76" borderId="101" applyNumberFormat="0" applyFont="0" applyAlignment="0" applyProtection="0"/>
    <xf numFmtId="0" fontId="47" fillId="34" borderId="99" applyNumberFormat="0" applyProtection="0">
      <alignment horizontal="left" vertical="top"/>
    </xf>
    <xf numFmtId="0" fontId="105" fillId="0" borderId="103" applyNumberFormat="0" applyFill="0" applyAlignment="0" applyProtection="0"/>
    <xf numFmtId="0" fontId="18" fillId="49" borderId="99" applyNumberFormat="0" applyProtection="0">
      <alignment horizontal="left" vertical="center" indent="1"/>
    </xf>
    <xf numFmtId="4" fontId="46" fillId="38" borderId="99" applyNumberFormat="0" applyProtection="0">
      <alignment vertical="center"/>
    </xf>
    <xf numFmtId="0" fontId="110" fillId="77" borderId="100" applyNumberFormat="0" applyAlignment="0" applyProtection="0"/>
    <xf numFmtId="0" fontId="102" fillId="79" borderId="100" applyNumberFormat="0" applyAlignment="0" applyProtection="0"/>
    <xf numFmtId="0" fontId="105" fillId="0" borderId="103" applyNumberFormat="0" applyFill="0" applyAlignment="0" applyProtection="0"/>
    <xf numFmtId="0" fontId="26" fillId="0" borderId="98">
      <alignment horizontal="left" vertical="center"/>
    </xf>
    <xf numFmtId="0" fontId="26" fillId="0" borderId="105">
      <alignment horizontal="left" vertical="center"/>
    </xf>
    <xf numFmtId="0" fontId="110" fillId="77" borderId="100" applyNumberFormat="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0" fontId="114" fillId="79" borderId="102" applyNumberFormat="0" applyAlignment="0" applyProtection="0"/>
    <xf numFmtId="0" fontId="18" fillId="49" borderId="99" applyNumberFormat="0" applyProtection="0">
      <alignment horizontal="left" vertical="center" indent="1"/>
    </xf>
    <xf numFmtId="0" fontId="102" fillId="79" borderId="100" applyNumberFormat="0" applyAlignment="0" applyProtection="0"/>
    <xf numFmtId="0" fontId="114" fillId="79" borderId="92" applyNumberFormat="0" applyAlignment="0" applyProtection="0"/>
    <xf numFmtId="0" fontId="114" fillId="79" borderId="92" applyNumberFormat="0" applyAlignment="0" applyProtection="0"/>
    <xf numFmtId="4" fontId="27" fillId="34" borderId="99" applyNumberFormat="0" applyProtection="0"/>
    <xf numFmtId="0" fontId="105" fillId="0" borderId="103" applyNumberFormat="0" applyFill="0" applyAlignment="0" applyProtection="0"/>
    <xf numFmtId="0" fontId="47" fillId="35"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4" fontId="47" fillId="51" borderId="99" applyNumberFormat="0" applyProtection="0">
      <alignment horizontal="right" vertical="center"/>
    </xf>
    <xf numFmtId="0" fontId="18" fillId="76" borderId="101" applyNumberFormat="0" applyFont="0" applyAlignment="0" applyProtection="0"/>
    <xf numFmtId="0" fontId="18" fillId="34" borderId="99" applyNumberFormat="0" applyProtection="0">
      <alignment horizontal="left" vertical="top" indent="1"/>
    </xf>
    <xf numFmtId="0" fontId="18" fillId="34" borderId="99" applyNumberFormat="0" applyProtection="0">
      <alignment horizontal="left" vertical="top" indent="1"/>
    </xf>
    <xf numFmtId="0" fontId="114" fillId="79" borderId="102" applyNumberFormat="0" applyAlignment="0" applyProtection="0"/>
    <xf numFmtId="0" fontId="110" fillId="77" borderId="100" applyNumberFormat="0" applyAlignment="0" applyProtection="0"/>
    <xf numFmtId="0" fontId="114" fillId="79" borderId="102" applyNumberFormat="0" applyAlignment="0" applyProtection="0"/>
    <xf numFmtId="0" fontId="18" fillId="34" borderId="99" applyNumberFormat="0" applyProtection="0">
      <alignment horizontal="left" vertical="top" indent="1"/>
    </xf>
    <xf numFmtId="0" fontId="114" fillId="79" borderId="102" applyNumberFormat="0" applyAlignment="0" applyProtection="0"/>
    <xf numFmtId="0" fontId="18" fillId="34" borderId="99" applyNumberFormat="0" applyProtection="0">
      <alignment horizontal="left" vertical="top" indent="1"/>
    </xf>
    <xf numFmtId="4" fontId="47" fillId="0" borderId="99" applyNumberFormat="0" applyProtection="0">
      <alignment horizontal="left" vertical="center" indent="1"/>
    </xf>
    <xf numFmtId="0" fontId="18" fillId="84" borderId="99" applyNumberFormat="0" applyProtection="0">
      <alignment horizontal="left" vertical="center" indent="1"/>
    </xf>
    <xf numFmtId="4" fontId="27" fillId="38" borderId="99" applyNumberFormat="0" applyProtection="0">
      <alignment horizontal="left" vertical="center" indent="1"/>
    </xf>
    <xf numFmtId="0" fontId="18" fillId="84" borderId="99" applyNumberFormat="0" applyProtection="0">
      <alignment horizontal="left" vertical="top" indent="1"/>
    </xf>
    <xf numFmtId="0" fontId="47" fillId="34" borderId="99" applyNumberFormat="0" applyProtection="0">
      <alignment horizontal="center" vertical="top"/>
    </xf>
    <xf numFmtId="0" fontId="110" fillId="77" borderId="100" applyNumberFormat="0" applyAlignment="0" applyProtection="0"/>
    <xf numFmtId="4" fontId="51" fillId="49" borderId="99" applyNumberFormat="0" applyProtection="0">
      <alignment horizontal="right" vertical="center"/>
    </xf>
    <xf numFmtId="0" fontId="114" fillId="79" borderId="102" applyNumberFormat="0" applyAlignment="0" applyProtection="0"/>
    <xf numFmtId="0" fontId="18" fillId="85" borderId="99" applyNumberFormat="0" applyProtection="0">
      <alignment horizontal="left" vertical="center" indent="1"/>
    </xf>
    <xf numFmtId="0" fontId="18" fillId="55" borderId="99" applyNumberFormat="0" applyProtection="0">
      <alignment horizontal="left" vertical="top"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top" indent="1"/>
    </xf>
    <xf numFmtId="0" fontId="18" fillId="50" borderId="99" applyNumberFormat="0" applyProtection="0">
      <alignment horizontal="left" vertical="center" indent="1"/>
    </xf>
    <xf numFmtId="4" fontId="27" fillId="37" borderId="99" applyNumberFormat="0" applyProtection="0">
      <alignment vertical="center"/>
    </xf>
    <xf numFmtId="0" fontId="18" fillId="51" borderId="99" applyNumberFormat="0" applyProtection="0">
      <alignment horizontal="left" vertical="center" indent="1"/>
    </xf>
    <xf numFmtId="0" fontId="18" fillId="0" borderId="0" applyFill="0" applyBorder="0" applyProtection="0">
      <alignment horizontal="right"/>
    </xf>
    <xf numFmtId="0" fontId="18" fillId="84" borderId="99" applyNumberFormat="0" applyProtection="0">
      <alignment horizontal="left" vertical="center" indent="1"/>
    </xf>
    <xf numFmtId="4" fontId="27" fillId="37" borderId="99" applyNumberFormat="0" applyProtection="0">
      <alignment vertical="center"/>
    </xf>
    <xf numFmtId="0" fontId="18" fillId="54" borderId="99" applyNumberFormat="0" applyProtection="0">
      <alignment horizontal="left" vertical="center" indent="1"/>
    </xf>
    <xf numFmtId="0" fontId="110" fillId="77" borderId="100" applyNumberFormat="0" applyAlignment="0" applyProtection="0"/>
    <xf numFmtId="0" fontId="18" fillId="84" borderId="99" applyNumberFormat="0" applyProtection="0">
      <alignment horizontal="left" vertical="center" indent="1"/>
    </xf>
    <xf numFmtId="0" fontId="18" fillId="85" borderId="99" applyNumberFormat="0" applyProtection="0">
      <alignment horizontal="left" vertical="top" indent="1"/>
    </xf>
    <xf numFmtId="0" fontId="18" fillId="55" borderId="99" applyNumberFormat="0" applyProtection="0">
      <alignment horizontal="left" vertical="center" indent="1"/>
    </xf>
    <xf numFmtId="0" fontId="18" fillId="54" borderId="99" applyNumberFormat="0" applyProtection="0">
      <alignment horizontal="left" vertical="top" indent="1"/>
    </xf>
    <xf numFmtId="0" fontId="18" fillId="84" borderId="99" applyNumberFormat="0" applyProtection="0">
      <alignment horizontal="left" vertical="center" indent="1"/>
    </xf>
    <xf numFmtId="0" fontId="18" fillId="84" borderId="99" applyNumberFormat="0" applyProtection="0">
      <alignment horizontal="left" vertical="center" indent="1"/>
    </xf>
    <xf numFmtId="0" fontId="18" fillId="55" borderId="99" applyNumberFormat="0" applyProtection="0">
      <alignment horizontal="left" vertical="center" indent="1"/>
    </xf>
    <xf numFmtId="0" fontId="18" fillId="50" borderId="99" applyNumberFormat="0" applyProtection="0">
      <alignment horizontal="left" vertical="center" indent="1"/>
    </xf>
    <xf numFmtId="4" fontId="51" fillId="49" borderId="99" applyNumberFormat="0" applyProtection="0">
      <alignment horizontal="right" vertical="center"/>
    </xf>
    <xf numFmtId="4" fontId="47" fillId="0" borderId="99" applyNumberFormat="0" applyProtection="0">
      <alignment horizontal="right" vertical="center"/>
    </xf>
    <xf numFmtId="4" fontId="47" fillId="59" borderId="99" applyNumberFormat="0" applyProtection="0">
      <alignment horizontal="left" vertical="center" indent="1"/>
    </xf>
    <xf numFmtId="0" fontId="18" fillId="84" borderId="99" applyNumberFormat="0" applyProtection="0">
      <alignment horizontal="left" vertical="top" indent="1"/>
    </xf>
    <xf numFmtId="0" fontId="18" fillId="51" borderId="99" applyNumberFormat="0" applyProtection="0">
      <alignment horizontal="left" vertical="top" indent="1"/>
    </xf>
    <xf numFmtId="0" fontId="63" fillId="59" borderId="104" applyNumberFormat="0" applyFont="0" applyFill="0" applyAlignment="0" applyProtection="0">
      <protection locked="0"/>
    </xf>
    <xf numFmtId="0" fontId="47" fillId="34" borderId="99" applyNumberFormat="0" applyProtection="0">
      <alignment horizontal="center" vertical="top"/>
    </xf>
    <xf numFmtId="0" fontId="114" fillId="79" borderId="102" applyNumberFormat="0" applyAlignment="0" applyProtection="0"/>
    <xf numFmtId="0" fontId="18" fillId="84" borderId="99" applyNumberFormat="0" applyProtection="0">
      <alignment horizontal="left" vertical="center" indent="1"/>
    </xf>
    <xf numFmtId="0" fontId="18" fillId="76" borderId="101" applyNumberFormat="0" applyFont="0" applyAlignment="0" applyProtection="0"/>
    <xf numFmtId="0" fontId="102" fillId="79" borderId="100" applyNumberFormat="0" applyAlignment="0" applyProtection="0"/>
    <xf numFmtId="4" fontId="47" fillId="45" borderId="99" applyNumberFormat="0" applyProtection="0">
      <alignment horizontal="right" vertical="center"/>
    </xf>
    <xf numFmtId="0" fontId="18" fillId="54" borderId="99" applyNumberFormat="0" applyProtection="0">
      <alignment horizontal="left" vertical="center" indent="1"/>
    </xf>
    <xf numFmtId="0" fontId="24" fillId="59" borderId="104" applyNumberFormat="0" applyFont="0" applyAlignment="0" applyProtection="0">
      <protection locked="0"/>
    </xf>
    <xf numFmtId="0" fontId="110" fillId="77" borderId="100" applyNumberFormat="0" applyAlignment="0" applyProtection="0"/>
    <xf numFmtId="0" fontId="18" fillId="51" borderId="99"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97"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2" applyNumberFormat="0" applyFont="0" applyFill="0" applyAlignment="0" applyProtection="0"/>
    <xf numFmtId="0" fontId="18" fillId="55" borderId="99" applyNumberFormat="0" applyProtection="0">
      <alignment horizontal="left" vertical="center" indent="1"/>
    </xf>
    <xf numFmtId="4" fontId="47" fillId="35" borderId="99" applyNumberFormat="0" applyProtection="0">
      <alignment horizontal="left" vertical="center" indent="1"/>
    </xf>
    <xf numFmtId="0" fontId="105" fillId="0" borderId="103"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0" applyNumberFormat="0" applyFill="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4" fontId="47" fillId="47" borderId="99" applyNumberFormat="0" applyProtection="0">
      <alignment horizontal="right" vertical="center"/>
    </xf>
    <xf numFmtId="0" fontId="18" fillId="49" borderId="99"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8"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21" fillId="35" borderId="70" applyNumberFormat="0" applyFont="0" applyAlignment="0" applyProtection="0">
      <alignment horizontal="center"/>
      <protection locked="0"/>
    </xf>
    <xf numFmtId="0" fontId="18" fillId="0" borderId="0"/>
    <xf numFmtId="4" fontId="47" fillId="44" borderId="99" applyNumberFormat="0" applyProtection="0">
      <alignment horizontal="right" vertical="center"/>
    </xf>
    <xf numFmtId="0" fontId="102" fillId="79" borderId="10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99" applyNumberFormat="0" applyProtection="0">
      <alignment horizontal="left" vertical="top" indent="1"/>
    </xf>
    <xf numFmtId="0" fontId="18" fillId="51" borderId="99" applyNumberFormat="0" applyProtection="0">
      <alignment horizontal="left" vertical="center" indent="1"/>
    </xf>
    <xf numFmtId="0" fontId="18" fillId="49" borderId="99" applyNumberFormat="0" applyProtection="0">
      <alignment horizontal="left" vertical="top" indent="1"/>
    </xf>
    <xf numFmtId="0" fontId="114" fillId="79" borderId="102" applyNumberFormat="0" applyAlignment="0" applyProtection="0"/>
    <xf numFmtId="0" fontId="18" fillId="51" borderId="99" applyNumberFormat="0" applyProtection="0">
      <alignment horizontal="left" vertical="top" indent="1"/>
    </xf>
    <xf numFmtId="0" fontId="114" fillId="79" borderId="102"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8" fillId="50" borderId="99"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96" applyNumberFormat="0" applyAlignment="0" applyProtection="0"/>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61" borderId="13" applyNumberFormat="0">
      <protection locked="0"/>
    </xf>
    <xf numFmtId="0" fontId="18" fillId="61" borderId="13" applyNumberFormat="0">
      <protection locked="0"/>
    </xf>
    <xf numFmtId="0" fontId="18" fillId="61" borderId="13" applyNumberFormat="0">
      <protection locked="0"/>
    </xf>
    <xf numFmtId="0" fontId="18" fillId="0" borderId="0">
      <alignment horizontal="left" wrapTex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0" fillId="77" borderId="96"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99" applyNumberFormat="0" applyProtection="0">
      <alignment horizontal="left" vertical="center" indent="1"/>
    </xf>
    <xf numFmtId="0" fontId="18" fillId="0" borderId="0"/>
    <xf numFmtId="178" fontId="18" fillId="0" borderId="0" applyFill="0" applyBorder="0" applyAlignment="0" applyProtection="0"/>
    <xf numFmtId="178" fontId="18" fillId="0" borderId="0" applyFill="0" applyBorder="0" applyAlignment="0" applyProtection="0"/>
    <xf numFmtId="0" fontId="18" fillId="85" borderId="99" applyNumberFormat="0" applyProtection="0">
      <alignment horizontal="left" vertical="center" indent="1"/>
    </xf>
    <xf numFmtId="4" fontId="47" fillId="40" borderId="99" applyNumberFormat="0" applyProtection="0">
      <alignment horizontal="right" vertical="center"/>
    </xf>
    <xf numFmtId="0" fontId="18" fillId="0" borderId="0"/>
    <xf numFmtId="0" fontId="102" fillId="79" borderId="100" applyNumberFormat="0" applyAlignment="0" applyProtection="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0" fontId="110" fillId="77" borderId="100" applyNumberFormat="0" applyAlignment="0" applyProtection="0"/>
    <xf numFmtId="4" fontId="27" fillId="38" borderId="99" applyNumberFormat="0" applyProtection="0">
      <alignment horizontal="left" vertical="center" indent="1"/>
    </xf>
    <xf numFmtId="0" fontId="18" fillId="49" borderId="99" applyNumberFormat="0" applyProtection="0">
      <alignment horizontal="left" vertical="top" indent="1"/>
    </xf>
    <xf numFmtId="0" fontId="18" fillId="0" borderId="0"/>
    <xf numFmtId="4" fontId="27" fillId="34" borderId="99"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8" fontId="18" fillId="0" borderId="0" applyFill="0" applyBorder="0" applyAlignment="0" applyProtection="0"/>
    <xf numFmtId="0" fontId="18" fillId="0" borderId="0"/>
    <xf numFmtId="0" fontId="18" fillId="0" borderId="0"/>
    <xf numFmtId="178" fontId="18" fillId="0" borderId="0" applyFill="0" applyBorder="0" applyAlignment="0" applyProtection="0"/>
    <xf numFmtId="178" fontId="18" fillId="0" borderId="0" applyFill="0" applyBorder="0" applyAlignment="0" applyProtection="0"/>
    <xf numFmtId="0" fontId="18" fillId="0" borderId="0"/>
    <xf numFmtId="178" fontId="18" fillId="0" borderId="0" applyFill="0" applyBorder="0" applyAlignment="0" applyProtection="0"/>
    <xf numFmtId="178" fontId="18" fillId="0" borderId="0" applyFill="0" applyBorder="0" applyAlignment="0" applyProtection="0"/>
    <xf numFmtId="0" fontId="18" fillId="0" borderId="0"/>
    <xf numFmtId="178"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8" fontId="18" fillId="0" borderId="0" applyFill="0" applyBorder="0" applyAlignment="0" applyProtection="0"/>
    <xf numFmtId="37" fontId="18" fillId="0" borderId="0" applyFill="0" applyBorder="0" applyAlignment="0" applyProtection="0"/>
    <xf numFmtId="0" fontId="18" fillId="0" borderId="0"/>
    <xf numFmtId="178"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88" applyNumberFormat="0" applyFont="0" applyAlignment="0" applyProtection="0">
      <protection locked="0"/>
    </xf>
    <xf numFmtId="0" fontId="18" fillId="0" borderId="0" applyFont="0" applyFill="0" applyBorder="0" applyAlignment="0" applyProtection="0"/>
    <xf numFmtId="0" fontId="63" fillId="59" borderId="88"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99" applyNumberFormat="0" applyProtection="0"/>
    <xf numFmtId="4" fontId="47" fillId="43" borderId="99"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8" fillId="0" borderId="0" applyFont="0" applyFill="0" applyBorder="0" applyAlignment="0" applyProtection="0"/>
    <xf numFmtId="4" fontId="25" fillId="49" borderId="82" applyNumberFormat="0" applyProtection="0">
      <alignment horizontal="right" vertical="center"/>
    </xf>
    <xf numFmtId="0" fontId="47" fillId="34" borderId="82" applyNumberFormat="0" applyProtection="0">
      <alignment horizontal="left" vertical="top"/>
    </xf>
    <xf numFmtId="4" fontId="47" fillId="0" borderId="82" applyNumberFormat="0" applyProtection="0">
      <alignment horizontal="left" vertical="center" indent="1"/>
    </xf>
    <xf numFmtId="4" fontId="51" fillId="49" borderId="82" applyNumberFormat="0" applyProtection="0">
      <alignment horizontal="right" vertical="center"/>
    </xf>
    <xf numFmtId="4" fontId="47" fillId="0" borderId="82" applyNumberFormat="0" applyProtection="0">
      <alignment horizontal="right" vertical="center"/>
    </xf>
    <xf numFmtId="0" fontId="47" fillId="35" borderId="82" applyNumberFormat="0" applyProtection="0">
      <alignment horizontal="left" vertical="top" indent="1"/>
    </xf>
    <xf numFmtId="4" fontId="47" fillId="35" borderId="82" applyNumberFormat="0" applyProtection="0">
      <alignment horizontal="left" vertical="center" indent="1"/>
    </xf>
    <xf numFmtId="4" fontId="51" fillId="35" borderId="82" applyNumberFormat="0" applyProtection="0">
      <alignment vertical="center"/>
    </xf>
    <xf numFmtId="4" fontId="47" fillId="35" borderId="82" applyNumberFormat="0" applyProtection="0">
      <alignment vertical="center"/>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5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4"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3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0" borderId="82" applyNumberFormat="0" applyProtection="0">
      <alignment horizontal="left" vertical="top"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center" indent="1"/>
    </xf>
    <xf numFmtId="4" fontId="47" fillId="51" borderId="82" applyNumberFormat="0" applyProtection="0">
      <alignment horizontal="right" vertical="center"/>
    </xf>
    <xf numFmtId="4" fontId="47" fillId="47" borderId="82" applyNumberFormat="0" applyProtection="0">
      <alignment horizontal="right" vertical="center"/>
    </xf>
    <xf numFmtId="4" fontId="47" fillId="46" borderId="82" applyNumberFormat="0" applyProtection="0">
      <alignment horizontal="right" vertical="center"/>
    </xf>
    <xf numFmtId="4" fontId="47" fillId="45" borderId="82" applyNumberFormat="0" applyProtection="0">
      <alignment horizontal="right" vertical="center"/>
    </xf>
    <xf numFmtId="4" fontId="47" fillId="44" borderId="82" applyNumberFormat="0" applyProtection="0">
      <alignment horizontal="right" vertical="center"/>
    </xf>
    <xf numFmtId="4" fontId="47" fillId="43" borderId="82" applyNumberFormat="0" applyProtection="0">
      <alignment horizontal="right" vertical="center"/>
    </xf>
    <xf numFmtId="4" fontId="47" fillId="42" borderId="82" applyNumberFormat="0" applyProtection="0">
      <alignment horizontal="right" vertical="center"/>
    </xf>
    <xf numFmtId="4" fontId="47" fillId="41" borderId="82" applyNumberFormat="0" applyProtection="0">
      <alignment horizontal="right" vertical="center"/>
    </xf>
    <xf numFmtId="4" fontId="47" fillId="40" borderId="82" applyNumberFormat="0" applyProtection="0">
      <alignment horizontal="right" vertical="center"/>
    </xf>
    <xf numFmtId="4" fontId="47" fillId="39" borderId="82" applyNumberFormat="0" applyProtection="0">
      <alignment horizontal="right" vertical="center"/>
    </xf>
    <xf numFmtId="0" fontId="27" fillId="38" borderId="82" applyNumberFormat="0" applyProtection="0">
      <alignment horizontal="left" vertical="top" indent="1"/>
    </xf>
    <xf numFmtId="4" fontId="27" fillId="38" borderId="82" applyNumberFormat="0" applyProtection="0">
      <alignment horizontal="left" vertical="center" indent="1"/>
    </xf>
    <xf numFmtId="4" fontId="46" fillId="38" borderId="82" applyNumberFormat="0" applyProtection="0">
      <alignment vertical="center"/>
    </xf>
    <xf numFmtId="4" fontId="27" fillId="37" borderId="82" applyNumberFormat="0" applyProtection="0">
      <alignment vertical="center"/>
    </xf>
    <xf numFmtId="3" fontId="18" fillId="0" borderId="0" applyFont="0" applyFill="0" applyBorder="0" applyAlignment="0" applyProtection="0"/>
    <xf numFmtId="0" fontId="63" fillId="59" borderId="88" applyNumberFormat="0" applyFont="0" applyFill="0" applyAlignment="0" applyProtection="0">
      <protection locked="0"/>
    </xf>
    <xf numFmtId="0" fontId="18" fillId="0" borderId="0"/>
    <xf numFmtId="0" fontId="18" fillId="0" borderId="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4" fontId="47" fillId="46" borderId="99" applyNumberFormat="0" applyProtection="0">
      <alignment horizontal="right" vertical="center"/>
    </xf>
    <xf numFmtId="4" fontId="51" fillId="49" borderId="99" applyNumberFormat="0" applyProtection="0">
      <alignment horizontal="right" vertical="center"/>
    </xf>
    <xf numFmtId="0" fontId="105" fillId="0" borderId="103" applyNumberFormat="0" applyFill="0" applyAlignment="0" applyProtection="0"/>
    <xf numFmtId="0" fontId="114" fillId="79" borderId="102" applyNumberFormat="0" applyAlignment="0" applyProtection="0"/>
    <xf numFmtId="4" fontId="47" fillId="0" borderId="99" applyNumberFormat="0" applyProtection="0">
      <alignment horizontal="right" vertical="center"/>
    </xf>
    <xf numFmtId="4" fontId="25" fillId="49" borderId="99" applyNumberFormat="0" applyProtection="0">
      <alignment horizontal="right" vertical="center"/>
    </xf>
    <xf numFmtId="0" fontId="102" fillId="79" borderId="100"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88" applyNumberFormat="0" applyFont="0" applyAlignment="0" applyProtection="0">
      <protection locked="0"/>
    </xf>
    <xf numFmtId="0" fontId="18" fillId="61" borderId="13"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97" applyNumberFormat="0" applyFont="0" applyAlignment="0" applyProtection="0">
      <protection locked="0"/>
    </xf>
    <xf numFmtId="4" fontId="47" fillId="41" borderId="99" applyNumberFormat="0" applyProtection="0">
      <alignment horizontal="right" vertical="center"/>
    </xf>
    <xf numFmtId="0" fontId="18" fillId="0" borderId="0" applyFont="0" applyFill="0" applyBorder="0" applyAlignment="0" applyProtection="0"/>
    <xf numFmtId="0" fontId="26" fillId="0" borderId="44">
      <alignment horizontal="left" vertical="center"/>
    </xf>
    <xf numFmtId="0" fontId="102" fillId="79" borderId="100" applyNumberFormat="0" applyAlignment="0" applyProtection="0"/>
    <xf numFmtId="0" fontId="102" fillId="79" borderId="100" applyNumberFormat="0" applyAlignment="0" applyProtection="0"/>
    <xf numFmtId="0" fontId="18" fillId="54" borderId="99" applyNumberFormat="0" applyProtection="0">
      <alignment horizontal="left" vertical="top" indent="1"/>
    </xf>
    <xf numFmtId="0" fontId="24" fillId="59" borderId="104" applyNumberFormat="0" applyFont="0" applyAlignment="0" applyProtection="0">
      <protection locked="0"/>
    </xf>
    <xf numFmtId="0" fontId="102" fillId="79" borderId="100" applyNumberFormat="0" applyAlignment="0" applyProtection="0"/>
    <xf numFmtId="0" fontId="110" fillId="77" borderId="100"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87" applyNumberFormat="0" applyFill="0" applyAlignment="0" applyProtection="0"/>
    <xf numFmtId="0" fontId="105" fillId="0" borderId="8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3" applyNumberFormat="0">
      <protection locked="0"/>
    </xf>
    <xf numFmtId="0" fontId="18" fillId="0" borderId="0" applyFont="0" applyFill="0" applyBorder="0" applyAlignment="0" applyProtection="0"/>
    <xf numFmtId="0" fontId="18" fillId="0" borderId="0"/>
    <xf numFmtId="0" fontId="18" fillId="61" borderId="13"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99" applyNumberFormat="0" applyProtection="0">
      <alignment horizontal="left" vertical="top" indent="1"/>
    </xf>
    <xf numFmtId="0" fontId="18" fillId="49" borderId="99" applyNumberFormat="0" applyProtection="0">
      <alignment horizontal="left" vertical="top" indent="1"/>
    </xf>
    <xf numFmtId="0" fontId="18" fillId="54" borderId="99" applyNumberFormat="0" applyProtection="0">
      <alignment horizontal="left" vertical="center" indent="1"/>
    </xf>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85" borderId="99" applyNumberFormat="0" applyProtection="0">
      <alignment horizontal="left" vertical="top" indent="1"/>
    </xf>
    <xf numFmtId="0" fontId="18" fillId="51" borderId="99" applyNumberFormat="0" applyProtection="0">
      <alignment horizontal="left" vertical="center" indent="1"/>
    </xf>
    <xf numFmtId="0" fontId="47" fillId="35" borderId="99" applyNumberFormat="0" applyProtection="0">
      <alignment horizontal="left" vertical="top" indent="1"/>
    </xf>
    <xf numFmtId="0" fontId="18" fillId="51" borderId="99" applyNumberFormat="0" applyProtection="0">
      <alignment horizontal="left" vertical="center" indent="1"/>
    </xf>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0" fontId="27" fillId="38" borderId="82" applyNumberFormat="0" applyProtection="0">
      <alignment horizontal="left" vertical="top" indent="1"/>
    </xf>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top"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34"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top"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54"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top"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5"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top" indent="1"/>
    </xf>
    <xf numFmtId="0" fontId="18" fillId="49" borderId="82" applyNumberFormat="0" applyProtection="0">
      <alignment horizontal="left" vertical="top" indent="1"/>
    </xf>
    <xf numFmtId="0" fontId="18" fillId="49"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4" fontId="25" fillId="49" borderId="82"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0" fillId="77" borderId="100" applyNumberFormat="0" applyAlignment="0" applyProtection="0"/>
    <xf numFmtId="0" fontId="114" fillId="79" borderId="102" applyNumberFormat="0" applyAlignment="0" applyProtection="0"/>
    <xf numFmtId="4" fontId="47" fillId="51" borderId="99" applyNumberFormat="0" applyProtection="0">
      <alignment horizontal="right" vertical="center"/>
    </xf>
    <xf numFmtId="4" fontId="47" fillId="42" borderId="99"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89">
      <alignment horizontal="left" vertical="center"/>
    </xf>
    <xf numFmtId="4" fontId="27" fillId="34" borderId="90" applyNumberFormat="0" applyProtection="0">
      <alignment vertical="center"/>
    </xf>
    <xf numFmtId="4" fontId="47" fillId="0" borderId="82" applyNumberFormat="0" applyProtection="0">
      <alignment horizontal="right" vertical="center"/>
    </xf>
    <xf numFmtId="0" fontId="18" fillId="51" borderId="82" applyNumberFormat="0" applyProtection="0">
      <alignment horizontal="left" vertical="center" indent="1"/>
    </xf>
    <xf numFmtId="4" fontId="27" fillId="37" borderId="82" applyNumberFormat="0" applyProtection="0">
      <alignment vertical="center"/>
    </xf>
    <xf numFmtId="0" fontId="110" fillId="77" borderId="84" applyNumberFormat="0" applyAlignment="0" applyProtection="0"/>
    <xf numFmtId="0" fontId="24" fillId="59" borderId="88" applyNumberFormat="0" applyFont="0" applyAlignment="0" applyProtection="0">
      <protection locked="0"/>
    </xf>
    <xf numFmtId="0" fontId="102" fillId="79" borderId="84" applyNumberFormat="0" applyAlignment="0" applyProtection="0"/>
    <xf numFmtId="4" fontId="47" fillId="42" borderId="82" applyNumberFormat="0" applyProtection="0">
      <alignment horizontal="right" vertical="center"/>
    </xf>
    <xf numFmtId="0" fontId="18" fillId="51" borderId="82" applyNumberFormat="0" applyProtection="0">
      <alignment horizontal="left" vertical="top" indent="1"/>
    </xf>
    <xf numFmtId="4" fontId="25" fillId="49" borderId="82" applyNumberFormat="0" applyProtection="0">
      <alignment horizontal="right" vertical="center"/>
    </xf>
    <xf numFmtId="0" fontId="114" fillId="79" borderId="86"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82" applyNumberFormat="0" applyProtection="0">
      <alignment horizontal="left" vertical="top" indent="1"/>
    </xf>
    <xf numFmtId="0" fontId="18" fillId="34" borderId="82" applyNumberFormat="0" applyProtection="0">
      <alignment horizontal="left" vertical="center" indent="1"/>
    </xf>
    <xf numFmtId="0" fontId="102" fillId="79" borderId="84" applyNumberFormat="0" applyAlignment="0" applyProtection="0"/>
    <xf numFmtId="4" fontId="47" fillId="43" borderId="82" applyNumberFormat="0" applyProtection="0">
      <alignment horizontal="right" vertical="center"/>
    </xf>
    <xf numFmtId="0" fontId="18" fillId="54" borderId="82" applyNumberFormat="0" applyProtection="0">
      <alignment horizontal="left" vertical="center" indent="1"/>
    </xf>
    <xf numFmtId="0" fontId="114" fillId="79" borderId="86" applyNumberFormat="0" applyAlignment="0" applyProtection="0"/>
    <xf numFmtId="4" fontId="25" fillId="49" borderId="82" applyNumberFormat="0" applyProtection="0">
      <alignment horizontal="right" vertical="center"/>
    </xf>
    <xf numFmtId="0" fontId="18" fillId="51" borderId="82" applyNumberFormat="0" applyProtection="0">
      <alignment horizontal="left" vertical="top" indent="1"/>
    </xf>
    <xf numFmtId="4" fontId="47" fillId="39" borderId="82" applyNumberFormat="0" applyProtection="0">
      <alignment horizontal="right" vertical="center"/>
    </xf>
    <xf numFmtId="0" fontId="18" fillId="76" borderId="85" applyNumberFormat="0" applyFont="0" applyAlignment="0" applyProtection="0"/>
    <xf numFmtId="0" fontId="105" fillId="0" borderId="87" applyNumberFormat="0" applyFill="0" applyAlignment="0" applyProtection="0"/>
    <xf numFmtId="0" fontId="27" fillId="38" borderId="82" applyNumberFormat="0" applyProtection="0">
      <alignment horizontal="left" vertical="top" indent="1"/>
    </xf>
    <xf numFmtId="0" fontId="18" fillId="51" borderId="82" applyNumberFormat="0" applyProtection="0">
      <alignment horizontal="left" vertical="center" indent="1"/>
    </xf>
    <xf numFmtId="4" fontId="47" fillId="0" borderId="82" applyNumberFormat="0" applyProtection="0">
      <alignment horizontal="right" vertical="center"/>
    </xf>
    <xf numFmtId="0" fontId="105" fillId="0" borderId="87" applyNumberFormat="0" applyFill="0" applyAlignment="0" applyProtection="0"/>
    <xf numFmtId="0" fontId="18" fillId="76" borderId="85" applyNumberFormat="0" applyFont="0" applyAlignment="0" applyProtection="0"/>
    <xf numFmtId="0" fontId="21" fillId="35" borderId="70" applyNumberFormat="0" applyFont="0" applyAlignment="0" applyProtection="0">
      <alignment horizontal="center"/>
      <protection locked="0"/>
    </xf>
    <xf numFmtId="0" fontId="18" fillId="49" borderId="82" applyNumberFormat="0" applyProtection="0">
      <alignment horizontal="left" vertical="center" indent="1"/>
    </xf>
    <xf numFmtId="4" fontId="47" fillId="51" borderId="82" applyNumberFormat="0" applyProtection="0">
      <alignment horizontal="right" vertical="center"/>
    </xf>
    <xf numFmtId="0" fontId="114" fillId="79" borderId="86" applyNumberFormat="0" applyAlignment="0" applyProtection="0"/>
    <xf numFmtId="0" fontId="114" fillId="79" borderId="86" applyNumberFormat="0" applyAlignment="0" applyProtection="0"/>
    <xf numFmtId="0" fontId="18" fillId="49" borderId="82" applyNumberFormat="0" applyProtection="0">
      <alignment horizontal="left" vertical="center" indent="1"/>
    </xf>
    <xf numFmtId="0" fontId="105" fillId="0" borderId="87" applyNumberFormat="0" applyFill="0" applyAlignment="0" applyProtection="0"/>
    <xf numFmtId="0" fontId="18" fillId="85" borderId="82" applyNumberFormat="0" applyProtection="0">
      <alignment horizontal="left" vertical="center" indent="1"/>
    </xf>
    <xf numFmtId="4" fontId="47" fillId="41" borderId="82" applyNumberFormat="0" applyProtection="0">
      <alignment horizontal="right" vertical="center"/>
    </xf>
    <xf numFmtId="0" fontId="18" fillId="76" borderId="85" applyNumberFormat="0" applyFont="0" applyAlignment="0" applyProtection="0"/>
    <xf numFmtId="4" fontId="46" fillId="38" borderId="82" applyNumberFormat="0" applyProtection="0">
      <alignment vertical="center"/>
    </xf>
    <xf numFmtId="0" fontId="18" fillId="84" borderId="82" applyNumberFormat="0" applyProtection="0">
      <alignment horizontal="left" vertical="top" indent="1"/>
    </xf>
    <xf numFmtId="4" fontId="47" fillId="35" borderId="82" applyNumberFormat="0" applyProtection="0">
      <alignment horizontal="left" vertical="center" indent="1"/>
    </xf>
    <xf numFmtId="0" fontId="105" fillId="0" borderId="87" applyNumberFormat="0" applyFill="0" applyAlignment="0" applyProtection="0"/>
    <xf numFmtId="0" fontId="18" fillId="76" borderId="85" applyNumberFormat="0" applyFont="0" applyAlignment="0" applyProtection="0"/>
    <xf numFmtId="0" fontId="18" fillId="49" borderId="82" applyNumberFormat="0" applyProtection="0">
      <alignment horizontal="left" vertical="top" indent="1"/>
    </xf>
    <xf numFmtId="0" fontId="18" fillId="84" borderId="82" applyNumberFormat="0" applyProtection="0">
      <alignment horizontal="left" vertical="center"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51" borderId="82" applyNumberFormat="0" applyProtection="0">
      <alignment horizontal="right" vertical="center"/>
    </xf>
    <xf numFmtId="0" fontId="18" fillId="85" borderId="82" applyNumberFormat="0" applyProtection="0">
      <alignment horizontal="left" vertical="top" indent="1"/>
    </xf>
    <xf numFmtId="0" fontId="105" fillId="0" borderId="87" applyNumberFormat="0" applyFill="0" applyAlignment="0" applyProtection="0"/>
    <xf numFmtId="0" fontId="24" fillId="59" borderId="88" applyNumberFormat="0" applyFont="0" applyAlignment="0" applyProtection="0">
      <protection locked="0"/>
    </xf>
    <xf numFmtId="4" fontId="47" fillId="43" borderId="82" applyNumberFormat="0" applyProtection="0">
      <alignment horizontal="right" vertical="center"/>
    </xf>
    <xf numFmtId="0" fontId="18" fillId="54" borderId="82" applyNumberFormat="0" applyProtection="0">
      <alignment horizontal="left" vertical="top" indent="1"/>
    </xf>
    <xf numFmtId="0" fontId="18" fillId="76" borderId="85" applyNumberFormat="0" applyFont="0" applyAlignment="0" applyProtection="0"/>
    <xf numFmtId="0" fontId="105" fillId="0" borderId="87" applyNumberFormat="0" applyFill="0" applyAlignment="0" applyProtection="0"/>
    <xf numFmtId="0" fontId="18" fillId="50" borderId="82" applyNumberFormat="0" applyProtection="0">
      <alignment horizontal="left" vertical="top" indent="1"/>
    </xf>
    <xf numFmtId="4" fontId="47" fillId="35" borderId="82" applyNumberFormat="0" applyProtection="0">
      <alignment vertical="center"/>
    </xf>
    <xf numFmtId="0" fontId="105" fillId="0" borderId="87" applyNumberFormat="0" applyFill="0" applyAlignment="0" applyProtection="0"/>
    <xf numFmtId="0" fontId="18" fillId="76" borderId="85" applyNumberFormat="0" applyFont="0" applyAlignment="0" applyProtection="0"/>
    <xf numFmtId="4" fontId="47" fillId="35" borderId="82" applyNumberFormat="0" applyProtection="0">
      <alignment vertical="center"/>
    </xf>
    <xf numFmtId="0" fontId="18" fillId="50" borderId="82" applyNumberFormat="0" applyProtection="0">
      <alignment horizontal="left" vertical="top"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6" borderId="82" applyNumberFormat="0" applyProtection="0">
      <alignment horizontal="right" vertical="center"/>
    </xf>
    <xf numFmtId="0" fontId="18" fillId="54" borderId="82" applyNumberFormat="0" applyProtection="0">
      <alignment horizontal="left" vertical="top" indent="1"/>
    </xf>
    <xf numFmtId="0" fontId="105" fillId="0" borderId="87" applyNumberFormat="0" applyFill="0" applyAlignment="0" applyProtection="0"/>
    <xf numFmtId="0" fontId="63" fillId="59" borderId="88" applyNumberFormat="0" applyFont="0" applyFill="0" applyAlignment="0" applyProtection="0">
      <protection locked="0"/>
    </xf>
    <xf numFmtId="0" fontId="105" fillId="0" borderId="87" applyNumberFormat="0" applyFill="0" applyAlignment="0" applyProtection="0"/>
    <xf numFmtId="0" fontId="18" fillId="85" borderId="82" applyNumberFormat="0" applyProtection="0">
      <alignment horizontal="left" vertical="top" indent="1"/>
    </xf>
    <xf numFmtId="4" fontId="47" fillId="45" borderId="82" applyNumberFormat="0" applyProtection="0">
      <alignment horizontal="right" vertical="center"/>
    </xf>
    <xf numFmtId="0" fontId="110" fillId="77" borderId="84" applyNumberFormat="0" applyAlignment="0" applyProtection="0"/>
    <xf numFmtId="0" fontId="18" fillId="84" borderId="82" applyNumberFormat="0" applyProtection="0">
      <alignment horizontal="left" vertical="center" indent="1"/>
    </xf>
    <xf numFmtId="0" fontId="18" fillId="49" borderId="82" applyNumberFormat="0" applyProtection="0">
      <alignment horizontal="left" vertical="top" indent="1"/>
    </xf>
    <xf numFmtId="4" fontId="47" fillId="35" borderId="82" applyNumberFormat="0" applyProtection="0">
      <alignment horizontal="left" vertical="center" indent="1"/>
    </xf>
    <xf numFmtId="0" fontId="18" fillId="84" borderId="82" applyNumberFormat="0" applyProtection="0">
      <alignment horizontal="left" vertical="top" indent="1"/>
    </xf>
    <xf numFmtId="0" fontId="102" fillId="79" borderId="84" applyNumberFormat="0" applyAlignment="0" applyProtection="0"/>
    <xf numFmtId="4" fontId="47" fillId="44" borderId="82" applyNumberFormat="0" applyProtection="0">
      <alignment horizontal="right" vertical="center"/>
    </xf>
    <xf numFmtId="0" fontId="18" fillId="85" borderId="82" applyNumberFormat="0" applyProtection="0">
      <alignment horizontal="left" vertical="center" indent="1"/>
    </xf>
    <xf numFmtId="0" fontId="114" fillId="79" borderId="86" applyNumberFormat="0" applyAlignment="0" applyProtection="0"/>
    <xf numFmtId="4" fontId="51" fillId="49" borderId="82" applyNumberFormat="0" applyProtection="0">
      <alignment horizontal="right" vertical="center"/>
    </xf>
    <xf numFmtId="0" fontId="18" fillId="51" borderId="82" applyNumberFormat="0" applyProtection="0">
      <alignment horizontal="left" vertical="center" indent="1"/>
    </xf>
    <xf numFmtId="4" fontId="46" fillId="38" borderId="82" applyNumberFormat="0" applyProtection="0">
      <alignment vertical="center"/>
    </xf>
    <xf numFmtId="0" fontId="110" fillId="77" borderId="84" applyNumberFormat="0" applyAlignment="0" applyProtection="0"/>
    <xf numFmtId="0" fontId="102" fillId="79" borderId="84" applyNumberFormat="0" applyAlignment="0" applyProtection="0"/>
    <xf numFmtId="4" fontId="47" fillId="41" borderId="82" applyNumberFormat="0" applyProtection="0">
      <alignment horizontal="right" vertical="center"/>
    </xf>
    <xf numFmtId="0" fontId="18" fillId="51" borderId="82" applyNumberFormat="0" applyProtection="0">
      <alignment horizontal="left" vertical="top" indent="1"/>
    </xf>
    <xf numFmtId="0" fontId="47" fillId="34" borderId="82" applyNumberFormat="0" applyProtection="0">
      <alignment horizontal="left" vertical="top"/>
    </xf>
    <xf numFmtId="0" fontId="114" fillId="79" borderId="86" applyNumberFormat="0" applyAlignment="0" applyProtection="0"/>
    <xf numFmtId="0" fontId="26" fillId="0" borderId="89">
      <alignment horizontal="left" vertical="center"/>
    </xf>
    <xf numFmtId="4" fontId="27" fillId="34" borderId="90" applyNumberFormat="0" applyProtection="0">
      <alignment vertical="center"/>
    </xf>
    <xf numFmtId="0" fontId="26" fillId="0" borderId="89">
      <alignment horizontal="left" vertical="center"/>
    </xf>
    <xf numFmtId="4" fontId="27" fillId="34" borderId="90" applyNumberFormat="0" applyProtection="0">
      <alignment vertical="center"/>
    </xf>
    <xf numFmtId="4" fontId="27" fillId="34" borderId="90" applyNumberFormat="0" applyProtection="0">
      <alignment vertical="center"/>
    </xf>
    <xf numFmtId="4" fontId="47" fillId="0" borderId="82" applyNumberFormat="0" applyProtection="0">
      <alignment horizontal="left" vertical="center" indent="1"/>
    </xf>
    <xf numFmtId="0" fontId="18" fillId="34" borderId="82" applyNumberFormat="0" applyProtection="0">
      <alignment horizontal="left" vertical="top" indent="1"/>
    </xf>
    <xf numFmtId="4" fontId="27" fillId="38" borderId="82" applyNumberFormat="0" applyProtection="0">
      <alignment horizontal="left" vertical="center" indent="1"/>
    </xf>
    <xf numFmtId="0" fontId="110" fillId="77" borderId="84" applyNumberFormat="0" applyAlignment="0" applyProtection="0"/>
    <xf numFmtId="4" fontId="47" fillId="40" borderId="82" applyNumberFormat="0" applyProtection="0">
      <alignment horizontal="right" vertical="center"/>
    </xf>
    <xf numFmtId="0" fontId="18" fillId="34" borderId="82" applyNumberFormat="0" applyProtection="0">
      <alignment horizontal="left" vertical="top" indent="1"/>
    </xf>
    <xf numFmtId="4" fontId="47" fillId="0" borderId="82" applyNumberFormat="0" applyProtection="0">
      <alignment horizontal="left" vertical="center" indent="1"/>
    </xf>
    <xf numFmtId="0" fontId="114" fillId="79" borderId="86" applyNumberFormat="0" applyAlignment="0" applyProtection="0"/>
    <xf numFmtId="0" fontId="105" fillId="0" borderId="87" applyNumberFormat="0" applyFill="0" applyAlignment="0" applyProtection="0"/>
    <xf numFmtId="0" fontId="18" fillId="55" borderId="82" applyNumberFormat="0" applyProtection="0">
      <alignment horizontal="left" vertical="center" indent="1"/>
    </xf>
    <xf numFmtId="4" fontId="47" fillId="46" borderId="82" applyNumberFormat="0" applyProtection="0">
      <alignment horizontal="right" vertical="center"/>
    </xf>
    <xf numFmtId="0" fontId="110" fillId="77" borderId="84" applyNumberFormat="0" applyAlignment="0" applyProtection="0"/>
    <xf numFmtId="0" fontId="18" fillId="50" borderId="82" applyNumberFormat="0" applyProtection="0">
      <alignment horizontal="left" vertical="center" indent="1"/>
    </xf>
    <xf numFmtId="0" fontId="18" fillId="55" borderId="82" applyNumberFormat="0" applyProtection="0">
      <alignment horizontal="left" vertical="top" indent="1"/>
    </xf>
    <xf numFmtId="0" fontId="47" fillId="34" borderId="82" applyNumberFormat="0" applyProtection="0">
      <alignment horizontal="left" vertical="top"/>
    </xf>
    <xf numFmtId="0" fontId="18" fillId="51" borderId="82" applyNumberFormat="0" applyProtection="0">
      <alignment horizontal="left" vertical="top" indent="1"/>
    </xf>
    <xf numFmtId="0" fontId="27" fillId="38" borderId="82" applyNumberFormat="0" applyProtection="0">
      <alignment horizontal="left" vertical="top" indent="1"/>
    </xf>
    <xf numFmtId="0" fontId="18" fillId="76" borderId="85" applyNumberFormat="0" applyFont="0" applyAlignment="0" applyProtection="0"/>
    <xf numFmtId="0" fontId="110" fillId="77" borderId="84" applyNumberFormat="0" applyAlignment="0" applyProtection="0"/>
    <xf numFmtId="0" fontId="105" fillId="0" borderId="87" applyNumberFormat="0" applyFill="0" applyAlignment="0" applyProtection="0"/>
    <xf numFmtId="4" fontId="47" fillId="39" borderId="82" applyNumberFormat="0" applyProtection="0">
      <alignment horizontal="right" vertical="center"/>
    </xf>
    <xf numFmtId="0" fontId="18" fillId="51" borderId="82" applyNumberFormat="0" applyProtection="0">
      <alignment horizontal="left" vertical="center" indent="1"/>
    </xf>
    <xf numFmtId="4" fontId="51" fillId="49" borderId="82" applyNumberFormat="0" applyProtection="0">
      <alignment horizontal="right" vertical="center"/>
    </xf>
    <xf numFmtId="0" fontId="18" fillId="49" borderId="82" applyNumberFormat="0" applyProtection="0">
      <alignment horizontal="left" vertical="center" indent="1"/>
    </xf>
    <xf numFmtId="4" fontId="47" fillId="47" borderId="82" applyNumberFormat="0" applyProtection="0">
      <alignment horizontal="right" vertical="center"/>
    </xf>
    <xf numFmtId="0" fontId="110" fillId="77" borderId="84" applyNumberFormat="0" applyAlignment="0" applyProtection="0"/>
    <xf numFmtId="0" fontId="18" fillId="49" borderId="82" applyNumberFormat="0" applyProtection="0">
      <alignment horizontal="left" vertical="center" indent="1"/>
    </xf>
    <xf numFmtId="0" fontId="18" fillId="54" borderId="82" applyNumberFormat="0" applyProtection="0">
      <alignment horizontal="left" vertical="center" indent="1"/>
    </xf>
    <xf numFmtId="4" fontId="47" fillId="40" borderId="82" applyNumberFormat="0" applyProtection="0">
      <alignment horizontal="right" vertical="center"/>
    </xf>
    <xf numFmtId="0" fontId="18" fillId="76" borderId="85" applyNumberFormat="0" applyFont="0" applyAlignment="0" applyProtection="0"/>
    <xf numFmtId="4" fontId="27" fillId="38" borderId="82" applyNumberFormat="0" applyProtection="0">
      <alignment horizontal="left" vertical="center" indent="1"/>
    </xf>
    <xf numFmtId="0" fontId="18" fillId="34" borderId="82" applyNumberFormat="0" applyProtection="0">
      <alignment horizontal="left" vertical="center" indent="1"/>
    </xf>
    <xf numFmtId="0" fontId="47" fillId="35" borderId="82" applyNumberFormat="0" applyProtection="0">
      <alignment horizontal="left" vertical="top" indent="1"/>
    </xf>
    <xf numFmtId="0" fontId="105" fillId="0" borderId="87" applyNumberFormat="0" applyFill="0" applyAlignment="0" applyProtection="0"/>
    <xf numFmtId="0" fontId="18" fillId="76" borderId="85" applyNumberFormat="0" applyFont="0" applyAlignment="0" applyProtection="0"/>
    <xf numFmtId="0" fontId="18" fillId="55" borderId="82" applyNumberFormat="0" applyProtection="0">
      <alignment horizontal="left" vertical="top" indent="1"/>
    </xf>
    <xf numFmtId="0" fontId="18" fillId="50" borderId="82" applyNumberFormat="0" applyProtection="0">
      <alignment horizontal="left" vertical="center" indent="1"/>
    </xf>
    <xf numFmtId="0" fontId="114" fillId="79" borderId="86" applyNumberFormat="0" applyAlignment="0" applyProtection="0"/>
    <xf numFmtId="0" fontId="114" fillId="79" borderId="86" applyNumberFormat="0" applyAlignment="0" applyProtection="0"/>
    <xf numFmtId="0" fontId="18" fillId="55" borderId="82" applyNumberFormat="0" applyProtection="0">
      <alignment horizontal="left" vertical="center" indent="1"/>
    </xf>
    <xf numFmtId="4" fontId="47" fillId="42" borderId="82" applyNumberFormat="0" applyProtection="0">
      <alignment horizontal="right" vertical="center"/>
    </xf>
    <xf numFmtId="0" fontId="18" fillId="85" borderId="82" applyNumberFormat="0" applyProtection="0">
      <alignment horizontal="left" vertical="center" indent="1"/>
    </xf>
    <xf numFmtId="0" fontId="18" fillId="76" borderId="85" applyNumberFormat="0" applyFont="0" applyAlignment="0" applyProtection="0"/>
    <xf numFmtId="0" fontId="105" fillId="0" borderId="87" applyNumberFormat="0" applyFill="0" applyAlignment="0" applyProtection="0"/>
    <xf numFmtId="4" fontId="27" fillId="37" borderId="82" applyNumberFormat="0" applyProtection="0">
      <alignment vertical="center"/>
    </xf>
    <xf numFmtId="0" fontId="18" fillId="84" borderId="82" applyNumberFormat="0" applyProtection="0">
      <alignment horizontal="left" vertical="top" indent="1"/>
    </xf>
    <xf numFmtId="4" fontId="51" fillId="35" borderId="82" applyNumberFormat="0" applyProtection="0">
      <alignment vertical="center"/>
    </xf>
    <xf numFmtId="0" fontId="105" fillId="0" borderId="87" applyNumberFormat="0" applyFill="0" applyAlignment="0" applyProtection="0"/>
    <xf numFmtId="0" fontId="18" fillId="76" borderId="85" applyNumberFormat="0" applyFont="0" applyAlignment="0" applyProtection="0"/>
    <xf numFmtId="0" fontId="18" fillId="49" borderId="82" applyNumberFormat="0" applyProtection="0">
      <alignment horizontal="left" vertical="top" indent="1"/>
    </xf>
    <xf numFmtId="0" fontId="18" fillId="84" borderId="82" applyNumberFormat="0" applyProtection="0">
      <alignment horizontal="left" vertical="center"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7" borderId="82" applyNumberFormat="0" applyProtection="0">
      <alignment horizontal="right" vertical="center"/>
    </xf>
    <xf numFmtId="0" fontId="18" fillId="85" borderId="82" applyNumberFormat="0" applyProtection="0">
      <alignment horizontal="left" vertical="top" indent="1"/>
    </xf>
    <xf numFmtId="0" fontId="105" fillId="0" borderId="87" applyNumberFormat="0" applyFill="0" applyAlignment="0" applyProtection="0"/>
    <xf numFmtId="0" fontId="105" fillId="0" borderId="87" applyNumberFormat="0" applyFill="0" applyAlignment="0" applyProtection="0"/>
    <xf numFmtId="0" fontId="18" fillId="85" borderId="82" applyNumberFormat="0" applyProtection="0">
      <alignment horizontal="left" vertical="top" indent="1"/>
    </xf>
    <xf numFmtId="4" fontId="47" fillId="44" borderId="82" applyNumberFormat="0" applyProtection="0">
      <alignment horizontal="right" vertical="center"/>
    </xf>
    <xf numFmtId="0" fontId="110" fillId="77" borderId="84" applyNumberFormat="0" applyAlignment="0" applyProtection="0"/>
    <xf numFmtId="0" fontId="63" fillId="59" borderId="88" applyNumberFormat="0" applyFont="0" applyFill="0" applyAlignment="0" applyProtection="0">
      <protection locked="0"/>
    </xf>
    <xf numFmtId="0" fontId="18" fillId="84" borderId="82" applyNumberFormat="0" applyProtection="0">
      <alignment horizontal="left" vertical="center" indent="1"/>
    </xf>
    <xf numFmtId="0" fontId="18" fillId="49" borderId="82" applyNumberFormat="0" applyProtection="0">
      <alignment horizontal="left" vertical="top" indent="1"/>
    </xf>
    <xf numFmtId="0" fontId="105" fillId="0" borderId="87" applyNumberFormat="0" applyFill="0" applyAlignment="0" applyProtection="0"/>
    <xf numFmtId="0" fontId="18" fillId="76" borderId="85" applyNumberFormat="0" applyFont="0" applyAlignment="0" applyProtection="0"/>
    <xf numFmtId="4" fontId="51" fillId="35" borderId="82" applyNumberFormat="0" applyProtection="0">
      <alignment vertical="center"/>
    </xf>
    <xf numFmtId="0" fontId="18" fillId="84" borderId="82" applyNumberFormat="0" applyProtection="0">
      <alignment horizontal="left" vertical="top"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5" borderId="82" applyNumberFormat="0" applyProtection="0">
      <alignment horizontal="right" vertical="center"/>
    </xf>
    <xf numFmtId="0" fontId="18" fillId="85" borderId="82" applyNumberFormat="0" applyProtection="0">
      <alignment horizontal="left" vertical="center" indent="1"/>
    </xf>
    <xf numFmtId="0" fontId="105" fillId="0" borderId="87" applyNumberFormat="0" applyFill="0" applyAlignment="0" applyProtection="0"/>
    <xf numFmtId="0" fontId="114" fillId="79" borderId="86" applyNumberFormat="0" applyAlignment="0" applyProtection="0"/>
    <xf numFmtId="0" fontId="21" fillId="35" borderId="70"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4" fontId="47" fillId="51" borderId="82" applyNumberFormat="0" applyProtection="0">
      <alignment horizontal="left" vertical="center" indent="1"/>
    </xf>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top" indent="1"/>
    </xf>
    <xf numFmtId="0" fontId="18" fillId="49" borderId="82" applyNumberFormat="0" applyProtection="0">
      <alignment horizontal="left" vertical="top" inden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24" fillId="59" borderId="88" applyNumberFormat="0" applyFont="0" applyAlignment="0" applyProtection="0">
      <protection locked="0"/>
    </xf>
    <xf numFmtId="0" fontId="63" fillId="59" borderId="88" applyNumberFormat="0" applyFont="0" applyFill="0" applyAlignment="0" applyProtection="0">
      <protection locked="0"/>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4" fontId="25" fillId="49" borderId="82" applyNumberFormat="0" applyProtection="0">
      <alignment horizontal="right" vertical="center"/>
    </xf>
    <xf numFmtId="0" fontId="47" fillId="34" borderId="82" applyNumberFormat="0" applyProtection="0">
      <alignment horizontal="left" vertical="top"/>
    </xf>
    <xf numFmtId="4" fontId="47" fillId="0" borderId="82" applyNumberFormat="0" applyProtection="0">
      <alignment horizontal="left" vertical="center" indent="1"/>
    </xf>
    <xf numFmtId="4" fontId="51" fillId="49" borderId="82" applyNumberFormat="0" applyProtection="0">
      <alignment horizontal="right" vertical="center"/>
    </xf>
    <xf numFmtId="4" fontId="47" fillId="0" borderId="82" applyNumberFormat="0" applyProtection="0">
      <alignment horizontal="right" vertical="center"/>
    </xf>
    <xf numFmtId="0" fontId="47" fillId="35" borderId="82" applyNumberFormat="0" applyProtection="0">
      <alignment horizontal="left" vertical="top" indent="1"/>
    </xf>
    <xf numFmtId="4" fontId="47" fillId="35" borderId="82" applyNumberFormat="0" applyProtection="0">
      <alignment horizontal="left" vertical="center" indent="1"/>
    </xf>
    <xf numFmtId="4" fontId="51" fillId="35" borderId="82" applyNumberFormat="0" applyProtection="0">
      <alignment vertical="center"/>
    </xf>
    <xf numFmtId="4" fontId="47" fillId="35" borderId="82" applyNumberFormat="0" applyProtection="0">
      <alignment vertical="center"/>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5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4"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3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0" borderId="82" applyNumberFormat="0" applyProtection="0">
      <alignment horizontal="left" vertical="top"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center" indent="1"/>
    </xf>
    <xf numFmtId="4" fontId="47" fillId="51" borderId="82" applyNumberFormat="0" applyProtection="0">
      <alignment horizontal="right" vertical="center"/>
    </xf>
    <xf numFmtId="4" fontId="47" fillId="47" borderId="82" applyNumberFormat="0" applyProtection="0">
      <alignment horizontal="right" vertical="center"/>
    </xf>
    <xf numFmtId="4" fontId="47" fillId="46" borderId="82" applyNumberFormat="0" applyProtection="0">
      <alignment horizontal="right" vertical="center"/>
    </xf>
    <xf numFmtId="4" fontId="47" fillId="45" borderId="82" applyNumberFormat="0" applyProtection="0">
      <alignment horizontal="right" vertical="center"/>
    </xf>
    <xf numFmtId="4" fontId="47" fillId="44" borderId="82" applyNumberFormat="0" applyProtection="0">
      <alignment horizontal="right" vertical="center"/>
    </xf>
    <xf numFmtId="4" fontId="47" fillId="43" borderId="82" applyNumberFormat="0" applyProtection="0">
      <alignment horizontal="right" vertical="center"/>
    </xf>
    <xf numFmtId="4" fontId="47" fillId="42" borderId="82" applyNumberFormat="0" applyProtection="0">
      <alignment horizontal="right" vertical="center"/>
    </xf>
    <xf numFmtId="4" fontId="47" fillId="41" borderId="82" applyNumberFormat="0" applyProtection="0">
      <alignment horizontal="right" vertical="center"/>
    </xf>
    <xf numFmtId="4" fontId="47" fillId="40" borderId="82" applyNumberFormat="0" applyProtection="0">
      <alignment horizontal="right" vertical="center"/>
    </xf>
    <xf numFmtId="4" fontId="47" fillId="39" borderId="82" applyNumberFormat="0" applyProtection="0">
      <alignment horizontal="right" vertical="center"/>
    </xf>
    <xf numFmtId="0" fontId="27" fillId="38" borderId="82" applyNumberFormat="0" applyProtection="0">
      <alignment horizontal="left" vertical="top" indent="1"/>
    </xf>
    <xf numFmtId="4" fontId="27" fillId="38" borderId="82" applyNumberFormat="0" applyProtection="0">
      <alignment horizontal="left" vertical="center" indent="1"/>
    </xf>
    <xf numFmtId="4" fontId="46" fillId="38" borderId="82" applyNumberFormat="0" applyProtection="0">
      <alignment vertical="center"/>
    </xf>
    <xf numFmtId="4" fontId="27" fillId="37" borderId="82" applyNumberFormat="0" applyProtection="0">
      <alignment vertical="center"/>
    </xf>
    <xf numFmtId="0" fontId="63" fillId="59" borderId="88" applyNumberFormat="0" applyFont="0" applyFill="0" applyAlignment="0" applyProtection="0">
      <protection locked="0"/>
    </xf>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24" fillId="59" borderId="88" applyNumberFormat="0" applyFont="0" applyAlignment="0" applyProtection="0">
      <protection locked="0"/>
    </xf>
    <xf numFmtId="0" fontId="105" fillId="0" borderId="87" applyNumberFormat="0" applyFill="0" applyAlignment="0" applyProtection="0"/>
    <xf numFmtId="0" fontId="105" fillId="0" borderId="87" applyNumberFormat="0" applyFill="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0" fontId="27" fillId="38" borderId="82" applyNumberFormat="0" applyProtection="0">
      <alignment horizontal="left" vertical="top" indent="1"/>
    </xf>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top"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34"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top"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54"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top"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5"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top" indent="1"/>
    </xf>
    <xf numFmtId="0" fontId="18" fillId="49" borderId="82" applyNumberFormat="0" applyProtection="0">
      <alignment horizontal="left" vertical="top" indent="1"/>
    </xf>
    <xf numFmtId="0" fontId="18" fillId="49"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4" fontId="25" fillId="49" borderId="82"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16">
      <alignment horizontal="left"/>
    </xf>
    <xf numFmtId="0" fontId="18" fillId="54" borderId="99" applyNumberFormat="0" applyProtection="0">
      <alignment horizontal="left" vertical="top" indent="1"/>
    </xf>
    <xf numFmtId="0" fontId="18" fillId="55" borderId="99" applyNumberFormat="0" applyProtection="0">
      <alignment horizontal="left" vertical="center" indent="1"/>
    </xf>
    <xf numFmtId="0" fontId="18" fillId="55" borderId="99" applyNumberFormat="0" applyProtection="0">
      <alignment horizontal="left" vertical="top" indent="1"/>
    </xf>
    <xf numFmtId="4" fontId="47" fillId="0" borderId="99" applyNumberFormat="0" applyProtection="0">
      <alignment horizontal="right" vertical="center"/>
    </xf>
    <xf numFmtId="4" fontId="47" fillId="0" borderId="99" applyNumberFormat="0" applyProtection="0">
      <alignment horizontal="right" vertical="center"/>
    </xf>
    <xf numFmtId="4" fontId="47" fillId="0" borderId="99" applyNumberFormat="0" applyProtection="0">
      <alignment horizontal="left" vertical="center" indent="1"/>
    </xf>
    <xf numFmtId="0" fontId="47" fillId="34" borderId="99" applyNumberFormat="0" applyProtection="0">
      <alignment horizontal="left" vertical="top"/>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vertical="center"/>
    </xf>
    <xf numFmtId="4" fontId="27" fillId="38" borderId="93" applyNumberFormat="0" applyProtection="0">
      <alignment vertical="center"/>
    </xf>
    <xf numFmtId="4" fontId="27" fillId="38" borderId="93" applyNumberFormat="0" applyProtection="0">
      <alignment vertical="center"/>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4" fontId="27" fillId="34" borderId="93" applyNumberFormat="0" applyProtection="0"/>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59" borderId="93" applyNumberFormat="0" applyProtection="0">
      <alignment horizontal="left" vertical="center" indent="1"/>
    </xf>
    <xf numFmtId="4" fontId="47" fillId="59" borderId="93" applyNumberFormat="0" applyProtection="0">
      <alignment horizontal="left" vertical="center" indent="1"/>
    </xf>
    <xf numFmtId="4" fontId="47" fillId="59"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51" borderId="93" applyNumberFormat="0" applyProtection="0">
      <alignment horizontal="left" vertical="center" indent="1"/>
    </xf>
    <xf numFmtId="4" fontId="47" fillId="51" borderId="93" applyNumberFormat="0" applyProtection="0">
      <alignment horizontal="left" vertical="center" indent="1"/>
    </xf>
    <xf numFmtId="4" fontId="47" fillId="51" borderId="93" applyNumberFormat="0" applyProtection="0">
      <alignment horizontal="left" vertical="center" indent="1"/>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center" vertical="top"/>
    </xf>
    <xf numFmtId="0" fontId="47" fillId="34" borderId="93" applyNumberFormat="0" applyProtection="0">
      <alignment horizontal="center" vertical="top"/>
    </xf>
    <xf numFmtId="0" fontId="47" fillId="34" borderId="93" applyNumberFormat="0" applyProtection="0">
      <alignment horizontal="center"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175" fontId="18" fillId="0" borderId="15">
      <alignment horizontal="justify" vertical="top" wrapText="1"/>
    </xf>
    <xf numFmtId="4" fontId="47" fillId="42" borderId="99" applyNumberFormat="0" applyProtection="0">
      <alignment horizontal="right" vertical="center"/>
    </xf>
    <xf numFmtId="4" fontId="47" fillId="43" borderId="99" applyNumberFormat="0" applyProtection="0">
      <alignment horizontal="right" vertical="center"/>
    </xf>
    <xf numFmtId="4" fontId="47" fillId="44" borderId="99" applyNumberFormat="0" applyProtection="0">
      <alignment horizontal="right" vertical="center"/>
    </xf>
    <xf numFmtId="4" fontId="47" fillId="47" borderId="99" applyNumberFormat="0" applyProtection="0">
      <alignment horizontal="right" vertical="center"/>
    </xf>
    <xf numFmtId="4" fontId="27" fillId="38" borderId="99" applyNumberFormat="0" applyProtection="0">
      <alignment horizontal="left" vertical="center" indent="1"/>
    </xf>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8" fillId="54" borderId="99" applyNumberFormat="0" applyProtection="0">
      <alignment horizontal="left" vertical="center" indent="1"/>
    </xf>
    <xf numFmtId="4" fontId="47" fillId="0" borderId="99" applyNumberFormat="0" applyProtection="0">
      <alignment horizontal="right" vertical="center"/>
    </xf>
    <xf numFmtId="4" fontId="47" fillId="0" borderId="99" applyNumberFormat="0" applyProtection="0">
      <alignment horizontal="right" vertical="center"/>
    </xf>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99" applyNumberFormat="0" applyProtection="0">
      <alignment horizontal="left" vertical="center" indent="1"/>
    </xf>
    <xf numFmtId="4" fontId="47" fillId="0" borderId="99" applyNumberFormat="0" applyProtection="0">
      <alignment horizontal="right" vertical="center"/>
    </xf>
    <xf numFmtId="0" fontId="18" fillId="54" borderId="99" applyNumberFormat="0" applyProtection="0">
      <alignment horizontal="left" vertical="center" indent="1"/>
    </xf>
    <xf numFmtId="0" fontId="47" fillId="35" borderId="99" applyNumberFormat="0" applyProtection="0">
      <alignment horizontal="left" vertical="top" indent="1"/>
    </xf>
    <xf numFmtId="4" fontId="47" fillId="51" borderId="99" applyNumberFormat="0" applyProtection="0">
      <alignment horizontal="right" vertical="center"/>
    </xf>
    <xf numFmtId="0" fontId="26" fillId="0" borderId="98">
      <alignment horizontal="left" vertical="center"/>
    </xf>
    <xf numFmtId="0" fontId="110" fillId="77" borderId="96" applyNumberFormat="0" applyAlignment="0" applyProtection="0"/>
    <xf numFmtId="0" fontId="24" fillId="59" borderId="97" applyNumberFormat="0" applyFont="0" applyAlignment="0" applyProtection="0">
      <protection locked="0"/>
    </xf>
    <xf numFmtId="0" fontId="102" fillId="79" borderId="96" applyNumberFormat="0" applyAlignment="0" applyProtection="0"/>
    <xf numFmtId="0" fontId="18" fillId="50" borderId="99" applyNumberFormat="0" applyProtection="0">
      <alignment horizontal="left" vertical="center" indent="1"/>
    </xf>
    <xf numFmtId="0" fontId="102" fillId="79" borderId="96" applyNumberFormat="0" applyAlignment="0" applyProtection="0"/>
    <xf numFmtId="0" fontId="18" fillId="54" borderId="99" applyNumberFormat="0" applyProtection="0">
      <alignment horizontal="left" vertical="center" indent="1"/>
    </xf>
    <xf numFmtId="0" fontId="102" fillId="79" borderId="96" applyNumberFormat="0" applyAlignment="0" applyProtection="0"/>
    <xf numFmtId="0" fontId="24" fillId="59" borderId="97" applyNumberFormat="0" applyFont="0" applyAlignment="0" applyProtection="0">
      <protection locked="0"/>
    </xf>
    <xf numFmtId="0" fontId="47" fillId="34" borderId="99" applyNumberFormat="0" applyProtection="0">
      <alignment horizontal="left" vertical="top"/>
    </xf>
    <xf numFmtId="0" fontId="102" fillId="79" borderId="96" applyNumberFormat="0" applyAlignment="0" applyProtection="0"/>
    <xf numFmtId="0" fontId="63" fillId="59" borderId="97" applyNumberFormat="0" applyFont="0" applyFill="0" applyAlignment="0" applyProtection="0">
      <protection locked="0"/>
    </xf>
    <xf numFmtId="4" fontId="47" fillId="0" borderId="99" applyNumberFormat="0" applyProtection="0">
      <alignment horizontal="right" vertical="center"/>
    </xf>
    <xf numFmtId="0" fontId="110" fillId="77" borderId="96" applyNumberFormat="0" applyAlignment="0" applyProtection="0"/>
    <xf numFmtId="0" fontId="102" fillId="79" borderId="96" applyNumberFormat="0" applyAlignment="0" applyProtection="0"/>
    <xf numFmtId="0" fontId="110" fillId="77" borderId="96" applyNumberFormat="0" applyAlignment="0" applyProtection="0"/>
    <xf numFmtId="0" fontId="102" fillId="79" borderId="96" applyNumberFormat="0" applyAlignment="0" applyProtection="0"/>
    <xf numFmtId="0" fontId="26" fillId="0" borderId="98">
      <alignment horizontal="left" vertical="center"/>
    </xf>
    <xf numFmtId="0" fontId="26" fillId="0" borderId="98">
      <alignment horizontal="left" vertical="center"/>
    </xf>
    <xf numFmtId="0" fontId="110" fillId="77" borderId="96" applyNumberFormat="0" applyAlignment="0" applyProtection="0"/>
    <xf numFmtId="0" fontId="18" fillId="54" borderId="99" applyNumberFormat="0" applyProtection="0">
      <alignment horizontal="left" vertical="center" indent="1"/>
    </xf>
    <xf numFmtId="0" fontId="110" fillId="77" borderId="96" applyNumberFormat="0" applyAlignment="0" applyProtection="0"/>
    <xf numFmtId="0" fontId="110" fillId="77" borderId="96" applyNumberFormat="0" applyAlignment="0" applyProtection="0"/>
    <xf numFmtId="4" fontId="47" fillId="0" borderId="99" applyNumberFormat="0" applyProtection="0">
      <alignment horizontal="left" vertical="center" indent="1"/>
    </xf>
    <xf numFmtId="0" fontId="110" fillId="77" borderId="96" applyNumberFormat="0" applyAlignment="0" applyProtection="0"/>
    <xf numFmtId="0" fontId="102" fillId="79" borderId="96" applyNumberFormat="0" applyAlignment="0" applyProtection="0"/>
    <xf numFmtId="0" fontId="110" fillId="77" borderId="96" applyNumberFormat="0" applyAlignment="0" applyProtection="0"/>
    <xf numFmtId="0" fontId="63" fillId="59" borderId="97" applyNumberFormat="0" applyFont="0" applyFill="0" applyAlignment="0" applyProtection="0">
      <protection locked="0"/>
    </xf>
    <xf numFmtId="0" fontId="18" fillId="54" borderId="99" applyNumberFormat="0" applyProtection="0">
      <alignment horizontal="left" vertical="top" indent="1"/>
    </xf>
    <xf numFmtId="0" fontId="102" fillId="79" borderId="96" applyNumberFormat="0" applyAlignment="0" applyProtection="0"/>
    <xf numFmtId="4" fontId="47" fillId="0" borderId="99" applyNumberFormat="0" applyProtection="0">
      <alignment horizontal="right" vertical="center"/>
    </xf>
    <xf numFmtId="4" fontId="47" fillId="0" borderId="99" applyNumberFormat="0" applyProtection="0">
      <alignment horizontal="left" vertical="center" indent="1"/>
    </xf>
    <xf numFmtId="0" fontId="18" fillId="34" borderId="99" applyNumberFormat="0" applyProtection="0">
      <alignment horizontal="left" vertical="center" indent="1"/>
    </xf>
    <xf numFmtId="0" fontId="47" fillId="34" borderId="99" applyNumberFormat="0" applyProtection="0">
      <alignment horizontal="left" vertical="top"/>
    </xf>
    <xf numFmtId="0" fontId="47" fillId="34" borderId="99" applyNumberFormat="0" applyProtection="0">
      <alignment horizontal="left" vertical="top"/>
    </xf>
    <xf numFmtId="0" fontId="47" fillId="34" borderId="99" applyNumberFormat="0" applyProtection="0">
      <alignment horizontal="left" vertical="top"/>
    </xf>
    <xf numFmtId="4" fontId="47" fillId="0" borderId="99" applyNumberFormat="0" applyProtection="0">
      <alignment horizontal="left" vertical="center"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47" fillId="34" borderId="99" applyNumberFormat="0" applyProtection="0">
      <alignment horizontal="left" vertical="top"/>
    </xf>
    <xf numFmtId="0" fontId="18" fillId="54" borderId="99" applyNumberFormat="0" applyProtection="0">
      <alignment horizontal="left" vertical="top" indent="1"/>
    </xf>
    <xf numFmtId="0" fontId="24" fillId="59" borderId="97" applyNumberFormat="0" applyFont="0" applyAlignment="0" applyProtection="0">
      <protection locked="0"/>
    </xf>
    <xf numFmtId="0" fontId="63" fillId="59" borderId="97" applyNumberFormat="0" applyFont="0" applyFill="0" applyAlignment="0" applyProtection="0">
      <protection locked="0"/>
    </xf>
    <xf numFmtId="0" fontId="18" fillId="0" borderId="0" applyFill="0" applyBorder="0" applyProtection="0">
      <alignment horizontal="right"/>
    </xf>
    <xf numFmtId="0" fontId="63" fillId="59" borderId="97" applyNumberFormat="0" applyFont="0" applyFill="0" applyAlignment="0" applyProtection="0">
      <protection locked="0"/>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24" fillId="59" borderId="97" applyNumberFormat="0" applyFont="0" applyAlignment="0" applyProtection="0">
      <protection locked="0"/>
    </xf>
    <xf numFmtId="4" fontId="51" fillId="49" borderId="99" applyNumberFormat="0" applyProtection="0">
      <alignment horizontal="right" vertical="center"/>
    </xf>
    <xf numFmtId="0" fontId="18" fillId="54" borderId="99" applyNumberFormat="0" applyProtection="0">
      <alignment horizontal="left" vertical="center"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47" fillId="35" borderId="99" applyNumberFormat="0" applyProtection="0">
      <alignment horizontal="left" vertical="top" indent="1"/>
    </xf>
    <xf numFmtId="0" fontId="18" fillId="34"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8" fillId="0" borderId="0" applyFill="0" applyBorder="0" applyProtection="0">
      <alignment horizontal="right"/>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18" fillId="0" borderId="0" applyFill="0" applyBorder="0" applyProtection="0">
      <alignment horizontal="right"/>
    </xf>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8" fillId="0" borderId="0" applyFill="0" applyBorder="0" applyProtection="0">
      <alignment horizontal="right"/>
    </xf>
    <xf numFmtId="0" fontId="18" fillId="0" borderId="108" applyNumberFormat="0" applyFill="0" applyAlignment="0" applyProtection="0"/>
    <xf numFmtId="0" fontId="18" fillId="0" borderId="108"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05">
      <alignment horizontal="left" vertical="center"/>
    </xf>
    <xf numFmtId="0" fontId="18" fillId="0" borderId="0" applyFill="0" applyBorder="0" applyProtection="0">
      <alignment horizontal="right"/>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18" fillId="0" borderId="0" applyFill="0" applyBorder="0" applyProtection="0">
      <alignment horizontal="right"/>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vertical="center"/>
    </xf>
    <xf numFmtId="4" fontId="27" fillId="38" borderId="111" applyNumberFormat="0" applyProtection="0">
      <alignment vertical="center"/>
    </xf>
    <xf numFmtId="4" fontId="27" fillId="38" borderId="111" applyNumberFormat="0" applyProtection="0">
      <alignment vertical="center"/>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4" fontId="27" fillId="34" borderId="111" applyNumberFormat="0" applyProtection="0"/>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59" borderId="113"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59" borderId="111" applyNumberFormat="0" applyProtection="0">
      <alignment horizontal="left" vertical="center" indent="1"/>
    </xf>
    <xf numFmtId="4" fontId="47" fillId="59" borderId="111" applyNumberFormat="0" applyProtection="0">
      <alignment horizontal="left" vertical="center" indent="1"/>
    </xf>
    <xf numFmtId="4" fontId="47" fillId="59"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51" borderId="111" applyNumberFormat="0" applyProtection="0">
      <alignment horizontal="left" vertical="center" indent="1"/>
    </xf>
    <xf numFmtId="4" fontId="47" fillId="51" borderId="111" applyNumberFormat="0" applyProtection="0">
      <alignment horizontal="left" vertical="center" indent="1"/>
    </xf>
    <xf numFmtId="4" fontId="47" fillId="51" borderId="111" applyNumberFormat="0" applyProtection="0">
      <alignment horizontal="left" vertical="center" indent="1"/>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center" vertical="top"/>
    </xf>
    <xf numFmtId="0" fontId="47" fillId="34" borderId="111" applyNumberFormat="0" applyProtection="0">
      <alignment horizontal="center" vertical="top"/>
    </xf>
    <xf numFmtId="0" fontId="47" fillId="34" borderId="111" applyNumberFormat="0" applyProtection="0">
      <alignment horizontal="center"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175" fontId="18" fillId="0" borderId="114">
      <alignment horizontal="justify" vertical="top" wrapText="1"/>
    </xf>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35" fillId="0" borderId="116"/>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21" fillId="0" borderId="0"/>
    <xf numFmtId="43" fontId="121" fillId="0" borderId="0" applyFont="0" applyFill="0" applyBorder="0" applyAlignment="0" applyProtection="0"/>
    <xf numFmtId="0" fontId="18" fillId="0" borderId="0" applyFill="0" applyBorder="0" applyProtection="0">
      <alignment horizontal="right"/>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6" fillId="0" borderId="27">
      <alignment horizontal="left" vertical="center"/>
    </xf>
    <xf numFmtId="4" fontId="27" fillId="34" borderId="29" applyNumberFormat="0" applyProtection="0">
      <alignment vertical="center"/>
    </xf>
    <xf numFmtId="4" fontId="47" fillId="0" borderId="121" applyNumberFormat="0" applyProtection="0">
      <alignment horizontal="right" vertical="center"/>
    </xf>
    <xf numFmtId="0" fontId="18" fillId="51" borderId="121" applyNumberFormat="0" applyProtection="0">
      <alignment horizontal="left" vertical="center" indent="1"/>
    </xf>
    <xf numFmtId="4" fontId="27" fillId="37" borderId="121" applyNumberFormat="0" applyProtection="0">
      <alignmen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4" fontId="47" fillId="42" borderId="121" applyNumberFormat="0" applyProtection="0">
      <alignment horizontal="right" vertical="center"/>
    </xf>
    <xf numFmtId="0" fontId="18" fillId="51" borderId="121" applyNumberFormat="0" applyProtection="0">
      <alignment horizontal="left" vertical="top" indent="1"/>
    </xf>
    <xf numFmtId="4" fontId="25" fillId="49" borderId="121" applyNumberFormat="0" applyProtection="0">
      <alignment horizontal="right" vertical="center"/>
    </xf>
    <xf numFmtId="0" fontId="114" fillId="79" borderId="124" applyNumberFormat="0" applyAlignment="0" applyProtection="0"/>
    <xf numFmtId="0" fontId="47" fillId="35" borderId="121" applyNumberFormat="0" applyProtection="0">
      <alignment horizontal="left" vertical="top" indent="1"/>
    </xf>
    <xf numFmtId="0" fontId="18" fillId="34" borderId="121" applyNumberFormat="0" applyProtection="0">
      <alignment horizontal="left" vertical="center" indent="1"/>
    </xf>
    <xf numFmtId="0" fontId="102" fillId="79" borderId="122" applyNumberFormat="0" applyAlignment="0" applyProtection="0"/>
    <xf numFmtId="4" fontId="47" fillId="43" borderId="121" applyNumberFormat="0" applyProtection="0">
      <alignment horizontal="right" vertical="center"/>
    </xf>
    <xf numFmtId="0" fontId="18" fillId="54" borderId="121" applyNumberFormat="0" applyProtection="0">
      <alignment horizontal="left" vertical="center" indent="1"/>
    </xf>
    <xf numFmtId="0" fontId="114" fillId="79" borderId="124" applyNumberFormat="0" applyAlignment="0" applyProtection="0"/>
    <xf numFmtId="4" fontId="25" fillId="49" borderId="121" applyNumberFormat="0" applyProtection="0">
      <alignment horizontal="right" vertical="center"/>
    </xf>
    <xf numFmtId="0" fontId="18" fillId="51" borderId="121" applyNumberFormat="0" applyProtection="0">
      <alignment horizontal="left" vertical="top" indent="1"/>
    </xf>
    <xf numFmtId="4" fontId="47" fillId="39" borderId="121" applyNumberFormat="0" applyProtection="0">
      <alignment horizontal="right" vertical="center"/>
    </xf>
    <xf numFmtId="0" fontId="18" fillId="76" borderId="123" applyNumberFormat="0" applyFont="0" applyAlignment="0" applyProtection="0"/>
    <xf numFmtId="0" fontId="105" fillId="0" borderId="125" applyNumberFormat="0" applyFill="0" applyAlignment="0" applyProtection="0"/>
    <xf numFmtId="0" fontId="27" fillId="38" borderId="121" applyNumberFormat="0" applyProtection="0">
      <alignment horizontal="left" vertical="top" indent="1"/>
    </xf>
    <xf numFmtId="0" fontId="18" fillId="51" borderId="121" applyNumberFormat="0" applyProtection="0">
      <alignment horizontal="left" vertical="center" indent="1"/>
    </xf>
    <xf numFmtId="4" fontId="47" fillId="0" borderId="121" applyNumberFormat="0" applyProtection="0">
      <alignment horizontal="righ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center" indent="1"/>
    </xf>
    <xf numFmtId="4" fontId="47" fillId="51" borderId="12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8" fillId="49" borderId="121" applyNumberFormat="0" applyProtection="0">
      <alignment horizontal="left" vertical="center" indent="1"/>
    </xf>
    <xf numFmtId="0" fontId="105" fillId="0" borderId="125" applyNumberFormat="0" applyFill="0" applyAlignment="0" applyProtection="0"/>
    <xf numFmtId="0" fontId="18" fillId="85" borderId="121" applyNumberFormat="0" applyProtection="0">
      <alignment horizontal="left" vertical="center" indent="1"/>
    </xf>
    <xf numFmtId="4" fontId="47" fillId="41" borderId="121" applyNumberFormat="0" applyProtection="0">
      <alignment horizontal="right" vertical="center"/>
    </xf>
    <xf numFmtId="0" fontId="18" fillId="76" borderId="123" applyNumberFormat="0" applyFont="0" applyAlignment="0" applyProtection="0"/>
    <xf numFmtId="4" fontId="46" fillId="38" borderId="121" applyNumberFormat="0" applyProtection="0">
      <alignment vertical="center"/>
    </xf>
    <xf numFmtId="0" fontId="18" fillId="84" borderId="121" applyNumberFormat="0" applyProtection="0">
      <alignment horizontal="left" vertical="top" indent="1"/>
    </xf>
    <xf numFmtId="4" fontId="47" fillId="35" borderId="121" applyNumberFormat="0" applyProtection="0">
      <alignment horizontal="left" vertical="center" indent="1"/>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51"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24" fillId="59" borderId="126" applyNumberFormat="0" applyFont="0" applyAlignment="0" applyProtection="0">
      <protection locked="0"/>
    </xf>
    <xf numFmtId="4" fontId="47" fillId="43" borderId="121" applyNumberFormat="0" applyProtection="0">
      <alignment horizontal="right" vertical="center"/>
    </xf>
    <xf numFmtId="0" fontId="18" fillId="54" borderId="121" applyNumberFormat="0" applyProtection="0">
      <alignment horizontal="left" vertical="top" indent="1"/>
    </xf>
    <xf numFmtId="0" fontId="18" fillId="76" borderId="123" applyNumberFormat="0" applyFont="0" applyAlignment="0" applyProtection="0"/>
    <xf numFmtId="0" fontId="105" fillId="0" borderId="125" applyNumberFormat="0" applyFill="0" applyAlignment="0" applyProtection="0"/>
    <xf numFmtId="0" fontId="18" fillId="50" borderId="121" applyNumberFormat="0" applyProtection="0">
      <alignment horizontal="left" vertical="top" indent="1"/>
    </xf>
    <xf numFmtId="4" fontId="47"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4" fontId="47" fillId="35" borderId="121" applyNumberFormat="0" applyProtection="0">
      <alignment vertical="center"/>
    </xf>
    <xf numFmtId="0" fontId="18" fillId="50"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6" borderId="121" applyNumberFormat="0" applyProtection="0">
      <alignment horizontal="right" vertical="center"/>
    </xf>
    <xf numFmtId="0" fontId="18" fillId="54" borderId="121" applyNumberFormat="0" applyProtection="0">
      <alignment horizontal="left" vertical="top" indent="1"/>
    </xf>
    <xf numFmtId="0" fontId="105" fillId="0" borderId="125" applyNumberFormat="0" applyFill="0" applyAlignment="0" applyProtection="0"/>
    <xf numFmtId="0" fontId="63" fillId="59" borderId="126" applyNumberFormat="0" applyFont="0" applyFill="0" applyAlignment="0" applyProtection="0">
      <protection locked="0"/>
    </xf>
    <xf numFmtId="0" fontId="105" fillId="0" borderId="125" applyNumberFormat="0" applyFill="0" applyAlignment="0" applyProtection="0"/>
    <xf numFmtId="0" fontId="18" fillId="85" borderId="121" applyNumberFormat="0" applyProtection="0">
      <alignment horizontal="left" vertical="top" indent="1"/>
    </xf>
    <xf numFmtId="4" fontId="47" fillId="45" borderId="121" applyNumberFormat="0" applyProtection="0">
      <alignment horizontal="right" vertical="center"/>
    </xf>
    <xf numFmtId="0" fontId="110" fillId="77" borderId="122" applyNumberFormat="0" applyAlignment="0" applyProtection="0"/>
    <xf numFmtId="0" fontId="18" fillId="84" borderId="121" applyNumberFormat="0" applyProtection="0">
      <alignment horizontal="left" vertical="center" indent="1"/>
    </xf>
    <xf numFmtId="0" fontId="18" fillId="49" borderId="121" applyNumberFormat="0" applyProtection="0">
      <alignment horizontal="left" vertical="top" indent="1"/>
    </xf>
    <xf numFmtId="4" fontId="47" fillId="35" borderId="121" applyNumberFormat="0" applyProtection="0">
      <alignment horizontal="left" vertical="center" indent="1"/>
    </xf>
    <xf numFmtId="0" fontId="18" fillId="84" borderId="121" applyNumberFormat="0" applyProtection="0">
      <alignment horizontal="left" vertical="top" indent="1"/>
    </xf>
    <xf numFmtId="0" fontId="102" fillId="79" borderId="122" applyNumberFormat="0" applyAlignment="0" applyProtection="0"/>
    <xf numFmtId="4" fontId="47" fillId="44" borderId="121" applyNumberFormat="0" applyProtection="0">
      <alignment horizontal="right" vertical="center"/>
    </xf>
    <xf numFmtId="0" fontId="18" fillId="85" borderId="121" applyNumberFormat="0" applyProtection="0">
      <alignment horizontal="left" vertical="center" indent="1"/>
    </xf>
    <xf numFmtId="0" fontId="114" fillId="79" borderId="124" applyNumberFormat="0" applyAlignment="0" applyProtection="0"/>
    <xf numFmtId="4" fontId="51" fillId="49" borderId="121" applyNumberFormat="0" applyProtection="0">
      <alignment horizontal="right" vertical="center"/>
    </xf>
    <xf numFmtId="0" fontId="18" fillId="51" borderId="121" applyNumberFormat="0" applyProtection="0">
      <alignment horizontal="left" vertical="center" indent="1"/>
    </xf>
    <xf numFmtId="4" fontId="46" fillId="38" borderId="121" applyNumberFormat="0" applyProtection="0">
      <alignment vertical="center"/>
    </xf>
    <xf numFmtId="0" fontId="110" fillId="77" borderId="122" applyNumberFormat="0" applyAlignment="0" applyProtection="0"/>
    <xf numFmtId="0" fontId="102" fillId="79" borderId="122" applyNumberFormat="0" applyAlignment="0" applyProtection="0"/>
    <xf numFmtId="4" fontId="47" fillId="41" borderId="121" applyNumberFormat="0" applyProtection="0">
      <alignment horizontal="right" vertical="center"/>
    </xf>
    <xf numFmtId="0" fontId="18" fillId="51" borderId="121" applyNumberFormat="0" applyProtection="0">
      <alignment horizontal="left" vertical="top" indent="1"/>
    </xf>
    <xf numFmtId="0" fontId="47" fillId="34" borderId="121" applyNumberFormat="0" applyProtection="0">
      <alignment horizontal="left" vertical="top"/>
    </xf>
    <xf numFmtId="0" fontId="114" fillId="79" borderId="124" applyNumberFormat="0" applyAlignment="0" applyProtection="0"/>
    <xf numFmtId="0" fontId="26" fillId="0" borderId="27">
      <alignment horizontal="left" vertical="center"/>
    </xf>
    <xf numFmtId="4" fontId="27" fillId="34" borderId="29" applyNumberFormat="0" applyProtection="0">
      <alignment vertical="center"/>
    </xf>
    <xf numFmtId="0" fontId="26" fillId="0" borderId="27">
      <alignment horizontal="left" vertical="center"/>
    </xf>
    <xf numFmtId="4" fontId="27" fillId="34" borderId="29" applyNumberFormat="0" applyProtection="0">
      <alignment vertical="center"/>
    </xf>
    <xf numFmtId="4" fontId="27" fillId="34" borderId="29" applyNumberFormat="0" applyProtection="0">
      <alignment vertical="center"/>
    </xf>
    <xf numFmtId="4" fontId="47" fillId="0" borderId="121" applyNumberFormat="0" applyProtection="0">
      <alignment horizontal="left" vertical="center" indent="1"/>
    </xf>
    <xf numFmtId="0" fontId="18" fillId="34" borderId="121" applyNumberFormat="0" applyProtection="0">
      <alignment horizontal="left" vertical="top" indent="1"/>
    </xf>
    <xf numFmtId="4" fontId="27" fillId="38" borderId="121" applyNumberFormat="0" applyProtection="0">
      <alignment horizontal="left" vertical="center" indent="1"/>
    </xf>
    <xf numFmtId="0" fontId="110" fillId="77" borderId="122" applyNumberFormat="0" applyAlignment="0" applyProtection="0"/>
    <xf numFmtId="4" fontId="47" fillId="40" borderId="121" applyNumberFormat="0" applyProtection="0">
      <alignment horizontal="right" vertical="center"/>
    </xf>
    <xf numFmtId="0" fontId="18" fillId="34" borderId="121" applyNumberFormat="0" applyProtection="0">
      <alignment horizontal="left" vertical="top" indent="1"/>
    </xf>
    <xf numFmtId="4" fontId="47" fillId="0" borderId="121" applyNumberFormat="0" applyProtection="0">
      <alignment horizontal="left" vertical="center" indent="1"/>
    </xf>
    <xf numFmtId="0" fontId="114" fillId="79" borderId="124" applyNumberFormat="0" applyAlignment="0" applyProtection="0"/>
    <xf numFmtId="0" fontId="105" fillId="0" borderId="125" applyNumberFormat="0" applyFill="0" applyAlignment="0" applyProtection="0"/>
    <xf numFmtId="0" fontId="18" fillId="55" borderId="121" applyNumberFormat="0" applyProtection="0">
      <alignment horizontal="left" vertical="center" indent="1"/>
    </xf>
    <xf numFmtId="4" fontId="47" fillId="46" borderId="121" applyNumberFormat="0" applyProtection="0">
      <alignment horizontal="right" vertical="center"/>
    </xf>
    <xf numFmtId="0" fontId="110" fillId="77" borderId="122" applyNumberFormat="0" applyAlignment="0" applyProtection="0"/>
    <xf numFmtId="0" fontId="18" fillId="50" borderId="121" applyNumberFormat="0" applyProtection="0">
      <alignment horizontal="left" vertical="center" indent="1"/>
    </xf>
    <xf numFmtId="0" fontId="18" fillId="55" borderId="121" applyNumberFormat="0" applyProtection="0">
      <alignment horizontal="left" vertical="top" indent="1"/>
    </xf>
    <xf numFmtId="0" fontId="47" fillId="34" borderId="121" applyNumberFormat="0" applyProtection="0">
      <alignment horizontal="left" vertical="top"/>
    </xf>
    <xf numFmtId="0" fontId="18" fillId="51" borderId="121" applyNumberFormat="0" applyProtection="0">
      <alignment horizontal="left" vertical="top" indent="1"/>
    </xf>
    <xf numFmtId="0" fontId="27" fillId="38" borderId="121" applyNumberFormat="0" applyProtection="0">
      <alignment horizontal="left" vertical="top" indent="1"/>
    </xf>
    <xf numFmtId="0" fontId="18" fillId="76" borderId="123" applyNumberFormat="0" applyFont="0" applyAlignment="0" applyProtection="0"/>
    <xf numFmtId="0" fontId="110" fillId="77" borderId="122" applyNumberFormat="0" applyAlignment="0" applyProtection="0"/>
    <xf numFmtId="0" fontId="105" fillId="0" borderId="125" applyNumberFormat="0" applyFill="0" applyAlignment="0" applyProtection="0"/>
    <xf numFmtId="4" fontId="47" fillId="39" borderId="121" applyNumberFormat="0" applyProtection="0">
      <alignment horizontal="right" vertical="center"/>
    </xf>
    <xf numFmtId="0" fontId="18" fillId="51" borderId="121" applyNumberFormat="0" applyProtection="0">
      <alignment horizontal="left" vertical="center" indent="1"/>
    </xf>
    <xf numFmtId="4" fontId="51" fillId="49" borderId="121" applyNumberFormat="0" applyProtection="0">
      <alignment horizontal="right" vertical="center"/>
    </xf>
    <xf numFmtId="0" fontId="18" fillId="49" borderId="121" applyNumberFormat="0" applyProtection="0">
      <alignment horizontal="left" vertical="center" indent="1"/>
    </xf>
    <xf numFmtId="4" fontId="47" fillId="47" borderId="121" applyNumberFormat="0" applyProtection="0">
      <alignment horizontal="right" vertical="center"/>
    </xf>
    <xf numFmtId="0" fontId="110" fillId="77" borderId="122" applyNumberFormat="0" applyAlignment="0" applyProtection="0"/>
    <xf numFmtId="0" fontId="18" fillId="49" borderId="121" applyNumberFormat="0" applyProtection="0">
      <alignment horizontal="left" vertical="center" indent="1"/>
    </xf>
    <xf numFmtId="0" fontId="18" fillId="54" borderId="121" applyNumberFormat="0" applyProtection="0">
      <alignment horizontal="left" vertical="center" indent="1"/>
    </xf>
    <xf numFmtId="4" fontId="47" fillId="40" borderId="121" applyNumberFormat="0" applyProtection="0">
      <alignment horizontal="right" vertical="center"/>
    </xf>
    <xf numFmtId="0" fontId="18" fillId="76" borderId="123" applyNumberFormat="0" applyFont="0" applyAlignment="0" applyProtection="0"/>
    <xf numFmtId="4" fontId="27" fillId="38" borderId="121" applyNumberFormat="0" applyProtection="0">
      <alignment horizontal="left" vertical="center" indent="1"/>
    </xf>
    <xf numFmtId="0" fontId="18" fillId="34" borderId="121" applyNumberFormat="0" applyProtection="0">
      <alignment horizontal="left" vertical="center" indent="1"/>
    </xf>
    <xf numFmtId="0" fontId="47" fillId="35"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0" fontId="18" fillId="55" borderId="121" applyNumberFormat="0" applyProtection="0">
      <alignment horizontal="left" vertical="top" indent="1"/>
    </xf>
    <xf numFmtId="0" fontId="18" fillId="50" borderId="12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21" applyNumberFormat="0" applyProtection="0">
      <alignment horizontal="left" vertical="center" indent="1"/>
    </xf>
    <xf numFmtId="4" fontId="47" fillId="42" borderId="121" applyNumberFormat="0" applyProtection="0">
      <alignment horizontal="right" vertical="center"/>
    </xf>
    <xf numFmtId="0" fontId="18" fillId="85" borderId="121" applyNumberFormat="0" applyProtection="0">
      <alignment horizontal="left" vertical="center" indent="1"/>
    </xf>
    <xf numFmtId="0" fontId="18" fillId="76" borderId="123" applyNumberFormat="0" applyFont="0" applyAlignment="0" applyProtection="0"/>
    <xf numFmtId="0" fontId="105" fillId="0" borderId="125" applyNumberFormat="0" applyFill="0" applyAlignment="0" applyProtection="0"/>
    <xf numFmtId="4" fontId="27" fillId="37" borderId="121" applyNumberFormat="0" applyProtection="0">
      <alignment vertical="center"/>
    </xf>
    <xf numFmtId="0" fontId="18" fillId="84" borderId="121" applyNumberFormat="0" applyProtection="0">
      <alignment horizontal="left" vertical="top" indent="1"/>
    </xf>
    <xf numFmtId="4" fontId="51"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7"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8" fillId="85" borderId="121" applyNumberFormat="0" applyProtection="0">
      <alignment horizontal="left" vertical="top" indent="1"/>
    </xf>
    <xf numFmtId="4" fontId="47" fillId="44" borderId="121" applyNumberFormat="0" applyProtection="0">
      <alignment horizontal="right" vertical="center"/>
    </xf>
    <xf numFmtId="0" fontId="110" fillId="77" borderId="122" applyNumberFormat="0" applyAlignment="0" applyProtection="0"/>
    <xf numFmtId="0" fontId="63" fillId="59" borderId="126" applyNumberFormat="0" applyFont="0" applyFill="0" applyAlignment="0" applyProtection="0">
      <protection locked="0"/>
    </xf>
    <xf numFmtId="0" fontId="18" fillId="84" borderId="121" applyNumberFormat="0" applyProtection="0">
      <alignment horizontal="left" vertical="center" indent="1"/>
    </xf>
    <xf numFmtId="0" fontId="18" fillId="49"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4" fontId="51" fillId="35" borderId="121" applyNumberFormat="0" applyProtection="0">
      <alignment vertical="center"/>
    </xf>
    <xf numFmtId="0" fontId="18" fillId="84"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5" borderId="121" applyNumberFormat="0" applyProtection="0">
      <alignment horizontal="right" vertical="center"/>
    </xf>
    <xf numFmtId="0" fontId="18" fillId="85" borderId="121" applyNumberFormat="0" applyProtection="0">
      <alignment horizontal="left" vertical="center" indent="1"/>
    </xf>
    <xf numFmtId="0" fontId="105" fillId="0" borderId="125" applyNumberFormat="0" applyFill="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27" fillId="48" borderId="127" applyNumberFormat="0" applyProtection="0">
      <alignment horizontal="left" vertical="center" indent="1"/>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7" fillId="34" borderId="29" applyNumberFormat="0" applyProtection="0">
      <alignment vertical="center"/>
    </xf>
    <xf numFmtId="0" fontId="102" fillId="79" borderId="122" applyNumberFormat="0" applyAlignment="0" applyProtection="0"/>
    <xf numFmtId="4" fontId="27" fillId="34" borderId="29" applyNumberFormat="0" applyProtection="0">
      <alignment vertical="center"/>
    </xf>
    <xf numFmtId="0" fontId="63" fillId="59" borderId="126" applyNumberFormat="0" applyFont="0" applyFill="0" applyAlignment="0" applyProtection="0">
      <protection locked="0"/>
    </xf>
    <xf numFmtId="0" fontId="18" fillId="51" borderId="111" applyNumberFormat="0" applyProtection="0">
      <alignment horizontal="left" vertical="center" indent="1"/>
    </xf>
    <xf numFmtId="0" fontId="110" fillId="77" borderId="122" applyNumberFormat="0" applyAlignment="0" applyProtection="0"/>
    <xf numFmtId="0" fontId="18" fillId="0" borderId="108" applyNumberFormat="0" applyFill="0" applyAlignment="0" applyProtection="0"/>
    <xf numFmtId="4" fontId="47" fillId="0" borderId="111" applyNumberFormat="0" applyProtection="0">
      <alignment horizontal="right" vertical="center"/>
    </xf>
    <xf numFmtId="4" fontId="47" fillId="0" borderId="111" applyNumberFormat="0" applyProtection="0">
      <alignment horizontal="left" vertical="center" indent="1"/>
    </xf>
    <xf numFmtId="0" fontId="18" fillId="54" borderId="111" applyNumberFormat="0" applyProtection="0">
      <alignment horizontal="left" vertical="top" indent="1"/>
    </xf>
    <xf numFmtId="4" fontId="27" fillId="38"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4" fontId="47" fillId="35" borderId="111" applyNumberFormat="0" applyProtection="0">
      <alignment horizontal="left" vertical="center" indent="1"/>
    </xf>
    <xf numFmtId="0" fontId="18" fillId="50" borderId="111" applyNumberFormat="0" applyProtection="0">
      <alignment horizontal="left" vertical="center" indent="1"/>
    </xf>
    <xf numFmtId="4" fontId="27" fillId="38" borderId="111" applyNumberFormat="0" applyProtection="0">
      <alignment horizontal="left" vertical="center" indent="1"/>
    </xf>
    <xf numFmtId="0" fontId="18" fillId="51" borderId="111" applyNumberFormat="0" applyProtection="0">
      <alignment horizontal="left" vertical="top" indent="1"/>
    </xf>
    <xf numFmtId="0" fontId="21" fillId="35" borderId="109" applyNumberFormat="0" applyFont="0" applyAlignment="0" applyProtection="0">
      <alignment horizontal="center"/>
      <protection locked="0"/>
    </xf>
    <xf numFmtId="4" fontId="47" fillId="44" borderId="111" applyNumberFormat="0" applyProtection="0">
      <alignment horizontal="right" vertical="center"/>
    </xf>
    <xf numFmtId="0" fontId="18" fillId="34" borderId="111" applyNumberFormat="0" applyProtection="0">
      <alignment horizontal="left" vertical="top"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0" borderId="111" applyNumberFormat="0" applyProtection="0">
      <alignment horizontal="left" vertical="top" indent="1"/>
    </xf>
    <xf numFmtId="4" fontId="47" fillId="43" borderId="111" applyNumberFormat="0" applyProtection="0">
      <alignment horizontal="right" vertical="center"/>
    </xf>
    <xf numFmtId="0" fontId="18" fillId="54" borderId="111" applyNumberFormat="0" applyProtection="0">
      <alignment horizontal="left" vertical="center" indent="1"/>
    </xf>
    <xf numFmtId="0" fontId="105" fillId="0" borderId="115" applyNumberFormat="0" applyFill="0" applyAlignment="0" applyProtection="0"/>
    <xf numFmtId="0" fontId="105" fillId="0" borderId="115" applyNumberFormat="0" applyFill="0" applyAlignment="0" applyProtection="0"/>
    <xf numFmtId="4" fontId="47" fillId="45" borderId="111" applyNumberFormat="0" applyProtection="0">
      <alignment horizontal="right" vertical="center"/>
    </xf>
    <xf numFmtId="0" fontId="102" fillId="79" borderId="118" applyNumberFormat="0" applyAlignment="0" applyProtection="0"/>
    <xf numFmtId="4" fontId="47" fillId="0" borderId="111" applyNumberFormat="0" applyProtection="0">
      <alignment horizontal="right" vertical="center"/>
    </xf>
    <xf numFmtId="0" fontId="18" fillId="34" borderId="111" applyNumberFormat="0" applyProtection="0">
      <alignment horizontal="left" vertical="top" indent="1"/>
    </xf>
    <xf numFmtId="0" fontId="18" fillId="84" borderId="111" applyNumberFormat="0" applyProtection="0">
      <alignment horizontal="left" vertical="center" indent="1"/>
    </xf>
    <xf numFmtId="0" fontId="18" fillId="3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top" indent="1"/>
    </xf>
    <xf numFmtId="0" fontId="110" fillId="77" borderId="118" applyNumberFormat="0" applyAlignment="0" applyProtection="0"/>
    <xf numFmtId="4" fontId="47" fillId="41" borderId="111" applyNumberFormat="0" applyProtection="0">
      <alignment horizontal="right" vertical="center"/>
    </xf>
    <xf numFmtId="0" fontId="105" fillId="0" borderId="115" applyNumberFormat="0" applyFill="0" applyAlignment="0" applyProtection="0"/>
    <xf numFmtId="0" fontId="18" fillId="50" borderId="111" applyNumberFormat="0" applyProtection="0">
      <alignment horizontal="left" vertical="center" indent="1"/>
    </xf>
    <xf numFmtId="4" fontId="27" fillId="37" borderId="111" applyNumberFormat="0" applyProtection="0">
      <alignment vertical="center"/>
    </xf>
    <xf numFmtId="0" fontId="18" fillId="85" borderId="111" applyNumberFormat="0" applyProtection="0">
      <alignment horizontal="left" vertical="center" indent="1"/>
    </xf>
    <xf numFmtId="4" fontId="47" fillId="51" borderId="111" applyNumberFormat="0" applyProtection="0">
      <alignment horizontal="right" vertical="center"/>
    </xf>
    <xf numFmtId="4" fontId="47" fillId="35" borderId="111" applyNumberFormat="0" applyProtection="0">
      <alignment horizontal="left" vertical="center" indent="1"/>
    </xf>
    <xf numFmtId="0" fontId="18" fillId="84" borderId="111" applyNumberFormat="0" applyProtection="0">
      <alignment horizontal="left" vertical="top" indent="1"/>
    </xf>
    <xf numFmtId="0" fontId="114" fillId="79" borderId="110" applyNumberFormat="0" applyAlignment="0" applyProtection="0"/>
    <xf numFmtId="0" fontId="24" fillId="59" borderId="117" applyNumberFormat="0" applyFont="0" applyAlignment="0" applyProtection="0">
      <protection locked="0"/>
    </xf>
    <xf numFmtId="4" fontId="47" fillId="40" borderId="111" applyNumberFormat="0" applyProtection="0">
      <alignment horizontal="right" vertical="center"/>
    </xf>
    <xf numFmtId="0" fontId="18" fillId="54" borderId="111" applyNumberFormat="0" applyProtection="0">
      <alignment horizontal="left" vertical="center" indent="1"/>
    </xf>
    <xf numFmtId="0" fontId="105" fillId="0" borderId="115" applyNumberFormat="0" applyFill="0" applyAlignment="0" applyProtection="0"/>
    <xf numFmtId="0" fontId="18" fillId="51" borderId="111" applyNumberFormat="0" applyProtection="0">
      <alignment horizontal="left" vertical="top" indent="1"/>
    </xf>
    <xf numFmtId="0" fontId="110" fillId="77" borderId="118" applyNumberFormat="0" applyAlignment="0" applyProtection="0"/>
    <xf numFmtId="4" fontId="47" fillId="0" borderId="111" applyNumberFormat="0" applyProtection="0">
      <alignment horizontal="right" vertical="center"/>
    </xf>
    <xf numFmtId="0" fontId="47" fillId="34" borderId="111" applyNumberFormat="0" applyProtection="0">
      <alignment horizontal="left" vertical="top"/>
    </xf>
    <xf numFmtId="0" fontId="18" fillId="54" borderId="111" applyNumberFormat="0" applyProtection="0">
      <alignment horizontal="left" vertical="center" indent="1"/>
    </xf>
    <xf numFmtId="4" fontId="47" fillId="44" borderId="111" applyNumberFormat="0" applyProtection="0">
      <alignment horizontal="right" vertical="center"/>
    </xf>
    <xf numFmtId="0" fontId="114" fillId="79" borderId="110" applyNumberFormat="0" applyAlignment="0" applyProtection="0"/>
    <xf numFmtId="0" fontId="18" fillId="49" borderId="111" applyNumberFormat="0" applyProtection="0">
      <alignment horizontal="left" vertical="top" indent="1"/>
    </xf>
    <xf numFmtId="4" fontId="47" fillId="40" borderId="111" applyNumberFormat="0" applyProtection="0">
      <alignment horizontal="right" vertical="center"/>
    </xf>
    <xf numFmtId="0" fontId="114" fillId="79" borderId="110" applyNumberFormat="0" applyAlignment="0" applyProtection="0"/>
    <xf numFmtId="4" fontId="51" fillId="49" borderId="111" applyNumberFormat="0" applyProtection="0">
      <alignment horizontal="right" vertical="center"/>
    </xf>
    <xf numFmtId="4" fontId="47" fillId="35" borderId="111" applyNumberFormat="0" applyProtection="0">
      <alignment vertical="center"/>
    </xf>
    <xf numFmtId="0" fontId="18" fillId="84" borderId="111" applyNumberFormat="0" applyProtection="0">
      <alignment horizontal="left" vertical="top" indent="1"/>
    </xf>
    <xf numFmtId="4" fontId="25" fillId="49" borderId="111" applyNumberFormat="0" applyProtection="0">
      <alignment horizontal="right" vertical="center"/>
    </xf>
    <xf numFmtId="4" fontId="47" fillId="35" borderId="111" applyNumberFormat="0" applyProtection="0">
      <alignment vertical="center"/>
    </xf>
    <xf numFmtId="0" fontId="18" fillId="50"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4" fontId="47" fillId="46" borderId="111" applyNumberFormat="0" applyProtection="0">
      <alignment horizontal="right" vertical="center"/>
    </xf>
    <xf numFmtId="0" fontId="18" fillId="54" borderId="111" applyNumberFormat="0" applyProtection="0">
      <alignment horizontal="left" vertical="top" indent="1"/>
    </xf>
    <xf numFmtId="0" fontId="105" fillId="0" borderId="115" applyNumberFormat="0" applyFill="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4" fontId="27" fillId="38" borderId="111" applyNumberFormat="0" applyProtection="0">
      <alignment horizontal="left" vertical="center" indent="1"/>
    </xf>
    <xf numFmtId="0" fontId="18" fillId="55" borderId="111" applyNumberFormat="0" applyProtection="0">
      <alignment horizontal="left" vertical="top" indent="1"/>
    </xf>
    <xf numFmtId="0" fontId="18" fillId="50" borderId="111" applyNumberFormat="0" applyProtection="0">
      <alignment horizontal="left" vertical="top" indent="1"/>
    </xf>
    <xf numFmtId="4" fontId="47" fillId="47" borderId="111" applyNumberFormat="0" applyProtection="0">
      <alignment horizontal="right" vertical="center"/>
    </xf>
    <xf numFmtId="0" fontId="102" fillId="79" borderId="118" applyNumberFormat="0" applyAlignment="0" applyProtection="0"/>
    <xf numFmtId="0" fontId="18" fillId="49" borderId="111" applyNumberFormat="0" applyProtection="0">
      <alignment horizontal="left" vertical="center" indent="1"/>
    </xf>
    <xf numFmtId="0" fontId="105" fillId="0" borderId="115" applyNumberFormat="0" applyFill="0" applyAlignment="0" applyProtection="0"/>
    <xf numFmtId="0" fontId="18" fillId="54" borderId="111" applyNumberFormat="0" applyProtection="0">
      <alignment horizontal="left" vertical="center" indent="1"/>
    </xf>
    <xf numFmtId="0" fontId="18" fillId="55" borderId="111" applyNumberFormat="0" applyProtection="0">
      <alignment horizontal="left" vertical="top" indent="1"/>
    </xf>
    <xf numFmtId="0" fontId="114" fillId="79" borderId="110" applyNumberFormat="0" applyAlignment="0" applyProtection="0"/>
    <xf numFmtId="4" fontId="47" fillId="0" borderId="111" applyNumberFormat="0" applyProtection="0">
      <alignment horizontal="left" vertical="center" indent="1"/>
    </xf>
    <xf numFmtId="0" fontId="18" fillId="49" borderId="111" applyNumberFormat="0" applyProtection="0">
      <alignment horizontal="left" vertical="center" indent="1"/>
    </xf>
    <xf numFmtId="0" fontId="18" fillId="76" borderId="120" applyNumberFormat="0" applyFont="0" applyAlignment="0" applyProtection="0"/>
    <xf numFmtId="0" fontId="18" fillId="34" borderId="111" applyNumberFormat="0" applyProtection="0">
      <alignment horizontal="left" vertical="center" indent="1"/>
    </xf>
    <xf numFmtId="0" fontId="27" fillId="38" borderId="111" applyNumberFormat="0" applyProtection="0">
      <alignment horizontal="left" vertical="top" indent="1"/>
    </xf>
    <xf numFmtId="0" fontId="18" fillId="76" borderId="120" applyNumberFormat="0" applyFont="0" applyAlignment="0" applyProtection="0"/>
    <xf numFmtId="0" fontId="18" fillId="51" borderId="111" applyNumberFormat="0" applyProtection="0">
      <alignment horizontal="left" vertical="center" indent="1"/>
    </xf>
    <xf numFmtId="4" fontId="47" fillId="0" borderId="111" applyNumberFormat="0" applyProtection="0">
      <alignment horizontal="left" vertical="center" indent="1"/>
    </xf>
    <xf numFmtId="0" fontId="18" fillId="49" borderId="111" applyNumberFormat="0" applyProtection="0">
      <alignment horizontal="left" vertical="top" indent="1"/>
    </xf>
    <xf numFmtId="0" fontId="18" fillId="54" borderId="111" applyNumberFormat="0" applyProtection="0">
      <alignment horizontal="left" vertical="top" indent="1"/>
    </xf>
    <xf numFmtId="0" fontId="114" fillId="79" borderId="110" applyNumberFormat="0" applyAlignment="0" applyProtection="0"/>
    <xf numFmtId="0" fontId="105" fillId="0" borderId="115" applyNumberFormat="0" applyFill="0" applyAlignment="0" applyProtection="0"/>
    <xf numFmtId="0" fontId="18" fillId="85" borderId="111" applyNumberFormat="0" applyProtection="0">
      <alignment horizontal="left" vertical="top" indent="1"/>
    </xf>
    <xf numFmtId="4" fontId="47" fillId="45" borderId="111" applyNumberFormat="0" applyProtection="0">
      <alignment horizontal="right" vertical="center"/>
    </xf>
    <xf numFmtId="0" fontId="110" fillId="77" borderId="118" applyNumberFormat="0" applyAlignment="0" applyProtection="0"/>
    <xf numFmtId="0" fontId="18" fillId="84" borderId="111" applyNumberFormat="0" applyProtection="0">
      <alignment horizontal="left" vertical="center" indent="1"/>
    </xf>
    <xf numFmtId="0" fontId="18" fillId="49" borderId="111" applyNumberFormat="0" applyProtection="0">
      <alignment horizontal="left" vertical="top" indent="1"/>
    </xf>
    <xf numFmtId="0" fontId="18" fillId="55" borderId="111" applyNumberFormat="0" applyProtection="0">
      <alignment horizontal="left" vertical="center" indent="1"/>
    </xf>
    <xf numFmtId="0" fontId="47" fillId="34" borderId="111" applyNumberFormat="0" applyProtection="0">
      <alignment horizontal="left" vertical="top"/>
    </xf>
    <xf numFmtId="0" fontId="18" fillId="54" borderId="111" applyNumberFormat="0" applyProtection="0">
      <alignment horizontal="left" vertical="top" indent="1"/>
    </xf>
    <xf numFmtId="4" fontId="47" fillId="44" borderId="111" applyNumberFormat="0" applyProtection="0">
      <alignment horizontal="right" vertical="center"/>
    </xf>
    <xf numFmtId="4" fontId="47" fillId="0" borderId="111" applyNumberFormat="0" applyProtection="0">
      <alignment horizontal="right" vertical="center"/>
    </xf>
    <xf numFmtId="0" fontId="18" fillId="51" borderId="111" applyNumberFormat="0" applyProtection="0">
      <alignment horizontal="left" vertical="center" indent="1"/>
    </xf>
    <xf numFmtId="4" fontId="27" fillId="37" borderId="111" applyNumberFormat="0" applyProtection="0">
      <alignment vertical="center"/>
    </xf>
    <xf numFmtId="0" fontId="105" fillId="0" borderId="115" applyNumberFormat="0" applyFill="0" applyAlignment="0" applyProtection="0"/>
    <xf numFmtId="0" fontId="27" fillId="38" borderId="111" applyNumberFormat="0" applyProtection="0">
      <alignment horizontal="left" vertical="top" indent="1"/>
    </xf>
    <xf numFmtId="0" fontId="18" fillId="51" borderId="111" applyNumberFormat="0" applyProtection="0">
      <alignment horizontal="left" vertical="top" indent="1"/>
    </xf>
    <xf numFmtId="0" fontId="47" fillId="34" borderId="111" applyNumberFormat="0" applyProtection="0">
      <alignment horizontal="left" vertical="top"/>
    </xf>
    <xf numFmtId="0" fontId="18" fillId="85"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left" vertical="center" indent="1"/>
    </xf>
    <xf numFmtId="4" fontId="25" fillId="49" borderId="111" applyNumberFormat="0" applyProtection="0">
      <alignment horizontal="right" vertical="center"/>
    </xf>
    <xf numFmtId="0" fontId="18" fillId="54" borderId="111" applyNumberFormat="0" applyProtection="0">
      <alignment horizontal="left" vertical="center" indent="1"/>
    </xf>
    <xf numFmtId="4" fontId="47" fillId="46" borderId="111" applyNumberFormat="0" applyProtection="0">
      <alignment horizontal="right" vertical="center"/>
    </xf>
    <xf numFmtId="0" fontId="18" fillId="85" borderId="111" applyNumberFormat="0" applyProtection="0">
      <alignment horizontal="left" vertical="center" indent="1"/>
    </xf>
    <xf numFmtId="0" fontId="114" fillId="79" borderId="110" applyNumberFormat="0" applyAlignment="0" applyProtection="0"/>
    <xf numFmtId="4" fontId="27" fillId="38" borderId="111" applyNumberFormat="0" applyProtection="0">
      <alignment horizontal="left" vertical="center" indent="1"/>
    </xf>
    <xf numFmtId="0" fontId="18" fillId="55" borderId="111" applyNumberFormat="0" applyProtection="0">
      <alignment horizontal="left" vertical="center" indent="1"/>
    </xf>
    <xf numFmtId="4" fontId="46" fillId="38" borderId="111" applyNumberFormat="0" applyProtection="0">
      <alignment vertical="center"/>
    </xf>
    <xf numFmtId="0" fontId="114" fillId="79" borderId="110" applyNumberFormat="0" applyAlignment="0" applyProtection="0"/>
    <xf numFmtId="0" fontId="105" fillId="0" borderId="115" applyNumberFormat="0" applyFill="0" applyAlignment="0" applyProtection="0"/>
    <xf numFmtId="4" fontId="47" fillId="39" borderId="111" applyNumberFormat="0" applyProtection="0">
      <alignment horizontal="right" vertical="center"/>
    </xf>
    <xf numFmtId="4" fontId="27" fillId="34" borderId="112" applyNumberFormat="0" applyProtection="0">
      <alignment vertical="center"/>
    </xf>
    <xf numFmtId="4" fontId="47" fillId="35" borderId="111" applyNumberFormat="0" applyProtection="0">
      <alignment horizontal="left" vertical="center" indent="1"/>
    </xf>
    <xf numFmtId="0" fontId="18" fillId="84" borderId="111" applyNumberFormat="0" applyProtection="0">
      <alignment horizontal="left" vertical="top" indent="1"/>
    </xf>
    <xf numFmtId="0" fontId="18" fillId="85" borderId="111" applyNumberFormat="0" applyProtection="0">
      <alignment horizontal="left" vertical="center" indent="1"/>
    </xf>
    <xf numFmtId="0" fontId="18" fillId="49" borderId="111" applyNumberFormat="0" applyProtection="0">
      <alignment horizontal="left" vertical="center" indent="1"/>
    </xf>
    <xf numFmtId="0" fontId="114" fillId="79" borderId="110" applyNumberFormat="0" applyAlignment="0" applyProtection="0"/>
    <xf numFmtId="0" fontId="102" fillId="79" borderId="118" applyNumberFormat="0" applyAlignment="0" applyProtection="0"/>
    <xf numFmtId="0" fontId="18" fillId="76" borderId="120" applyNumberFormat="0" applyFont="0" applyAlignment="0" applyProtection="0"/>
    <xf numFmtId="0" fontId="102" fillId="79" borderId="118" applyNumberFormat="0" applyAlignment="0" applyProtection="0"/>
    <xf numFmtId="4" fontId="27" fillId="37" borderId="111" applyNumberFormat="0" applyProtection="0">
      <alignment vertical="center"/>
    </xf>
    <xf numFmtId="4" fontId="27" fillId="38" borderId="111" applyNumberFormat="0" applyProtection="0">
      <alignment horizontal="left" vertical="center" indent="1"/>
    </xf>
    <xf numFmtId="0" fontId="18" fillId="34" borderId="111" applyNumberFormat="0" applyProtection="0">
      <alignment horizontal="left" vertical="top" indent="1"/>
    </xf>
    <xf numFmtId="4" fontId="47" fillId="51" borderId="111" applyNumberFormat="0" applyProtection="0">
      <alignment horizontal="left" vertical="center" indent="1"/>
    </xf>
    <xf numFmtId="4" fontId="27" fillId="38" borderId="111" applyNumberFormat="0" applyProtection="0">
      <alignment vertical="center"/>
    </xf>
    <xf numFmtId="0" fontId="24" fillId="59" borderId="117" applyNumberFormat="0" applyFont="0" applyAlignment="0" applyProtection="0">
      <protection locked="0"/>
    </xf>
    <xf numFmtId="0" fontId="18" fillId="34" borderId="111" applyNumberFormat="0" applyProtection="0">
      <alignment horizontal="left" vertical="top"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50" borderId="111" applyNumberFormat="0" applyProtection="0">
      <alignment horizontal="left" vertical="top" indent="1"/>
    </xf>
    <xf numFmtId="4" fontId="27" fillId="34" borderId="111" applyNumberForma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50" borderId="111" applyNumberFormat="0" applyProtection="0">
      <alignment horizontal="left" vertical="center" indent="1"/>
    </xf>
    <xf numFmtId="0" fontId="18" fillId="76" borderId="123" applyNumberFormat="0" applyFont="0" applyAlignment="0" applyProtection="0"/>
    <xf numFmtId="4" fontId="51" fillId="35" borderId="111" applyNumberFormat="0" applyProtection="0">
      <alignment vertical="center"/>
    </xf>
    <xf numFmtId="0" fontId="18" fillId="50" borderId="111" applyNumberFormat="0" applyProtection="0">
      <alignment horizontal="left" vertical="center" indent="1"/>
    </xf>
    <xf numFmtId="4" fontId="27" fillId="38" borderId="111" applyNumberFormat="0" applyProtection="0">
      <alignment horizontal="left" vertical="center" indent="1"/>
    </xf>
    <xf numFmtId="0" fontId="18" fillId="54" borderId="111" applyNumberFormat="0" applyProtection="0">
      <alignment horizontal="left" vertical="top" indent="1"/>
    </xf>
    <xf numFmtId="0" fontId="21" fillId="35" borderId="109" applyNumberFormat="0" applyFont="0" applyAlignment="0" applyProtection="0">
      <alignment horizontal="center"/>
      <protection locked="0"/>
    </xf>
    <xf numFmtId="0" fontId="18" fillId="76" borderId="120" applyNumberFormat="0" applyFont="0" applyAlignment="0" applyProtection="0"/>
    <xf numFmtId="0" fontId="18" fillId="76" borderId="120" applyNumberFormat="0" applyFont="0" applyAlignment="0" applyProtection="0"/>
    <xf numFmtId="0" fontId="105" fillId="0" borderId="115" applyNumberFormat="0" applyFill="0" applyAlignment="0" applyProtection="0"/>
    <xf numFmtId="0" fontId="114" fillId="79" borderId="110" applyNumberFormat="0" applyAlignment="0" applyProtection="0"/>
    <xf numFmtId="0" fontId="114" fillId="79" borderId="110" applyNumberFormat="0" applyAlignment="0" applyProtection="0"/>
    <xf numFmtId="4" fontId="47" fillId="45" borderId="111" applyNumberFormat="0" applyProtection="0">
      <alignment horizontal="right" vertical="center"/>
    </xf>
    <xf numFmtId="0" fontId="18" fillId="54" borderId="111" applyNumberFormat="0" applyProtection="0">
      <alignment horizontal="left" vertical="top" indent="1"/>
    </xf>
    <xf numFmtId="0" fontId="110" fillId="77" borderId="118" applyNumberFormat="0" applyAlignment="0" applyProtection="0"/>
    <xf numFmtId="0" fontId="18" fillId="51" borderId="111" applyNumberFormat="0" applyProtection="0">
      <alignment horizontal="left" vertical="center" indent="1"/>
    </xf>
    <xf numFmtId="0" fontId="18" fillId="76" borderId="120" applyNumberFormat="0" applyFont="0" applyAlignment="0" applyProtection="0"/>
    <xf numFmtId="4" fontId="47" fillId="40" borderId="111" applyNumberFormat="0" applyProtection="0">
      <alignment horizontal="right" vertical="center"/>
    </xf>
    <xf numFmtId="0" fontId="27" fillId="38" borderId="111" applyNumberFormat="0" applyProtection="0">
      <alignment horizontal="left" vertical="top" indent="1"/>
    </xf>
    <xf numFmtId="0" fontId="18" fillId="49" borderId="111" applyNumberFormat="0" applyProtection="0">
      <alignment horizontal="left" vertical="top" indent="1"/>
    </xf>
    <xf numFmtId="4" fontId="46" fillId="38" borderId="111" applyNumberFormat="0" applyProtection="0">
      <alignment vertical="center"/>
    </xf>
    <xf numFmtId="0" fontId="18" fillId="51" borderId="111" applyNumberFormat="0" applyProtection="0">
      <alignment horizontal="left" vertical="top" indent="1"/>
    </xf>
    <xf numFmtId="4" fontId="47" fillId="59" borderId="111" applyNumberFormat="0" applyProtection="0">
      <alignment horizontal="left" vertical="center" indent="1"/>
    </xf>
    <xf numFmtId="4" fontId="47" fillId="44" borderId="111" applyNumberFormat="0" applyProtection="0">
      <alignment horizontal="right" vertical="center"/>
    </xf>
    <xf numFmtId="0" fontId="105" fillId="0" borderId="115" applyNumberFormat="0" applyFill="0" applyAlignment="0" applyProtection="0"/>
    <xf numFmtId="0" fontId="18" fillId="84" borderId="111" applyNumberFormat="0" applyProtection="0">
      <alignment horizontal="left" vertical="center" indent="1"/>
    </xf>
    <xf numFmtId="0" fontId="18" fillId="55" borderId="111" applyNumberFormat="0" applyProtection="0">
      <alignment horizontal="left" vertical="top" indent="1"/>
    </xf>
    <xf numFmtId="4" fontId="47" fillId="45" borderId="111" applyNumberFormat="0" applyProtection="0">
      <alignment horizontal="right" vertical="center"/>
    </xf>
    <xf numFmtId="4" fontId="47" fillId="0" borderId="11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11" applyNumberFormat="0" applyProtection="0">
      <alignment horizontal="left" vertical="top" indent="1"/>
    </xf>
    <xf numFmtId="0" fontId="18" fillId="76" borderId="120"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center" indent="1"/>
    </xf>
    <xf numFmtId="4" fontId="47" fillId="40" borderId="111" applyNumberFormat="0" applyProtection="0">
      <alignment horizontal="right" vertical="center"/>
    </xf>
    <xf numFmtId="4" fontId="47" fillId="35" borderId="111" applyNumberFormat="0" applyProtection="0">
      <alignment horizontal="left" vertical="center" indent="1"/>
    </xf>
    <xf numFmtId="0" fontId="105" fillId="0" borderId="115" applyNumberFormat="0" applyFill="0" applyAlignment="0" applyProtection="0"/>
    <xf numFmtId="0" fontId="18" fillId="84" borderId="111" applyNumberFormat="0" applyProtection="0">
      <alignment horizontal="left" vertical="top" indent="1"/>
    </xf>
    <xf numFmtId="4" fontId="47" fillId="0" borderId="111" applyNumberFormat="0" applyProtection="0">
      <alignment horizontal="left" vertical="center" indent="1"/>
    </xf>
    <xf numFmtId="0" fontId="18" fillId="85" borderId="111" applyNumberFormat="0" applyProtection="0">
      <alignment horizontal="left" vertical="center" indent="1"/>
    </xf>
    <xf numFmtId="0" fontId="18" fillId="51" borderId="111" applyNumberFormat="0" applyProtection="0">
      <alignment horizontal="left" vertical="top" indent="1"/>
    </xf>
    <xf numFmtId="4" fontId="51" fillId="35" borderId="111" applyNumberFormat="0" applyProtection="0">
      <alignment vertical="center"/>
    </xf>
    <xf numFmtId="4" fontId="47" fillId="45" borderId="111" applyNumberFormat="0" applyProtection="0">
      <alignment horizontal="right" vertical="center"/>
    </xf>
    <xf numFmtId="0" fontId="18" fillId="55" borderId="111" applyNumberFormat="0" applyProtection="0">
      <alignment horizontal="left" vertical="top" indent="1"/>
    </xf>
    <xf numFmtId="0" fontId="102" fillId="79" borderId="118" applyNumberFormat="0" applyAlignment="0" applyProtection="0"/>
    <xf numFmtId="0" fontId="63" fillId="59" borderId="117" applyNumberFormat="0" applyFont="0" applyFill="0" applyAlignment="0" applyProtection="0">
      <protection locked="0"/>
    </xf>
    <xf numFmtId="0" fontId="18" fillId="49" borderId="111" applyNumberFormat="0" applyProtection="0">
      <alignment horizontal="left" vertical="center" indent="1"/>
    </xf>
    <xf numFmtId="0" fontId="105" fillId="0" borderId="115" applyNumberFormat="0" applyFill="0" applyAlignment="0" applyProtection="0"/>
    <xf numFmtId="0" fontId="47" fillId="34" borderId="111" applyNumberFormat="0" applyProtection="0">
      <alignment horizontal="left" vertical="top"/>
    </xf>
    <xf numFmtId="4" fontId="27" fillId="34" borderId="111" applyNumberFormat="0" applyProtection="0"/>
    <xf numFmtId="4" fontId="27" fillId="34" borderId="111" applyNumberFormat="0" applyProtection="0"/>
    <xf numFmtId="0" fontId="114" fillId="79" borderId="110" applyNumberFormat="0" applyAlignment="0" applyProtection="0"/>
    <xf numFmtId="0" fontId="18" fillId="54" borderId="111" applyNumberFormat="0" applyProtection="0">
      <alignment horizontal="left" vertical="center" indent="1"/>
    </xf>
    <xf numFmtId="0" fontId="18" fillId="34"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right" vertical="center"/>
    </xf>
    <xf numFmtId="0" fontId="47" fillId="34" borderId="111" applyNumberFormat="0" applyProtection="0">
      <alignment horizontal="center" vertical="top"/>
    </xf>
    <xf numFmtId="4" fontId="47" fillId="41" borderId="111" applyNumberFormat="0" applyProtection="0">
      <alignment horizontal="right" vertical="center"/>
    </xf>
    <xf numFmtId="4" fontId="47" fillId="35" borderId="111" applyNumberFormat="0" applyProtection="0">
      <alignment horizontal="left" vertical="center" indent="1"/>
    </xf>
    <xf numFmtId="0" fontId="18" fillId="76" borderId="120" applyNumberFormat="0" applyFont="0" applyAlignment="0" applyProtection="0"/>
    <xf numFmtId="0" fontId="18" fillId="50" borderId="111" applyNumberFormat="0" applyProtection="0">
      <alignment horizontal="left" vertical="top" indent="1"/>
    </xf>
    <xf numFmtId="0" fontId="114" fillId="79" borderId="110" applyNumberFormat="0" applyAlignment="0" applyProtection="0"/>
    <xf numFmtId="4" fontId="27" fillId="38" borderId="111" applyNumberFormat="0" applyProtection="0">
      <alignment horizontal="left" vertical="center" indent="1"/>
    </xf>
    <xf numFmtId="0" fontId="105" fillId="0" borderId="115" applyNumberFormat="0" applyFill="0" applyAlignment="0" applyProtection="0"/>
    <xf numFmtId="4" fontId="27" fillId="38" borderId="111" applyNumberFormat="0" applyProtection="0">
      <alignment horizontal="left" vertical="center" indent="1"/>
    </xf>
    <xf numFmtId="0" fontId="18" fillId="34" borderId="111" applyNumberFormat="0" applyProtection="0">
      <alignment horizontal="left" vertical="center" indent="1"/>
    </xf>
    <xf numFmtId="4" fontId="27" fillId="34" borderId="111" applyNumberFormat="0" applyProtection="0"/>
    <xf numFmtId="0" fontId="102" fillId="79" borderId="122" applyNumberFormat="0" applyAlignment="0" applyProtection="0"/>
    <xf numFmtId="0" fontId="110" fillId="77" borderId="122"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18" applyNumberForma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63" fillId="59" borderId="117" applyNumberFormat="0" applyFont="0" applyFill="0" applyAlignment="0" applyProtection="0">
      <protection locked="0"/>
    </xf>
    <xf numFmtId="0" fontId="18" fillId="50" borderId="111" applyNumberFormat="0" applyProtection="0">
      <alignment horizontal="left" vertical="top" indent="1"/>
    </xf>
    <xf numFmtId="0" fontId="18" fillId="76" borderId="120" applyNumberFormat="0" applyFont="0" applyAlignment="0" applyProtection="0"/>
    <xf numFmtId="0" fontId="102" fillId="79" borderId="118" applyNumberFormat="0" applyAlignment="0" applyProtection="0"/>
    <xf numFmtId="0" fontId="18" fillId="49" borderId="111" applyNumberFormat="0" applyProtection="0">
      <alignment horizontal="left" vertical="center" indent="1"/>
    </xf>
    <xf numFmtId="0" fontId="110" fillId="77" borderId="118" applyNumberFormat="0" applyAlignment="0" applyProtection="0"/>
    <xf numFmtId="0" fontId="18" fillId="84" borderId="111" applyNumberFormat="0" applyProtection="0">
      <alignment horizontal="left" vertical="top" indent="1"/>
    </xf>
    <xf numFmtId="4" fontId="47" fillId="35" borderId="111" applyNumberFormat="0" applyProtection="0">
      <alignment horizontal="left" vertical="center" indent="1"/>
    </xf>
    <xf numFmtId="4" fontId="27" fillId="34" borderId="111" applyNumberFormat="0" applyProtection="0"/>
    <xf numFmtId="0" fontId="18" fillId="34" borderId="111" applyNumberFormat="0" applyProtection="0">
      <alignment horizontal="left" vertical="top" indent="1"/>
    </xf>
    <xf numFmtId="0" fontId="18" fillId="49" borderId="111" applyNumberFormat="0" applyProtection="0">
      <alignment horizontal="left" vertical="center" indent="1"/>
    </xf>
    <xf numFmtId="0" fontId="18" fillId="85" borderId="111" applyNumberFormat="0" applyProtection="0">
      <alignment horizontal="left" vertical="center" indent="1"/>
    </xf>
    <xf numFmtId="4" fontId="47" fillId="0" borderId="111" applyNumberFormat="0" applyProtection="0">
      <alignment horizontal="right" vertical="center"/>
    </xf>
    <xf numFmtId="0" fontId="18" fillId="51" borderId="111" applyNumberFormat="0" applyProtection="0">
      <alignment horizontal="left" vertical="top" indent="1"/>
    </xf>
    <xf numFmtId="0" fontId="110" fillId="77" borderId="118" applyNumberFormat="0" applyAlignment="0" applyProtection="0"/>
    <xf numFmtId="0" fontId="18" fillId="76" borderId="120" applyNumberFormat="0" applyFont="0" applyAlignment="0" applyProtection="0"/>
    <xf numFmtId="0" fontId="105" fillId="0" borderId="115" applyNumberFormat="0" applyFill="0" applyAlignment="0" applyProtection="0"/>
    <xf numFmtId="0" fontId="18" fillId="50" borderId="111"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05" fillId="0" borderId="115" applyNumberFormat="0" applyFill="0" applyAlignment="0" applyProtection="0"/>
    <xf numFmtId="0" fontId="105" fillId="0" borderId="115" applyNumberFormat="0" applyFill="0" applyAlignment="0" applyProtection="0"/>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8" borderId="111" applyNumberFormat="0" applyProtection="0">
      <alignment horizontal="left" vertical="center" indent="1"/>
    </xf>
    <xf numFmtId="0" fontId="110" fillId="77" borderId="118" applyNumberFormat="0" applyAlignment="0" applyProtection="0"/>
    <xf numFmtId="0" fontId="18" fillId="51" borderId="111" applyNumberFormat="0" applyProtection="0">
      <alignment horizontal="left" vertical="top" indent="1"/>
    </xf>
    <xf numFmtId="4" fontId="51" fillId="49" borderId="111" applyNumberFormat="0" applyProtection="0">
      <alignment horizontal="right" vertical="center"/>
    </xf>
    <xf numFmtId="0" fontId="18" fillId="76" borderId="123" applyNumberFormat="0" applyFont="0" applyAlignment="0" applyProtection="0"/>
    <xf numFmtId="0" fontId="18" fillId="34" borderId="111" applyNumberFormat="0" applyProtection="0">
      <alignment horizontal="left" vertical="center" indent="1"/>
    </xf>
    <xf numFmtId="0" fontId="18" fillId="54" borderId="111" applyNumberFormat="0" applyProtection="0">
      <alignment horizontal="left" vertical="top" indent="1"/>
    </xf>
    <xf numFmtId="4" fontId="27" fillId="34" borderId="111" applyNumberFormat="0" applyProtection="0"/>
    <xf numFmtId="0" fontId="26" fillId="0" borderId="119">
      <alignment horizontal="left" vertical="center"/>
    </xf>
    <xf numFmtId="0" fontId="26" fillId="0" borderId="27">
      <alignment horizontal="left" vertical="center"/>
    </xf>
    <xf numFmtId="0" fontId="114" fillId="79" borderId="110" applyNumberFormat="0" applyAlignment="0" applyProtection="0"/>
    <xf numFmtId="4" fontId="27" fillId="38" borderId="111" applyNumberFormat="0" applyProtection="0">
      <alignment horizontal="left" vertical="center" indent="1"/>
    </xf>
    <xf numFmtId="0" fontId="18" fillId="51" borderId="111" applyNumberFormat="0" applyProtection="0">
      <alignment horizontal="left" vertical="top" indent="1"/>
    </xf>
    <xf numFmtId="0" fontId="18" fillId="85" borderId="111" applyNumberFormat="0" applyProtection="0">
      <alignment horizontal="left" vertical="top" indent="1"/>
    </xf>
    <xf numFmtId="0" fontId="18" fillId="49" borderId="111" applyNumberFormat="0" applyProtection="0">
      <alignment horizontal="left" vertical="center" indent="1"/>
    </xf>
    <xf numFmtId="4" fontId="47" fillId="47" borderId="111" applyNumberFormat="0" applyProtection="0">
      <alignment horizontal="right" vertical="center"/>
    </xf>
    <xf numFmtId="0" fontId="110" fillId="77" borderId="118" applyNumberFormat="0" applyAlignment="0" applyProtection="0"/>
    <xf numFmtId="4" fontId="47" fillId="44" borderId="111" applyNumberFormat="0" applyProtection="0">
      <alignment horizontal="right" vertical="center"/>
    </xf>
    <xf numFmtId="0" fontId="18" fillId="51" borderId="111" applyNumberFormat="0" applyProtection="0">
      <alignment horizontal="left" vertical="top" indent="1"/>
    </xf>
    <xf numFmtId="0" fontId="18" fillId="76" borderId="120" applyNumberFormat="0" applyFont="0" applyAlignment="0" applyProtection="0"/>
    <xf numFmtId="4" fontId="47" fillId="39" borderId="111" applyNumberFormat="0" applyProtection="0">
      <alignment horizontal="right" vertical="center"/>
    </xf>
    <xf numFmtId="4" fontId="47" fillId="0" borderId="111" applyNumberFormat="0" applyProtection="0">
      <alignment horizontal="right" vertical="center"/>
    </xf>
    <xf numFmtId="0" fontId="18" fillId="76" borderId="120" applyNumberFormat="0" applyFont="0" applyAlignment="0" applyProtection="0"/>
    <xf numFmtId="4" fontId="47" fillId="0" borderId="111" applyNumberFormat="0" applyProtection="0">
      <alignment horizontal="right" vertical="center"/>
    </xf>
    <xf numFmtId="4" fontId="47" fillId="35" borderId="111" applyNumberFormat="0" applyProtection="0">
      <alignment vertical="center"/>
    </xf>
    <xf numFmtId="4" fontId="47" fillId="39" borderId="111" applyNumberFormat="0" applyProtection="0">
      <alignment horizontal="right" vertical="center"/>
    </xf>
    <xf numFmtId="0" fontId="18" fillId="84"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4" fontId="46" fillId="38" borderId="111" applyNumberFormat="0" applyProtection="0">
      <alignment vertical="center"/>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63" fillId="59" borderId="117" applyNumberFormat="0" applyFont="0" applyFill="0" applyAlignment="0" applyProtection="0">
      <protection locked="0"/>
    </xf>
    <xf numFmtId="0" fontId="105" fillId="0" borderId="115" applyNumberFormat="0" applyFill="0" applyAlignment="0" applyProtection="0"/>
    <xf numFmtId="4" fontId="27" fillId="37" borderId="111" applyNumberFormat="0" applyProtection="0">
      <alignment vertical="center"/>
    </xf>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0" fontId="47" fillId="34" borderId="111" applyNumberFormat="0" applyProtection="0">
      <alignment horizontal="left" vertical="top"/>
    </xf>
    <xf numFmtId="0" fontId="18" fillId="76" borderId="123" applyNumberFormat="0" applyFont="0" applyAlignment="0" applyProtection="0"/>
    <xf numFmtId="0" fontId="18" fillId="55" borderId="111" applyNumberFormat="0" applyProtection="0">
      <alignment horizontal="left" vertical="top" indent="1"/>
    </xf>
    <xf numFmtId="4" fontId="47" fillId="39" borderId="111" applyNumberFormat="0" applyProtection="0">
      <alignment horizontal="right" vertical="center"/>
    </xf>
    <xf numFmtId="0" fontId="114" fillId="79" borderId="110" applyNumberFormat="0" applyAlignment="0" applyProtection="0"/>
    <xf numFmtId="0" fontId="18" fillId="85" borderId="111" applyNumberFormat="0" applyProtection="0">
      <alignment horizontal="left" vertical="center" indent="1"/>
    </xf>
    <xf numFmtId="0" fontId="18" fillId="34" borderId="111" applyNumberFormat="0" applyProtection="0">
      <alignment horizontal="left" vertical="top" indent="1"/>
    </xf>
    <xf numFmtId="0" fontId="102" fillId="79" borderId="118" applyNumberFormat="0" applyAlignment="0" applyProtection="0"/>
    <xf numFmtId="0" fontId="18" fillId="54" borderId="111" applyNumberFormat="0" applyProtection="0">
      <alignment horizontal="left" vertical="top" indent="1"/>
    </xf>
    <xf numFmtId="0" fontId="18" fillId="51" borderId="111" applyNumberFormat="0" applyProtection="0">
      <alignment horizontal="left" vertical="center" indent="1"/>
    </xf>
    <xf numFmtId="0" fontId="18" fillId="76" borderId="120" applyNumberFormat="0" applyFont="0" applyAlignment="0" applyProtection="0"/>
    <xf numFmtId="0" fontId="102" fillId="79" borderId="118" applyNumberFormat="0" applyAlignment="0" applyProtection="0"/>
    <xf numFmtId="0" fontId="18" fillId="55" borderId="111" applyNumberFormat="0" applyProtection="0">
      <alignment horizontal="left" vertical="top" indent="1"/>
    </xf>
    <xf numFmtId="0" fontId="102" fillId="79" borderId="118" applyNumberFormat="0" applyAlignment="0" applyProtection="0"/>
    <xf numFmtId="4" fontId="27" fillId="37" borderId="111" applyNumberFormat="0" applyProtection="0">
      <alignment vertical="center"/>
    </xf>
    <xf numFmtId="0" fontId="102" fillId="79" borderId="118" applyNumberFormat="0" applyAlignment="0" applyProtection="0"/>
    <xf numFmtId="0" fontId="18" fillId="51" borderId="111" applyNumberFormat="0" applyProtection="0">
      <alignment horizontal="left" vertical="top" indent="1"/>
    </xf>
    <xf numFmtId="0" fontId="105" fillId="0" borderId="115" applyNumberFormat="0" applyFill="0" applyAlignment="0" applyProtection="0"/>
    <xf numFmtId="4" fontId="47" fillId="43" borderId="111" applyNumberFormat="0" applyProtection="0">
      <alignment horizontal="right" vertical="center"/>
    </xf>
    <xf numFmtId="0" fontId="18" fillId="85" borderId="111" applyNumberFormat="0" applyProtection="0">
      <alignment horizontal="left" vertical="top" indent="1"/>
    </xf>
    <xf numFmtId="0" fontId="18" fillId="34" borderId="111" applyNumberFormat="0" applyProtection="0">
      <alignment horizontal="left" vertical="top" indent="1"/>
    </xf>
    <xf numFmtId="0" fontId="18" fillId="50" borderId="111" applyNumberFormat="0" applyProtection="0">
      <alignment horizontal="left" vertical="center" indent="1"/>
    </xf>
    <xf numFmtId="4" fontId="47" fillId="47" borderId="111" applyNumberFormat="0" applyProtection="0">
      <alignment horizontal="right" vertical="center"/>
    </xf>
    <xf numFmtId="0" fontId="18" fillId="55" borderId="111" applyNumberFormat="0" applyProtection="0">
      <alignment horizontal="left" vertical="center"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0" fontId="18" fillId="54" borderId="111" applyNumberFormat="0" applyProtection="0">
      <alignment horizontal="left" vertical="top" indent="1"/>
    </xf>
    <xf numFmtId="0" fontId="18" fillId="5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4" borderId="111" applyNumberFormat="0" applyProtection="0">
      <alignment horizontal="left" vertical="center" indent="1"/>
    </xf>
    <xf numFmtId="4" fontId="27" fillId="34" borderId="111" applyNumberFormat="0" applyProtection="0"/>
    <xf numFmtId="0" fontId="114" fillId="79" borderId="124" applyNumberFormat="0" applyAlignment="0" applyProtection="0"/>
    <xf numFmtId="4" fontId="47" fillId="39" borderId="111" applyNumberFormat="0" applyProtection="0">
      <alignment horizontal="right" vertical="center"/>
    </xf>
    <xf numFmtId="0" fontId="18" fillId="34"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0" fontId="47" fillId="34" borderId="111" applyNumberFormat="0" applyProtection="0">
      <alignment horizontal="left" vertical="top"/>
    </xf>
    <xf numFmtId="4" fontId="27" fillId="38" borderId="111" applyNumberFormat="0" applyProtection="0">
      <alignment horizontal="left" vertical="center" indent="1"/>
    </xf>
    <xf numFmtId="4" fontId="47" fillId="0" borderId="111" applyNumberFormat="0" applyProtection="0">
      <alignment horizontal="left" vertical="center" indent="1"/>
    </xf>
    <xf numFmtId="0" fontId="18" fillId="55" borderId="111" applyNumberFormat="0" applyProtection="0">
      <alignment horizontal="left" vertical="center" indent="1"/>
    </xf>
    <xf numFmtId="0" fontId="18" fillId="76" borderId="120" applyNumberFormat="0" applyFont="0" applyAlignment="0" applyProtection="0"/>
    <xf numFmtId="0" fontId="18" fillId="55" borderId="111" applyNumberFormat="0" applyProtection="0">
      <alignment horizontal="left" vertical="top" indent="1"/>
    </xf>
    <xf numFmtId="0" fontId="105" fillId="0" borderId="115" applyNumberFormat="0" applyFill="0" applyAlignment="0" applyProtection="0"/>
    <xf numFmtId="0" fontId="18" fillId="55" borderId="111" applyNumberFormat="0" applyProtection="0">
      <alignment horizontal="left" vertical="top" indent="1"/>
    </xf>
    <xf numFmtId="4" fontId="47" fillId="35" borderId="111" applyNumberFormat="0" applyProtection="0">
      <alignment horizontal="left" vertical="center" indent="1"/>
    </xf>
    <xf numFmtId="4" fontId="27" fillId="38" borderId="111" applyNumberFormat="0" applyProtection="0">
      <alignment horizontal="left" vertical="center" indent="1"/>
    </xf>
    <xf numFmtId="0" fontId="114" fillId="79" borderId="110" applyNumberFormat="0" applyAlignment="0" applyProtection="0"/>
    <xf numFmtId="0" fontId="18" fillId="55" borderId="111" applyNumberFormat="0" applyProtection="0">
      <alignment horizontal="left" vertical="center" indent="1"/>
    </xf>
    <xf numFmtId="0" fontId="18" fillId="54" borderId="111" applyNumberFormat="0" applyProtection="0">
      <alignment horizontal="left" vertical="top" indent="1"/>
    </xf>
    <xf numFmtId="4" fontId="51" fillId="35" borderId="111" applyNumberFormat="0" applyProtection="0">
      <alignment vertical="center"/>
    </xf>
    <xf numFmtId="4" fontId="25" fillId="49" borderId="111" applyNumberFormat="0" applyProtection="0">
      <alignment horizontal="right" vertical="center"/>
    </xf>
    <xf numFmtId="0" fontId="27" fillId="38" borderId="111" applyNumberFormat="0" applyProtection="0">
      <alignment horizontal="left" vertical="top" indent="1"/>
    </xf>
    <xf numFmtId="0" fontId="18" fillId="50" borderId="111" applyNumberFormat="0" applyProtection="0">
      <alignment horizontal="left" vertical="center" indent="1"/>
    </xf>
    <xf numFmtId="0" fontId="114" fillId="79" borderId="110" applyNumberFormat="0" applyAlignment="0" applyProtection="0"/>
    <xf numFmtId="4" fontId="47" fillId="0" borderId="111" applyNumberFormat="0" applyProtection="0">
      <alignment horizontal="right" vertical="center"/>
    </xf>
    <xf numFmtId="0" fontId="18" fillId="34" borderId="111" applyNumberFormat="0" applyProtection="0">
      <alignment horizontal="left" vertical="top" indent="1"/>
    </xf>
    <xf numFmtId="0" fontId="18" fillId="84" borderId="111" applyNumberFormat="0" applyProtection="0">
      <alignment horizontal="left" vertical="center" indent="1"/>
    </xf>
    <xf numFmtId="0" fontId="105" fillId="0" borderId="115" applyNumberFormat="0" applyFill="0" applyAlignment="0" applyProtection="0"/>
    <xf numFmtId="0" fontId="18" fillId="50" borderId="111" applyNumberFormat="0" applyProtection="0">
      <alignment horizontal="left" vertical="top" indent="1"/>
    </xf>
    <xf numFmtId="0" fontId="110" fillId="77" borderId="118" applyNumberFormat="0" applyAlignment="0" applyProtection="0"/>
    <xf numFmtId="4" fontId="27" fillId="38" borderId="111" applyNumberFormat="0" applyProtection="0">
      <alignment horizontal="left" vertical="center" indent="1"/>
    </xf>
    <xf numFmtId="4" fontId="47" fillId="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top" indent="1"/>
    </xf>
    <xf numFmtId="4" fontId="25" fillId="49" borderId="111" applyNumberFormat="0" applyProtection="0">
      <alignment horizontal="right" vertical="center"/>
    </xf>
    <xf numFmtId="0" fontId="110" fillId="77" borderId="118" applyNumberFormat="0" applyAlignment="0" applyProtection="0"/>
    <xf numFmtId="0" fontId="18" fillId="49" borderId="111" applyNumberFormat="0" applyProtection="0">
      <alignment horizontal="left" vertical="top" indent="1"/>
    </xf>
    <xf numFmtId="0" fontId="18" fillId="84" borderId="111" applyNumberFormat="0" applyProtection="0">
      <alignment horizontal="left" vertical="top" indent="1"/>
    </xf>
    <xf numFmtId="4" fontId="47" fillId="41" borderId="111" applyNumberFormat="0" applyProtection="0">
      <alignment horizontal="right" vertical="center"/>
    </xf>
    <xf numFmtId="4" fontId="47" fillId="0" borderId="111" applyNumberFormat="0" applyProtection="0">
      <alignment horizontal="right" vertical="center"/>
    </xf>
    <xf numFmtId="0" fontId="114" fillId="79" borderId="110" applyNumberFormat="0" applyAlignment="0" applyProtection="0"/>
    <xf numFmtId="0" fontId="105" fillId="0" borderId="115" applyNumberFormat="0" applyFill="0" applyAlignment="0" applyProtection="0"/>
    <xf numFmtId="4" fontId="47" fillId="46" borderId="111" applyNumberFormat="0" applyProtection="0">
      <alignment horizontal="right" vertical="center"/>
    </xf>
    <xf numFmtId="0" fontId="18" fillId="76" borderId="120" applyNumberFormat="0" applyFont="0" applyAlignment="0" applyProtection="0"/>
    <xf numFmtId="0" fontId="47" fillId="34" borderId="111" applyNumberFormat="0" applyProtection="0">
      <alignment horizontal="left" vertical="top"/>
    </xf>
    <xf numFmtId="4" fontId="47" fillId="46" borderId="111" applyNumberFormat="0" applyProtection="0">
      <alignment horizontal="right" vertical="center"/>
    </xf>
    <xf numFmtId="0" fontId="18" fillId="55" borderId="111" applyNumberFormat="0" applyProtection="0">
      <alignment horizontal="left" vertical="top" indent="1"/>
    </xf>
    <xf numFmtId="0" fontId="18" fillId="51" borderId="111" applyNumberFormat="0" applyProtection="0">
      <alignment horizontal="left" vertical="center" indent="1"/>
    </xf>
    <xf numFmtId="4" fontId="27" fillId="34" borderId="111" applyNumberFormat="0" applyProtection="0"/>
    <xf numFmtId="4" fontId="47" fillId="47" borderId="111" applyNumberFormat="0" applyProtection="0">
      <alignment horizontal="right" vertical="center"/>
    </xf>
    <xf numFmtId="0" fontId="27" fillId="38"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0" fontId="47" fillId="34" borderId="111" applyNumberFormat="0" applyProtection="0">
      <alignment horizontal="left" vertical="top"/>
    </xf>
    <xf numFmtId="0" fontId="27" fillId="38" borderId="111" applyNumberFormat="0" applyProtection="0">
      <alignment horizontal="left" vertical="top" indent="1"/>
    </xf>
    <xf numFmtId="0" fontId="114" fillId="79" borderId="110" applyNumberFormat="0" applyAlignment="0" applyProtection="0"/>
    <xf numFmtId="0" fontId="18" fillId="55" borderId="111" applyNumberFormat="0" applyProtection="0">
      <alignment horizontal="left" vertical="center" indent="1"/>
    </xf>
    <xf numFmtId="4" fontId="27" fillId="34" borderId="112" applyNumberFormat="0" applyProtection="0">
      <alignment vertical="center"/>
    </xf>
    <xf numFmtId="4" fontId="47" fillId="0" borderId="111" applyNumberFormat="0" applyProtection="0">
      <alignment horizontal="right" vertical="center"/>
    </xf>
    <xf numFmtId="0" fontId="18" fillId="76" borderId="120" applyNumberFormat="0" applyFont="0" applyAlignment="0" applyProtection="0"/>
    <xf numFmtId="4" fontId="47" fillId="42" borderId="111" applyNumberFormat="0" applyProtection="0">
      <alignment horizontal="right" vertical="center"/>
    </xf>
    <xf numFmtId="0" fontId="18" fillId="84" borderId="111" applyNumberFormat="0" applyProtection="0">
      <alignment horizontal="left" vertical="center" indent="1"/>
    </xf>
    <xf numFmtId="0" fontId="114" fillId="79" borderId="124" applyNumberFormat="0" applyAlignment="0" applyProtection="0"/>
    <xf numFmtId="4" fontId="27" fillId="34" borderId="111" applyNumberForma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4" fontId="47" fillId="40" borderId="111" applyNumberFormat="0" applyProtection="0">
      <alignment horizontal="right" vertical="center"/>
    </xf>
    <xf numFmtId="4" fontId="46" fillId="38" borderId="111" applyNumberFormat="0" applyProtection="0">
      <alignment vertical="center"/>
    </xf>
    <xf numFmtId="4" fontId="47" fillId="0" borderId="111" applyNumberFormat="0" applyProtection="0">
      <alignment horizontal="left" vertical="center" indent="1"/>
    </xf>
    <xf numFmtId="4" fontId="47" fillId="0" borderId="111" applyNumberFormat="0" applyProtection="0">
      <alignment horizontal="right" vertical="center"/>
    </xf>
    <xf numFmtId="4" fontId="47" fillId="44" borderId="111" applyNumberFormat="0" applyProtection="0">
      <alignment horizontal="right" vertical="center"/>
    </xf>
    <xf numFmtId="0" fontId="18" fillId="49" borderId="111" applyNumberFormat="0" applyProtection="0">
      <alignment horizontal="left" vertical="top" indent="1"/>
    </xf>
    <xf numFmtId="0" fontId="18" fillId="76" borderId="120" applyNumberFormat="0" applyFont="0" applyAlignment="0" applyProtection="0"/>
    <xf numFmtId="0" fontId="18" fillId="34" borderId="111" applyNumberFormat="0" applyProtection="0">
      <alignment horizontal="left" vertical="center" indent="1"/>
    </xf>
    <xf numFmtId="4" fontId="27" fillId="38" borderId="111" applyNumberFormat="0" applyProtection="0">
      <alignment horizontal="left" vertical="center" indent="1"/>
    </xf>
    <xf numFmtId="4" fontId="51" fillId="49" borderId="111" applyNumberFormat="0" applyProtection="0">
      <alignment horizontal="right" vertical="center"/>
    </xf>
    <xf numFmtId="0" fontId="18" fillId="76" borderId="120" applyNumberFormat="0" applyFont="0" applyAlignment="0" applyProtection="0"/>
    <xf numFmtId="0" fontId="18" fillId="34" borderId="111" applyNumberFormat="0" applyProtection="0">
      <alignment horizontal="left" vertical="center" indent="1"/>
    </xf>
    <xf numFmtId="0" fontId="18" fillId="54" borderId="111" applyNumberFormat="0" applyProtection="0">
      <alignment horizontal="left" vertical="center" indent="1"/>
    </xf>
    <xf numFmtId="0" fontId="114" fillId="79" borderId="110" applyNumberFormat="0" applyAlignment="0" applyProtection="0"/>
    <xf numFmtId="0" fontId="18" fillId="49" borderId="111" applyNumberFormat="0" applyProtection="0">
      <alignment horizontal="left" vertical="top" indent="1"/>
    </xf>
    <xf numFmtId="4" fontId="47" fillId="59" borderId="111" applyNumberFormat="0" applyProtection="0">
      <alignment horizontal="left" vertical="center" indent="1"/>
    </xf>
    <xf numFmtId="4" fontId="46" fillId="38" borderId="111" applyNumberFormat="0" applyProtection="0">
      <alignment vertical="center"/>
    </xf>
    <xf numFmtId="0" fontId="102" fillId="79" borderId="118" applyNumberFormat="0" applyAlignment="0" applyProtection="0"/>
    <xf numFmtId="0" fontId="114" fillId="79" borderId="110" applyNumberFormat="0" applyAlignment="0" applyProtection="0"/>
    <xf numFmtId="0" fontId="18" fillId="34" borderId="111" applyNumberFormat="0" applyProtection="0">
      <alignment horizontal="left" vertical="top" indent="1"/>
    </xf>
    <xf numFmtId="4" fontId="47" fillId="42" borderId="111" applyNumberFormat="0" applyProtection="0">
      <alignment horizontal="right" vertical="center"/>
    </xf>
    <xf numFmtId="0" fontId="18" fillId="50" borderId="111" applyNumberFormat="0" applyProtection="0">
      <alignment horizontal="left" vertical="top" indent="1"/>
    </xf>
    <xf numFmtId="4" fontId="47" fillId="0" borderId="111" applyNumberFormat="0" applyProtection="0">
      <alignment horizontal="right" vertical="center"/>
    </xf>
    <xf numFmtId="0" fontId="110" fillId="77" borderId="118" applyNumberFormat="0" applyAlignment="0" applyProtection="0"/>
    <xf numFmtId="0" fontId="24" fillId="59" borderId="117" applyNumberFormat="0" applyFont="0" applyAlignment="0" applyProtection="0">
      <protection locked="0"/>
    </xf>
    <xf numFmtId="0" fontId="18" fillId="34" borderId="111" applyNumberFormat="0" applyProtection="0">
      <alignment horizontal="left" vertical="top" indent="1"/>
    </xf>
    <xf numFmtId="0" fontId="18" fillId="34" borderId="111" applyNumberFormat="0" applyProtection="0">
      <alignment horizontal="left" vertical="center" indent="1"/>
    </xf>
    <xf numFmtId="0" fontId="18" fillId="76" borderId="120" applyNumberFormat="0" applyFont="0" applyAlignment="0" applyProtection="0"/>
    <xf numFmtId="4" fontId="27" fillId="37" borderId="111" applyNumberFormat="0" applyProtection="0">
      <alignment vertical="center"/>
    </xf>
    <xf numFmtId="4" fontId="47" fillId="0" borderId="111" applyNumberFormat="0" applyProtection="0">
      <alignment horizontal="right" vertical="center"/>
    </xf>
    <xf numFmtId="0" fontId="18" fillId="76" borderId="120" applyNumberFormat="0" applyFont="0" applyAlignment="0" applyProtection="0"/>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4" fontId="47" fillId="35" borderId="111" applyNumberFormat="0" applyProtection="0">
      <alignment vertical="center"/>
    </xf>
    <xf numFmtId="0" fontId="18" fillId="50" borderId="111" applyNumberFormat="0" applyProtection="0">
      <alignment horizontal="left" vertical="center" indent="1"/>
    </xf>
    <xf numFmtId="4" fontId="46" fillId="38" borderId="111" applyNumberFormat="0" applyProtection="0">
      <alignment vertical="center"/>
    </xf>
    <xf numFmtId="0" fontId="114" fillId="79" borderId="110" applyNumberFormat="0" applyAlignment="0" applyProtection="0"/>
    <xf numFmtId="0" fontId="114" fillId="79" borderId="110" applyNumberFormat="0" applyAlignment="0" applyProtection="0"/>
    <xf numFmtId="4" fontId="47" fillId="0" borderId="111" applyNumberFormat="0" applyProtection="0">
      <alignment horizontal="left" vertical="center" indent="1"/>
    </xf>
    <xf numFmtId="0" fontId="18" fillId="51" borderId="111" applyNumberFormat="0" applyProtection="0">
      <alignment horizontal="left" vertical="center" indent="1"/>
    </xf>
    <xf numFmtId="0" fontId="18" fillId="49" borderId="111" applyNumberFormat="0" applyProtection="0">
      <alignment horizontal="left" vertical="top" indent="1"/>
    </xf>
    <xf numFmtId="4" fontId="47" fillId="47" borderId="111" applyNumberFormat="0" applyProtection="0">
      <alignment horizontal="right" vertical="center"/>
    </xf>
    <xf numFmtId="4" fontId="47" fillId="45" borderId="111" applyNumberFormat="0" applyProtection="0">
      <alignment horizontal="right" vertical="center"/>
    </xf>
    <xf numFmtId="4" fontId="47" fillId="35" borderId="111" applyNumberFormat="0" applyProtection="0">
      <alignment vertical="center"/>
    </xf>
    <xf numFmtId="0" fontId="105" fillId="0" borderId="115" applyNumberFormat="0" applyFill="0" applyAlignment="0" applyProtection="0"/>
    <xf numFmtId="0" fontId="18" fillId="76" borderId="120" applyNumberFormat="0" applyFont="0" applyAlignment="0" applyProtection="0"/>
    <xf numFmtId="4" fontId="51" fillId="35" borderId="111" applyNumberFormat="0" applyProtection="0">
      <alignment vertical="center"/>
    </xf>
    <xf numFmtId="0" fontId="47" fillId="34" borderId="111" applyNumberFormat="0" applyProtection="0">
      <alignment horizontal="left" vertical="top"/>
    </xf>
    <xf numFmtId="4" fontId="27" fillId="37" borderId="111" applyNumberFormat="0" applyProtection="0">
      <alignment vertical="center"/>
    </xf>
    <xf numFmtId="0" fontId="114" fillId="79" borderId="110" applyNumberFormat="0" applyAlignment="0" applyProtection="0"/>
    <xf numFmtId="0" fontId="105" fillId="0" borderId="115" applyNumberFormat="0" applyFill="0" applyAlignment="0" applyProtection="0"/>
    <xf numFmtId="0" fontId="18" fillId="85" borderId="111" applyNumberFormat="0" applyProtection="0">
      <alignment horizontal="left" vertical="top" indent="1"/>
    </xf>
    <xf numFmtId="0" fontId="18" fillId="49"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0" fontId="18" fillId="51" borderId="111" applyNumberFormat="0" applyProtection="0">
      <alignment horizontal="left" vertical="center" indent="1"/>
    </xf>
    <xf numFmtId="0" fontId="114" fillId="79" borderId="110" applyNumberFormat="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0" fontId="18" fillId="50" borderId="111" applyNumberFormat="0" applyProtection="0">
      <alignment horizontal="left" vertical="top" indent="1"/>
    </xf>
    <xf numFmtId="0" fontId="18" fillId="85" borderId="111" applyNumberFormat="0" applyProtection="0">
      <alignment horizontal="left" vertical="top" indent="1"/>
    </xf>
    <xf numFmtId="0" fontId="105" fillId="0" borderId="115" applyNumberFormat="0" applyFill="0" applyAlignment="0" applyProtection="0"/>
    <xf numFmtId="0" fontId="27" fillId="38" borderId="111" applyNumberFormat="0" applyProtection="0">
      <alignment horizontal="left" vertical="top"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76" borderId="120" applyNumberFormat="0" applyFont="0" applyAlignment="0" applyProtection="0"/>
    <xf numFmtId="0" fontId="18" fillId="50" borderId="111" applyNumberFormat="0" applyProtection="0">
      <alignment horizontal="left" vertical="top" indent="1"/>
    </xf>
    <xf numFmtId="0" fontId="27" fillId="38" borderId="111" applyNumberFormat="0" applyProtection="0">
      <alignment horizontal="left" vertical="top" indent="1"/>
    </xf>
    <xf numFmtId="0" fontId="18" fillId="55" borderId="111" applyNumberFormat="0" applyProtection="0">
      <alignment horizontal="left" vertical="top" indent="1"/>
    </xf>
    <xf numFmtId="0" fontId="18" fillId="85" borderId="111" applyNumberFormat="0" applyProtection="0">
      <alignment horizontal="left" vertical="top" indent="1"/>
    </xf>
    <xf numFmtId="0" fontId="18" fillId="84" borderId="111" applyNumberFormat="0" applyProtection="0">
      <alignment horizontal="left" vertical="center" indent="1"/>
    </xf>
    <xf numFmtId="4" fontId="47" fillId="41" borderId="111" applyNumberFormat="0" applyProtection="0">
      <alignment horizontal="right" vertical="center"/>
    </xf>
    <xf numFmtId="0" fontId="18" fillId="55" borderId="111" applyNumberFormat="0" applyProtection="0">
      <alignment horizontal="left" vertical="center" indent="1"/>
    </xf>
    <xf numFmtId="0" fontId="18" fillId="84" borderId="111" applyNumberFormat="0" applyProtection="0">
      <alignment horizontal="left" vertical="center" indent="1"/>
    </xf>
    <xf numFmtId="0" fontId="47" fillId="34" borderId="111" applyNumberFormat="0" applyProtection="0">
      <alignment horizontal="left" vertical="top"/>
    </xf>
    <xf numFmtId="0" fontId="102" fillId="79" borderId="118" applyNumberFormat="0" applyAlignment="0" applyProtection="0"/>
    <xf numFmtId="0" fontId="18" fillId="54" borderId="111" applyNumberFormat="0" applyProtection="0">
      <alignment horizontal="left" vertical="top" indent="1"/>
    </xf>
    <xf numFmtId="0" fontId="110" fillId="77" borderId="118" applyNumberFormat="0" applyAlignment="0" applyProtection="0"/>
    <xf numFmtId="0" fontId="18" fillId="55" borderId="111" applyNumberFormat="0" applyProtection="0">
      <alignment horizontal="left" vertical="top" indent="1"/>
    </xf>
    <xf numFmtId="4" fontId="47" fillId="46" borderId="111" applyNumberFormat="0" applyProtection="0">
      <alignment horizontal="right" vertical="center"/>
    </xf>
    <xf numFmtId="4" fontId="51" fillId="35" borderId="111" applyNumberFormat="0" applyProtection="0">
      <alignment vertical="center"/>
    </xf>
    <xf numFmtId="0" fontId="18" fillId="55" borderId="111" applyNumberFormat="0" applyProtection="0">
      <alignment horizontal="left" vertical="center" indent="1"/>
    </xf>
    <xf numFmtId="4" fontId="47" fillId="35" borderId="111" applyNumberFormat="0" applyProtection="0">
      <alignment vertical="center"/>
    </xf>
    <xf numFmtId="0" fontId="18" fillId="55" borderId="111" applyNumberFormat="0" applyProtection="0">
      <alignment horizontal="left" vertical="center" indent="1"/>
    </xf>
    <xf numFmtId="0" fontId="18" fillId="50" borderId="111" applyNumberFormat="0" applyProtection="0">
      <alignment horizontal="left" vertical="top" indent="1"/>
    </xf>
    <xf numFmtId="0" fontId="110" fillId="77" borderId="118" applyNumberFormat="0" applyAlignment="0" applyProtection="0"/>
    <xf numFmtId="4" fontId="47" fillId="42" borderId="111" applyNumberFormat="0" applyProtection="0">
      <alignment horizontal="right" vertical="center"/>
    </xf>
    <xf numFmtId="0" fontId="105" fillId="0" borderId="115" applyNumberFormat="0" applyFill="0" applyAlignment="0" applyProtection="0"/>
    <xf numFmtId="0" fontId="18" fillId="50" borderId="111" applyNumberFormat="0" applyProtection="0">
      <alignment horizontal="left" vertical="center" indent="1"/>
    </xf>
    <xf numFmtId="0" fontId="24" fillId="59" borderId="117" applyNumberFormat="0" applyFont="0" applyAlignment="0" applyProtection="0">
      <protection locked="0"/>
    </xf>
    <xf numFmtId="0" fontId="18" fillId="50" borderId="111" applyNumberFormat="0" applyProtection="0">
      <alignment horizontal="left" vertical="center" indent="1"/>
    </xf>
    <xf numFmtId="0" fontId="18" fillId="34" borderId="111" applyNumberFormat="0" applyProtection="0">
      <alignment horizontal="left" vertical="center" indent="1"/>
    </xf>
    <xf numFmtId="0" fontId="110" fillId="77" borderId="122" applyNumberFormat="0" applyAlignment="0" applyProtection="0"/>
    <xf numFmtId="4" fontId="27" fillId="38" borderId="111" applyNumberFormat="0" applyProtection="0">
      <alignment vertical="center"/>
    </xf>
    <xf numFmtId="0" fontId="18" fillId="55" borderId="111" applyNumberFormat="0" applyProtection="0">
      <alignment horizontal="left" vertical="top" indent="1"/>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0" fontId="102" fillId="79" borderId="122" applyNumberFormat="0" applyAlignment="0" applyProtection="0"/>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0" fontId="110" fillId="77" borderId="122" applyNumberFormat="0" applyAlignment="0" applyProtection="0"/>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5" fillId="0" borderId="115" applyNumberFormat="0" applyFill="0" applyAlignment="0" applyProtection="0"/>
    <xf numFmtId="0" fontId="110" fillId="77" borderId="122" applyNumberFormat="0" applyAlignment="0" applyProtection="0"/>
    <xf numFmtId="4" fontId="27" fillId="38" borderId="111" applyNumberFormat="0" applyProtection="0">
      <alignment vertical="center"/>
    </xf>
    <xf numFmtId="4" fontId="27" fillId="34" borderId="29" applyNumberFormat="0" applyProtection="0">
      <alignment vertical="center"/>
    </xf>
    <xf numFmtId="0" fontId="102" fillId="79" borderId="122" applyNumberFormat="0" applyAlignment="0" applyProtection="0"/>
    <xf numFmtId="4" fontId="27" fillId="34" borderId="29" applyNumberFormat="0" applyProtection="0">
      <alignment vertical="center"/>
    </xf>
    <xf numFmtId="0" fontId="110" fillId="77" borderId="122"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49" borderId="111" applyNumberFormat="0" applyProtection="0">
      <alignment horizontal="left" vertical="center" indent="1"/>
    </xf>
    <xf numFmtId="0" fontId="102" fillId="79" borderId="118" applyNumberFormat="0" applyAlignment="0" applyProtection="0"/>
    <xf numFmtId="0" fontId="18" fillId="76" borderId="123" applyNumberFormat="0" applyFont="0" applyAlignment="0" applyProtection="0"/>
    <xf numFmtId="0" fontId="18" fillId="50" borderId="111" applyNumberFormat="0" applyProtection="0">
      <alignment horizontal="left" vertical="top" indent="1"/>
    </xf>
    <xf numFmtId="0" fontId="18" fillId="76" borderId="120" applyNumberFormat="0" applyFont="0" applyAlignment="0" applyProtection="0"/>
    <xf numFmtId="4" fontId="27" fillId="38" borderId="111" applyNumberFormat="0" applyProtection="0">
      <alignment horizontal="left" vertical="center" indent="1"/>
    </xf>
    <xf numFmtId="0" fontId="110" fillId="77" borderId="118" applyNumberFormat="0" applyAlignment="0" applyProtection="0"/>
    <xf numFmtId="4" fontId="27" fillId="34" borderId="112" applyNumberFormat="0" applyProtection="0">
      <alignment vertical="center"/>
    </xf>
    <xf numFmtId="4" fontId="47" fillId="0" borderId="111" applyNumberFormat="0" applyProtection="0">
      <alignment horizontal="left" vertical="center" indent="1"/>
    </xf>
    <xf numFmtId="0" fontId="114" fillId="79" borderId="110" applyNumberFormat="0" applyAlignment="0" applyProtection="0"/>
    <xf numFmtId="0" fontId="105" fillId="0" borderId="115" applyNumberFormat="0" applyFill="0" applyAlignment="0" applyProtection="0"/>
    <xf numFmtId="4" fontId="47" fillId="51" borderId="111" applyNumberFormat="0" applyProtection="0">
      <alignment horizontal="right" vertical="center"/>
    </xf>
    <xf numFmtId="4" fontId="25" fillId="49" borderId="111" applyNumberFormat="0" applyProtection="0">
      <alignment horizontal="right" vertical="center"/>
    </xf>
    <xf numFmtId="4" fontId="47" fillId="46" borderId="111" applyNumberFormat="0" applyProtection="0">
      <alignment horizontal="right" vertical="center"/>
    </xf>
    <xf numFmtId="0" fontId="102" fillId="79" borderId="118" applyNumberFormat="0" applyAlignment="0" applyProtection="0"/>
    <xf numFmtId="0" fontId="114" fillId="79" borderId="110" applyNumberFormat="0" applyAlignment="0" applyProtection="0"/>
    <xf numFmtId="4" fontId="47" fillId="41" borderId="111" applyNumberFormat="0" applyProtection="0">
      <alignment horizontal="right" vertical="center"/>
    </xf>
    <xf numFmtId="0" fontId="18" fillId="50" borderId="111" applyNumberFormat="0" applyProtection="0">
      <alignment horizontal="left" vertical="center" indent="1"/>
    </xf>
    <xf numFmtId="4" fontId="27" fillId="34" borderId="111" applyNumberFormat="0" applyProtection="0"/>
    <xf numFmtId="0" fontId="18" fillId="76" borderId="120" applyNumberFormat="0" applyFont="0" applyAlignment="0" applyProtection="0"/>
    <xf numFmtId="4" fontId="47" fillId="44" borderId="111" applyNumberFormat="0" applyProtection="0">
      <alignment horizontal="right" vertical="center"/>
    </xf>
    <xf numFmtId="0" fontId="18" fillId="55" borderId="111" applyNumberFormat="0" applyProtection="0">
      <alignment horizontal="left" vertical="center" indent="1"/>
    </xf>
    <xf numFmtId="0" fontId="110" fillId="77" borderId="118" applyNumberFormat="0" applyAlignment="0" applyProtection="0"/>
    <xf numFmtId="0" fontId="18" fillId="85" borderId="111" applyNumberFormat="0" applyProtection="0">
      <alignment horizontal="left" vertical="top" indent="1"/>
    </xf>
    <xf numFmtId="0" fontId="18" fillId="55"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left" vertical="center" indent="1"/>
    </xf>
    <xf numFmtId="4" fontId="47" fillId="35" borderId="111" applyNumberFormat="0" applyProtection="0">
      <alignment vertical="center"/>
    </xf>
    <xf numFmtId="0" fontId="102" fillId="79" borderId="122" applyNumberFormat="0" applyAlignment="0" applyProtection="0"/>
    <xf numFmtId="0" fontId="110" fillId="77" borderId="122" applyNumberFormat="0" applyAlignment="0" applyProtection="0"/>
    <xf numFmtId="4" fontId="27" fillId="34" borderId="111" applyNumberFormat="0" applyProtection="0"/>
    <xf numFmtId="0" fontId="114" fillId="79" borderId="124" applyNumberFormat="0" applyAlignment="0" applyProtection="0"/>
    <xf numFmtId="4" fontId="47" fillId="42" borderId="111" applyNumberFormat="0" applyProtection="0">
      <alignment horizontal="right" vertical="center"/>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47" fillId="35" borderId="111" applyNumberFormat="0" applyProtection="0">
      <alignment horizontal="left" vertical="top" indent="1"/>
    </xf>
    <xf numFmtId="0" fontId="18" fillId="50" borderId="111" applyNumberFormat="0" applyProtection="0">
      <alignment horizontal="left" vertical="top" indent="1"/>
    </xf>
    <xf numFmtId="0" fontId="110" fillId="77" borderId="118" applyNumberFormat="0" applyAlignment="0" applyProtection="0"/>
    <xf numFmtId="0" fontId="18" fillId="54" borderId="111" applyNumberFormat="0" applyProtection="0">
      <alignment horizontal="left" vertical="center" indent="1"/>
    </xf>
    <xf numFmtId="0" fontId="114" fillId="79" borderId="110" applyNumberFormat="0" applyAlignment="0" applyProtection="0"/>
    <xf numFmtId="0" fontId="18" fillId="85" borderId="111" applyNumberFormat="0" applyProtection="0">
      <alignment horizontal="left" vertical="top" indent="1"/>
    </xf>
    <xf numFmtId="0" fontId="18" fillId="84" borderId="111" applyNumberFormat="0" applyProtection="0">
      <alignment horizontal="left" vertical="center" indent="1"/>
    </xf>
    <xf numFmtId="0" fontId="47" fillId="35" borderId="111" applyNumberFormat="0" applyProtection="0">
      <alignment horizontal="left" vertical="top" indent="1"/>
    </xf>
    <xf numFmtId="0" fontId="26" fillId="0" borderId="119">
      <alignment horizontal="left" vertical="center"/>
    </xf>
    <xf numFmtId="4" fontId="47" fillId="0" borderId="111" applyNumberFormat="0" applyProtection="0">
      <alignment horizontal="left" vertical="center" indent="1"/>
    </xf>
    <xf numFmtId="0" fontId="105" fillId="0" borderId="115" applyNumberFormat="0" applyFill="0" applyAlignment="0" applyProtection="0"/>
    <xf numFmtId="0" fontId="18" fillId="85" borderId="111" applyNumberFormat="0" applyProtection="0">
      <alignment horizontal="left" vertical="center" indent="1"/>
    </xf>
    <xf numFmtId="0" fontId="47" fillId="35" borderId="111" applyNumberFormat="0" applyProtection="0">
      <alignment horizontal="left" vertical="top" indent="1"/>
    </xf>
    <xf numFmtId="4" fontId="47" fillId="43" borderId="111" applyNumberFormat="0" applyProtection="0">
      <alignment horizontal="right" vertical="center"/>
    </xf>
    <xf numFmtId="4" fontId="47" fillId="0" borderId="111" applyNumberFormat="0" applyProtection="0">
      <alignment horizontal="right" vertical="center"/>
    </xf>
    <xf numFmtId="0" fontId="18" fillId="76" borderId="120" applyNumberFormat="0" applyFont="0" applyAlignment="0" applyProtection="0"/>
    <xf numFmtId="0" fontId="18" fillId="51" borderId="111" applyNumberFormat="0" applyProtection="0">
      <alignment horizontal="left" vertical="center" indent="1"/>
    </xf>
    <xf numFmtId="0" fontId="18" fillId="85" borderId="111" applyNumberFormat="0" applyProtection="0">
      <alignment horizontal="left" vertical="center" indent="1"/>
    </xf>
    <xf numFmtId="0" fontId="102" fillId="79" borderId="118" applyNumberFormat="0" applyAlignment="0" applyProtection="0"/>
    <xf numFmtId="4" fontId="47" fillId="43" borderId="111" applyNumberFormat="0" applyProtection="0">
      <alignment horizontal="right" vertical="center"/>
    </xf>
    <xf numFmtId="0" fontId="18" fillId="54" borderId="111" applyNumberFormat="0" applyProtection="0">
      <alignment horizontal="left" vertical="center" indent="1"/>
    </xf>
    <xf numFmtId="0" fontId="18" fillId="49" borderId="111" applyNumberFormat="0" applyProtection="0">
      <alignment horizontal="left" vertical="center" indent="1"/>
    </xf>
    <xf numFmtId="4" fontId="27" fillId="38" borderId="111" applyNumberFormat="0" applyProtection="0">
      <alignment horizontal="left" vertical="center" indent="1"/>
    </xf>
    <xf numFmtId="4" fontId="47" fillId="43" borderId="111" applyNumberFormat="0" applyProtection="0">
      <alignment horizontal="right" vertical="center"/>
    </xf>
    <xf numFmtId="4" fontId="47" fillId="35" borderId="111" applyNumberFormat="0" applyProtection="0">
      <alignment vertical="center"/>
    </xf>
    <xf numFmtId="0" fontId="18" fillId="76" borderId="120" applyNumberFormat="0" applyFont="0" applyAlignment="0" applyProtection="0"/>
    <xf numFmtId="0" fontId="18" fillId="76" borderId="120" applyNumberFormat="0" applyFont="0" applyAlignment="0" applyProtection="0"/>
    <xf numFmtId="4" fontId="46" fillId="38" borderId="111" applyNumberFormat="0" applyProtection="0">
      <alignmen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35" borderId="111" applyNumberFormat="0" applyProtection="0">
      <alignment horizontal="left" vertical="center" indent="1"/>
    </xf>
    <xf numFmtId="0" fontId="18" fillId="76" borderId="123" applyNumberFormat="0" applyFont="0" applyAlignment="0" applyProtection="0"/>
    <xf numFmtId="4" fontId="25" fillId="49" borderId="111" applyNumberFormat="0" applyProtection="0">
      <alignment horizontal="right" vertical="center"/>
    </xf>
    <xf numFmtId="0" fontId="18" fillId="50" borderId="111" applyNumberFormat="0" applyProtection="0">
      <alignment horizontal="left" vertical="top" indent="1"/>
    </xf>
    <xf numFmtId="4" fontId="47" fillId="39" borderId="111" applyNumberFormat="0" applyProtection="0">
      <alignment horizontal="right" vertical="center"/>
    </xf>
    <xf numFmtId="0" fontId="18" fillId="85" borderId="111" applyNumberFormat="0" applyProtection="0">
      <alignment horizontal="left" vertical="top" indent="1"/>
    </xf>
    <xf numFmtId="0" fontId="63" fillId="59" borderId="117" applyNumberFormat="0" applyFont="0" applyFill="0" applyAlignment="0" applyProtection="0">
      <protection locked="0"/>
    </xf>
    <xf numFmtId="0" fontId="18" fillId="34" borderId="111" applyNumberFormat="0" applyProtection="0">
      <alignment horizontal="left" vertical="center" indent="1"/>
    </xf>
    <xf numFmtId="0" fontId="18" fillId="49" borderId="111" applyNumberFormat="0" applyProtection="0">
      <alignment horizontal="left" vertical="center" indent="1"/>
    </xf>
    <xf numFmtId="0" fontId="114" fillId="79" borderId="110" applyNumberFormat="0" applyAlignment="0" applyProtection="0"/>
    <xf numFmtId="4" fontId="27" fillId="38" borderId="111" applyNumberFormat="0" applyProtection="0">
      <alignment horizontal="left" vertical="center" indent="1"/>
    </xf>
    <xf numFmtId="4" fontId="47" fillId="39" borderId="111" applyNumberFormat="0" applyProtection="0">
      <alignment horizontal="right" vertical="center"/>
    </xf>
    <xf numFmtId="0" fontId="110" fillId="77" borderId="118" applyNumberFormat="0" applyAlignment="0" applyProtection="0"/>
    <xf numFmtId="0" fontId="18" fillId="84" borderId="111" applyNumberFormat="0" applyProtection="0">
      <alignment horizontal="left" vertical="top" indent="1"/>
    </xf>
    <xf numFmtId="0" fontId="18" fillId="85" borderId="111" applyNumberFormat="0" applyProtection="0">
      <alignment horizontal="left" vertical="center" indent="1"/>
    </xf>
    <xf numFmtId="0" fontId="114" fillId="79" borderId="110" applyNumberFormat="0" applyAlignment="0" applyProtection="0"/>
    <xf numFmtId="4" fontId="47" fillId="46" borderId="111" applyNumberFormat="0" applyProtection="0">
      <alignment horizontal="right" vertical="center"/>
    </xf>
    <xf numFmtId="0" fontId="18" fillId="34" borderId="111" applyNumberFormat="0" applyProtection="0">
      <alignment horizontal="left" vertical="center" indent="1"/>
    </xf>
    <xf numFmtId="0" fontId="102" fillId="79" borderId="118" applyNumberFormat="0" applyAlignment="0" applyProtection="0"/>
    <xf numFmtId="0" fontId="18" fillId="84" borderId="111" applyNumberFormat="0" applyProtection="0">
      <alignment horizontal="left" vertical="top" indent="1"/>
    </xf>
    <xf numFmtId="4" fontId="47" fillId="51" borderId="111" applyNumberFormat="0" applyProtection="0">
      <alignment horizontal="right" vertical="center"/>
    </xf>
    <xf numFmtId="0" fontId="18" fillId="49" borderId="111" applyNumberFormat="0" applyProtection="0">
      <alignment horizontal="left" vertical="center" indent="1"/>
    </xf>
    <xf numFmtId="0" fontId="18" fillId="50" borderId="111" applyNumberFormat="0" applyProtection="0">
      <alignment horizontal="left" vertical="center" indent="1"/>
    </xf>
    <xf numFmtId="4" fontId="27" fillId="34" borderId="111" applyNumberFormat="0" applyProtection="0"/>
    <xf numFmtId="0" fontId="18" fillId="55" borderId="111" applyNumberFormat="0" applyProtection="0">
      <alignment horizontal="left" vertical="center" indent="1"/>
    </xf>
    <xf numFmtId="4" fontId="47" fillId="0" borderId="111" applyNumberFormat="0" applyProtection="0">
      <alignment horizontal="left" vertical="center" indent="1"/>
    </xf>
    <xf numFmtId="0" fontId="47" fillId="34" borderId="111" applyNumberFormat="0" applyProtection="0">
      <alignment horizontal="left" vertical="top"/>
    </xf>
    <xf numFmtId="4" fontId="47" fillId="40" borderId="111" applyNumberFormat="0" applyProtection="0">
      <alignment horizontal="right" vertical="center"/>
    </xf>
    <xf numFmtId="0" fontId="47" fillId="35" borderId="111" applyNumberFormat="0" applyProtection="0">
      <alignment horizontal="left" vertical="top" indent="1"/>
    </xf>
    <xf numFmtId="0" fontId="18" fillId="76" borderId="120" applyNumberFormat="0" applyFont="0" applyAlignment="0" applyProtection="0"/>
    <xf numFmtId="4" fontId="47" fillId="40" borderId="111" applyNumberFormat="0" applyProtection="0">
      <alignment horizontal="right" vertical="center"/>
    </xf>
    <xf numFmtId="0" fontId="18" fillId="50" borderId="111" applyNumberFormat="0" applyProtection="0">
      <alignment horizontal="left" vertical="center" indent="1"/>
    </xf>
    <xf numFmtId="0" fontId="18" fillId="76" borderId="120" applyNumberFormat="0" applyFont="0" applyAlignment="0" applyProtection="0"/>
    <xf numFmtId="0" fontId="114" fillId="79" borderId="110" applyNumberFormat="0" applyAlignment="0" applyProtection="0"/>
    <xf numFmtId="4" fontId="47" fillId="51" borderId="111" applyNumberFormat="0" applyProtection="0">
      <alignment horizontal="right" vertical="center"/>
    </xf>
    <xf numFmtId="4" fontId="27" fillId="34" borderId="112" applyNumberFormat="0" applyProtection="0">
      <alignment vertical="center"/>
    </xf>
    <xf numFmtId="0" fontId="18" fillId="55" borderId="111" applyNumberFormat="0" applyProtection="0">
      <alignment horizontal="left" vertical="center" indent="1"/>
    </xf>
    <xf numFmtId="0" fontId="102" fillId="79" borderId="122" applyNumberFormat="0" applyAlignment="0" applyProtection="0"/>
    <xf numFmtId="0" fontId="110" fillId="77" borderId="122" applyNumberFormat="0" applyAlignment="0" applyProtection="0"/>
    <xf numFmtId="0" fontId="114" fillId="79" borderId="124" applyNumberFormat="0" applyAlignment="0" applyProtection="0"/>
    <xf numFmtId="4" fontId="47" fillId="0" borderId="111" applyNumberFormat="0" applyProtection="0">
      <alignment horizontal="right" vertical="center"/>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18" fillId="34" borderId="111" applyNumberFormat="0" applyProtection="0">
      <alignment horizontal="left" vertical="center" indent="1"/>
    </xf>
    <xf numFmtId="0" fontId="18" fillId="55" borderId="111" applyNumberFormat="0" applyProtection="0">
      <alignment horizontal="left" vertical="top" indent="1"/>
    </xf>
    <xf numFmtId="0" fontId="18" fillId="76" borderId="120" applyNumberFormat="0" applyFont="0" applyAlignment="0" applyProtection="0"/>
    <xf numFmtId="0" fontId="105" fillId="0" borderId="115" applyNumberFormat="0" applyFill="0" applyAlignment="0" applyProtection="0"/>
    <xf numFmtId="0" fontId="105" fillId="0" borderId="115" applyNumberFormat="0" applyFill="0" applyAlignment="0" applyProtection="0"/>
    <xf numFmtId="0" fontId="63" fillId="59" borderId="117" applyNumberFormat="0" applyFont="0" applyFill="0" applyAlignment="0" applyProtection="0">
      <protection locked="0"/>
    </xf>
    <xf numFmtId="0" fontId="18" fillId="51" borderId="111" applyNumberFormat="0" applyProtection="0">
      <alignment horizontal="left" vertical="top" indent="1"/>
    </xf>
    <xf numFmtId="0" fontId="105" fillId="0" borderId="115" applyNumberFormat="0" applyFill="0" applyAlignment="0" applyProtection="0"/>
    <xf numFmtId="4" fontId="47" fillId="0" borderId="111" applyNumberFormat="0" applyProtection="0">
      <alignment horizontal="left" vertical="center" indent="1"/>
    </xf>
    <xf numFmtId="0" fontId="102" fillId="79" borderId="118" applyNumberFormat="0" applyAlignment="0" applyProtection="0"/>
    <xf numFmtId="0" fontId="102" fillId="79" borderId="118" applyNumberFormat="0" applyAlignment="0" applyProtection="0"/>
    <xf numFmtId="0" fontId="18" fillId="85" borderId="111" applyNumberFormat="0" applyProtection="0">
      <alignment horizontal="left" vertical="top" indent="1"/>
    </xf>
    <xf numFmtId="4" fontId="51" fillId="49" borderId="111" applyNumberFormat="0" applyProtection="0">
      <alignment horizontal="right" vertical="center"/>
    </xf>
    <xf numFmtId="0" fontId="47" fillId="34" borderId="111" applyNumberFormat="0" applyProtection="0">
      <alignment horizontal="left" vertical="top"/>
    </xf>
    <xf numFmtId="4" fontId="47" fillId="0" borderId="111" applyNumberFormat="0" applyProtection="0">
      <alignment horizontal="left" vertical="center" indent="1"/>
    </xf>
    <xf numFmtId="4" fontId="25" fillId="49" borderId="111" applyNumberFormat="0" applyProtection="0">
      <alignment horizontal="right" vertical="center"/>
    </xf>
    <xf numFmtId="0" fontId="18" fillId="84" borderId="111" applyNumberFormat="0" applyProtection="0">
      <alignment horizontal="left" vertical="top" indent="1"/>
    </xf>
    <xf numFmtId="0" fontId="114" fillId="79" borderId="110" applyNumberFormat="0" applyAlignment="0" applyProtection="0"/>
    <xf numFmtId="0" fontId="18" fillId="54" borderId="111" applyNumberFormat="0" applyProtection="0">
      <alignment horizontal="left" vertical="top" indent="1"/>
    </xf>
    <xf numFmtId="4" fontId="51" fillId="49" borderId="111" applyNumberFormat="0" applyProtection="0">
      <alignment horizontal="right" vertical="center"/>
    </xf>
    <xf numFmtId="0" fontId="105" fillId="0" borderId="115" applyNumberFormat="0" applyFill="0" applyAlignment="0" applyProtection="0"/>
    <xf numFmtId="0" fontId="114" fillId="79" borderId="110" applyNumberFormat="0" applyAlignment="0" applyProtection="0"/>
    <xf numFmtId="0" fontId="18" fillId="54" borderId="111" applyNumberFormat="0" applyProtection="0">
      <alignment horizontal="left" vertical="top" indent="1"/>
    </xf>
    <xf numFmtId="0" fontId="18" fillId="50" borderId="111" applyNumberFormat="0" applyProtection="0">
      <alignment horizontal="left" vertical="top" indent="1"/>
    </xf>
    <xf numFmtId="4" fontId="47" fillId="39" borderId="111" applyNumberFormat="0" applyProtection="0">
      <alignment horizontal="right" vertical="center"/>
    </xf>
    <xf numFmtId="0" fontId="102" fillId="79" borderId="118"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46" borderId="111" applyNumberFormat="0" applyProtection="0">
      <alignment horizontal="right" vertical="center"/>
    </xf>
    <xf numFmtId="0" fontId="114" fillId="79" borderId="110" applyNumberFormat="0" applyAlignment="0" applyProtection="0"/>
    <xf numFmtId="0" fontId="27" fillId="38" borderId="111" applyNumberFormat="0" applyProtection="0">
      <alignment horizontal="left" vertical="top" indent="1"/>
    </xf>
    <xf numFmtId="0" fontId="18" fillId="76" borderId="123" applyNumberFormat="0" applyFont="0" applyAlignment="0" applyProtection="0"/>
    <xf numFmtId="0" fontId="18" fillId="34" borderId="111" applyNumberFormat="0" applyProtection="0">
      <alignment horizontal="left" vertical="center" indent="1"/>
    </xf>
    <xf numFmtId="4" fontId="47" fillId="41" borderId="111" applyNumberFormat="0" applyProtection="0">
      <alignment horizontal="right" vertical="center"/>
    </xf>
    <xf numFmtId="0" fontId="18" fillId="50" borderId="111" applyNumberFormat="0" applyProtection="0">
      <alignment horizontal="left" vertical="center" indent="1"/>
    </xf>
    <xf numFmtId="0" fontId="102" fillId="79" borderId="118" applyNumberFormat="0" applyAlignment="0" applyProtection="0"/>
    <xf numFmtId="0" fontId="110" fillId="77" borderId="118" applyNumberFormat="0" applyAlignment="0" applyProtection="0"/>
    <xf numFmtId="4" fontId="47" fillId="45" borderId="111" applyNumberFormat="0" applyProtection="0">
      <alignment horizontal="right" vertical="center"/>
    </xf>
    <xf numFmtId="4" fontId="51" fillId="35" borderId="111" applyNumberFormat="0" applyProtection="0">
      <alignment vertical="center"/>
    </xf>
    <xf numFmtId="0" fontId="18" fillId="84" borderId="111" applyNumberFormat="0" applyProtection="0">
      <alignment horizontal="left" vertical="center" indent="1"/>
    </xf>
    <xf numFmtId="4" fontId="25" fillId="49" borderId="111" applyNumberFormat="0" applyProtection="0">
      <alignment horizontal="right" vertical="center"/>
    </xf>
    <xf numFmtId="0" fontId="114" fillId="79" borderId="110" applyNumberFormat="0" applyAlignment="0" applyProtection="0"/>
    <xf numFmtId="0" fontId="47" fillId="35" borderId="111" applyNumberFormat="0" applyProtection="0">
      <alignment horizontal="left" vertical="top" indent="1"/>
    </xf>
    <xf numFmtId="0" fontId="105" fillId="0" borderId="115" applyNumberFormat="0" applyFill="0" applyAlignment="0" applyProtection="0"/>
    <xf numFmtId="0" fontId="18" fillId="85" borderId="111" applyNumberFormat="0" applyProtection="0">
      <alignment horizontal="left" vertical="top" indent="1"/>
    </xf>
    <xf numFmtId="0" fontId="114" fillId="79" borderId="110" applyNumberFormat="0" applyAlignment="0" applyProtection="0"/>
    <xf numFmtId="4" fontId="47" fillId="47" borderId="111" applyNumberFormat="0" applyProtection="0">
      <alignment horizontal="right" vertical="center"/>
    </xf>
    <xf numFmtId="0" fontId="47" fillId="34" borderId="111" applyNumberFormat="0" applyProtection="0">
      <alignment horizontal="left" vertical="top"/>
    </xf>
    <xf numFmtId="0" fontId="18" fillId="76" borderId="120" applyNumberFormat="0" applyFont="0" applyAlignment="0" applyProtection="0"/>
    <xf numFmtId="0" fontId="18" fillId="34" borderId="111" applyNumberFormat="0" applyProtection="0">
      <alignment horizontal="left" vertical="top" indent="1"/>
    </xf>
    <xf numFmtId="0" fontId="18" fillId="49" borderId="111" applyNumberFormat="0" applyProtection="0">
      <alignment horizontal="left" vertical="top" indent="1"/>
    </xf>
    <xf numFmtId="4" fontId="27" fillId="38" borderId="111" applyNumberFormat="0" applyProtection="0">
      <alignment horizontal="left" vertical="center" indent="1"/>
    </xf>
    <xf numFmtId="4" fontId="51" fillId="35" borderId="111" applyNumberFormat="0" applyProtection="0">
      <alignment vertical="center"/>
    </xf>
    <xf numFmtId="0" fontId="114" fillId="79" borderId="110" applyNumberFormat="0" applyAlignment="0" applyProtection="0"/>
    <xf numFmtId="0" fontId="18" fillId="85" borderId="111" applyNumberFormat="0" applyProtection="0">
      <alignment horizontal="left" vertical="center" indent="1"/>
    </xf>
    <xf numFmtId="0" fontId="18" fillId="84" borderId="111" applyNumberFormat="0" applyProtection="0">
      <alignment horizontal="left" vertical="top" indent="1"/>
    </xf>
    <xf numFmtId="4" fontId="47" fillId="35" borderId="111" applyNumberFormat="0" applyProtection="0">
      <alignment vertical="center"/>
    </xf>
    <xf numFmtId="4" fontId="47" fillId="0" borderId="111" applyNumberFormat="0" applyProtection="0">
      <alignment horizontal="right" vertical="center"/>
    </xf>
    <xf numFmtId="4" fontId="47" fillId="42" borderId="111" applyNumberFormat="0" applyProtection="0">
      <alignment horizontal="right" vertical="center"/>
    </xf>
    <xf numFmtId="0" fontId="105" fillId="0" borderId="115" applyNumberFormat="0" applyFill="0" applyAlignment="0" applyProtection="0"/>
    <xf numFmtId="0" fontId="47" fillId="34" borderId="111" applyNumberFormat="0" applyProtection="0">
      <alignment horizontal="left" vertical="top"/>
    </xf>
    <xf numFmtId="0" fontId="102" fillId="79" borderId="122" applyNumberFormat="0" applyAlignment="0" applyProtection="0"/>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102" fillId="79" borderId="118" applyNumberFormat="0" applyAlignment="0" applyProtection="0"/>
    <xf numFmtId="4" fontId="47" fillId="51" borderId="111" applyNumberFormat="0" applyProtection="0">
      <alignment horizontal="left" vertical="center" indent="1"/>
    </xf>
    <xf numFmtId="4" fontId="47" fillId="42" borderId="111" applyNumberFormat="0" applyProtection="0">
      <alignment horizontal="right" vertical="center"/>
    </xf>
    <xf numFmtId="4" fontId="47" fillId="43" borderId="111" applyNumberFormat="0" applyProtection="0">
      <alignment horizontal="right" vertical="center"/>
    </xf>
    <xf numFmtId="0" fontId="65" fillId="0" borderId="42" applyNumberFormat="0" applyFont="0" applyFill="0" applyAlignment="0" applyProtection="0"/>
    <xf numFmtId="4" fontId="47" fillId="51" borderId="111" applyNumberFormat="0" applyProtection="0">
      <alignment horizontal="right" vertical="center"/>
    </xf>
    <xf numFmtId="4" fontId="47" fillId="43" borderId="111" applyNumberFormat="0" applyProtection="0">
      <alignment horizontal="right" vertical="center"/>
    </xf>
    <xf numFmtId="0" fontId="18" fillId="50" borderId="111" applyNumberFormat="0" applyProtection="0">
      <alignment horizontal="left" vertical="top" indent="1"/>
    </xf>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18" fillId="34" borderId="111" applyNumberFormat="0" applyProtection="0">
      <alignment horizontal="left" vertical="center" indent="1"/>
    </xf>
    <xf numFmtId="0" fontId="18" fillId="50" borderId="111" applyNumberFormat="0" applyProtection="0">
      <alignment horizontal="left" vertical="top" indent="1"/>
    </xf>
    <xf numFmtId="0" fontId="18" fillId="51" borderId="111" applyNumberFormat="0" applyProtection="0">
      <alignment horizontal="left" vertical="center" indent="1"/>
    </xf>
    <xf numFmtId="4" fontId="47" fillId="41" borderId="111" applyNumberFormat="0" applyProtection="0">
      <alignment horizontal="right" vertical="center"/>
    </xf>
    <xf numFmtId="4" fontId="47" fillId="51" borderId="111" applyNumberFormat="0" applyProtection="0">
      <alignment horizontal="right" vertical="center"/>
    </xf>
    <xf numFmtId="0" fontId="18" fillId="54" borderId="111" applyNumberFormat="0" applyProtection="0">
      <alignment horizontal="left" vertical="top" indent="1"/>
    </xf>
    <xf numFmtId="0" fontId="18" fillId="55" borderId="111" applyNumberFormat="0" applyProtection="0">
      <alignment horizontal="left" vertical="top" indent="1"/>
    </xf>
    <xf numFmtId="0" fontId="18" fillId="34" borderId="111" applyNumberFormat="0" applyProtection="0">
      <alignment horizontal="left" vertical="center" indent="1"/>
    </xf>
    <xf numFmtId="4" fontId="47" fillId="42" borderId="111" applyNumberFormat="0" applyProtection="0">
      <alignment horizontal="right" vertical="center"/>
    </xf>
    <xf numFmtId="0" fontId="18" fillId="55" borderId="111" applyNumberFormat="0" applyProtection="0">
      <alignment horizontal="left" vertical="top" indent="1"/>
    </xf>
    <xf numFmtId="0" fontId="18" fillId="84" borderId="111" applyNumberFormat="0" applyProtection="0">
      <alignment horizontal="left" vertical="top" indent="1"/>
    </xf>
    <xf numFmtId="4" fontId="51" fillId="35" borderId="111" applyNumberFormat="0" applyProtection="0">
      <alignment vertical="center"/>
    </xf>
    <xf numFmtId="0" fontId="18" fillId="34" borderId="111" applyNumberFormat="0" applyProtection="0">
      <alignment horizontal="left" vertical="top" indent="1"/>
    </xf>
    <xf numFmtId="4" fontId="47" fillId="45" borderId="11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40" borderId="111" applyNumberFormat="0" applyProtection="0">
      <alignment horizontal="right" vertical="center"/>
    </xf>
    <xf numFmtId="0" fontId="47" fillId="34" borderId="111" applyNumberFormat="0" applyProtection="0">
      <alignment horizontal="left" vertical="top"/>
    </xf>
    <xf numFmtId="0" fontId="114" fillId="79" borderId="124" applyNumberFormat="0" applyAlignment="0" applyProtection="0"/>
    <xf numFmtId="0" fontId="18" fillId="51" borderId="111" applyNumberFormat="0" applyProtection="0">
      <alignment horizontal="left" vertical="center" indent="1"/>
    </xf>
    <xf numFmtId="4" fontId="27" fillId="38" borderId="111" applyNumberFormat="0" applyProtection="0">
      <alignment horizontal="left" vertical="center" indent="1"/>
    </xf>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47" fillId="34" borderId="111" applyNumberFormat="0" applyProtection="0">
      <alignment horizontal="left" vertical="top"/>
    </xf>
    <xf numFmtId="0" fontId="110" fillId="77" borderId="118" applyNumberFormat="0" applyAlignment="0" applyProtection="0"/>
    <xf numFmtId="4" fontId="46" fillId="38" borderId="111" applyNumberFormat="0" applyProtection="0">
      <alignment vertical="center"/>
    </xf>
    <xf numFmtId="0" fontId="18" fillId="34" borderId="111" applyNumberFormat="0" applyProtection="0">
      <alignment horizontal="left" vertical="center" indent="1"/>
    </xf>
    <xf numFmtId="4" fontId="47" fillId="39" borderId="111" applyNumberFormat="0" applyProtection="0">
      <alignment horizontal="right" vertical="center"/>
    </xf>
    <xf numFmtId="0" fontId="18" fillId="50" borderId="111" applyNumberFormat="0" applyProtection="0">
      <alignment horizontal="left" vertical="top" indent="1"/>
    </xf>
    <xf numFmtId="0" fontId="18" fillId="76" borderId="120" applyNumberFormat="0" applyFont="0" applyAlignment="0" applyProtection="0"/>
    <xf numFmtId="4" fontId="47" fillId="51" borderId="111" applyNumberFormat="0" applyProtection="0">
      <alignment horizontal="left" vertical="center" indent="1"/>
    </xf>
    <xf numFmtId="0" fontId="18" fillId="54" borderId="111" applyNumberFormat="0" applyProtection="0">
      <alignment horizontal="left" vertical="center" indent="1"/>
    </xf>
    <xf numFmtId="0" fontId="110" fillId="77" borderId="118" applyNumberFormat="0" applyAlignment="0" applyProtection="0"/>
    <xf numFmtId="0" fontId="105" fillId="0" borderId="115" applyNumberFormat="0" applyFill="0" applyAlignment="0" applyProtection="0"/>
    <xf numFmtId="4" fontId="47" fillId="47" borderId="111" applyNumberFormat="0" applyProtection="0">
      <alignment horizontal="right" vertical="center"/>
    </xf>
    <xf numFmtId="0" fontId="18" fillId="50" borderId="111" applyNumberFormat="0" applyProtection="0">
      <alignment horizontal="left" vertical="center" indent="1"/>
    </xf>
    <xf numFmtId="0" fontId="102" fillId="79" borderId="118" applyNumberFormat="0" applyAlignment="0" applyProtection="0"/>
    <xf numFmtId="0" fontId="47" fillId="34" borderId="111" applyNumberFormat="0" applyProtection="0">
      <alignment horizontal="left" vertical="top"/>
    </xf>
    <xf numFmtId="0" fontId="18" fillId="49"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center" indent="1"/>
    </xf>
    <xf numFmtId="0" fontId="18" fillId="50" borderId="111" applyNumberFormat="0" applyProtection="0">
      <alignment horizontal="left" vertical="top" indent="1"/>
    </xf>
    <xf numFmtId="0" fontId="18" fillId="54" borderId="111" applyNumberFormat="0" applyProtection="0">
      <alignment horizontal="left" vertical="center" indent="1"/>
    </xf>
    <xf numFmtId="4" fontId="47" fillId="41" borderId="111" applyNumberFormat="0" applyProtection="0">
      <alignment horizontal="right" vertical="center"/>
    </xf>
    <xf numFmtId="0" fontId="18" fillId="49" borderId="111" applyNumberFormat="0" applyProtection="0">
      <alignment horizontal="left" vertical="top" indent="1"/>
    </xf>
    <xf numFmtId="0" fontId="18" fillId="84" borderId="111" applyNumberFormat="0" applyProtection="0">
      <alignment horizontal="left" vertical="center" indent="1"/>
    </xf>
    <xf numFmtId="0" fontId="18" fillId="76" borderId="120" applyNumberFormat="0" applyFont="0" applyAlignment="0" applyProtection="0"/>
    <xf numFmtId="0" fontId="105" fillId="0" borderId="115" applyNumberFormat="0" applyFill="0" applyAlignment="0" applyProtection="0"/>
    <xf numFmtId="4" fontId="27" fillId="38" borderId="111" applyNumberFormat="0" applyProtection="0">
      <alignment horizontal="left" vertical="center" indent="1"/>
    </xf>
    <xf numFmtId="0" fontId="18" fillId="84" borderId="111" applyNumberFormat="0" applyProtection="0">
      <alignment horizontal="left" vertical="top" indent="1"/>
    </xf>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0" fontId="18" fillId="76" borderId="123" applyNumberFormat="0" applyFont="0" applyAlignment="0" applyProtection="0"/>
    <xf numFmtId="0" fontId="18" fillId="55" borderId="111" applyNumberFormat="0" applyProtection="0">
      <alignment horizontal="left" vertical="top" indent="1"/>
    </xf>
    <xf numFmtId="0" fontId="18" fillId="51"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4" fontId="51" fillId="35" borderId="111" applyNumberFormat="0" applyProtection="0">
      <alignment vertical="center"/>
    </xf>
    <xf numFmtId="4" fontId="47" fillId="0" borderId="111" applyNumberFormat="0" applyProtection="0">
      <alignment horizontal="left" vertical="center" indent="1"/>
    </xf>
    <xf numFmtId="0" fontId="18" fillId="76" borderId="120" applyNumberFormat="0" applyFont="0" applyAlignment="0" applyProtection="0"/>
    <xf numFmtId="0" fontId="47" fillId="34" borderId="111" applyNumberFormat="0" applyProtection="0">
      <alignment horizontal="left" vertical="top"/>
    </xf>
    <xf numFmtId="0" fontId="105" fillId="0" borderId="115" applyNumberFormat="0" applyFill="0" applyAlignment="0" applyProtection="0"/>
    <xf numFmtId="0" fontId="18" fillId="49" borderId="111" applyNumberFormat="0" applyProtection="0">
      <alignment horizontal="left" vertical="center" indent="1"/>
    </xf>
    <xf numFmtId="4" fontId="46" fillId="38" borderId="111" applyNumberFormat="0" applyProtection="0">
      <alignment vertical="center"/>
    </xf>
    <xf numFmtId="0" fontId="110" fillId="77" borderId="118" applyNumberFormat="0" applyAlignment="0" applyProtection="0"/>
    <xf numFmtId="0" fontId="102" fillId="79" borderId="118" applyNumberFormat="0" applyAlignment="0" applyProtection="0"/>
    <xf numFmtId="0" fontId="105" fillId="0" borderId="115" applyNumberFormat="0" applyFill="0" applyAlignment="0" applyProtection="0"/>
    <xf numFmtId="0" fontId="26" fillId="0" borderId="27">
      <alignment horizontal="left" vertical="center"/>
    </xf>
    <xf numFmtId="0" fontId="26" fillId="0" borderId="119">
      <alignment horizontal="left" vertical="center"/>
    </xf>
    <xf numFmtId="0" fontId="110" fillId="77" borderId="118" applyNumberFormat="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0" fontId="114" fillId="79" borderId="110" applyNumberFormat="0" applyAlignment="0" applyProtection="0"/>
    <xf numFmtId="0" fontId="18" fillId="49" borderId="111" applyNumberFormat="0" applyProtection="0">
      <alignment horizontal="left" vertical="center" indent="1"/>
    </xf>
    <xf numFmtId="0" fontId="102" fillId="79" borderId="118" applyNumberFormat="0" applyAlignment="0" applyProtection="0"/>
    <xf numFmtId="0" fontId="114" fillId="79" borderId="124" applyNumberFormat="0" applyAlignment="0" applyProtection="0"/>
    <xf numFmtId="0" fontId="114" fillId="79" borderId="124" applyNumberFormat="0" applyAlignment="0" applyProtection="0"/>
    <xf numFmtId="4" fontId="27" fillId="34" borderId="111" applyNumberFormat="0" applyProtection="0"/>
    <xf numFmtId="0" fontId="105" fillId="0" borderId="115" applyNumberFormat="0" applyFill="0" applyAlignment="0" applyProtection="0"/>
    <xf numFmtId="0" fontId="47" fillId="35"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4" fontId="47" fillId="51" borderId="111" applyNumberFormat="0" applyProtection="0">
      <alignment horizontal="right" vertical="center"/>
    </xf>
    <xf numFmtId="0" fontId="18" fillId="76" borderId="120" applyNumberFormat="0" applyFont="0" applyAlignment="0" applyProtection="0"/>
    <xf numFmtId="0" fontId="18" fillId="34" borderId="111" applyNumberFormat="0" applyProtection="0">
      <alignment horizontal="left" vertical="top" indent="1"/>
    </xf>
    <xf numFmtId="0" fontId="18" fillId="34" borderId="111" applyNumberFormat="0" applyProtection="0">
      <alignment horizontal="left" vertical="top" indent="1"/>
    </xf>
    <xf numFmtId="0" fontId="114" fillId="79" borderId="110" applyNumberFormat="0" applyAlignment="0" applyProtection="0"/>
    <xf numFmtId="0" fontId="110" fillId="77" borderId="118" applyNumberFormat="0" applyAlignment="0" applyProtection="0"/>
    <xf numFmtId="0" fontId="114" fillId="79" borderId="110" applyNumberFormat="0" applyAlignment="0" applyProtection="0"/>
    <xf numFmtId="0" fontId="18" fillId="34" borderId="111" applyNumberFormat="0" applyProtection="0">
      <alignment horizontal="left" vertical="top" indent="1"/>
    </xf>
    <xf numFmtId="0" fontId="114" fillId="79" borderId="110" applyNumberFormat="0" applyAlignment="0" applyProtection="0"/>
    <xf numFmtId="0" fontId="18" fillId="34" borderId="111" applyNumberFormat="0" applyProtection="0">
      <alignment horizontal="left" vertical="top" indent="1"/>
    </xf>
    <xf numFmtId="4" fontId="47" fillId="0" borderId="111" applyNumberFormat="0" applyProtection="0">
      <alignment horizontal="left" vertical="center" indent="1"/>
    </xf>
    <xf numFmtId="0" fontId="18" fillId="84" borderId="111" applyNumberFormat="0" applyProtection="0">
      <alignment horizontal="left" vertical="center" indent="1"/>
    </xf>
    <xf numFmtId="4" fontId="27" fillId="38" borderId="111" applyNumberFormat="0" applyProtection="0">
      <alignment horizontal="left" vertical="center" indent="1"/>
    </xf>
    <xf numFmtId="0" fontId="18" fillId="84" borderId="111" applyNumberFormat="0" applyProtection="0">
      <alignment horizontal="left" vertical="top" indent="1"/>
    </xf>
    <xf numFmtId="0" fontId="47" fillId="34" borderId="111" applyNumberFormat="0" applyProtection="0">
      <alignment horizontal="center" vertical="top"/>
    </xf>
    <xf numFmtId="0" fontId="110" fillId="77" borderId="118" applyNumberFormat="0" applyAlignment="0" applyProtection="0"/>
    <xf numFmtId="4" fontId="51" fillId="49" borderId="111" applyNumberFormat="0" applyProtection="0">
      <alignment horizontal="right" vertical="center"/>
    </xf>
    <xf numFmtId="0" fontId="114" fillId="79" borderId="110" applyNumberFormat="0" applyAlignment="0" applyProtection="0"/>
    <xf numFmtId="0" fontId="18" fillId="85" borderId="111" applyNumberFormat="0" applyProtection="0">
      <alignment horizontal="left" vertical="center" indent="1"/>
    </xf>
    <xf numFmtId="0" fontId="18" fillId="55" borderId="111" applyNumberFormat="0" applyProtection="0">
      <alignment horizontal="left" vertical="top"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top" indent="1"/>
    </xf>
    <xf numFmtId="0" fontId="18" fillId="50" borderId="111" applyNumberFormat="0" applyProtection="0">
      <alignment horizontal="left" vertical="center" indent="1"/>
    </xf>
    <xf numFmtId="4" fontId="27" fillId="37" borderId="111" applyNumberFormat="0" applyProtection="0">
      <alignment vertical="center"/>
    </xf>
    <xf numFmtId="0" fontId="18" fillId="51" borderId="111" applyNumberFormat="0" applyProtection="0">
      <alignment horizontal="left" vertical="center" indent="1"/>
    </xf>
    <xf numFmtId="0" fontId="18" fillId="84" borderId="111" applyNumberFormat="0" applyProtection="0">
      <alignment horizontal="left" vertical="center" indent="1"/>
    </xf>
    <xf numFmtId="4" fontId="27" fillId="37" borderId="111" applyNumberFormat="0" applyProtection="0">
      <alignment vertical="center"/>
    </xf>
    <xf numFmtId="0" fontId="18" fillId="54" borderId="111" applyNumberFormat="0" applyProtection="0">
      <alignment horizontal="left" vertical="center" indent="1"/>
    </xf>
    <xf numFmtId="0" fontId="110" fillId="77" borderId="118" applyNumberFormat="0" applyAlignment="0" applyProtection="0"/>
    <xf numFmtId="0" fontId="18" fillId="84" borderId="111" applyNumberFormat="0" applyProtection="0">
      <alignment horizontal="left" vertical="center" indent="1"/>
    </xf>
    <xf numFmtId="0" fontId="18" fillId="85" borderId="111" applyNumberFormat="0" applyProtection="0">
      <alignment horizontal="left" vertical="top" indent="1"/>
    </xf>
    <xf numFmtId="0" fontId="18" fillId="55" borderId="111" applyNumberFormat="0" applyProtection="0">
      <alignment horizontal="left" vertical="center" indent="1"/>
    </xf>
    <xf numFmtId="0" fontId="18" fillId="54" borderId="111" applyNumberFormat="0" applyProtection="0">
      <alignment horizontal="left" vertical="top"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5" borderId="111" applyNumberFormat="0" applyProtection="0">
      <alignment horizontal="left" vertical="center" indent="1"/>
    </xf>
    <xf numFmtId="0" fontId="18" fillId="50" borderId="111" applyNumberFormat="0" applyProtection="0">
      <alignment horizontal="left" vertical="center" indent="1"/>
    </xf>
    <xf numFmtId="4" fontId="51" fillId="49" borderId="111" applyNumberFormat="0" applyProtection="0">
      <alignment horizontal="right" vertical="center"/>
    </xf>
    <xf numFmtId="4" fontId="47" fillId="0" borderId="111" applyNumberFormat="0" applyProtection="0">
      <alignment horizontal="right" vertical="center"/>
    </xf>
    <xf numFmtId="4" fontId="47" fillId="59" borderId="111" applyNumberFormat="0" applyProtection="0">
      <alignment horizontal="left" vertical="center" indent="1"/>
    </xf>
    <xf numFmtId="0" fontId="18" fillId="84" borderId="111" applyNumberFormat="0" applyProtection="0">
      <alignment horizontal="left" vertical="top" indent="1"/>
    </xf>
    <xf numFmtId="0" fontId="18" fillId="51" borderId="111" applyNumberFormat="0" applyProtection="0">
      <alignment horizontal="left" vertical="top" indent="1"/>
    </xf>
    <xf numFmtId="0" fontId="63" fillId="59" borderId="117" applyNumberFormat="0" applyFont="0" applyFill="0" applyAlignment="0" applyProtection="0">
      <protection locked="0"/>
    </xf>
    <xf numFmtId="0" fontId="47" fillId="34" borderId="111" applyNumberFormat="0" applyProtection="0">
      <alignment horizontal="center" vertical="top"/>
    </xf>
    <xf numFmtId="0" fontId="114" fillId="79" borderId="110" applyNumberFormat="0" applyAlignment="0" applyProtection="0"/>
    <xf numFmtId="0" fontId="18" fillId="84" borderId="111" applyNumberFormat="0" applyProtection="0">
      <alignment horizontal="left" vertical="center" indent="1"/>
    </xf>
    <xf numFmtId="0" fontId="18" fillId="76" borderId="120" applyNumberFormat="0" applyFont="0" applyAlignment="0" applyProtection="0"/>
    <xf numFmtId="0" fontId="102" fillId="79" borderId="118" applyNumberFormat="0" applyAlignment="0" applyProtection="0"/>
    <xf numFmtId="4" fontId="47" fillId="45" borderId="111" applyNumberFormat="0" applyProtection="0">
      <alignment horizontal="right" vertical="center"/>
    </xf>
    <xf numFmtId="0" fontId="18" fillId="54" borderId="111" applyNumberFormat="0" applyProtection="0">
      <alignment horizontal="left" vertical="center" indent="1"/>
    </xf>
    <xf numFmtId="0" fontId="24" fillId="59" borderId="117" applyNumberFormat="0" applyFont="0" applyAlignment="0" applyProtection="0">
      <protection locked="0"/>
    </xf>
    <xf numFmtId="0" fontId="110" fillId="77" borderId="118" applyNumberFormat="0" applyAlignment="0" applyProtection="0"/>
    <xf numFmtId="0" fontId="18" fillId="51" borderId="111" applyNumberFormat="0" applyProtection="0">
      <alignment horizontal="left" vertical="top" indent="1"/>
    </xf>
    <xf numFmtId="0" fontId="63" fillId="59" borderId="126" applyNumberFormat="0" applyFont="0" applyFill="0" applyAlignment="0" applyProtection="0">
      <protection locked="0"/>
    </xf>
    <xf numFmtId="0" fontId="18" fillId="55" borderId="111" applyNumberFormat="0" applyProtection="0">
      <alignment horizontal="left" vertical="center" indent="1"/>
    </xf>
    <xf numFmtId="4" fontId="47" fillId="35" borderId="111" applyNumberFormat="0" applyProtection="0">
      <alignment horizontal="left" vertical="center" indent="1"/>
    </xf>
    <xf numFmtId="0" fontId="105" fillId="0" borderId="115" applyNumberFormat="0" applyFill="0" applyAlignment="0" applyProtection="0"/>
    <xf numFmtId="0" fontId="18" fillId="0" borderId="108"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4" fontId="47" fillId="47" borderId="111" applyNumberFormat="0" applyProtection="0">
      <alignment horizontal="right" vertical="center"/>
    </xf>
    <xf numFmtId="0" fontId="18" fillId="49" borderId="111" applyNumberFormat="0" applyProtection="0">
      <alignment horizontal="left" vertical="top" indent="1"/>
    </xf>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4" fontId="47" fillId="44" borderId="111" applyNumberFormat="0" applyProtection="0">
      <alignment horizontal="right" vertical="center"/>
    </xf>
    <xf numFmtId="0" fontId="102" fillId="79" borderId="118" applyNumberFormat="0" applyAlignment="0" applyProtection="0"/>
    <xf numFmtId="0" fontId="18" fillId="54" borderId="111" applyNumberFormat="0" applyProtection="0">
      <alignment horizontal="left" vertical="top" indent="1"/>
    </xf>
    <xf numFmtId="0" fontId="18" fillId="51" borderId="111" applyNumberFormat="0" applyProtection="0">
      <alignment horizontal="left" vertical="center" indent="1"/>
    </xf>
    <xf numFmtId="0" fontId="18" fillId="49" borderId="111" applyNumberFormat="0" applyProtection="0">
      <alignment horizontal="left" vertical="top" indent="1"/>
    </xf>
    <xf numFmtId="0" fontId="114" fillId="79" borderId="110" applyNumberFormat="0" applyAlignment="0" applyProtection="0"/>
    <xf numFmtId="0" fontId="18" fillId="51" borderId="111" applyNumberFormat="0" applyProtection="0">
      <alignment horizontal="left" vertical="top" indent="1"/>
    </xf>
    <xf numFmtId="0" fontId="114" fillId="79" borderId="110"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50" borderId="111" applyNumberFormat="0" applyProtection="0">
      <alignment horizontal="left" vertical="top" indent="1"/>
    </xf>
    <xf numFmtId="0" fontId="102" fillId="79" borderId="122"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10" fillId="77" borderId="122" applyNumberFormat="0" applyAlignment="0" applyProtection="0"/>
    <xf numFmtId="0" fontId="18" fillId="50" borderId="111" applyNumberFormat="0" applyProtection="0">
      <alignment horizontal="left" vertical="center" indent="1"/>
    </xf>
    <xf numFmtId="0" fontId="18" fillId="85" borderId="111" applyNumberFormat="0" applyProtection="0">
      <alignment horizontal="left" vertical="center" indent="1"/>
    </xf>
    <xf numFmtId="4" fontId="47" fillId="40" borderId="111" applyNumberFormat="0" applyProtection="0">
      <alignment horizontal="right" vertical="center"/>
    </xf>
    <xf numFmtId="0" fontId="102" fillId="79" borderId="118" applyNumberFormat="0" applyAlignment="0" applyProtection="0"/>
    <xf numFmtId="0" fontId="110" fillId="77" borderId="118" applyNumberFormat="0" applyAlignment="0" applyProtection="0"/>
    <xf numFmtId="4" fontId="27" fillId="38" borderId="111" applyNumberFormat="0" applyProtection="0">
      <alignment horizontal="left" vertical="center" indent="1"/>
    </xf>
    <xf numFmtId="0" fontId="18" fillId="49" borderId="111" applyNumberFormat="0" applyProtection="0">
      <alignment horizontal="left" vertical="top" indent="1"/>
    </xf>
    <xf numFmtId="4" fontId="27" fillId="34" borderId="111" applyNumberForma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4" fontId="27" fillId="34" borderId="111" applyNumberFormat="0" applyProtection="0"/>
    <xf numFmtId="4" fontId="47" fillId="43" borderId="11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4" fontId="47" fillId="46" borderId="111" applyNumberFormat="0" applyProtection="0">
      <alignment horizontal="right" vertical="center"/>
    </xf>
    <xf numFmtId="4" fontId="51" fillId="49" borderId="111" applyNumberFormat="0" applyProtection="0">
      <alignment horizontal="right" vertical="center"/>
    </xf>
    <xf numFmtId="0" fontId="105" fillId="0" borderId="115" applyNumberFormat="0" applyFill="0" applyAlignment="0" applyProtection="0"/>
    <xf numFmtId="0" fontId="114" fillId="79" borderId="110" applyNumberFormat="0" applyAlignment="0" applyProtection="0"/>
    <xf numFmtId="4" fontId="47" fillId="0" borderId="111" applyNumberFormat="0" applyProtection="0">
      <alignment horizontal="right" vertical="center"/>
    </xf>
    <xf numFmtId="4" fontId="25" fillId="49" borderId="111" applyNumberFormat="0" applyProtection="0">
      <alignment horizontal="right" vertical="center"/>
    </xf>
    <xf numFmtId="0" fontId="102" fillId="79" borderId="118" applyNumberFormat="0" applyAlignment="0" applyProtection="0"/>
    <xf numFmtId="0" fontId="24" fillId="59" borderId="126" applyNumberFormat="0" applyFont="0" applyAlignment="0" applyProtection="0">
      <protection locked="0"/>
    </xf>
    <xf numFmtId="0" fontId="24" fillId="59" borderId="126" applyNumberFormat="0" applyFont="0" applyAlignment="0" applyProtection="0">
      <protection locked="0"/>
    </xf>
    <xf numFmtId="4" fontId="47" fillId="41" borderId="111" applyNumberFormat="0" applyProtection="0">
      <alignment horizontal="right" vertical="center"/>
    </xf>
    <xf numFmtId="0" fontId="26" fillId="0" borderId="27">
      <alignment horizontal="left" vertical="center"/>
    </xf>
    <xf numFmtId="0" fontId="102" fillId="79" borderId="118" applyNumberFormat="0" applyAlignment="0" applyProtection="0"/>
    <xf numFmtId="0" fontId="102" fillId="79" borderId="118" applyNumberFormat="0" applyAlignment="0" applyProtection="0"/>
    <xf numFmtId="0" fontId="18" fillId="54" borderId="111" applyNumberFormat="0" applyProtection="0">
      <alignment horizontal="left" vertical="top" indent="1"/>
    </xf>
    <xf numFmtId="0" fontId="24" fillId="59" borderId="117" applyNumberFormat="0" applyFont="0" applyAlignment="0" applyProtection="0">
      <protection locked="0"/>
    </xf>
    <xf numFmtId="0" fontId="102" fillId="79" borderId="118" applyNumberFormat="0" applyAlignment="0" applyProtection="0"/>
    <xf numFmtId="0" fontId="110" fillId="77" borderId="118"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8" fillId="54" borderId="111" applyNumberFormat="0" applyProtection="0">
      <alignment horizontal="left" vertical="top" indent="1"/>
    </xf>
    <xf numFmtId="0" fontId="18" fillId="49" borderId="111" applyNumberFormat="0" applyProtection="0">
      <alignment horizontal="left" vertical="top" indent="1"/>
    </xf>
    <xf numFmtId="0" fontId="18" fillId="54"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85" borderId="111" applyNumberFormat="0" applyProtection="0">
      <alignment horizontal="left" vertical="top" indent="1"/>
    </xf>
    <xf numFmtId="0" fontId="18" fillId="51" borderId="111" applyNumberFormat="0" applyProtection="0">
      <alignment horizontal="left" vertical="center" indent="1"/>
    </xf>
    <xf numFmtId="0" fontId="47" fillId="35" borderId="111" applyNumberFormat="0" applyProtection="0">
      <alignment horizontal="left" vertical="top" indent="1"/>
    </xf>
    <xf numFmtId="0" fontId="18" fillId="51" borderId="111" applyNumberFormat="0" applyProtection="0">
      <alignment horizontal="left" vertical="center" indent="1"/>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10" fillId="77" borderId="118" applyNumberFormat="0" applyAlignment="0" applyProtection="0"/>
    <xf numFmtId="0" fontId="114" fillId="79" borderId="110" applyNumberFormat="0" applyAlignment="0" applyProtection="0"/>
    <xf numFmtId="4" fontId="47" fillId="51" borderId="111" applyNumberFormat="0" applyProtection="0">
      <alignment horizontal="right" vertical="center"/>
    </xf>
    <xf numFmtId="4" fontId="47" fillId="42" borderId="111" applyNumberFormat="0" applyProtection="0">
      <alignment horizontal="right" vertical="center"/>
    </xf>
    <xf numFmtId="0" fontId="26" fillId="0" borderId="27">
      <alignment horizontal="left" vertical="center"/>
    </xf>
    <xf numFmtId="4" fontId="27" fillId="34" borderId="29" applyNumberFormat="0" applyProtection="0">
      <alignment vertical="center"/>
    </xf>
    <xf numFmtId="4" fontId="47" fillId="0" borderId="121" applyNumberFormat="0" applyProtection="0">
      <alignment horizontal="right" vertical="center"/>
    </xf>
    <xf numFmtId="0" fontId="18" fillId="51" borderId="121" applyNumberFormat="0" applyProtection="0">
      <alignment horizontal="left" vertical="center" indent="1"/>
    </xf>
    <xf numFmtId="4" fontId="27" fillId="37" borderId="121" applyNumberFormat="0" applyProtection="0">
      <alignmen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4" fontId="47" fillId="42" borderId="121" applyNumberFormat="0" applyProtection="0">
      <alignment horizontal="right" vertical="center"/>
    </xf>
    <xf numFmtId="0" fontId="18" fillId="51" borderId="121" applyNumberFormat="0" applyProtection="0">
      <alignment horizontal="left" vertical="top" indent="1"/>
    </xf>
    <xf numFmtId="4" fontId="25" fillId="49" borderId="121" applyNumberFormat="0" applyProtection="0">
      <alignment horizontal="right" vertical="center"/>
    </xf>
    <xf numFmtId="0" fontId="114" fillId="79" borderId="124" applyNumberFormat="0" applyAlignment="0" applyProtection="0"/>
    <xf numFmtId="0" fontId="47" fillId="35" borderId="121" applyNumberFormat="0" applyProtection="0">
      <alignment horizontal="left" vertical="top" indent="1"/>
    </xf>
    <xf numFmtId="0" fontId="18" fillId="34" borderId="121" applyNumberFormat="0" applyProtection="0">
      <alignment horizontal="left" vertical="center" indent="1"/>
    </xf>
    <xf numFmtId="0" fontId="102" fillId="79" borderId="122" applyNumberFormat="0" applyAlignment="0" applyProtection="0"/>
    <xf numFmtId="4" fontId="47" fillId="43" borderId="121" applyNumberFormat="0" applyProtection="0">
      <alignment horizontal="right" vertical="center"/>
    </xf>
    <xf numFmtId="0" fontId="18" fillId="54" borderId="121" applyNumberFormat="0" applyProtection="0">
      <alignment horizontal="left" vertical="center" indent="1"/>
    </xf>
    <xf numFmtId="0" fontId="114" fillId="79" borderId="124" applyNumberFormat="0" applyAlignment="0" applyProtection="0"/>
    <xf numFmtId="4" fontId="25" fillId="49" borderId="121" applyNumberFormat="0" applyProtection="0">
      <alignment horizontal="right" vertical="center"/>
    </xf>
    <xf numFmtId="0" fontId="18" fillId="51" borderId="121" applyNumberFormat="0" applyProtection="0">
      <alignment horizontal="left" vertical="top" indent="1"/>
    </xf>
    <xf numFmtId="4" fontId="47" fillId="39" borderId="121" applyNumberFormat="0" applyProtection="0">
      <alignment horizontal="right" vertical="center"/>
    </xf>
    <xf numFmtId="0" fontId="18" fillId="76" borderId="123" applyNumberFormat="0" applyFont="0" applyAlignment="0" applyProtection="0"/>
    <xf numFmtId="0" fontId="105" fillId="0" borderId="125" applyNumberFormat="0" applyFill="0" applyAlignment="0" applyProtection="0"/>
    <xf numFmtId="0" fontId="27" fillId="38" borderId="121" applyNumberFormat="0" applyProtection="0">
      <alignment horizontal="left" vertical="top" indent="1"/>
    </xf>
    <xf numFmtId="0" fontId="18" fillId="51" borderId="121" applyNumberFormat="0" applyProtection="0">
      <alignment horizontal="left" vertical="center" indent="1"/>
    </xf>
    <xf numFmtId="4" fontId="47" fillId="0" borderId="121" applyNumberFormat="0" applyProtection="0">
      <alignment horizontal="righ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center" indent="1"/>
    </xf>
    <xf numFmtId="4" fontId="47" fillId="51" borderId="12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8" fillId="49" borderId="121" applyNumberFormat="0" applyProtection="0">
      <alignment horizontal="left" vertical="center" indent="1"/>
    </xf>
    <xf numFmtId="0" fontId="105" fillId="0" borderId="125" applyNumberFormat="0" applyFill="0" applyAlignment="0" applyProtection="0"/>
    <xf numFmtId="0" fontId="18" fillId="85" borderId="121" applyNumberFormat="0" applyProtection="0">
      <alignment horizontal="left" vertical="center" indent="1"/>
    </xf>
    <xf numFmtId="4" fontId="47" fillId="41" borderId="121" applyNumberFormat="0" applyProtection="0">
      <alignment horizontal="right" vertical="center"/>
    </xf>
    <xf numFmtId="0" fontId="18" fillId="76" borderId="123" applyNumberFormat="0" applyFont="0" applyAlignment="0" applyProtection="0"/>
    <xf numFmtId="4" fontId="46" fillId="38" borderId="121" applyNumberFormat="0" applyProtection="0">
      <alignment vertical="center"/>
    </xf>
    <xf numFmtId="0" fontId="18" fillId="84" borderId="121" applyNumberFormat="0" applyProtection="0">
      <alignment horizontal="left" vertical="top" indent="1"/>
    </xf>
    <xf numFmtId="4" fontId="47" fillId="35" borderId="121" applyNumberFormat="0" applyProtection="0">
      <alignment horizontal="left" vertical="center" indent="1"/>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51"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24" fillId="59" borderId="126" applyNumberFormat="0" applyFont="0" applyAlignment="0" applyProtection="0">
      <protection locked="0"/>
    </xf>
    <xf numFmtId="4" fontId="47" fillId="43" borderId="121" applyNumberFormat="0" applyProtection="0">
      <alignment horizontal="right" vertical="center"/>
    </xf>
    <xf numFmtId="0" fontId="18" fillId="54" borderId="121" applyNumberFormat="0" applyProtection="0">
      <alignment horizontal="left" vertical="top" indent="1"/>
    </xf>
    <xf numFmtId="0" fontId="18" fillId="76" borderId="123" applyNumberFormat="0" applyFont="0" applyAlignment="0" applyProtection="0"/>
    <xf numFmtId="0" fontId="105" fillId="0" borderId="125" applyNumberFormat="0" applyFill="0" applyAlignment="0" applyProtection="0"/>
    <xf numFmtId="0" fontId="18" fillId="50" borderId="121" applyNumberFormat="0" applyProtection="0">
      <alignment horizontal="left" vertical="top" indent="1"/>
    </xf>
    <xf numFmtId="4" fontId="47"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4" fontId="47" fillId="35" borderId="121" applyNumberFormat="0" applyProtection="0">
      <alignment vertical="center"/>
    </xf>
    <xf numFmtId="0" fontId="18" fillId="50"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6" borderId="121" applyNumberFormat="0" applyProtection="0">
      <alignment horizontal="right" vertical="center"/>
    </xf>
    <xf numFmtId="0" fontId="18" fillId="54" borderId="121" applyNumberFormat="0" applyProtection="0">
      <alignment horizontal="left" vertical="top" indent="1"/>
    </xf>
    <xf numFmtId="0" fontId="105" fillId="0" borderId="125" applyNumberFormat="0" applyFill="0" applyAlignment="0" applyProtection="0"/>
    <xf numFmtId="0" fontId="63" fillId="59" borderId="126" applyNumberFormat="0" applyFont="0" applyFill="0" applyAlignment="0" applyProtection="0">
      <protection locked="0"/>
    </xf>
    <xf numFmtId="0" fontId="105" fillId="0" borderId="125" applyNumberFormat="0" applyFill="0" applyAlignment="0" applyProtection="0"/>
    <xf numFmtId="0" fontId="18" fillId="85" borderId="121" applyNumberFormat="0" applyProtection="0">
      <alignment horizontal="left" vertical="top" indent="1"/>
    </xf>
    <xf numFmtId="4" fontId="47" fillId="45" borderId="121" applyNumberFormat="0" applyProtection="0">
      <alignment horizontal="right" vertical="center"/>
    </xf>
    <xf numFmtId="0" fontId="110" fillId="77" borderId="122" applyNumberFormat="0" applyAlignment="0" applyProtection="0"/>
    <xf numFmtId="0" fontId="18" fillId="84" borderId="121" applyNumberFormat="0" applyProtection="0">
      <alignment horizontal="left" vertical="center" indent="1"/>
    </xf>
    <xf numFmtId="0" fontId="18" fillId="49" borderId="121" applyNumberFormat="0" applyProtection="0">
      <alignment horizontal="left" vertical="top" indent="1"/>
    </xf>
    <xf numFmtId="4" fontId="47" fillId="35" borderId="121" applyNumberFormat="0" applyProtection="0">
      <alignment horizontal="left" vertical="center" indent="1"/>
    </xf>
    <xf numFmtId="0" fontId="18" fillId="84" borderId="121" applyNumberFormat="0" applyProtection="0">
      <alignment horizontal="left" vertical="top" indent="1"/>
    </xf>
    <xf numFmtId="0" fontId="102" fillId="79" borderId="122" applyNumberFormat="0" applyAlignment="0" applyProtection="0"/>
    <xf numFmtId="4" fontId="47" fillId="44" borderId="121" applyNumberFormat="0" applyProtection="0">
      <alignment horizontal="right" vertical="center"/>
    </xf>
    <xf numFmtId="0" fontId="18" fillId="85" borderId="121" applyNumberFormat="0" applyProtection="0">
      <alignment horizontal="left" vertical="center" indent="1"/>
    </xf>
    <xf numFmtId="0" fontId="114" fillId="79" borderId="124" applyNumberFormat="0" applyAlignment="0" applyProtection="0"/>
    <xf numFmtId="4" fontId="51" fillId="49" borderId="121" applyNumberFormat="0" applyProtection="0">
      <alignment horizontal="right" vertical="center"/>
    </xf>
    <xf numFmtId="0" fontId="18" fillId="51" borderId="121" applyNumberFormat="0" applyProtection="0">
      <alignment horizontal="left" vertical="center" indent="1"/>
    </xf>
    <xf numFmtId="4" fontId="46" fillId="38" borderId="121" applyNumberFormat="0" applyProtection="0">
      <alignment vertical="center"/>
    </xf>
    <xf numFmtId="0" fontId="110" fillId="77" borderId="122" applyNumberFormat="0" applyAlignment="0" applyProtection="0"/>
    <xf numFmtId="0" fontId="102" fillId="79" borderId="122" applyNumberFormat="0" applyAlignment="0" applyProtection="0"/>
    <xf numFmtId="4" fontId="47" fillId="41" borderId="121" applyNumberFormat="0" applyProtection="0">
      <alignment horizontal="right" vertical="center"/>
    </xf>
    <xf numFmtId="0" fontId="18" fillId="51" borderId="121" applyNumberFormat="0" applyProtection="0">
      <alignment horizontal="left" vertical="top" indent="1"/>
    </xf>
    <xf numFmtId="0" fontId="47" fillId="34" borderId="121" applyNumberFormat="0" applyProtection="0">
      <alignment horizontal="left" vertical="top"/>
    </xf>
    <xf numFmtId="0" fontId="114" fillId="79" borderId="124" applyNumberFormat="0" applyAlignment="0" applyProtection="0"/>
    <xf numFmtId="0" fontId="26" fillId="0" borderId="27">
      <alignment horizontal="left" vertical="center"/>
    </xf>
    <xf numFmtId="4" fontId="27" fillId="34" borderId="29" applyNumberFormat="0" applyProtection="0">
      <alignment vertical="center"/>
    </xf>
    <xf numFmtId="0" fontId="26" fillId="0" borderId="27">
      <alignment horizontal="left" vertical="center"/>
    </xf>
    <xf numFmtId="4" fontId="27" fillId="34" borderId="29" applyNumberFormat="0" applyProtection="0">
      <alignment vertical="center"/>
    </xf>
    <xf numFmtId="4" fontId="27" fillId="34" borderId="29" applyNumberFormat="0" applyProtection="0">
      <alignment vertical="center"/>
    </xf>
    <xf numFmtId="4" fontId="47" fillId="0" borderId="121" applyNumberFormat="0" applyProtection="0">
      <alignment horizontal="left" vertical="center" indent="1"/>
    </xf>
    <xf numFmtId="0" fontId="18" fillId="34" borderId="121" applyNumberFormat="0" applyProtection="0">
      <alignment horizontal="left" vertical="top" indent="1"/>
    </xf>
    <xf numFmtId="4" fontId="27" fillId="38" borderId="121" applyNumberFormat="0" applyProtection="0">
      <alignment horizontal="left" vertical="center" indent="1"/>
    </xf>
    <xf numFmtId="0" fontId="110" fillId="77" borderId="122" applyNumberFormat="0" applyAlignment="0" applyProtection="0"/>
    <xf numFmtId="4" fontId="47" fillId="40" borderId="121" applyNumberFormat="0" applyProtection="0">
      <alignment horizontal="right" vertical="center"/>
    </xf>
    <xf numFmtId="0" fontId="18" fillId="34" borderId="121" applyNumberFormat="0" applyProtection="0">
      <alignment horizontal="left" vertical="top" indent="1"/>
    </xf>
    <xf numFmtId="4" fontId="47" fillId="0" borderId="121" applyNumberFormat="0" applyProtection="0">
      <alignment horizontal="left" vertical="center" indent="1"/>
    </xf>
    <xf numFmtId="0" fontId="114" fillId="79" borderId="124" applyNumberFormat="0" applyAlignment="0" applyProtection="0"/>
    <xf numFmtId="0" fontId="105" fillId="0" borderId="125" applyNumberFormat="0" applyFill="0" applyAlignment="0" applyProtection="0"/>
    <xf numFmtId="0" fontId="18" fillId="55" borderId="121" applyNumberFormat="0" applyProtection="0">
      <alignment horizontal="left" vertical="center" indent="1"/>
    </xf>
    <xf numFmtId="4" fontId="47" fillId="46" borderId="121" applyNumberFormat="0" applyProtection="0">
      <alignment horizontal="right" vertical="center"/>
    </xf>
    <xf numFmtId="0" fontId="110" fillId="77" borderId="122" applyNumberFormat="0" applyAlignment="0" applyProtection="0"/>
    <xf numFmtId="0" fontId="18" fillId="50" borderId="121" applyNumberFormat="0" applyProtection="0">
      <alignment horizontal="left" vertical="center" indent="1"/>
    </xf>
    <xf numFmtId="0" fontId="18" fillId="55" borderId="121" applyNumberFormat="0" applyProtection="0">
      <alignment horizontal="left" vertical="top" indent="1"/>
    </xf>
    <xf numFmtId="0" fontId="47" fillId="34" borderId="121" applyNumberFormat="0" applyProtection="0">
      <alignment horizontal="left" vertical="top"/>
    </xf>
    <xf numFmtId="0" fontId="18" fillId="51" borderId="121" applyNumberFormat="0" applyProtection="0">
      <alignment horizontal="left" vertical="top" indent="1"/>
    </xf>
    <xf numFmtId="0" fontId="27" fillId="38" borderId="121" applyNumberFormat="0" applyProtection="0">
      <alignment horizontal="left" vertical="top" indent="1"/>
    </xf>
    <xf numFmtId="0" fontId="18" fillId="76" borderId="123" applyNumberFormat="0" applyFont="0" applyAlignment="0" applyProtection="0"/>
    <xf numFmtId="0" fontId="110" fillId="77" borderId="122" applyNumberFormat="0" applyAlignment="0" applyProtection="0"/>
    <xf numFmtId="0" fontId="105" fillId="0" borderId="125" applyNumberFormat="0" applyFill="0" applyAlignment="0" applyProtection="0"/>
    <xf numFmtId="4" fontId="47" fillId="39" borderId="121" applyNumberFormat="0" applyProtection="0">
      <alignment horizontal="right" vertical="center"/>
    </xf>
    <xf numFmtId="0" fontId="18" fillId="51" borderId="121" applyNumberFormat="0" applyProtection="0">
      <alignment horizontal="left" vertical="center" indent="1"/>
    </xf>
    <xf numFmtId="4" fontId="51" fillId="49" borderId="121" applyNumberFormat="0" applyProtection="0">
      <alignment horizontal="right" vertical="center"/>
    </xf>
    <xf numFmtId="0" fontId="18" fillId="49" borderId="121" applyNumberFormat="0" applyProtection="0">
      <alignment horizontal="left" vertical="center" indent="1"/>
    </xf>
    <xf numFmtId="4" fontId="47" fillId="47" borderId="121" applyNumberFormat="0" applyProtection="0">
      <alignment horizontal="right" vertical="center"/>
    </xf>
    <xf numFmtId="0" fontId="110" fillId="77" borderId="122" applyNumberFormat="0" applyAlignment="0" applyProtection="0"/>
    <xf numFmtId="0" fontId="18" fillId="49" borderId="121" applyNumberFormat="0" applyProtection="0">
      <alignment horizontal="left" vertical="center" indent="1"/>
    </xf>
    <xf numFmtId="0" fontId="18" fillId="54" borderId="121" applyNumberFormat="0" applyProtection="0">
      <alignment horizontal="left" vertical="center" indent="1"/>
    </xf>
    <xf numFmtId="4" fontId="47" fillId="40" borderId="121" applyNumberFormat="0" applyProtection="0">
      <alignment horizontal="right" vertical="center"/>
    </xf>
    <xf numFmtId="0" fontId="18" fillId="76" borderId="123" applyNumberFormat="0" applyFont="0" applyAlignment="0" applyProtection="0"/>
    <xf numFmtId="4" fontId="27" fillId="38" borderId="121" applyNumberFormat="0" applyProtection="0">
      <alignment horizontal="left" vertical="center" indent="1"/>
    </xf>
    <xf numFmtId="0" fontId="18" fillId="34" borderId="121" applyNumberFormat="0" applyProtection="0">
      <alignment horizontal="left" vertical="center" indent="1"/>
    </xf>
    <xf numFmtId="0" fontId="47" fillId="35"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0" fontId="18" fillId="55" borderId="121" applyNumberFormat="0" applyProtection="0">
      <alignment horizontal="left" vertical="top" indent="1"/>
    </xf>
    <xf numFmtId="0" fontId="18" fillId="50" borderId="12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21" applyNumberFormat="0" applyProtection="0">
      <alignment horizontal="left" vertical="center" indent="1"/>
    </xf>
    <xf numFmtId="4" fontId="47" fillId="42" borderId="121" applyNumberFormat="0" applyProtection="0">
      <alignment horizontal="right" vertical="center"/>
    </xf>
    <xf numFmtId="0" fontId="18" fillId="85" borderId="121" applyNumberFormat="0" applyProtection="0">
      <alignment horizontal="left" vertical="center" indent="1"/>
    </xf>
    <xf numFmtId="0" fontId="18" fillId="76" borderId="123" applyNumberFormat="0" applyFont="0" applyAlignment="0" applyProtection="0"/>
    <xf numFmtId="0" fontId="105" fillId="0" borderId="125" applyNumberFormat="0" applyFill="0" applyAlignment="0" applyProtection="0"/>
    <xf numFmtId="4" fontId="27" fillId="37" borderId="121" applyNumberFormat="0" applyProtection="0">
      <alignment vertical="center"/>
    </xf>
    <xf numFmtId="0" fontId="18" fillId="84" borderId="121" applyNumberFormat="0" applyProtection="0">
      <alignment horizontal="left" vertical="top" indent="1"/>
    </xf>
    <xf numFmtId="4" fontId="51"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7"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8" fillId="85" borderId="121" applyNumberFormat="0" applyProtection="0">
      <alignment horizontal="left" vertical="top" indent="1"/>
    </xf>
    <xf numFmtId="4" fontId="47" fillId="44" borderId="121" applyNumberFormat="0" applyProtection="0">
      <alignment horizontal="right" vertical="center"/>
    </xf>
    <xf numFmtId="0" fontId="110" fillId="77" borderId="122" applyNumberFormat="0" applyAlignment="0" applyProtection="0"/>
    <xf numFmtId="0" fontId="63" fillId="59" borderId="126" applyNumberFormat="0" applyFont="0" applyFill="0" applyAlignment="0" applyProtection="0">
      <protection locked="0"/>
    </xf>
    <xf numFmtId="0" fontId="18" fillId="84" borderId="121" applyNumberFormat="0" applyProtection="0">
      <alignment horizontal="left" vertical="center" indent="1"/>
    </xf>
    <xf numFmtId="0" fontId="18" fillId="49"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4" fontId="51" fillId="35" borderId="121" applyNumberFormat="0" applyProtection="0">
      <alignment vertical="center"/>
    </xf>
    <xf numFmtId="0" fontId="18" fillId="84"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5" borderId="121" applyNumberFormat="0" applyProtection="0">
      <alignment horizontal="right" vertical="center"/>
    </xf>
    <xf numFmtId="0" fontId="18" fillId="85" borderId="121" applyNumberFormat="0" applyProtection="0">
      <alignment horizontal="left" vertical="center" indent="1"/>
    </xf>
    <xf numFmtId="0" fontId="105" fillId="0" borderId="125" applyNumberFormat="0" applyFill="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12" fontId="26" fillId="36" borderId="42">
      <alignment horizontal="left"/>
    </xf>
    <xf numFmtId="0" fontId="18" fillId="54" borderId="111" applyNumberFormat="0" applyProtection="0">
      <alignment horizontal="left" vertical="top" indent="1"/>
    </xf>
    <xf numFmtId="0" fontId="18" fillId="55" borderId="111" applyNumberFormat="0" applyProtection="0">
      <alignment horizontal="left" vertical="center" indent="1"/>
    </xf>
    <xf numFmtId="0" fontId="18" fillId="55" borderId="111" applyNumberFormat="0" applyProtection="0">
      <alignment horizontal="left" vertical="top" indent="1"/>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left" vertical="center" indent="1"/>
    </xf>
    <xf numFmtId="0" fontId="47" fillId="34" borderId="111" applyNumberFormat="0" applyProtection="0">
      <alignment horizontal="left" vertical="top"/>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8" borderId="121" applyNumberFormat="0" applyProtection="0">
      <alignment vertical="center"/>
    </xf>
    <xf numFmtId="4" fontId="27"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4" fontId="27" fillId="34" borderId="121" applyNumberFormat="0" applyProtection="0"/>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4" fontId="47" fillId="59" borderId="121" applyNumberFormat="0" applyProtection="0">
      <alignment horizontal="left" vertical="center" indent="1"/>
    </xf>
    <xf numFmtId="4" fontId="47" fillId="59"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1" borderId="121" applyNumberFormat="0" applyProtection="0">
      <alignment horizontal="left" vertical="center" indent="1"/>
    </xf>
    <xf numFmtId="4" fontId="47" fillId="51" borderId="121" applyNumberFormat="0" applyProtection="0">
      <alignment horizontal="left" vertical="center" indent="1"/>
    </xf>
    <xf numFmtId="4" fontId="47" fillId="51"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0" fontId="47" fillId="34" borderId="121" applyNumberFormat="0" applyProtection="0">
      <alignment horizontal="center" vertical="top"/>
    </xf>
    <xf numFmtId="0" fontId="47" fillId="34" borderId="121" applyNumberFormat="0" applyProtection="0">
      <alignment horizontal="center"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175" fontId="18" fillId="0" borderId="114">
      <alignment horizontal="justify" vertical="top" wrapText="1"/>
    </xf>
    <xf numFmtId="4" fontId="47" fillId="42" borderId="111" applyNumberFormat="0" applyProtection="0">
      <alignment horizontal="right" vertical="center"/>
    </xf>
    <xf numFmtId="4" fontId="47" fillId="43" borderId="111" applyNumberFormat="0" applyProtection="0">
      <alignment horizontal="right" vertical="center"/>
    </xf>
    <xf numFmtId="4" fontId="47" fillId="44" borderId="111" applyNumberFormat="0" applyProtection="0">
      <alignment horizontal="right" vertical="center"/>
    </xf>
    <xf numFmtId="4" fontId="47" fillId="47" borderId="111" applyNumberFormat="0" applyProtection="0">
      <alignment horizontal="right" vertical="center"/>
    </xf>
    <xf numFmtId="4" fontId="27" fillId="38" borderId="111" applyNumberFormat="0" applyProtection="0">
      <alignment horizontal="left" vertical="center"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8" fillId="54" borderId="111" applyNumberFormat="0" applyProtection="0">
      <alignment horizontal="left" vertical="center" indent="1"/>
    </xf>
    <xf numFmtId="4" fontId="47" fillId="0" borderId="111" applyNumberFormat="0" applyProtection="0">
      <alignment horizontal="right" vertical="center"/>
    </xf>
    <xf numFmtId="4" fontId="47" fillId="0" borderId="11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7" fillId="38" borderId="111" applyNumberFormat="0" applyProtection="0">
      <alignment horizontal="left" vertical="center" indent="1"/>
    </xf>
    <xf numFmtId="4" fontId="47" fillId="0" borderId="111" applyNumberFormat="0" applyProtection="0">
      <alignment horizontal="right" vertical="center"/>
    </xf>
    <xf numFmtId="0" fontId="18" fillId="54" borderId="111" applyNumberFormat="0" applyProtection="0">
      <alignment horizontal="left" vertical="center" indent="1"/>
    </xf>
    <xf numFmtId="0" fontId="47" fillId="35" borderId="111" applyNumberFormat="0" applyProtection="0">
      <alignment horizontal="left" vertical="top" indent="1"/>
    </xf>
    <xf numFmtId="4" fontId="47" fillId="51" borderId="111" applyNumberFormat="0" applyProtection="0">
      <alignment horizontal="right" vertical="center"/>
    </xf>
    <xf numFmtId="0" fontId="26" fillId="0" borderId="27">
      <alignment horizontal="lef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0" fontId="18" fillId="50" borderId="111" applyNumberFormat="0" applyProtection="0">
      <alignment horizontal="left" vertical="center" indent="1"/>
    </xf>
    <xf numFmtId="0" fontId="102" fillId="79" borderId="122" applyNumberFormat="0" applyAlignment="0" applyProtection="0"/>
    <xf numFmtId="0" fontId="18" fillId="54" borderId="111" applyNumberFormat="0" applyProtection="0">
      <alignment horizontal="left" vertical="center" indent="1"/>
    </xf>
    <xf numFmtId="0" fontId="102" fillId="79" borderId="122" applyNumberFormat="0" applyAlignment="0" applyProtection="0"/>
    <xf numFmtId="0" fontId="24" fillId="59" borderId="126" applyNumberFormat="0" applyFont="0" applyAlignment="0" applyProtection="0">
      <protection locked="0"/>
    </xf>
    <xf numFmtId="0" fontId="47" fillId="34" borderId="111" applyNumberFormat="0" applyProtection="0">
      <alignment horizontal="left" vertical="top"/>
    </xf>
    <xf numFmtId="0" fontId="102" fillId="79" borderId="122" applyNumberFormat="0" applyAlignment="0" applyProtection="0"/>
    <xf numFmtId="0" fontId="63" fillId="59" borderId="126" applyNumberFormat="0" applyFont="0" applyFill="0" applyAlignment="0" applyProtection="0">
      <protection locked="0"/>
    </xf>
    <xf numFmtId="4" fontId="47" fillId="0" borderId="111" applyNumberFormat="0" applyProtection="0">
      <alignment horizontal="right" vertical="center"/>
    </xf>
    <xf numFmtId="0" fontId="110" fillId="77" borderId="122" applyNumberFormat="0" applyAlignment="0" applyProtection="0"/>
    <xf numFmtId="0" fontId="102" fillId="79" borderId="122" applyNumberFormat="0" applyAlignment="0" applyProtection="0"/>
    <xf numFmtId="0" fontId="110" fillId="77" borderId="122" applyNumberFormat="0" applyAlignment="0" applyProtection="0"/>
    <xf numFmtId="0" fontId="102" fillId="79" borderId="122" applyNumberFormat="0" applyAlignment="0" applyProtection="0"/>
    <xf numFmtId="0" fontId="26" fillId="0" borderId="27">
      <alignment horizontal="left" vertical="center"/>
    </xf>
    <xf numFmtId="0" fontId="26" fillId="0" borderId="27">
      <alignment horizontal="left" vertical="center"/>
    </xf>
    <xf numFmtId="0" fontId="110" fillId="77" borderId="122" applyNumberFormat="0" applyAlignment="0" applyProtection="0"/>
    <xf numFmtId="0" fontId="18" fillId="54" borderId="111" applyNumberFormat="0" applyProtection="0">
      <alignment horizontal="left" vertical="center" indent="1"/>
    </xf>
    <xf numFmtId="0" fontId="110" fillId="77" borderId="122" applyNumberFormat="0" applyAlignment="0" applyProtection="0"/>
    <xf numFmtId="0" fontId="110" fillId="77" borderId="122" applyNumberFormat="0" applyAlignment="0" applyProtection="0"/>
    <xf numFmtId="4" fontId="47" fillId="0" borderId="111" applyNumberFormat="0" applyProtection="0">
      <alignment horizontal="left" vertical="center" indent="1"/>
    </xf>
    <xf numFmtId="0" fontId="110" fillId="77" borderId="122" applyNumberFormat="0" applyAlignment="0" applyProtection="0"/>
    <xf numFmtId="0" fontId="102" fillId="79" borderId="122" applyNumberFormat="0" applyAlignment="0" applyProtection="0"/>
    <xf numFmtId="0" fontId="110" fillId="77" borderId="122" applyNumberFormat="0" applyAlignment="0" applyProtection="0"/>
    <xf numFmtId="0" fontId="63" fillId="59" borderId="126" applyNumberFormat="0" applyFont="0" applyFill="0" applyAlignment="0" applyProtection="0">
      <protection locked="0"/>
    </xf>
    <xf numFmtId="0" fontId="18" fillId="54" borderId="111" applyNumberFormat="0" applyProtection="0">
      <alignment horizontal="left" vertical="top" indent="1"/>
    </xf>
    <xf numFmtId="0" fontId="102" fillId="79" borderId="122" applyNumberFormat="0" applyAlignment="0" applyProtection="0"/>
    <xf numFmtId="4" fontId="47" fillId="0" borderId="111" applyNumberFormat="0" applyProtection="0">
      <alignment horizontal="right" vertical="center"/>
    </xf>
    <xf numFmtId="4" fontId="47" fillId="0" borderId="111" applyNumberFormat="0" applyProtection="0">
      <alignment horizontal="left" vertical="center" indent="1"/>
    </xf>
    <xf numFmtId="0" fontId="18" fillId="34" borderId="111" applyNumberFormat="0" applyProtection="0">
      <alignment horizontal="left" vertical="center" indent="1"/>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4" fontId="47" fillId="0"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47" fillId="34" borderId="111" applyNumberFormat="0" applyProtection="0">
      <alignment horizontal="left" vertical="top"/>
    </xf>
    <xf numFmtId="0" fontId="18" fillId="54" borderId="111" applyNumberFormat="0" applyProtection="0">
      <alignment horizontal="left" vertical="top" indent="1"/>
    </xf>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63" fillId="59" borderId="126" applyNumberFormat="0" applyFont="0" applyFill="0" applyAlignment="0" applyProtection="0">
      <protection locked="0"/>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4" fontId="51" fillId="49" borderId="111" applyNumberFormat="0" applyProtection="0">
      <alignment horizontal="right" vertical="center"/>
    </xf>
    <xf numFmtId="0" fontId="18" fillId="54"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47" fillId="35" borderId="111" applyNumberFormat="0" applyProtection="0">
      <alignment horizontal="left" vertical="top" indent="1"/>
    </xf>
    <xf numFmtId="0" fontId="18" fillId="34"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8" fillId="0" borderId="128" applyNumberFormat="0" applyFill="0" applyAlignment="0" applyProtection="0"/>
    <xf numFmtId="0" fontId="18" fillId="0" borderId="128" applyNumberFormat="0" applyFill="0" applyAlignment="0" applyProtection="0"/>
    <xf numFmtId="0" fontId="26" fillId="0" borderId="119">
      <alignment horizontal="left" vertical="center"/>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175" fontId="18" fillId="0" borderId="130">
      <alignment horizontal="justify" vertical="top" wrapText="1"/>
    </xf>
    <xf numFmtId="0" fontId="35" fillId="0" borderId="131"/>
    <xf numFmtId="0" fontId="130" fillId="0" borderId="0" applyNumberFormat="0" applyFill="0" applyBorder="0" applyAlignment="0" applyProtection="0"/>
    <xf numFmtId="0" fontId="17" fillId="0" borderId="0"/>
    <xf numFmtId="0" fontId="131" fillId="0" borderId="0" applyNumberFormat="0" applyFill="0" applyAlignment="0" applyProtection="0"/>
    <xf numFmtId="0" fontId="132" fillId="0" borderId="0" applyNumberFormat="0" applyFill="0" applyBorder="0" applyAlignment="0" applyProtection="0">
      <alignment vertical="top"/>
      <protection locked="0"/>
    </xf>
    <xf numFmtId="0" fontId="131" fillId="0" borderId="0" applyNumberFormat="0" applyFill="0" applyProtection="0">
      <alignment vertical="top"/>
    </xf>
    <xf numFmtId="0" fontId="1" fillId="0" borderId="0" applyNumberFormat="0" applyFill="0" applyProtection="0">
      <alignment horizontal="right" indent="1"/>
    </xf>
    <xf numFmtId="199" fontId="1" fillId="0" borderId="132">
      <alignment horizontal="center" vertical="center"/>
    </xf>
    <xf numFmtId="0" fontId="1" fillId="0" borderId="133" applyFill="0">
      <alignment horizontal="center" vertical="center"/>
    </xf>
    <xf numFmtId="0" fontId="1" fillId="0" borderId="133" applyFill="0">
      <alignment horizontal="left" vertical="center" indent="2"/>
    </xf>
    <xf numFmtId="200" fontId="1" fillId="0" borderId="133" applyFill="0">
      <alignment horizontal="center" vertical="center"/>
    </xf>
    <xf numFmtId="0" fontId="57" fillId="0" borderId="0"/>
    <xf numFmtId="0" fontId="137" fillId="0" borderId="0" applyNumberFormat="0" applyFill="0" applyBorder="0" applyAlignment="0" applyProtection="0"/>
    <xf numFmtId="0" fontId="1" fillId="10" borderId="0" applyNumberFormat="0" applyBorder="0" applyAlignment="0" applyProtection="0"/>
    <xf numFmtId="0" fontId="32" fillId="0" borderId="0"/>
    <xf numFmtId="0" fontId="138" fillId="0" borderId="0"/>
    <xf numFmtId="188" fontId="139" fillId="59" borderId="0">
      <alignment horizontal="left" vertical="center"/>
    </xf>
    <xf numFmtId="0" fontId="20" fillId="59" borderId="0">
      <alignment horizontal="left" wrapText="1"/>
    </xf>
    <xf numFmtId="0" fontId="20" fillId="59" borderId="137" applyNumberFormat="0">
      <alignment horizontal="center" vertical="center" wrapText="1"/>
    </xf>
    <xf numFmtId="42" fontId="18" fillId="59" borderId="0"/>
    <xf numFmtId="42" fontId="18" fillId="59" borderId="65">
      <alignment vertical="center"/>
    </xf>
    <xf numFmtId="42" fontId="18" fillId="59" borderId="138">
      <alignment horizontal="left"/>
    </xf>
    <xf numFmtId="0" fontId="140" fillId="0" borderId="0">
      <alignment horizontal="left" vertical="center"/>
    </xf>
    <xf numFmtId="41" fontId="18" fillId="59" borderId="0"/>
    <xf numFmtId="206" fontId="18" fillId="59" borderId="0"/>
    <xf numFmtId="0" fontId="18" fillId="0" borderId="0"/>
    <xf numFmtId="0" fontId="18" fillId="0" borderId="0"/>
    <xf numFmtId="0" fontId="141" fillId="0" borderId="0"/>
    <xf numFmtId="43" fontId="141" fillId="0" borderId="0" applyFont="0" applyFill="0" applyBorder="0" applyAlignment="0" applyProtection="0"/>
    <xf numFmtId="44" fontId="141" fillId="0" borderId="0" applyFont="0" applyFill="0" applyBorder="0" applyAlignment="0" applyProtection="0"/>
    <xf numFmtId="9" fontId="141" fillId="0" borderId="0" applyFont="0" applyFill="0" applyBorder="0" applyAlignment="0" applyProtection="0"/>
    <xf numFmtId="0" fontId="18" fillId="0" borderId="0"/>
    <xf numFmtId="44" fontId="52" fillId="0" borderId="0" applyFont="0" applyFill="0" applyBorder="0" applyAlignment="0" applyProtection="0"/>
    <xf numFmtId="44" fontId="57" fillId="0" borderId="0" applyFont="0" applyFill="0" applyBorder="0" applyAlignment="0" applyProtection="0"/>
    <xf numFmtId="0" fontId="52" fillId="0" borderId="0"/>
    <xf numFmtId="9" fontId="52" fillId="0" borderId="0" applyFont="0" applyFill="0" applyBorder="0" applyAlignment="0" applyProtection="0"/>
    <xf numFmtId="177" fontId="30" fillId="0" borderId="0"/>
    <xf numFmtId="43" fontId="30" fillId="0" borderId="0" applyFont="0" applyFill="0" applyBorder="0" applyAlignment="0" applyProtection="0"/>
    <xf numFmtId="0" fontId="134" fillId="0" borderId="0"/>
    <xf numFmtId="44" fontId="134" fillId="0" borderId="0" applyFont="0" applyFill="0" applyBorder="0" applyAlignment="0" applyProtection="0"/>
    <xf numFmtId="0" fontId="33" fillId="0" borderId="0"/>
    <xf numFmtId="43" fontId="1" fillId="0" borderId="0" applyFont="0" applyFill="0" applyBorder="0" applyAlignment="0" applyProtection="0"/>
    <xf numFmtId="0" fontId="57" fillId="0" borderId="0"/>
    <xf numFmtId="0" fontId="35" fillId="0" borderId="0"/>
    <xf numFmtId="0" fontId="18" fillId="0" borderId="0"/>
    <xf numFmtId="0" fontId="1" fillId="0" borderId="0">
      <alignment vertical="top"/>
    </xf>
  </cellStyleXfs>
  <cellXfs count="1558">
    <xf numFmtId="0" fontId="0" fillId="0" borderId="0" xfId="0"/>
    <xf numFmtId="0" fontId="120" fillId="0" borderId="0" xfId="0" applyFont="1"/>
    <xf numFmtId="0" fontId="120" fillId="0" borderId="0" xfId="0" applyFont="1" applyAlignment="1">
      <alignment horizontal="center"/>
    </xf>
    <xf numFmtId="44" fontId="120" fillId="0" borderId="0" xfId="25745" applyFont="1" applyFill="1"/>
    <xf numFmtId="0" fontId="16" fillId="0" borderId="0" xfId="0" applyFont="1"/>
    <xf numFmtId="0" fontId="14" fillId="0" borderId="0" xfId="0" applyFont="1"/>
    <xf numFmtId="165" fontId="120" fillId="0" borderId="0" xfId="0" applyNumberFormat="1" applyFont="1"/>
    <xf numFmtId="10" fontId="120" fillId="0" borderId="0" xfId="25793" applyNumberFormat="1" applyFont="1"/>
    <xf numFmtId="0" fontId="120" fillId="0" borderId="0" xfId="0" applyFont="1" applyAlignment="1">
      <alignment horizontal="left" indent="1"/>
    </xf>
    <xf numFmtId="0" fontId="124" fillId="0" borderId="0" xfId="0" applyFont="1" applyAlignment="1">
      <alignment horizontal="right"/>
    </xf>
    <xf numFmtId="0" fontId="124" fillId="0" borderId="0" xfId="0" applyFont="1"/>
    <xf numFmtId="0" fontId="120" fillId="0" borderId="0" xfId="0" applyFont="1" applyAlignment="1">
      <alignment horizontal="right"/>
    </xf>
    <xf numFmtId="0" fontId="17" fillId="0" borderId="0" xfId="0" applyFont="1"/>
    <xf numFmtId="0" fontId="120" fillId="0" borderId="11" xfId="0" applyFont="1" applyBorder="1" applyAlignment="1">
      <alignment horizontal="center"/>
    </xf>
    <xf numFmtId="0" fontId="120" fillId="0" borderId="0" xfId="0" applyFont="1" applyAlignment="1">
      <alignment horizontal="left"/>
    </xf>
    <xf numFmtId="0" fontId="120" fillId="0" borderId="0" xfId="0" applyFont="1" applyAlignment="1">
      <alignment vertical="center"/>
    </xf>
    <xf numFmtId="44" fontId="120" fillId="0" borderId="0" xfId="0" applyNumberFormat="1" applyFont="1"/>
    <xf numFmtId="0" fontId="120" fillId="0" borderId="0" xfId="28781" applyFont="1"/>
    <xf numFmtId="0" fontId="120" fillId="0" borderId="0" xfId="30158" applyFont="1"/>
    <xf numFmtId="44" fontId="120" fillId="0" borderId="0" xfId="25745" applyFont="1"/>
    <xf numFmtId="165" fontId="120" fillId="0" borderId="0" xfId="25742" applyNumberFormat="1" applyFont="1"/>
    <xf numFmtId="43" fontId="120" fillId="0" borderId="0" xfId="25742" applyFont="1"/>
    <xf numFmtId="0" fontId="120" fillId="87" borderId="13" xfId="0" applyFont="1" applyFill="1" applyBorder="1" applyAlignment="1">
      <alignment horizontal="center"/>
    </xf>
    <xf numFmtId="0" fontId="120" fillId="87" borderId="135" xfId="0" applyFont="1" applyFill="1" applyBorder="1" applyAlignment="1">
      <alignment horizontal="center"/>
    </xf>
    <xf numFmtId="0" fontId="120" fillId="0" borderId="13" xfId="0" applyFont="1" applyBorder="1" applyAlignment="1">
      <alignment horizontal="left"/>
    </xf>
    <xf numFmtId="165" fontId="120" fillId="0" borderId="13" xfId="25742" applyNumberFormat="1" applyFont="1" applyBorder="1"/>
    <xf numFmtId="165" fontId="120" fillId="0" borderId="135" xfId="25742" applyNumberFormat="1" applyFont="1" applyBorder="1"/>
    <xf numFmtId="0" fontId="124" fillId="0" borderId="13" xfId="0" applyFont="1" applyBorder="1" applyAlignment="1">
      <alignment horizontal="left"/>
    </xf>
    <xf numFmtId="0" fontId="120" fillId="88" borderId="13" xfId="0" applyFont="1" applyFill="1" applyBorder="1" applyAlignment="1">
      <alignment horizontal="left"/>
    </xf>
    <xf numFmtId="165" fontId="120" fillId="88" borderId="13" xfId="25742" applyNumberFormat="1" applyFont="1" applyFill="1" applyBorder="1"/>
    <xf numFmtId="165" fontId="120" fillId="88" borderId="135" xfId="25742" applyNumberFormat="1" applyFont="1" applyFill="1" applyBorder="1"/>
    <xf numFmtId="0" fontId="120" fillId="0" borderId="13" xfId="0" applyFont="1" applyBorder="1"/>
    <xf numFmtId="165" fontId="124" fillId="0" borderId="13" xfId="25742" applyNumberFormat="1" applyFont="1" applyBorder="1"/>
    <xf numFmtId="0" fontId="135" fillId="0" borderId="0" xfId="0" applyFont="1"/>
    <xf numFmtId="0" fontId="136" fillId="0" borderId="0" xfId="0" applyFont="1"/>
    <xf numFmtId="0" fontId="133" fillId="0" borderId="0" xfId="0" applyFont="1"/>
    <xf numFmtId="0" fontId="124" fillId="88" borderId="13" xfId="0" applyFont="1" applyFill="1" applyBorder="1" applyAlignment="1">
      <alignment horizontal="left"/>
    </xf>
    <xf numFmtId="165" fontId="120" fillId="88" borderId="66" xfId="25742" applyNumberFormat="1" applyFont="1" applyFill="1" applyBorder="1"/>
    <xf numFmtId="165" fontId="14" fillId="0" borderId="0" xfId="0" applyNumberFormat="1" applyFont="1"/>
    <xf numFmtId="165" fontId="16" fillId="0" borderId="0" xfId="0" applyNumberFormat="1" applyFont="1"/>
    <xf numFmtId="41" fontId="16" fillId="0" borderId="0" xfId="0" applyNumberFormat="1" applyFont="1"/>
    <xf numFmtId="0" fontId="120" fillId="88" borderId="13" xfId="0" applyFont="1" applyFill="1" applyBorder="1"/>
    <xf numFmtId="43" fontId="120" fillId="0" borderId="0" xfId="0" applyNumberFormat="1" applyFont="1"/>
    <xf numFmtId="165" fontId="120" fillId="0" borderId="0" xfId="25742" applyNumberFormat="1" applyFont="1" applyFill="1" applyAlignment="1">
      <alignment horizontal="right"/>
    </xf>
    <xf numFmtId="165" fontId="120" fillId="0" borderId="0" xfId="25742" applyNumberFormat="1" applyFont="1" applyFill="1" applyAlignment="1">
      <alignment horizontal="center"/>
    </xf>
    <xf numFmtId="43" fontId="120" fillId="0" borderId="0" xfId="25742" applyFont="1" applyFill="1" applyAlignment="1">
      <alignment horizontal="right"/>
    </xf>
    <xf numFmtId="44" fontId="120" fillId="0" borderId="0" xfId="25745" applyFont="1" applyFill="1" applyAlignment="1">
      <alignment horizontal="right"/>
    </xf>
    <xf numFmtId="165" fontId="120" fillId="0" borderId="0" xfId="25742" applyNumberFormat="1" applyFont="1" applyFill="1"/>
    <xf numFmtId="165" fontId="120" fillId="0" borderId="0" xfId="25742" applyNumberFormat="1" applyFont="1" applyBorder="1"/>
    <xf numFmtId="43" fontId="120" fillId="0" borderId="0" xfId="25742" applyFont="1" applyBorder="1"/>
    <xf numFmtId="0" fontId="123" fillId="0" borderId="0" xfId="0" applyFont="1"/>
    <xf numFmtId="165" fontId="120" fillId="0" borderId="0" xfId="25742" applyNumberFormat="1" applyFont="1" applyAlignment="1">
      <alignment horizontal="center"/>
    </xf>
    <xf numFmtId="38" fontId="120" fillId="0" borderId="0" xfId="2" applyNumberFormat="1" applyFont="1" applyFill="1" applyBorder="1" applyProtection="1"/>
    <xf numFmtId="0" fontId="1" fillId="0" borderId="0" xfId="0" applyFont="1"/>
    <xf numFmtId="0" fontId="1" fillId="0" borderId="0" xfId="0" applyFont="1" applyAlignment="1">
      <alignment horizontal="center" wrapText="1"/>
    </xf>
    <xf numFmtId="10" fontId="120" fillId="0" borderId="0" xfId="25793" applyNumberFormat="1" applyFont="1" applyFill="1"/>
    <xf numFmtId="38" fontId="1" fillId="0" borderId="0" xfId="0" applyNumberFormat="1" applyFont="1"/>
    <xf numFmtId="10" fontId="1" fillId="0" borderId="0" xfId="0" applyNumberFormat="1" applyFont="1"/>
    <xf numFmtId="0" fontId="142" fillId="0" borderId="0" xfId="0" applyFont="1"/>
    <xf numFmtId="0" fontId="1" fillId="0" borderId="0" xfId="0" quotePrefix="1" applyFont="1"/>
    <xf numFmtId="0" fontId="1" fillId="0" borderId="137" xfId="0" applyFont="1" applyBorder="1" applyAlignment="1">
      <alignment horizontal="center"/>
    </xf>
    <xf numFmtId="0" fontId="16" fillId="0" borderId="0" xfId="0" applyFont="1" applyAlignment="1">
      <alignment horizontal="right"/>
    </xf>
    <xf numFmtId="43" fontId="124" fillId="0" borderId="0" xfId="25766" applyFont="1" applyFill="1" applyBorder="1"/>
    <xf numFmtId="17" fontId="120" fillId="0" borderId="137" xfId="24138" applyNumberFormat="1" applyFont="1" applyBorder="1" applyAlignment="1">
      <alignment horizontal="center" vertical="center"/>
    </xf>
    <xf numFmtId="10" fontId="16" fillId="0" borderId="0" xfId="0" applyNumberFormat="1" applyFont="1"/>
    <xf numFmtId="165" fontId="120" fillId="0" borderId="0" xfId="25742" applyNumberFormat="1" applyFont="1" applyFill="1" applyBorder="1"/>
    <xf numFmtId="0" fontId="142" fillId="0" borderId="0" xfId="0" applyFont="1" applyAlignment="1">
      <alignment wrapText="1"/>
    </xf>
    <xf numFmtId="0" fontId="120" fillId="0" borderId="137" xfId="0" applyFont="1" applyBorder="1" applyAlignment="1">
      <alignment horizontal="center" wrapText="1"/>
    </xf>
    <xf numFmtId="3" fontId="120" fillId="0" borderId="0" xfId="0" applyNumberFormat="1" applyFont="1"/>
    <xf numFmtId="0" fontId="145" fillId="0" borderId="0" xfId="0" applyFont="1"/>
    <xf numFmtId="0" fontId="120" fillId="0" borderId="65" xfId="0" applyFont="1" applyBorder="1"/>
    <xf numFmtId="195" fontId="120" fillId="0" borderId="0" xfId="0" applyNumberFormat="1" applyFont="1"/>
    <xf numFmtId="10" fontId="120" fillId="0" borderId="0" xfId="0" applyNumberFormat="1" applyFont="1"/>
    <xf numFmtId="166" fontId="120" fillId="0" borderId="0" xfId="25793" applyNumberFormat="1" applyFont="1" applyBorder="1"/>
    <xf numFmtId="0" fontId="120" fillId="0" borderId="137" xfId="24138" applyFont="1" applyBorder="1" applyAlignment="1">
      <alignment horizontal="center" vertical="center"/>
    </xf>
    <xf numFmtId="0" fontId="120" fillId="0" borderId="137" xfId="24138" applyFont="1" applyBorder="1" applyAlignment="1">
      <alignment horizontal="center" wrapText="1"/>
    </xf>
    <xf numFmtId="17" fontId="120" fillId="0" borderId="137" xfId="24138" applyNumberFormat="1" applyFont="1" applyBorder="1" applyAlignment="1">
      <alignment horizontal="center" wrapText="1"/>
    </xf>
    <xf numFmtId="165" fontId="1" fillId="0" borderId="65" xfId="25742" applyNumberFormat="1" applyFont="1" applyFill="1" applyBorder="1"/>
    <xf numFmtId="37" fontId="120" fillId="0" borderId="0" xfId="25795" applyFont="1" applyAlignment="1">
      <alignment horizontal="centerContinuous"/>
    </xf>
    <xf numFmtId="37" fontId="120" fillId="0" borderId="0" xfId="25795" applyFont="1"/>
    <xf numFmtId="165" fontId="120" fillId="0" borderId="0" xfId="25766" applyNumberFormat="1" applyFont="1" applyFill="1" applyBorder="1" applyAlignment="1" applyProtection="1">
      <alignment horizontal="center"/>
    </xf>
    <xf numFmtId="37" fontId="120" fillId="0" borderId="0" xfId="25795" applyFont="1" applyAlignment="1">
      <alignment horizontal="center"/>
    </xf>
    <xf numFmtId="10" fontId="120" fillId="0" borderId="0" xfId="25795" applyNumberFormat="1" applyFont="1" applyAlignment="1">
      <alignment horizontal="center"/>
    </xf>
    <xf numFmtId="10" fontId="120" fillId="0" borderId="0" xfId="25795" applyNumberFormat="1" applyFont="1" applyAlignment="1">
      <alignment horizontal="fill"/>
    </xf>
    <xf numFmtId="10" fontId="120" fillId="0" borderId="0" xfId="25795" applyNumberFormat="1" applyFont="1"/>
    <xf numFmtId="191" fontId="120" fillId="0" borderId="0" xfId="25795" applyNumberFormat="1" applyFont="1"/>
    <xf numFmtId="192" fontId="120" fillId="0" borderId="0" xfId="25795" applyNumberFormat="1" applyFont="1" applyAlignment="1">
      <alignment horizontal="center"/>
    </xf>
    <xf numFmtId="37" fontId="120" fillId="0" borderId="0" xfId="25795" applyFont="1" applyAlignment="1">
      <alignment horizontal="right"/>
    </xf>
    <xf numFmtId="165" fontId="120" fillId="0" borderId="0" xfId="25766" applyNumberFormat="1" applyFont="1" applyFill="1" applyBorder="1" applyProtection="1"/>
    <xf numFmtId="10" fontId="120" fillId="0" borderId="0" xfId="25795" applyNumberFormat="1" applyFont="1" applyAlignment="1">
      <alignment horizontal="right"/>
    </xf>
    <xf numFmtId="10" fontId="120" fillId="0" borderId="65" xfId="25795" applyNumberFormat="1" applyFont="1" applyBorder="1"/>
    <xf numFmtId="0" fontId="124" fillId="0" borderId="0" xfId="24690" applyFont="1"/>
    <xf numFmtId="37" fontId="120" fillId="0" borderId="0" xfId="25795" applyFont="1" applyAlignment="1">
      <alignment horizontal="center" wrapText="1"/>
    </xf>
    <xf numFmtId="37" fontId="120" fillId="0" borderId="137" xfId="25795" applyFont="1" applyBorder="1" applyAlignment="1">
      <alignment horizontal="center" wrapText="1"/>
    </xf>
    <xf numFmtId="37" fontId="120" fillId="0" borderId="137" xfId="25795" applyFont="1" applyBorder="1"/>
    <xf numFmtId="37" fontId="120" fillId="0" borderId="137" xfId="25795" applyFont="1" applyBorder="1" applyAlignment="1">
      <alignment horizontal="center"/>
    </xf>
    <xf numFmtId="37" fontId="145" fillId="0" borderId="0" xfId="25795" applyFont="1" applyAlignment="1">
      <alignment horizontal="left"/>
    </xf>
    <xf numFmtId="10" fontId="145" fillId="0" borderId="0" xfId="25795" applyNumberFormat="1" applyFont="1" applyAlignment="1">
      <alignment horizontal="left"/>
    </xf>
    <xf numFmtId="165" fontId="120" fillId="0" borderId="0" xfId="25742" applyNumberFormat="1" applyFont="1" applyFill="1" applyBorder="1" applyAlignment="1">
      <alignment horizontal="center"/>
    </xf>
    <xf numFmtId="165" fontId="146" fillId="0" borderId="0" xfId="25742" applyNumberFormat="1" applyFont="1" applyFill="1" applyBorder="1"/>
    <xf numFmtId="165" fontId="120" fillId="0" borderId="137" xfId="25742" applyNumberFormat="1" applyFont="1" applyFill="1" applyBorder="1" applyAlignment="1">
      <alignment horizontal="center"/>
    </xf>
    <xf numFmtId="10" fontId="120" fillId="0" borderId="65" xfId="25795" applyNumberFormat="1" applyFont="1" applyBorder="1" applyAlignment="1">
      <alignment horizontal="left"/>
    </xf>
    <xf numFmtId="37" fontId="120" fillId="0" borderId="0" xfId="25795" applyFont="1" applyAlignment="1">
      <alignment horizontal="center" vertical="center"/>
    </xf>
    <xf numFmtId="43" fontId="120" fillId="0" borderId="0" xfId="25742" applyFont="1" applyFill="1" applyBorder="1"/>
    <xf numFmtId="43" fontId="120" fillId="0" borderId="137" xfId="25742" applyFont="1" applyFill="1" applyBorder="1" applyAlignment="1">
      <alignment horizontal="center" wrapText="1"/>
    </xf>
    <xf numFmtId="39" fontId="120" fillId="0" borderId="0" xfId="0" applyNumberFormat="1" applyFont="1"/>
    <xf numFmtId="196" fontId="120" fillId="0" borderId="0" xfId="25793" applyNumberFormat="1" applyFont="1" applyFill="1" applyBorder="1"/>
    <xf numFmtId="10" fontId="120" fillId="0" borderId="0" xfId="25793" applyNumberFormat="1" applyFont="1" applyFill="1" applyBorder="1"/>
    <xf numFmtId="44" fontId="120" fillId="0" borderId="0" xfId="25745" applyFont="1" applyFill="1" applyBorder="1"/>
    <xf numFmtId="188" fontId="1" fillId="0" borderId="0" xfId="0" applyNumberFormat="1" applyFont="1"/>
    <xf numFmtId="0" fontId="120" fillId="0" borderId="0" xfId="1" applyFont="1"/>
    <xf numFmtId="0" fontId="120" fillId="0" borderId="137" xfId="1" applyFont="1" applyBorder="1" applyAlignment="1">
      <alignment horizontal="center" wrapText="1"/>
    </xf>
    <xf numFmtId="44" fontId="1" fillId="0" borderId="0" xfId="0" applyNumberFormat="1" applyFont="1"/>
    <xf numFmtId="9" fontId="1" fillId="0" borderId="0" xfId="0" applyNumberFormat="1" applyFont="1"/>
    <xf numFmtId="0" fontId="120" fillId="0" borderId="0" xfId="1" applyFont="1" applyAlignment="1">
      <alignment horizontal="center"/>
    </xf>
    <xf numFmtId="0" fontId="124" fillId="0" borderId="0" xfId="1" applyFont="1"/>
    <xf numFmtId="0" fontId="1" fillId="0" borderId="0" xfId="1" applyFont="1" applyAlignment="1">
      <alignment horizontal="center"/>
    </xf>
    <xf numFmtId="0" fontId="124" fillId="0" borderId="0" xfId="1" applyFont="1" applyAlignment="1">
      <alignment horizontal="left" indent="1"/>
    </xf>
    <xf numFmtId="0" fontId="120" fillId="0" borderId="0" xfId="1" applyFont="1" applyAlignment="1">
      <alignment horizontal="left"/>
    </xf>
    <xf numFmtId="0" fontId="120" fillId="0" borderId="0" xfId="24545" applyFont="1" applyAlignment="1">
      <alignment horizontal="left"/>
    </xf>
    <xf numFmtId="9" fontId="120" fillId="0" borderId="0" xfId="25793" applyFont="1" applyFill="1" applyBorder="1" applyProtection="1"/>
    <xf numFmtId="43" fontId="1" fillId="0" borderId="0" xfId="0" applyNumberFormat="1" applyFont="1"/>
    <xf numFmtId="38" fontId="120" fillId="0" borderId="0" xfId="25796" applyNumberFormat="1" applyFont="1" applyBorder="1"/>
    <xf numFmtId="5" fontId="1" fillId="0" borderId="0" xfId="0" applyNumberFormat="1" applyFont="1"/>
    <xf numFmtId="0" fontId="1" fillId="0" borderId="0" xfId="0" applyFont="1" applyAlignment="1">
      <alignment horizontal="center"/>
    </xf>
    <xf numFmtId="0" fontId="120" fillId="0" borderId="137" xfId="25455" applyFont="1" applyBorder="1" applyAlignment="1">
      <alignment horizontal="center" wrapText="1"/>
    </xf>
    <xf numFmtId="0" fontId="124" fillId="0" borderId="137" xfId="25455" applyFont="1" applyBorder="1" applyAlignment="1">
      <alignment horizontal="center" wrapText="1"/>
    </xf>
    <xf numFmtId="0" fontId="120" fillId="0" borderId="0" xfId="25455" applyFont="1"/>
    <xf numFmtId="43" fontId="120" fillId="0" borderId="137" xfId="25455" applyNumberFormat="1" applyFont="1" applyBorder="1" applyAlignment="1">
      <alignment horizontal="center"/>
    </xf>
    <xf numFmtId="0" fontId="120" fillId="0" borderId="137" xfId="25455" applyFont="1" applyBorder="1"/>
    <xf numFmtId="0" fontId="120" fillId="0" borderId="0" xfId="25455" applyFont="1" applyAlignment="1">
      <alignment horizontal="center"/>
    </xf>
    <xf numFmtId="209" fontId="120" fillId="0" borderId="0" xfId="25455" applyNumberFormat="1" applyFont="1"/>
    <xf numFmtId="165" fontId="1" fillId="0" borderId="0" xfId="25742" applyNumberFormat="1" applyFont="1" applyBorder="1"/>
    <xf numFmtId="209" fontId="120" fillId="0" borderId="0" xfId="25457" applyNumberFormat="1" applyFont="1" applyFill="1" applyBorder="1">
      <alignment horizontal="right"/>
    </xf>
    <xf numFmtId="209" fontId="124" fillId="0" borderId="0" xfId="25456" applyNumberFormat="1" applyFont="1" applyFill="1" applyBorder="1"/>
    <xf numFmtId="165" fontId="1" fillId="0" borderId="0" xfId="0" applyNumberFormat="1" applyFont="1"/>
    <xf numFmtId="209" fontId="120" fillId="0" borderId="0" xfId="25456" applyNumberFormat="1" applyFont="1" applyFill="1" applyBorder="1"/>
    <xf numFmtId="0" fontId="1" fillId="0" borderId="0" xfId="25455" applyFont="1" applyAlignment="1">
      <alignment horizontal="center"/>
    </xf>
    <xf numFmtId="209" fontId="120" fillId="0" borderId="137" xfId="25457" applyNumberFormat="1" applyFont="1" applyFill="1" applyBorder="1">
      <alignment horizontal="right"/>
    </xf>
    <xf numFmtId="209" fontId="124" fillId="0" borderId="137" xfId="25456" applyNumberFormat="1" applyFont="1" applyFill="1" applyBorder="1"/>
    <xf numFmtId="209" fontId="124" fillId="0" borderId="0" xfId="25457" applyNumberFormat="1" applyFont="1" applyFill="1" applyBorder="1">
      <alignment horizontal="right"/>
    </xf>
    <xf numFmtId="10" fontId="1" fillId="0" borderId="0" xfId="25793" applyNumberFormat="1" applyFont="1" applyBorder="1"/>
    <xf numFmtId="10" fontId="14" fillId="0" borderId="0" xfId="25793" applyNumberFormat="1" applyFont="1" applyBorder="1"/>
    <xf numFmtId="37" fontId="1" fillId="0" borderId="0" xfId="0" applyNumberFormat="1" applyFont="1"/>
    <xf numFmtId="39" fontId="1" fillId="0" borderId="0" xfId="0" applyNumberFormat="1" applyFont="1"/>
    <xf numFmtId="209" fontId="120" fillId="0" borderId="65" xfId="25457" applyNumberFormat="1" applyFont="1" applyFill="1" applyBorder="1">
      <alignment horizontal="right"/>
    </xf>
    <xf numFmtId="209" fontId="124" fillId="0" borderId="65" xfId="25457" applyNumberFormat="1" applyFont="1" applyFill="1" applyBorder="1">
      <alignment horizontal="right"/>
    </xf>
    <xf numFmtId="209" fontId="120" fillId="0" borderId="65" xfId="25456" applyNumberFormat="1" applyFont="1" applyFill="1" applyBorder="1"/>
    <xf numFmtId="209" fontId="124" fillId="0" borderId="65" xfId="25456" applyNumberFormat="1" applyFont="1" applyFill="1" applyBorder="1"/>
    <xf numFmtId="0" fontId="124" fillId="0" borderId="0" xfId="25455" applyFont="1"/>
    <xf numFmtId="5" fontId="124" fillId="0" borderId="0" xfId="25457" applyNumberFormat="1" applyFont="1" applyFill="1" applyBorder="1">
      <alignment horizontal="right"/>
    </xf>
    <xf numFmtId="5" fontId="120" fillId="0" borderId="0" xfId="25457" applyNumberFormat="1" applyFont="1" applyFill="1" applyBorder="1">
      <alignment horizontal="right"/>
    </xf>
    <xf numFmtId="181" fontId="120" fillId="0" borderId="0" xfId="25457" applyNumberFormat="1" applyFont="1" applyFill="1" applyBorder="1">
      <alignment horizontal="right"/>
    </xf>
    <xf numFmtId="5" fontId="120" fillId="0" borderId="0" xfId="25456" applyNumberFormat="1" applyFont="1" applyFill="1" applyBorder="1"/>
    <xf numFmtId="43" fontId="14" fillId="0" borderId="0" xfId="0" applyNumberFormat="1" applyFont="1"/>
    <xf numFmtId="0" fontId="124" fillId="0" borderId="0" xfId="25455" applyFont="1" applyAlignment="1">
      <alignment horizontal="left" vertical="top" wrapText="1"/>
    </xf>
    <xf numFmtId="5" fontId="124" fillId="0" borderId="0" xfId="25455" applyNumberFormat="1" applyFont="1"/>
    <xf numFmtId="6" fontId="120" fillId="0" borderId="0" xfId="25455" applyNumberFormat="1" applyFont="1"/>
    <xf numFmtId="6" fontId="1" fillId="0" borderId="0" xfId="0" applyNumberFormat="1" applyFont="1"/>
    <xf numFmtId="0" fontId="120" fillId="0" borderId="137" xfId="25276" applyFont="1" applyBorder="1" applyAlignment="1">
      <alignment horizontal="center"/>
    </xf>
    <xf numFmtId="183" fontId="120" fillId="0" borderId="137" xfId="25276" applyNumberFormat="1" applyFont="1" applyBorder="1" applyAlignment="1">
      <alignment horizontal="center"/>
    </xf>
    <xf numFmtId="0" fontId="120" fillId="0" borderId="0" xfId="25276" applyFont="1" applyAlignment="1">
      <alignment horizontal="center"/>
    </xf>
    <xf numFmtId="0" fontId="120" fillId="0" borderId="0" xfId="25276" applyFont="1"/>
    <xf numFmtId="0" fontId="120" fillId="0" borderId="0" xfId="25276" quotePrefix="1" applyFont="1" applyAlignment="1">
      <alignment horizontal="center"/>
    </xf>
    <xf numFmtId="0" fontId="120" fillId="0" borderId="0" xfId="25276" quotePrefix="1" applyFont="1" applyAlignment="1">
      <alignment horizontal="left"/>
    </xf>
    <xf numFmtId="0" fontId="120" fillId="0" borderId="0" xfId="25276" quotePrefix="1" applyFont="1" applyAlignment="1">
      <alignment horizontal="left" indent="1"/>
    </xf>
    <xf numFmtId="0" fontId="1" fillId="0" borderId="0" xfId="25276" applyFont="1" applyAlignment="1">
      <alignment horizontal="center"/>
    </xf>
    <xf numFmtId="183" fontId="1" fillId="0" borderId="0" xfId="0" applyNumberFormat="1" applyFont="1"/>
    <xf numFmtId="0" fontId="124" fillId="0" borderId="0" xfId="25276" quotePrefix="1" applyFont="1" applyAlignment="1">
      <alignment horizontal="left" indent="2"/>
    </xf>
    <xf numFmtId="0" fontId="120" fillId="0" borderId="0" xfId="25276" applyFont="1" applyAlignment="1">
      <alignment horizontal="left" indent="1"/>
    </xf>
    <xf numFmtId="0" fontId="120" fillId="0" borderId="0" xfId="25276" applyFont="1" applyAlignment="1">
      <alignment horizontal="left"/>
    </xf>
    <xf numFmtId="0" fontId="129" fillId="0" borderId="0" xfId="0" applyFont="1" applyAlignment="1">
      <alignment horizontal="left"/>
    </xf>
    <xf numFmtId="0" fontId="1" fillId="0" borderId="137" xfId="0" applyFont="1" applyBorder="1" applyAlignment="1">
      <alignment horizontal="center" wrapText="1"/>
    </xf>
    <xf numFmtId="186" fontId="1" fillId="0" borderId="0" xfId="0" applyNumberFormat="1" applyFont="1"/>
    <xf numFmtId="186" fontId="16" fillId="0" borderId="64" xfId="0" applyNumberFormat="1" applyFont="1" applyBorder="1"/>
    <xf numFmtId="0" fontId="1" fillId="0" borderId="0" xfId="0" applyFont="1" applyAlignment="1">
      <alignment horizontal="center" vertical="center"/>
    </xf>
    <xf numFmtId="0" fontId="1" fillId="0" borderId="0" xfId="0" applyFont="1" applyAlignment="1">
      <alignment wrapText="1"/>
    </xf>
    <xf numFmtId="165" fontId="1" fillId="0" borderId="0" xfId="25742" applyNumberFormat="1" applyFont="1" applyFill="1"/>
    <xf numFmtId="43" fontId="1" fillId="0" borderId="0" xfId="25742" applyFont="1" applyFill="1"/>
    <xf numFmtId="10" fontId="1" fillId="0" borderId="0" xfId="25793" applyNumberFormat="1" applyFont="1" applyFill="1"/>
    <xf numFmtId="165" fontId="16" fillId="0" borderId="0" xfId="25742" applyNumberFormat="1" applyFont="1" applyFill="1" applyAlignment="1">
      <alignment horizontal="center"/>
    </xf>
    <xf numFmtId="165" fontId="124" fillId="0" borderId="0" xfId="25742" applyNumberFormat="1" applyFont="1" applyFill="1" applyBorder="1" applyAlignment="1">
      <alignment horizontal="center"/>
    </xf>
    <xf numFmtId="43" fontId="120" fillId="0" borderId="0" xfId="27902" applyFont="1" applyFill="1"/>
    <xf numFmtId="43" fontId="120" fillId="0" borderId="0" xfId="27903" applyFont="1" applyFill="1"/>
    <xf numFmtId="43" fontId="120" fillId="0" borderId="0" xfId="25742" applyFont="1" applyFill="1"/>
    <xf numFmtId="165" fontId="1" fillId="0" borderId="0" xfId="25742" applyNumberFormat="1" applyFont="1" applyFill="1" applyBorder="1"/>
    <xf numFmtId="43" fontId="1" fillId="0" borderId="0" xfId="25766" applyFont="1" applyFill="1"/>
    <xf numFmtId="43" fontId="120" fillId="0" borderId="0" xfId="27908" applyFont="1" applyFill="1"/>
    <xf numFmtId="43" fontId="120" fillId="0" borderId="0" xfId="27909" applyFont="1" applyFill="1"/>
    <xf numFmtId="43" fontId="120" fillId="0" borderId="0" xfId="27910" applyFont="1" applyFill="1"/>
    <xf numFmtId="43" fontId="120" fillId="0" borderId="0" xfId="27911" applyFont="1" applyFill="1"/>
    <xf numFmtId="43" fontId="120" fillId="0" borderId="0" xfId="27912" applyFont="1" applyFill="1"/>
    <xf numFmtId="43" fontId="120" fillId="0" borderId="0" xfId="27913" applyFont="1" applyFill="1"/>
    <xf numFmtId="43" fontId="120" fillId="0" borderId="0" xfId="27914" applyFont="1" applyFill="1"/>
    <xf numFmtId="43" fontId="120" fillId="0" borderId="0" xfId="27915" applyFont="1" applyFill="1"/>
    <xf numFmtId="43" fontId="120" fillId="0" borderId="0" xfId="27916" applyFont="1" applyFill="1"/>
    <xf numFmtId="43" fontId="120" fillId="0" borderId="0" xfId="27903" applyFont="1" applyFill="1" applyBorder="1"/>
    <xf numFmtId="43" fontId="120" fillId="0" borderId="0" xfId="183" applyFont="1" applyFill="1"/>
    <xf numFmtId="43" fontId="120" fillId="0" borderId="0" xfId="27917" applyFont="1" applyFill="1"/>
    <xf numFmtId="43" fontId="120" fillId="0" borderId="0" xfId="27918" applyFont="1" applyFill="1"/>
    <xf numFmtId="43" fontId="120" fillId="0" borderId="0" xfId="27922" applyFont="1" applyFill="1"/>
    <xf numFmtId="43" fontId="124" fillId="0" borderId="0" xfId="27902" applyFont="1" applyFill="1"/>
    <xf numFmtId="165" fontId="16" fillId="0" borderId="0" xfId="25742" applyNumberFormat="1" applyFont="1" applyFill="1" applyBorder="1"/>
    <xf numFmtId="43" fontId="120" fillId="0" borderId="0" xfId="27917" applyFont="1" applyFill="1" applyBorder="1"/>
    <xf numFmtId="43" fontId="120" fillId="0" borderId="0" xfId="27909" applyFont="1" applyFill="1" applyBorder="1"/>
    <xf numFmtId="43" fontId="120" fillId="0" borderId="0" xfId="27910" applyFont="1" applyFill="1" applyBorder="1"/>
    <xf numFmtId="43" fontId="120" fillId="0" borderId="0" xfId="27911" applyFont="1" applyFill="1" applyBorder="1"/>
    <xf numFmtId="43" fontId="120" fillId="0" borderId="0" xfId="27912" applyFont="1" applyFill="1" applyBorder="1"/>
    <xf numFmtId="43" fontId="120" fillId="0" borderId="0" xfId="27913" applyFont="1" applyFill="1" applyBorder="1"/>
    <xf numFmtId="43" fontId="120" fillId="0" borderId="0" xfId="27914" applyFont="1" applyFill="1" applyBorder="1"/>
    <xf numFmtId="43" fontId="120" fillId="0" borderId="0" xfId="27915" applyFont="1" applyFill="1" applyBorder="1"/>
    <xf numFmtId="43" fontId="120" fillId="0" borderId="0" xfId="27918" applyFont="1" applyFill="1" applyBorder="1"/>
    <xf numFmtId="165" fontId="16" fillId="0" borderId="0" xfId="25742" applyNumberFormat="1" applyFont="1" applyFill="1"/>
    <xf numFmtId="0" fontId="1" fillId="0" borderId="137" xfId="0" applyFont="1" applyBorder="1"/>
    <xf numFmtId="165" fontId="1" fillId="0" borderId="137" xfId="25742" applyNumberFormat="1" applyFont="1" applyFill="1" applyBorder="1"/>
    <xf numFmtId="40" fontId="1" fillId="0" borderId="0" xfId="0" applyNumberFormat="1" applyFont="1"/>
    <xf numFmtId="4" fontId="1" fillId="0" borderId="0" xfId="0" applyNumberFormat="1" applyFont="1"/>
    <xf numFmtId="37" fontId="120" fillId="0" borderId="0" xfId="25741" applyFont="1"/>
    <xf numFmtId="37" fontId="120" fillId="0" borderId="0" xfId="25741" applyFont="1" applyAlignment="1">
      <alignment horizontal="center"/>
    </xf>
    <xf numFmtId="10" fontId="120" fillId="0" borderId="0" xfId="25793" applyNumberFormat="1" applyFont="1" applyFill="1" applyAlignment="1">
      <alignment horizontal="right"/>
    </xf>
    <xf numFmtId="184" fontId="120" fillId="0" borderId="0" xfId="24219" applyNumberFormat="1" applyFont="1" applyFill="1"/>
    <xf numFmtId="167" fontId="120" fillId="0" borderId="0" xfId="25741" applyNumberFormat="1" applyFont="1"/>
    <xf numFmtId="0" fontId="120" fillId="0" borderId="137" xfId="24690" applyFont="1" applyBorder="1" applyAlignment="1">
      <alignment horizontal="center" wrapText="1"/>
    </xf>
    <xf numFmtId="44" fontId="1" fillId="0" borderId="0" xfId="25745" applyFont="1"/>
    <xf numFmtId="0" fontId="1" fillId="0" borderId="0" xfId="0" applyFont="1" applyAlignment="1">
      <alignment horizontal="left" indent="1"/>
    </xf>
    <xf numFmtId="44" fontId="1" fillId="0" borderId="0" xfId="25745" applyFont="1" applyBorder="1"/>
    <xf numFmtId="0" fontId="1" fillId="0" borderId="0" xfId="0" applyFont="1" applyAlignment="1">
      <alignment horizontal="right"/>
    </xf>
    <xf numFmtId="165" fontId="1" fillId="0" borderId="0" xfId="25742" applyNumberFormat="1" applyFont="1"/>
    <xf numFmtId="0" fontId="124" fillId="0" borderId="0" xfId="25295" applyFont="1"/>
    <xf numFmtId="0" fontId="124" fillId="0" borderId="0" xfId="25295" quotePrefix="1" applyFont="1"/>
    <xf numFmtId="40" fontId="124" fillId="0" borderId="0" xfId="25295" quotePrefix="1" applyNumberFormat="1" applyFont="1"/>
    <xf numFmtId="4" fontId="124" fillId="0" borderId="0" xfId="25295" quotePrefix="1" applyNumberFormat="1" applyFont="1"/>
    <xf numFmtId="49" fontId="124" fillId="0" borderId="0" xfId="25293" applyNumberFormat="1" applyFont="1" applyFill="1" applyBorder="1" applyAlignment="1"/>
    <xf numFmtId="8" fontId="1" fillId="0" borderId="0" xfId="0" applyNumberFormat="1" applyFont="1"/>
    <xf numFmtId="8" fontId="127" fillId="0" borderId="0" xfId="0" applyNumberFormat="1" applyFont="1"/>
    <xf numFmtId="8" fontId="16" fillId="0" borderId="0" xfId="0" applyNumberFormat="1" applyFont="1"/>
    <xf numFmtId="208" fontId="1" fillId="0" borderId="0" xfId="0" applyNumberFormat="1" applyFont="1"/>
    <xf numFmtId="0" fontId="1" fillId="0" borderId="0" xfId="0" applyFont="1" applyAlignment="1">
      <alignment horizontal="left" vertical="top"/>
    </xf>
    <xf numFmtId="0" fontId="124" fillId="0" borderId="0" xfId="27280" applyFont="1"/>
    <xf numFmtId="0" fontId="120" fillId="0" borderId="0" xfId="0" applyFont="1" applyAlignment="1">
      <alignment wrapText="1"/>
    </xf>
    <xf numFmtId="10" fontId="120" fillId="0" borderId="0" xfId="0" applyNumberFormat="1" applyFont="1" applyAlignment="1">
      <alignment wrapText="1"/>
    </xf>
    <xf numFmtId="9" fontId="120" fillId="0" borderId="0" xfId="0" applyNumberFormat="1" applyFont="1" applyAlignment="1">
      <alignment horizontal="center"/>
    </xf>
    <xf numFmtId="165" fontId="124" fillId="0" borderId="65" xfId="25742" applyNumberFormat="1" applyFont="1" applyFill="1" applyBorder="1" applyAlignment="1">
      <alignment horizontal="center"/>
    </xf>
    <xf numFmtId="195" fontId="120" fillId="0" borderId="0" xfId="25745" applyNumberFormat="1" applyFont="1" applyFill="1" applyAlignment="1"/>
    <xf numFmtId="0" fontId="123" fillId="0" borderId="0" xfId="0" quotePrefix="1" applyFont="1"/>
    <xf numFmtId="195" fontId="124" fillId="0" borderId="65" xfId="25745" applyNumberFormat="1" applyFont="1" applyFill="1" applyBorder="1" applyAlignment="1"/>
    <xf numFmtId="0" fontId="120" fillId="0" borderId="0" xfId="25295" applyFont="1"/>
    <xf numFmtId="164" fontId="120" fillId="0" borderId="0" xfId="25295" applyNumberFormat="1" applyFont="1"/>
    <xf numFmtId="49" fontId="120" fillId="0" borderId="0" xfId="25293" applyNumberFormat="1" applyFont="1" applyFill="1" applyBorder="1" applyAlignment="1"/>
    <xf numFmtId="0" fontId="120" fillId="0" borderId="137" xfId="25295" applyFont="1" applyBorder="1" applyAlignment="1">
      <alignment horizontal="center"/>
    </xf>
    <xf numFmtId="0" fontId="1" fillId="0" borderId="66" xfId="0" applyFont="1" applyBorder="1" applyAlignment="1">
      <alignment horizontal="center"/>
    </xf>
    <xf numFmtId="0" fontId="120" fillId="0" borderId="0" xfId="25295" applyFont="1" applyAlignment="1">
      <alignment horizontal="left"/>
    </xf>
    <xf numFmtId="0" fontId="120" fillId="0" borderId="0" xfId="25295" applyFont="1" applyAlignment="1">
      <alignment horizontal="left" indent="1"/>
    </xf>
    <xf numFmtId="0" fontId="120" fillId="0" borderId="0" xfId="25295" applyFont="1" applyAlignment="1">
      <alignment horizontal="center"/>
    </xf>
    <xf numFmtId="195" fontId="1" fillId="0" borderId="0" xfId="0" applyNumberFormat="1" applyFont="1"/>
    <xf numFmtId="10" fontId="1" fillId="0" borderId="137" xfId="0" applyNumberFormat="1" applyFont="1" applyBorder="1"/>
    <xf numFmtId="165" fontId="1" fillId="0" borderId="137" xfId="25742" applyNumberFormat="1" applyFont="1" applyBorder="1"/>
    <xf numFmtId="0" fontId="1" fillId="0" borderId="137" xfId="0" applyFont="1" applyBorder="1" applyAlignment="1">
      <alignment wrapText="1"/>
    </xf>
    <xf numFmtId="0" fontId="120" fillId="0" borderId="137" xfId="28781" applyFont="1" applyBorder="1" applyAlignment="1">
      <alignment horizontal="center" wrapText="1"/>
    </xf>
    <xf numFmtId="0" fontId="120" fillId="0" borderId="0" xfId="25771" applyFont="1"/>
    <xf numFmtId="0" fontId="120" fillId="0" borderId="0" xfId="28786" applyFont="1"/>
    <xf numFmtId="0" fontId="120" fillId="0" borderId="0" xfId="28781" applyFont="1" applyAlignment="1">
      <alignment horizontal="left" indent="1"/>
    </xf>
    <xf numFmtId="0" fontId="124" fillId="0" borderId="0" xfId="28781" applyFont="1"/>
    <xf numFmtId="3" fontId="1" fillId="0" borderId="0" xfId="0" applyNumberFormat="1" applyFont="1"/>
    <xf numFmtId="0" fontId="143" fillId="0" borderId="0" xfId="0" applyFont="1"/>
    <xf numFmtId="0" fontId="143" fillId="0" borderId="65" xfId="0" applyFont="1" applyBorder="1"/>
    <xf numFmtId="44" fontId="1" fillId="0" borderId="0" xfId="25751" applyFont="1" applyFill="1"/>
    <xf numFmtId="0" fontId="147" fillId="0" borderId="0" xfId="0" applyFont="1"/>
    <xf numFmtId="0" fontId="1" fillId="0" borderId="0" xfId="0" applyFont="1" applyAlignment="1">
      <alignment horizontal="left" indent="2"/>
    </xf>
    <xf numFmtId="6" fontId="16" fillId="0" borderId="65" xfId="0" applyNumberFormat="1" applyFont="1" applyBorder="1"/>
    <xf numFmtId="0" fontId="120" fillId="0" borderId="0" xfId="25455" applyFont="1" applyAlignment="1">
      <alignment horizontal="center" wrapText="1"/>
    </xf>
    <xf numFmtId="10" fontId="120" fillId="0" borderId="0" xfId="25758" applyNumberFormat="1" applyFont="1" applyFill="1" applyBorder="1" applyAlignment="1" applyProtection="1">
      <alignment horizontal="center"/>
    </xf>
    <xf numFmtId="10" fontId="120" fillId="0" borderId="0" xfId="25758" applyNumberFormat="1" applyFont="1" applyFill="1" applyBorder="1" applyAlignment="1">
      <alignment horizontal="center"/>
    </xf>
    <xf numFmtId="43" fontId="120" fillId="0" borderId="0" xfId="25455" applyNumberFormat="1" applyFont="1" applyAlignment="1">
      <alignment horizontal="center"/>
    </xf>
    <xf numFmtId="43" fontId="120" fillId="0" borderId="0" xfId="25745" applyNumberFormat="1" applyFont="1" applyFill="1" applyBorder="1" applyAlignment="1">
      <alignment horizontal="center"/>
    </xf>
    <xf numFmtId="43" fontId="124" fillId="0" borderId="0" xfId="25743" applyNumberFormat="1" applyFont="1" applyAlignment="1">
      <alignment horizontal="center" wrapText="1"/>
    </xf>
    <xf numFmtId="39" fontId="120" fillId="0" borderId="11" xfId="25743" applyFont="1" applyBorder="1"/>
    <xf numFmtId="0" fontId="120" fillId="0" borderId="11" xfId="0" applyFont="1" applyBorder="1"/>
    <xf numFmtId="39" fontId="120" fillId="0" borderId="11" xfId="25743" applyFont="1" applyBorder="1" applyAlignment="1">
      <alignment horizontal="left"/>
    </xf>
    <xf numFmtId="39" fontId="124" fillId="0" borderId="11" xfId="25743" applyFont="1" applyBorder="1"/>
    <xf numFmtId="39" fontId="124" fillId="0" borderId="11" xfId="25743" applyFont="1" applyBorder="1" applyAlignment="1">
      <alignment horizontal="left" indent="2"/>
    </xf>
    <xf numFmtId="0" fontId="120" fillId="0" borderId="137" xfId="25276" applyFont="1" applyBorder="1" applyAlignment="1">
      <alignment horizontal="center" wrapText="1"/>
    </xf>
    <xf numFmtId="0" fontId="120" fillId="0" borderId="0" xfId="25455" quotePrefix="1" applyFont="1"/>
    <xf numFmtId="0" fontId="120" fillId="0" borderId="137" xfId="25295" applyFont="1" applyBorder="1" applyAlignment="1">
      <alignment horizontal="center" wrapText="1"/>
    </xf>
    <xf numFmtId="165" fontId="120" fillId="0" borderId="64" xfId="25742" applyNumberFormat="1" applyFont="1" applyFill="1" applyBorder="1" applyAlignment="1">
      <alignment horizontal="right"/>
    </xf>
    <xf numFmtId="43" fontId="1" fillId="0" borderId="137" xfId="0" applyNumberFormat="1" applyFont="1" applyBorder="1"/>
    <xf numFmtId="0" fontId="120" fillId="0" borderId="142" xfId="0" applyFont="1" applyBorder="1"/>
    <xf numFmtId="0" fontId="146" fillId="0" borderId="138" xfId="0" quotePrefix="1" applyFont="1" applyBorder="1" applyAlignment="1">
      <alignment horizontal="center"/>
    </xf>
    <xf numFmtId="0" fontId="120" fillId="0" borderId="143" xfId="0" applyFont="1" applyBorder="1"/>
    <xf numFmtId="0" fontId="120" fillId="0" borderId="140" xfId="0" applyFont="1" applyBorder="1"/>
    <xf numFmtId="165" fontId="120" fillId="0" borderId="137" xfId="25742" applyNumberFormat="1" applyFont="1" applyFill="1" applyBorder="1" applyAlignment="1">
      <alignment horizontal="right"/>
    </xf>
    <xf numFmtId="186" fontId="120" fillId="0" borderId="137" xfId="25742" applyNumberFormat="1" applyFont="1" applyFill="1" applyBorder="1" applyAlignment="1">
      <alignment horizontal="right"/>
    </xf>
    <xf numFmtId="165" fontId="16" fillId="0" borderId="137" xfId="0" applyNumberFormat="1" applyFont="1" applyBorder="1"/>
    <xf numFmtId="186" fontId="1" fillId="0" borderId="137" xfId="0" applyNumberFormat="1" applyFont="1" applyBorder="1"/>
    <xf numFmtId="183" fontId="1" fillId="0" borderId="137" xfId="0" applyNumberFormat="1" applyFont="1" applyBorder="1"/>
    <xf numFmtId="187" fontId="124" fillId="0" borderId="140" xfId="25743" applyNumberFormat="1" applyFont="1" applyBorder="1" applyAlignment="1">
      <alignment horizontal="center" wrapText="1"/>
    </xf>
    <xf numFmtId="39" fontId="124" fillId="0" borderId="137" xfId="25743" applyFont="1" applyBorder="1" applyAlignment="1">
      <alignment horizontal="center" wrapText="1"/>
    </xf>
    <xf numFmtId="39" fontId="124" fillId="0" borderId="139" xfId="25743" applyFont="1" applyBorder="1" applyAlignment="1">
      <alignment horizontal="center" wrapText="1"/>
    </xf>
    <xf numFmtId="39" fontId="124" fillId="0" borderId="143" xfId="25743" applyFont="1" applyBorder="1" applyAlignment="1">
      <alignment horizontal="left"/>
    </xf>
    <xf numFmtId="39" fontId="120" fillId="0" borderId="143" xfId="25743" applyFont="1" applyBorder="1" applyAlignment="1">
      <alignment horizontal="center"/>
    </xf>
    <xf numFmtId="39" fontId="120" fillId="0" borderId="143" xfId="25743" applyFont="1" applyBorder="1" applyAlignment="1">
      <alignment horizontal="left"/>
    </xf>
    <xf numFmtId="39" fontId="120" fillId="0" borderId="143" xfId="25743" quotePrefix="1" applyFont="1" applyBorder="1" applyAlignment="1">
      <alignment horizontal="center"/>
    </xf>
    <xf numFmtId="194" fontId="120" fillId="0" borderId="143" xfId="25742" applyNumberFormat="1" applyFont="1" applyFill="1" applyBorder="1" applyAlignment="1" applyProtection="1">
      <alignment horizontal="center"/>
    </xf>
    <xf numFmtId="39" fontId="120" fillId="0" borderId="143" xfId="25743" applyFont="1" applyBorder="1"/>
    <xf numFmtId="49" fontId="120" fillId="0" borderId="143" xfId="25743" applyNumberFormat="1" applyFont="1" applyBorder="1" applyAlignment="1">
      <alignment horizontal="center"/>
    </xf>
    <xf numFmtId="180" fontId="120" fillId="0" borderId="143" xfId="25743" applyNumberFormat="1" applyFont="1" applyBorder="1" applyAlignment="1">
      <alignment horizontal="center"/>
    </xf>
    <xf numFmtId="39" fontId="124" fillId="0" borderId="140" xfId="25743" applyFont="1" applyBorder="1" applyAlignment="1">
      <alignment horizontal="left"/>
    </xf>
    <xf numFmtId="39" fontId="120" fillId="0" borderId="139" xfId="25743" applyFont="1" applyBorder="1"/>
    <xf numFmtId="6" fontId="1" fillId="0" borderId="137" xfId="0" applyNumberFormat="1" applyFont="1" applyBorder="1"/>
    <xf numFmtId="0" fontId="16" fillId="0" borderId="137" xfId="0" applyFont="1" applyBorder="1" applyAlignment="1">
      <alignment horizontal="center" wrapText="1"/>
    </xf>
    <xf numFmtId="8" fontId="1" fillId="0" borderId="137" xfId="0" applyNumberFormat="1" applyFont="1" applyBorder="1"/>
    <xf numFmtId="43" fontId="1" fillId="0" borderId="137" xfId="25742" applyFont="1" applyFill="1" applyBorder="1"/>
    <xf numFmtId="165" fontId="124" fillId="0" borderId="137" xfId="25742" applyNumberFormat="1" applyFont="1" applyFill="1" applyBorder="1" applyAlignment="1">
      <alignment horizontal="center"/>
    </xf>
    <xf numFmtId="43" fontId="120" fillId="0" borderId="137" xfId="27903" applyFont="1" applyFill="1" applyBorder="1"/>
    <xf numFmtId="43" fontId="120" fillId="0" borderId="137" xfId="25742" applyFont="1" applyFill="1" applyBorder="1"/>
    <xf numFmtId="165" fontId="143" fillId="0" borderId="0" xfId="25742" applyNumberFormat="1" applyFont="1" applyFill="1" applyBorder="1"/>
    <xf numFmtId="165" fontId="143" fillId="0" borderId="65" xfId="25742" applyNumberFormat="1" applyFont="1" applyFill="1" applyBorder="1"/>
    <xf numFmtId="165" fontId="14" fillId="0" borderId="0" xfId="25742" applyNumberFormat="1" applyFont="1" applyFill="1"/>
    <xf numFmtId="0" fontId="1" fillId="0" borderId="0" xfId="27894" applyNumberFormat="1" applyFont="1" applyFill="1" applyAlignment="1">
      <alignment horizontal="right"/>
    </xf>
    <xf numFmtId="165" fontId="1" fillId="0" borderId="0" xfId="25742" applyNumberFormat="1" applyFont="1" applyFill="1" applyAlignment="1">
      <alignment horizontal="right" wrapText="1"/>
    </xf>
    <xf numFmtId="165" fontId="1" fillId="0" borderId="0" xfId="25742" applyNumberFormat="1" applyFont="1" applyFill="1" applyAlignment="1">
      <alignment horizontal="right"/>
    </xf>
    <xf numFmtId="0" fontId="143" fillId="0" borderId="65" xfId="0" applyFont="1" applyBorder="1" applyAlignment="1">
      <alignment horizontal="right"/>
    </xf>
    <xf numFmtId="43" fontId="144" fillId="0" borderId="0" xfId="25742" applyFont="1" applyFill="1"/>
    <xf numFmtId="0" fontId="16" fillId="0" borderId="0" xfId="0" applyFont="1" applyAlignment="1">
      <alignment horizontal="center"/>
    </xf>
    <xf numFmtId="165" fontId="120" fillId="0" borderId="0" xfId="25742" applyNumberFormat="1" applyFont="1" applyFill="1" applyBorder="1" applyAlignment="1">
      <alignment horizontal="right"/>
    </xf>
    <xf numFmtId="0" fontId="124" fillId="0" borderId="0" xfId="30158" applyFont="1"/>
    <xf numFmtId="165" fontId="120" fillId="0" borderId="0" xfId="30158" applyNumberFormat="1" applyFont="1"/>
    <xf numFmtId="165" fontId="120" fillId="0" borderId="0" xfId="30159" applyNumberFormat="1" applyFont="1" applyFill="1"/>
    <xf numFmtId="165" fontId="124" fillId="0" borderId="0" xfId="30159" applyNumberFormat="1" applyFont="1" applyFill="1"/>
    <xf numFmtId="43" fontId="120" fillId="0" borderId="0" xfId="30159" applyFont="1" applyFill="1"/>
    <xf numFmtId="43" fontId="120" fillId="0" borderId="0" xfId="30158" applyNumberFormat="1" applyFont="1"/>
    <xf numFmtId="43" fontId="120" fillId="0" borderId="0" xfId="30159" applyFont="1" applyFill="1" applyBorder="1"/>
    <xf numFmtId="194" fontId="120" fillId="0" borderId="0" xfId="25742" applyNumberFormat="1" applyFont="1" applyFill="1"/>
    <xf numFmtId="0" fontId="120" fillId="87" borderId="143" xfId="0" applyFont="1" applyFill="1" applyBorder="1" applyAlignment="1">
      <alignment horizontal="center"/>
    </xf>
    <xf numFmtId="0" fontId="120" fillId="87" borderId="0" xfId="0" applyFont="1" applyFill="1" applyAlignment="1">
      <alignment horizontal="center"/>
    </xf>
    <xf numFmtId="165" fontId="124" fillId="88" borderId="13" xfId="25742" applyNumberFormat="1" applyFont="1" applyFill="1" applyBorder="1"/>
    <xf numFmtId="17" fontId="16" fillId="0" borderId="0" xfId="0" applyNumberFormat="1" applyFont="1"/>
    <xf numFmtId="43" fontId="125" fillId="0" borderId="0" xfId="25742" applyFont="1" applyFill="1" applyBorder="1"/>
    <xf numFmtId="165" fontId="124" fillId="0" borderId="0" xfId="25742" applyNumberFormat="1" applyFont="1" applyFill="1" applyBorder="1"/>
    <xf numFmtId="165" fontId="124" fillId="0" borderId="0" xfId="25742" applyNumberFormat="1" applyFont="1" applyFill="1" applyAlignment="1">
      <alignment horizontal="center"/>
    </xf>
    <xf numFmtId="165" fontId="1" fillId="0" borderId="13" xfId="25742" applyNumberFormat="1" applyFont="1" applyBorder="1"/>
    <xf numFmtId="0" fontId="1" fillId="0" borderId="139" xfId="0" applyFont="1" applyBorder="1"/>
    <xf numFmtId="0" fontId="1" fillId="0" borderId="76" xfId="0" applyFont="1" applyBorder="1"/>
    <xf numFmtId="0" fontId="1" fillId="0" borderId="74" xfId="0" applyFont="1" applyBorder="1" applyAlignment="1">
      <alignment horizontal="center"/>
    </xf>
    <xf numFmtId="0" fontId="1" fillId="88" borderId="13" xfId="0" applyFont="1" applyFill="1" applyBorder="1" applyAlignment="1">
      <alignment horizontal="left"/>
    </xf>
    <xf numFmtId="0" fontId="1" fillId="0" borderId="13" xfId="0" applyFont="1" applyBorder="1" applyAlignment="1">
      <alignment horizontal="left"/>
    </xf>
    <xf numFmtId="0" fontId="1" fillId="87" borderId="13" xfId="0" applyFont="1" applyFill="1" applyBorder="1" applyAlignment="1">
      <alignment horizontal="center"/>
    </xf>
    <xf numFmtId="0" fontId="1" fillId="87" borderId="137" xfId="0" applyFont="1" applyFill="1" applyBorder="1" applyAlignment="1">
      <alignment horizontal="center"/>
    </xf>
    <xf numFmtId="0" fontId="1" fillId="87" borderId="0" xfId="0" applyFont="1" applyFill="1" applyAlignment="1">
      <alignment horizontal="center" wrapText="1"/>
    </xf>
    <xf numFmtId="165" fontId="1" fillId="88" borderId="13" xfId="25742" applyNumberFormat="1" applyFont="1" applyFill="1" applyBorder="1"/>
    <xf numFmtId="165" fontId="1" fillId="0" borderId="0" xfId="25742" applyNumberFormat="1" applyFont="1" applyFill="1" applyAlignment="1">
      <alignment horizontal="center"/>
    </xf>
    <xf numFmtId="43" fontId="120" fillId="0" borderId="0" xfId="28916" applyFont="1" applyFill="1" applyBorder="1" applyAlignment="1">
      <alignment horizontal="center"/>
    </xf>
    <xf numFmtId="0" fontId="120" fillId="0" borderId="140" xfId="25455" applyFont="1" applyBorder="1" applyAlignment="1">
      <alignment horizontal="center" wrapText="1"/>
    </xf>
    <xf numFmtId="188" fontId="120" fillId="0" borderId="13" xfId="25766" applyNumberFormat="1" applyFont="1" applyFill="1" applyBorder="1" applyAlignment="1">
      <alignment horizontal="center" wrapText="1"/>
    </xf>
    <xf numFmtId="7" fontId="120" fillId="0" borderId="13" xfId="25766" applyNumberFormat="1" applyFont="1" applyFill="1" applyBorder="1" applyAlignment="1">
      <alignment horizontal="center" wrapText="1"/>
    </xf>
    <xf numFmtId="197" fontId="120" fillId="0" borderId="13" xfId="25766" applyNumberFormat="1" applyFont="1" applyFill="1" applyBorder="1" applyAlignment="1">
      <alignment horizontal="center" wrapText="1"/>
    </xf>
    <xf numFmtId="165" fontId="1" fillId="0" borderId="0" xfId="25742" applyNumberFormat="1" applyFont="1" applyFill="1" applyBorder="1" applyAlignment="1">
      <alignment horizontal="right"/>
    </xf>
    <xf numFmtId="205" fontId="1" fillId="0" borderId="0" xfId="25742" applyNumberFormat="1" applyFont="1" applyFill="1" applyBorder="1" applyAlignment="1">
      <alignment horizontal="right"/>
    </xf>
    <xf numFmtId="0" fontId="148" fillId="0" borderId="0" xfId="0" applyFont="1" applyAlignment="1">
      <alignment wrapText="1"/>
    </xf>
    <xf numFmtId="209" fontId="124" fillId="0" borderId="148" xfId="25457" applyNumberFormat="1" applyFont="1" applyFill="1" applyBorder="1">
      <alignment horizontal="right"/>
    </xf>
    <xf numFmtId="0" fontId="120" fillId="0" borderId="151" xfId="25455" applyFont="1" applyBorder="1" applyAlignment="1">
      <alignment horizontal="center" wrapText="1"/>
    </xf>
    <xf numFmtId="0" fontId="149" fillId="0" borderId="0" xfId="0" applyFont="1"/>
    <xf numFmtId="165" fontId="0" fillId="0" borderId="0" xfId="25742" applyNumberFormat="1" applyFont="1"/>
    <xf numFmtId="0" fontId="151" fillId="0" borderId="0" xfId="0" applyFont="1"/>
    <xf numFmtId="0" fontId="32" fillId="0" borderId="0" xfId="0" applyFont="1" applyAlignment="1">
      <alignment horizontal="center"/>
    </xf>
    <xf numFmtId="0" fontId="152" fillId="0" borderId="0" xfId="27280" applyFont="1"/>
    <xf numFmtId="0" fontId="151" fillId="0" borderId="0" xfId="0" applyFont="1" applyAlignment="1">
      <alignment horizontal="center"/>
    </xf>
    <xf numFmtId="0" fontId="153" fillId="0" borderId="0" xfId="0" applyFont="1" applyAlignment="1">
      <alignment horizontal="center"/>
    </xf>
    <xf numFmtId="0" fontId="152" fillId="0" borderId="0" xfId="0" applyFont="1" applyAlignment="1">
      <alignment horizontal="center"/>
    </xf>
    <xf numFmtId="0" fontId="154" fillId="0" borderId="0" xfId="0" applyFont="1"/>
    <xf numFmtId="0" fontId="154" fillId="0" borderId="0" xfId="0" applyFont="1" applyAlignment="1">
      <alignment horizontal="center"/>
    </xf>
    <xf numFmtId="0" fontId="155" fillId="0" borderId="0" xfId="0" applyFont="1" applyAlignment="1">
      <alignment horizontal="center"/>
    </xf>
    <xf numFmtId="49" fontId="32" fillId="0" borderId="0" xfId="0" applyNumberFormat="1" applyFont="1" applyAlignment="1">
      <alignment horizontal="center"/>
    </xf>
    <xf numFmtId="16" fontId="32" fillId="0" borderId="0" xfId="0" applyNumberFormat="1" applyFont="1" applyAlignment="1">
      <alignment horizontal="center"/>
    </xf>
    <xf numFmtId="16" fontId="151" fillId="0" borderId="0" xfId="0" applyNumberFormat="1" applyFont="1"/>
    <xf numFmtId="0" fontId="32" fillId="0" borderId="0" xfId="25295" quotePrefix="1" applyFont="1"/>
    <xf numFmtId="16" fontId="32" fillId="0" borderId="0" xfId="25295" quotePrefix="1" applyNumberFormat="1" applyFont="1"/>
    <xf numFmtId="0" fontId="32" fillId="0" borderId="0" xfId="27280" applyFont="1"/>
    <xf numFmtId="10" fontId="120" fillId="0" borderId="0" xfId="30158" applyNumberFormat="1" applyFont="1"/>
    <xf numFmtId="0" fontId="156" fillId="0" borderId="0" xfId="0" applyFont="1"/>
    <xf numFmtId="0" fontId="32" fillId="0" borderId="0" xfId="0" applyFont="1"/>
    <xf numFmtId="0" fontId="157" fillId="0" borderId="0" xfId="0" applyFont="1"/>
    <xf numFmtId="0" fontId="158" fillId="0" borderId="0" xfId="0" applyFont="1"/>
    <xf numFmtId="0" fontId="155" fillId="0" borderId="0" xfId="0" applyFont="1"/>
    <xf numFmtId="0" fontId="159" fillId="0" borderId="0" xfId="0" applyFont="1"/>
    <xf numFmtId="0" fontId="152" fillId="0" borderId="0" xfId="0" applyFont="1"/>
    <xf numFmtId="0" fontId="148" fillId="0" borderId="0" xfId="0" applyFont="1"/>
    <xf numFmtId="0" fontId="150" fillId="0" borderId="0" xfId="0" applyFont="1"/>
    <xf numFmtId="43" fontId="144" fillId="0" borderId="137" xfId="25742" applyFont="1" applyFill="1" applyBorder="1"/>
    <xf numFmtId="0" fontId="120" fillId="89" borderId="0" xfId="0" applyFont="1" applyFill="1"/>
    <xf numFmtId="0" fontId="120" fillId="89" borderId="137" xfId="1" applyFont="1" applyFill="1" applyBorder="1" applyAlignment="1">
      <alignment horizontal="center" wrapText="1"/>
    </xf>
    <xf numFmtId="38" fontId="120" fillId="89" borderId="0" xfId="2" applyNumberFormat="1" applyFont="1" applyFill="1" applyBorder="1" applyProtection="1"/>
    <xf numFmtId="9" fontId="120" fillId="89" borderId="0" xfId="0" applyNumberFormat="1" applyFont="1" applyFill="1"/>
    <xf numFmtId="38" fontId="120" fillId="89" borderId="0" xfId="0" applyNumberFormat="1" applyFont="1" applyFill="1"/>
    <xf numFmtId="0" fontId="120" fillId="89" borderId="0" xfId="1" applyFont="1" applyFill="1" applyAlignment="1">
      <alignment horizontal="center"/>
    </xf>
    <xf numFmtId="0" fontId="124" fillId="89" borderId="0" xfId="1" applyFont="1" applyFill="1"/>
    <xf numFmtId="0" fontId="120" fillId="89" borderId="0" xfId="1" applyFont="1" applyFill="1"/>
    <xf numFmtId="182" fontId="120" fillId="89" borderId="0" xfId="3" applyNumberFormat="1" applyFont="1" applyFill="1" applyBorder="1">
      <alignment horizontal="right"/>
    </xf>
    <xf numFmtId="209" fontId="120" fillId="89" borderId="0" xfId="25742" applyNumberFormat="1" applyFont="1" applyFill="1" applyBorder="1" applyAlignment="1" applyProtection="1">
      <alignment horizontal="right"/>
    </xf>
    <xf numFmtId="209" fontId="120" fillId="89" borderId="0" xfId="25742" applyNumberFormat="1" applyFont="1" applyFill="1" applyBorder="1"/>
    <xf numFmtId="209" fontId="120" fillId="89" borderId="0" xfId="25742" applyNumberFormat="1" applyFont="1" applyFill="1" applyBorder="1" applyAlignment="1">
      <alignment horizontal="right"/>
    </xf>
    <xf numFmtId="209" fontId="120" fillId="89" borderId="0" xfId="25742" applyNumberFormat="1" applyFont="1" applyFill="1" applyBorder="1" applyProtection="1"/>
    <xf numFmtId="209" fontId="120" fillId="89" borderId="137" xfId="25742" applyNumberFormat="1" applyFont="1" applyFill="1" applyBorder="1" applyProtection="1"/>
    <xf numFmtId="209" fontId="120" fillId="89" borderId="137" xfId="25742" applyNumberFormat="1" applyFont="1" applyFill="1" applyBorder="1"/>
    <xf numFmtId="209" fontId="120" fillId="89" borderId="137" xfId="25742" applyNumberFormat="1" applyFont="1" applyFill="1" applyBorder="1" applyAlignment="1">
      <alignment horizontal="right"/>
    </xf>
    <xf numFmtId="0" fontId="124" fillId="89" borderId="0" xfId="1" applyFont="1" applyFill="1" applyAlignment="1">
      <alignment horizontal="left" indent="1"/>
    </xf>
    <xf numFmtId="209" fontId="120" fillId="89" borderId="0" xfId="2" applyNumberFormat="1" applyFont="1" applyFill="1" applyBorder="1" applyProtection="1"/>
    <xf numFmtId="0" fontId="120" fillId="89" borderId="0" xfId="1" applyFont="1" applyFill="1" applyAlignment="1">
      <alignment horizontal="left"/>
    </xf>
    <xf numFmtId="0" fontId="120" fillId="89" borderId="0" xfId="24545" applyFont="1" applyFill="1" applyAlignment="1">
      <alignment horizontal="left"/>
    </xf>
    <xf numFmtId="167" fontId="120" fillId="89" borderId="0" xfId="25793" applyNumberFormat="1" applyFont="1" applyFill="1" applyBorder="1"/>
    <xf numFmtId="9" fontId="120" fillId="89" borderId="0" xfId="25793" applyFont="1" applyFill="1" applyBorder="1" applyProtection="1"/>
    <xf numFmtId="43" fontId="120" fillId="89" borderId="0" xfId="0" applyNumberFormat="1" applyFont="1" applyFill="1"/>
    <xf numFmtId="166" fontId="120" fillId="89" borderId="0" xfId="25793" applyNumberFormat="1" applyFont="1" applyFill="1" applyBorder="1"/>
    <xf numFmtId="209" fontId="120" fillId="89" borderId="0" xfId="3" applyNumberFormat="1" applyFont="1" applyFill="1" applyBorder="1">
      <alignment horizontal="right"/>
    </xf>
    <xf numFmtId="209" fontId="120" fillId="89" borderId="65" xfId="25742" applyNumberFormat="1" applyFont="1" applyFill="1" applyBorder="1" applyAlignment="1">
      <alignment horizontal="right"/>
    </xf>
    <xf numFmtId="209" fontId="120" fillId="89" borderId="0" xfId="2" applyNumberFormat="1" applyFont="1" applyFill="1" applyBorder="1"/>
    <xf numFmtId="38" fontId="120" fillId="89" borderId="0" xfId="3" applyNumberFormat="1" applyFont="1" applyFill="1" applyBorder="1">
      <alignment horizontal="right"/>
    </xf>
    <xf numFmtId="10" fontId="120" fillId="89" borderId="0" xfId="4" applyNumberFormat="1" applyFont="1" applyFill="1" applyBorder="1"/>
    <xf numFmtId="166" fontId="120" fillId="89" borderId="0" xfId="4" applyNumberFormat="1" applyFont="1" applyFill="1" applyBorder="1"/>
    <xf numFmtId="5" fontId="120" fillId="89" borderId="0" xfId="0" applyNumberFormat="1" applyFont="1" applyFill="1"/>
    <xf numFmtId="209" fontId="1" fillId="0" borderId="0" xfId="0" applyNumberFormat="1" applyFont="1"/>
    <xf numFmtId="4" fontId="148" fillId="0" borderId="0" xfId="0" applyNumberFormat="1" applyFont="1"/>
    <xf numFmtId="4" fontId="148" fillId="0" borderId="137" xfId="0" applyNumberFormat="1" applyFont="1" applyBorder="1"/>
    <xf numFmtId="0" fontId="0" fillId="0" borderId="0" xfId="0" quotePrefix="1"/>
    <xf numFmtId="0" fontId="1" fillId="0" borderId="0" xfId="0" applyFont="1" applyAlignment="1">
      <alignment horizontal="left"/>
    </xf>
    <xf numFmtId="0" fontId="120" fillId="0" borderId="141" xfId="0" applyFont="1" applyBorder="1" applyAlignment="1">
      <alignment horizontal="center"/>
    </xf>
    <xf numFmtId="0" fontId="1" fillId="0" borderId="73" xfId="0" applyFont="1" applyBorder="1" applyAlignment="1">
      <alignment horizontal="center"/>
    </xf>
    <xf numFmtId="0" fontId="124" fillId="0" borderId="0" xfId="24690" applyFont="1" applyAlignment="1">
      <alignment horizontal="center"/>
    </xf>
    <xf numFmtId="0" fontId="120" fillId="0" borderId="137" xfId="25455" quotePrefix="1" applyFont="1" applyBorder="1" applyAlignment="1">
      <alignment horizontal="center"/>
    </xf>
    <xf numFmtId="0" fontId="124" fillId="0" borderId="0" xfId="0" applyFont="1" applyAlignment="1">
      <alignment horizontal="center"/>
    </xf>
    <xf numFmtId="0" fontId="120" fillId="0" borderId="137" xfId="24690" applyFont="1" applyBorder="1" applyAlignment="1">
      <alignment horizontal="center"/>
    </xf>
    <xf numFmtId="0" fontId="124" fillId="0" borderId="0" xfId="25295" applyFont="1" applyAlignment="1">
      <alignment horizontal="center"/>
    </xf>
    <xf numFmtId="0" fontId="120" fillId="0" borderId="137" xfId="0" applyFont="1" applyBorder="1" applyAlignment="1">
      <alignment horizontal="center"/>
    </xf>
    <xf numFmtId="0" fontId="120" fillId="0" borderId="139" xfId="0" applyFont="1" applyBorder="1" applyAlignment="1">
      <alignment horizontal="center"/>
    </xf>
    <xf numFmtId="10" fontId="120" fillId="0" borderId="0" xfId="0" applyNumberFormat="1" applyFont="1" applyAlignment="1">
      <alignment horizontal="center"/>
    </xf>
    <xf numFmtId="166" fontId="120" fillId="0" borderId="0" xfId="25793" applyNumberFormat="1" applyFont="1" applyFill="1" applyAlignment="1">
      <alignment horizontal="right"/>
    </xf>
    <xf numFmtId="196" fontId="1" fillId="0" borderId="0" xfId="25793" applyNumberFormat="1" applyFont="1"/>
    <xf numFmtId="209" fontId="120" fillId="89" borderId="0" xfId="25793" applyNumberFormat="1" applyFont="1" applyFill="1"/>
    <xf numFmtId="49" fontId="120" fillId="0" borderId="0" xfId="25795" applyNumberFormat="1" applyFont="1" applyAlignment="1">
      <alignment horizontal="left"/>
    </xf>
    <xf numFmtId="0" fontId="128" fillId="0" borderId="0" xfId="0" applyFont="1" applyAlignment="1">
      <alignment horizontal="left"/>
    </xf>
    <xf numFmtId="165" fontId="146" fillId="0" borderId="0" xfId="25742" applyNumberFormat="1" applyFont="1" applyBorder="1"/>
    <xf numFmtId="43" fontId="1" fillId="0" borderId="0" xfId="25742" applyFont="1" applyBorder="1"/>
    <xf numFmtId="209" fontId="120" fillId="89" borderId="0" xfId="0" applyNumberFormat="1" applyFont="1" applyFill="1"/>
    <xf numFmtId="0" fontId="120" fillId="89" borderId="0" xfId="0" applyFont="1" applyFill="1" applyAlignment="1">
      <alignment horizontal="center" vertical="center"/>
    </xf>
    <xf numFmtId="38" fontId="120" fillId="89" borderId="0" xfId="0" applyNumberFormat="1" applyFont="1" applyFill="1" applyAlignment="1">
      <alignment horizontal="right"/>
    </xf>
    <xf numFmtId="0" fontId="135" fillId="0" borderId="0" xfId="25455" applyFont="1"/>
    <xf numFmtId="44" fontId="124" fillId="0" borderId="65" xfId="0" applyNumberFormat="1" applyFont="1" applyBorder="1"/>
    <xf numFmtId="43" fontId="1" fillId="0" borderId="0" xfId="0" applyNumberFormat="1" applyFont="1" applyAlignment="1">
      <alignment horizontal="center"/>
    </xf>
    <xf numFmtId="209" fontId="120" fillId="0" borderId="0" xfId="25455" quotePrefix="1" applyNumberFormat="1" applyFont="1"/>
    <xf numFmtId="0" fontId="0" fillId="0" borderId="0" xfId="0" applyAlignment="1">
      <alignment horizontal="center"/>
    </xf>
    <xf numFmtId="209" fontId="124" fillId="89" borderId="0" xfId="25742" applyNumberFormat="1" applyFont="1" applyFill="1" applyBorder="1" applyProtection="1"/>
    <xf numFmtId="209" fontId="124" fillId="89" borderId="65" xfId="25742" applyNumberFormat="1" applyFont="1" applyFill="1" applyBorder="1" applyAlignment="1">
      <alignment horizontal="right"/>
    </xf>
    <xf numFmtId="10" fontId="1" fillId="0" borderId="0" xfId="25793" applyNumberFormat="1" applyFont="1"/>
    <xf numFmtId="9" fontId="120" fillId="89" borderId="0" xfId="25793" applyFont="1" applyFill="1"/>
    <xf numFmtId="165" fontId="120" fillId="0" borderId="153" xfId="25742" applyNumberFormat="1" applyFont="1" applyBorder="1"/>
    <xf numFmtId="165" fontId="124" fillId="0" borderId="153" xfId="25742" applyNumberFormat="1" applyFont="1" applyBorder="1"/>
    <xf numFmtId="182" fontId="120" fillId="0" borderId="0" xfId="3" applyNumberFormat="1" applyFont="1" applyFill="1" applyBorder="1">
      <alignment horizontal="right"/>
    </xf>
    <xf numFmtId="209" fontId="120" fillId="0" borderId="0" xfId="25742" applyNumberFormat="1" applyFont="1" applyFill="1" applyBorder="1" applyAlignment="1" applyProtection="1">
      <alignment horizontal="right"/>
    </xf>
    <xf numFmtId="209" fontId="120" fillId="0" borderId="0" xfId="25742" applyNumberFormat="1" applyFont="1" applyFill="1" applyBorder="1"/>
    <xf numFmtId="209" fontId="120" fillId="0" borderId="0" xfId="25742" applyNumberFormat="1" applyFont="1" applyFill="1" applyBorder="1" applyAlignment="1">
      <alignment horizontal="right"/>
    </xf>
    <xf numFmtId="209" fontId="120" fillId="0" borderId="0" xfId="25742" applyNumberFormat="1" applyFont="1" applyFill="1" applyBorder="1" applyProtection="1"/>
    <xf numFmtId="209" fontId="120" fillId="0" borderId="137" xfId="25742" applyNumberFormat="1" applyFont="1" applyFill="1" applyBorder="1" applyProtection="1"/>
    <xf numFmtId="209" fontId="120" fillId="0" borderId="137" xfId="25742" applyNumberFormat="1" applyFont="1" applyFill="1" applyBorder="1"/>
    <xf numFmtId="209" fontId="120" fillId="0" borderId="137" xfId="25742" applyNumberFormat="1" applyFont="1" applyFill="1" applyBorder="1" applyAlignment="1">
      <alignment horizontal="right"/>
    </xf>
    <xf numFmtId="209" fontId="120" fillId="0" borderId="0" xfId="2" applyNumberFormat="1" applyFont="1" applyFill="1" applyBorder="1" applyProtection="1"/>
    <xf numFmtId="209" fontId="1" fillId="0" borderId="0" xfId="25742" applyNumberFormat="1" applyFont="1" applyFill="1" applyBorder="1"/>
    <xf numFmtId="209" fontId="120" fillId="0" borderId="0" xfId="3" applyNumberFormat="1" applyFont="1" applyFill="1" applyBorder="1">
      <alignment horizontal="right"/>
    </xf>
    <xf numFmtId="209" fontId="120" fillId="0" borderId="65" xfId="25742" applyNumberFormat="1" applyFont="1" applyFill="1" applyBorder="1" applyAlignment="1">
      <alignment horizontal="right"/>
    </xf>
    <xf numFmtId="38" fontId="120" fillId="0" borderId="0" xfId="3" applyNumberFormat="1" applyFont="1" applyFill="1" applyBorder="1">
      <alignment horizontal="right"/>
    </xf>
    <xf numFmtId="10" fontId="120" fillId="0" borderId="0" xfId="4" applyNumberFormat="1" applyFont="1" applyFill="1" applyBorder="1"/>
    <xf numFmtId="166" fontId="120" fillId="0" borderId="0" xfId="4" applyNumberFormat="1" applyFont="1" applyFill="1" applyBorder="1"/>
    <xf numFmtId="43" fontId="146" fillId="0" borderId="0" xfId="25742" applyFont="1" applyFill="1" applyBorder="1"/>
    <xf numFmtId="43" fontId="120" fillId="0" borderId="65" xfId="25742" applyFont="1" applyFill="1" applyBorder="1"/>
    <xf numFmtId="43" fontId="124" fillId="0" borderId="137" xfId="25742" applyFont="1" applyFill="1" applyBorder="1"/>
    <xf numFmtId="44" fontId="124" fillId="0" borderId="0" xfId="25745" applyFont="1" applyFill="1"/>
    <xf numFmtId="44" fontId="120" fillId="0" borderId="0" xfId="30158" applyNumberFormat="1" applyFont="1"/>
    <xf numFmtId="0" fontId="0" fillId="0" borderId="137" xfId="0" applyBorder="1" applyAlignment="1">
      <alignment horizontal="center" wrapText="1"/>
    </xf>
    <xf numFmtId="0" fontId="120" fillId="0" borderId="141" xfId="25295" applyFont="1" applyBorder="1" applyAlignment="1">
      <alignment horizontal="center"/>
    </xf>
    <xf numFmtId="196" fontId="120" fillId="0" borderId="0" xfId="25295" applyNumberFormat="1" applyFont="1" applyAlignment="1">
      <alignment horizontal="center"/>
    </xf>
    <xf numFmtId="166" fontId="120" fillId="0" borderId="0" xfId="25295" applyNumberFormat="1" applyFont="1" applyAlignment="1">
      <alignment horizontal="center"/>
    </xf>
    <xf numFmtId="195" fontId="1" fillId="0" borderId="0" xfId="25745" applyNumberFormat="1" applyFont="1" applyBorder="1"/>
    <xf numFmtId="0" fontId="0" fillId="0" borderId="137" xfId="0" applyBorder="1"/>
    <xf numFmtId="166" fontId="120" fillId="0" borderId="0" xfId="25292" applyNumberFormat="1" applyFont="1" applyFill="1" applyBorder="1" applyAlignment="1">
      <alignment horizontal="center"/>
    </xf>
    <xf numFmtId="37" fontId="120" fillId="0" borderId="143" xfId="25743" applyNumberFormat="1" applyFont="1" applyBorder="1" applyAlignment="1">
      <alignment horizontal="center"/>
    </xf>
    <xf numFmtId="39" fontId="120" fillId="0" borderId="0" xfId="27903" applyNumberFormat="1" applyFont="1" applyFill="1" applyBorder="1"/>
    <xf numFmtId="0" fontId="146" fillId="0" borderId="152" xfId="0" applyFont="1" applyBorder="1" applyAlignment="1">
      <alignment horizontal="center"/>
    </xf>
    <xf numFmtId="0" fontId="1" fillId="0" borderId="141" xfId="0" applyFont="1" applyBorder="1"/>
    <xf numFmtId="0" fontId="1" fillId="0" borderId="141" xfId="0" applyFont="1" applyBorder="1" applyAlignment="1">
      <alignment horizontal="center"/>
    </xf>
    <xf numFmtId="165" fontId="1" fillId="0" borderId="141" xfId="0" applyNumberFormat="1" applyFont="1" applyBorder="1"/>
    <xf numFmtId="0" fontId="120" fillId="89" borderId="141" xfId="1" applyFont="1" applyFill="1" applyBorder="1"/>
    <xf numFmtId="49" fontId="120" fillId="89" borderId="141" xfId="1" applyNumberFormat="1" applyFont="1" applyFill="1" applyBorder="1" applyAlignment="1">
      <alignment horizontal="center"/>
    </xf>
    <xf numFmtId="0" fontId="120" fillId="89" borderId="141" xfId="1" quotePrefix="1" applyFont="1" applyFill="1" applyBorder="1" applyAlignment="1">
      <alignment horizontal="center"/>
    </xf>
    <xf numFmtId="0" fontId="120" fillId="0" borderId="141" xfId="25276" applyFont="1" applyBorder="1" applyAlignment="1">
      <alignment horizontal="center"/>
    </xf>
    <xf numFmtId="183" fontId="120" fillId="0" borderId="141" xfId="25276" applyNumberFormat="1" applyFont="1" applyBorder="1" applyAlignment="1">
      <alignment horizontal="center"/>
    </xf>
    <xf numFmtId="43" fontId="120" fillId="0" borderId="141" xfId="25455" applyNumberFormat="1" applyFont="1" applyBorder="1" applyAlignment="1">
      <alignment horizontal="center"/>
    </xf>
    <xf numFmtId="43" fontId="120" fillId="0" borderId="141" xfId="25742" applyFont="1" applyFill="1" applyBorder="1"/>
    <xf numFmtId="0" fontId="120" fillId="0" borderId="141" xfId="1" applyFont="1" applyBorder="1"/>
    <xf numFmtId="49" fontId="120" fillId="0" borderId="141" xfId="1" applyNumberFormat="1" applyFont="1" applyBorder="1" applyAlignment="1">
      <alignment horizontal="center"/>
    </xf>
    <xf numFmtId="0" fontId="120" fillId="0" borderId="141" xfId="1" quotePrefix="1" applyFont="1" applyBorder="1" applyAlignment="1">
      <alignment horizontal="center"/>
    </xf>
    <xf numFmtId="0" fontId="124" fillId="0" borderId="142" xfId="0" applyFont="1" applyBorder="1"/>
    <xf numFmtId="0" fontId="120" fillId="0" borderId="138" xfId="0" applyFont="1" applyBorder="1"/>
    <xf numFmtId="10" fontId="120" fillId="0" borderId="141" xfId="25795" applyNumberFormat="1" applyFont="1" applyBorder="1" applyAlignment="1">
      <alignment horizontal="right"/>
    </xf>
    <xf numFmtId="10" fontId="120" fillId="0" borderId="141" xfId="25795" applyNumberFormat="1" applyFont="1" applyBorder="1"/>
    <xf numFmtId="10" fontId="120" fillId="0" borderId="141" xfId="25795" applyNumberFormat="1" applyFont="1" applyBorder="1" applyAlignment="1">
      <alignment horizontal="left"/>
    </xf>
    <xf numFmtId="10" fontId="120" fillId="0" borderId="141" xfId="25795" applyNumberFormat="1" applyFont="1" applyBorder="1" applyAlignment="1">
      <alignment horizontal="center"/>
    </xf>
    <xf numFmtId="0" fontId="120" fillId="0" borderId="141" xfId="0" applyFont="1" applyBorder="1" applyAlignment="1">
      <alignment horizontal="left" indent="1"/>
    </xf>
    <xf numFmtId="0" fontId="120" fillId="0" borderId="141" xfId="0" applyFont="1" applyBorder="1"/>
    <xf numFmtId="165" fontId="120" fillId="0" borderId="141" xfId="25742" applyNumberFormat="1" applyFont="1" applyFill="1" applyBorder="1"/>
    <xf numFmtId="165" fontId="1" fillId="0" borderId="141" xfId="25742" applyNumberFormat="1" applyFont="1" applyFill="1" applyBorder="1"/>
    <xf numFmtId="0" fontId="1" fillId="0" borderId="141" xfId="0" applyFont="1" applyBorder="1" applyAlignment="1">
      <alignment horizontal="center" vertical="center" wrapText="1"/>
    </xf>
    <xf numFmtId="4" fontId="1" fillId="0" borderId="138" xfId="0" applyNumberFormat="1" applyFont="1" applyBorder="1"/>
    <xf numFmtId="43" fontId="120" fillId="0" borderId="138" xfId="27903" applyFont="1" applyFill="1" applyBorder="1"/>
    <xf numFmtId="43" fontId="120" fillId="0" borderId="138" xfId="25742" applyFont="1" applyFill="1" applyBorder="1"/>
    <xf numFmtId="43" fontId="120" fillId="0" borderId="138" xfId="27916" applyFont="1" applyFill="1" applyBorder="1"/>
    <xf numFmtId="10" fontId="120" fillId="0" borderId="141" xfId="25292" applyNumberFormat="1" applyFont="1" applyFill="1" applyBorder="1" applyAlignment="1">
      <alignment horizontal="center"/>
    </xf>
    <xf numFmtId="0" fontId="143" fillId="0" borderId="141" xfId="0" applyFont="1" applyBorder="1"/>
    <xf numFmtId="165" fontId="143" fillId="0" borderId="141" xfId="25742" applyNumberFormat="1" applyFont="1" applyFill="1" applyBorder="1"/>
    <xf numFmtId="43" fontId="120" fillId="0" borderId="141" xfId="25742" applyFont="1" applyBorder="1"/>
    <xf numFmtId="165" fontId="120" fillId="0" borderId="141" xfId="0" applyNumberFormat="1" applyFont="1" applyBorder="1"/>
    <xf numFmtId="14" fontId="0" fillId="0" borderId="0" xfId="0" applyNumberFormat="1"/>
    <xf numFmtId="0" fontId="0" fillId="0" borderId="0" xfId="0" applyAlignment="1">
      <alignment horizontal="left"/>
    </xf>
    <xf numFmtId="165" fontId="0" fillId="0" borderId="0" xfId="25742" applyNumberFormat="1" applyFont="1" applyBorder="1"/>
    <xf numFmtId="165" fontId="0" fillId="0" borderId="0" xfId="0" applyNumberFormat="1"/>
    <xf numFmtId="165" fontId="16" fillId="0" borderId="0" xfId="0" applyNumberFormat="1" applyFont="1" applyAlignment="1">
      <alignment horizontal="center"/>
    </xf>
    <xf numFmtId="0" fontId="1" fillId="0" borderId="42" xfId="0" applyFont="1" applyBorder="1"/>
    <xf numFmtId="8" fontId="1" fillId="0" borderId="42" xfId="0" applyNumberFormat="1" applyFont="1" applyBorder="1"/>
    <xf numFmtId="0" fontId="0" fillId="0" borderId="42" xfId="0" applyBorder="1"/>
    <xf numFmtId="43" fontId="0" fillId="0" borderId="0" xfId="25742" applyFont="1" applyFill="1"/>
    <xf numFmtId="43" fontId="0" fillId="0" borderId="0" xfId="25742" applyFont="1"/>
    <xf numFmtId="44" fontId="0" fillId="0" borderId="0" xfId="0" applyNumberFormat="1"/>
    <xf numFmtId="43" fontId="0" fillId="0" borderId="0" xfId="0" applyNumberFormat="1"/>
    <xf numFmtId="0" fontId="0" fillId="0" borderId="137" xfId="0" applyBorder="1" applyAlignment="1">
      <alignment horizontal="center"/>
    </xf>
    <xf numFmtId="165" fontId="0" fillId="0" borderId="0" xfId="25742" applyNumberFormat="1" applyFont="1" applyFill="1"/>
    <xf numFmtId="0" fontId="55" fillId="0" borderId="0" xfId="165"/>
    <xf numFmtId="17" fontId="55" fillId="0" borderId="0" xfId="165" applyNumberFormat="1"/>
    <xf numFmtId="165" fontId="0" fillId="0" borderId="0" xfId="373" applyNumberFormat="1" applyFont="1" applyFill="1"/>
    <xf numFmtId="44" fontId="0" fillId="0" borderId="0" xfId="378" applyFont="1" applyFill="1"/>
    <xf numFmtId="44" fontId="55" fillId="0" borderId="0" xfId="165" applyNumberFormat="1"/>
    <xf numFmtId="0" fontId="55" fillId="0" borderId="0" xfId="165" applyAlignment="1">
      <alignment wrapText="1"/>
    </xf>
    <xf numFmtId="165" fontId="0" fillId="0" borderId="0" xfId="373" applyNumberFormat="1" applyFont="1" applyFill="1" applyBorder="1"/>
    <xf numFmtId="44" fontId="0" fillId="0" borderId="0" xfId="378" applyFont="1" applyFill="1" applyBorder="1"/>
    <xf numFmtId="43" fontId="55" fillId="0" borderId="0" xfId="165" applyNumberFormat="1"/>
    <xf numFmtId="43" fontId="0" fillId="0" borderId="137" xfId="0" applyNumberFormat="1" applyBorder="1"/>
    <xf numFmtId="0" fontId="124" fillId="0" borderId="0" xfId="0" applyFont="1" applyAlignment="1">
      <alignment horizontal="left"/>
    </xf>
    <xf numFmtId="39" fontId="120" fillId="0" borderId="0" xfId="0" applyNumberFormat="1" applyFont="1" applyAlignment="1">
      <alignment horizontal="right"/>
    </xf>
    <xf numFmtId="0" fontId="120" fillId="0" borderId="0" xfId="0" applyFont="1" applyAlignment="1">
      <alignment horizontal="center" wrapText="1"/>
    </xf>
    <xf numFmtId="195" fontId="0" fillId="0" borderId="0" xfId="25745" applyNumberFormat="1" applyFont="1"/>
    <xf numFmtId="165" fontId="0" fillId="0" borderId="137" xfId="25742" applyNumberFormat="1" applyFont="1" applyBorder="1"/>
    <xf numFmtId="165" fontId="0" fillId="0" borderId="0" xfId="25742" applyNumberFormat="1" applyFont="1" applyFill="1" applyBorder="1"/>
    <xf numFmtId="195" fontId="0" fillId="0" borderId="0" xfId="0" applyNumberFormat="1"/>
    <xf numFmtId="195" fontId="0" fillId="0" borderId="137" xfId="25745" applyNumberFormat="1" applyFont="1" applyBorder="1"/>
    <xf numFmtId="44" fontId="0" fillId="0" borderId="0" xfId="25745" applyFont="1" applyFill="1"/>
    <xf numFmtId="198" fontId="0" fillId="0" borderId="0" xfId="25745" applyNumberFormat="1" applyFont="1" applyFill="1"/>
    <xf numFmtId="0" fontId="0" fillId="0" borderId="0" xfId="0" applyAlignment="1">
      <alignment wrapText="1"/>
    </xf>
    <xf numFmtId="10" fontId="1" fillId="0" borderId="42" xfId="0" applyNumberFormat="1" applyFont="1" applyBorder="1"/>
    <xf numFmtId="43" fontId="1" fillId="0" borderId="0" xfId="25742" applyFont="1"/>
    <xf numFmtId="43" fontId="120" fillId="0" borderId="0" xfId="25742" applyFont="1" applyFill="1" applyBorder="1" applyAlignment="1">
      <alignment horizontal="center" wrapText="1"/>
    </xf>
    <xf numFmtId="10" fontId="120" fillId="0" borderId="0" xfId="25793" applyNumberFormat="1" applyFont="1" applyFill="1" applyBorder="1" applyAlignment="1">
      <alignment horizontal="center"/>
    </xf>
    <xf numFmtId="10" fontId="120" fillId="0" borderId="0" xfId="25793" applyNumberFormat="1" applyFont="1" applyFill="1" applyAlignment="1">
      <alignment horizontal="center"/>
    </xf>
    <xf numFmtId="207" fontId="120" fillId="0" borderId="0" xfId="25742" applyNumberFormat="1" applyFont="1" applyFill="1" applyBorder="1" applyAlignment="1">
      <alignment horizontal="center"/>
    </xf>
    <xf numFmtId="43" fontId="120" fillId="0" borderId="141" xfId="25742" applyFont="1" applyFill="1" applyBorder="1" applyAlignment="1">
      <alignment horizontal="center"/>
    </xf>
    <xf numFmtId="43" fontId="120" fillId="0" borderId="0" xfId="25742" applyFont="1" applyFill="1" applyBorder="1" applyAlignment="1">
      <alignment horizontal="center"/>
    </xf>
    <xf numFmtId="172" fontId="120" fillId="0" borderId="0" xfId="0" applyNumberFormat="1" applyFont="1" applyAlignment="1">
      <alignment horizontal="center"/>
    </xf>
    <xf numFmtId="43" fontId="120" fillId="0" borderId="65" xfId="25742" applyFont="1" applyFill="1" applyBorder="1" applyAlignment="1">
      <alignment horizontal="center"/>
    </xf>
    <xf numFmtId="190" fontId="1" fillId="0" borderId="137" xfId="0" applyNumberFormat="1" applyFont="1" applyBorder="1"/>
    <xf numFmtId="165" fontId="1" fillId="0" borderId="0" xfId="25742" applyNumberFormat="1" applyFont="1" applyFill="1" applyAlignment="1"/>
    <xf numFmtId="195" fontId="1" fillId="0" borderId="0" xfId="25745" applyNumberFormat="1" applyFont="1"/>
    <xf numFmtId="165" fontId="1" fillId="0" borderId="0" xfId="25766" applyNumberFormat="1" applyFont="1" applyFill="1"/>
    <xf numFmtId="204" fontId="0" fillId="0" borderId="137" xfId="0" applyNumberFormat="1" applyBorder="1" applyAlignment="1">
      <alignment horizontal="center"/>
    </xf>
    <xf numFmtId="43" fontId="120" fillId="89" borderId="0" xfId="25742" applyFont="1" applyFill="1" applyBorder="1" applyProtection="1"/>
    <xf numFmtId="0" fontId="120" fillId="0" borderId="154" xfId="0" applyFont="1" applyBorder="1" applyAlignment="1">
      <alignment horizontal="center" wrapText="1"/>
    </xf>
    <xf numFmtId="0" fontId="120" fillId="0" borderId="155" xfId="0" applyFont="1" applyBorder="1" applyAlignment="1">
      <alignment horizontal="center" wrapText="1"/>
    </xf>
    <xf numFmtId="44" fontId="120" fillId="89" borderId="0" xfId="25745" applyFont="1" applyFill="1" applyBorder="1" applyProtection="1"/>
    <xf numFmtId="165" fontId="120" fillId="0" borderId="0" xfId="25742" applyNumberFormat="1" applyFont="1" applyFill="1" applyAlignment="1"/>
    <xf numFmtId="165" fontId="120" fillId="0" borderId="137" xfId="25742" applyNumberFormat="1" applyFont="1" applyFill="1" applyBorder="1" applyAlignment="1"/>
    <xf numFmtId="14" fontId="120" fillId="0" borderId="0" xfId="25742" applyNumberFormat="1" applyFont="1" applyFill="1" applyBorder="1"/>
    <xf numFmtId="186" fontId="0" fillId="0" borderId="0" xfId="0" applyNumberFormat="1"/>
    <xf numFmtId="0" fontId="0" fillId="0" borderId="0" xfId="0" applyAlignment="1">
      <alignment horizontal="left" indent="1"/>
    </xf>
    <xf numFmtId="37" fontId="0" fillId="0" borderId="0" xfId="33394" applyNumberFormat="1" applyFont="1" applyFill="1"/>
    <xf numFmtId="41" fontId="0" fillId="0" borderId="0" xfId="0" applyNumberFormat="1"/>
    <xf numFmtId="37" fontId="120" fillId="0" borderId="0" xfId="33394" applyNumberFormat="1" applyFont="1" applyFill="1"/>
    <xf numFmtId="14" fontId="0" fillId="0" borderId="0" xfId="25742" applyNumberFormat="1" applyFont="1" applyFill="1"/>
    <xf numFmtId="0" fontId="134" fillId="0" borderId="0" xfId="33391"/>
    <xf numFmtId="43" fontId="120" fillId="0" borderId="11" xfId="28781" applyNumberFormat="1" applyFont="1" applyBorder="1"/>
    <xf numFmtId="43" fontId="124" fillId="0" borderId="67" xfId="25742" applyFont="1" applyFill="1" applyBorder="1"/>
    <xf numFmtId="43" fontId="124" fillId="0" borderId="68" xfId="25742" applyFont="1" applyFill="1" applyBorder="1"/>
    <xf numFmtId="43" fontId="120" fillId="0" borderId="0" xfId="28781" applyNumberFormat="1" applyFont="1"/>
    <xf numFmtId="43" fontId="124" fillId="0" borderId="0" xfId="25742" applyFont="1" applyFill="1"/>
    <xf numFmtId="205" fontId="0" fillId="0" borderId="0" xfId="25742" applyNumberFormat="1" applyFont="1" applyFill="1"/>
    <xf numFmtId="165" fontId="0" fillId="0" borderId="0" xfId="0" applyNumberFormat="1" applyAlignment="1">
      <alignment horizontal="center"/>
    </xf>
    <xf numFmtId="205" fontId="0" fillId="0" borderId="0" xfId="25745" applyNumberFormat="1" applyFont="1" applyFill="1"/>
    <xf numFmtId="205" fontId="0" fillId="0" borderId="0" xfId="0" applyNumberFormat="1"/>
    <xf numFmtId="0" fontId="120" fillId="0" borderId="0" xfId="28781" applyFont="1" applyAlignment="1">
      <alignment horizontal="left"/>
    </xf>
    <xf numFmtId="0" fontId="1" fillId="0" borderId="0" xfId="28781" applyFont="1"/>
    <xf numFmtId="0" fontId="1" fillId="0" borderId="0" xfId="28781" applyFont="1" applyAlignment="1">
      <alignment horizontal="center"/>
    </xf>
    <xf numFmtId="0" fontId="126" fillId="0" borderId="0" xfId="28781" quotePrefix="1" applyFont="1"/>
    <xf numFmtId="49" fontId="120" fillId="0" borderId="0" xfId="28781" applyNumberFormat="1" applyFont="1"/>
    <xf numFmtId="0" fontId="124" fillId="0" borderId="0" xfId="28781" applyFont="1" applyAlignment="1">
      <alignment horizontal="center"/>
    </xf>
    <xf numFmtId="0" fontId="120" fillId="0" borderId="0" xfId="28781" applyFont="1" applyAlignment="1">
      <alignment horizontal="center"/>
    </xf>
    <xf numFmtId="43" fontId="120" fillId="0" borderId="11" xfId="25742" applyFont="1" applyFill="1" applyBorder="1"/>
    <xf numFmtId="203" fontId="120" fillId="0" borderId="0" xfId="28781" applyNumberFormat="1" applyFont="1"/>
    <xf numFmtId="4" fontId="120" fillId="0" borderId="0" xfId="28781" applyNumberFormat="1" applyFont="1"/>
    <xf numFmtId="17" fontId="124" fillId="0" borderId="0" xfId="28781" applyNumberFormat="1" applyFont="1" applyAlignment="1">
      <alignment horizontal="center"/>
    </xf>
    <xf numFmtId="17" fontId="124" fillId="0" borderId="0" xfId="28781" quotePrefix="1" applyNumberFormat="1" applyFont="1" applyAlignment="1">
      <alignment horizontal="center"/>
    </xf>
    <xf numFmtId="0" fontId="124" fillId="0" borderId="0" xfId="0" applyFont="1" applyAlignment="1">
      <alignment horizontal="centerContinuous"/>
    </xf>
    <xf numFmtId="0" fontId="120" fillId="0" borderId="137" xfId="0" applyFont="1" applyBorder="1" applyAlignment="1">
      <alignment horizontal="right"/>
    </xf>
    <xf numFmtId="0" fontId="120" fillId="0" borderId="138" xfId="0" applyFont="1" applyBorder="1" applyAlignment="1">
      <alignment horizontal="right" wrapText="1"/>
    </xf>
    <xf numFmtId="0" fontId="120" fillId="0" borderId="141" xfId="0" applyFont="1" applyBorder="1" applyAlignment="1">
      <alignment horizontal="center" wrapText="1"/>
    </xf>
    <xf numFmtId="0" fontId="120" fillId="0" borderId="13" xfId="0" applyFont="1" applyBorder="1" applyAlignment="1">
      <alignment horizontal="center"/>
    </xf>
    <xf numFmtId="0" fontId="120" fillId="0" borderId="13" xfId="0" applyFont="1" applyBorder="1" applyAlignment="1">
      <alignment horizontal="center" wrapText="1"/>
    </xf>
    <xf numFmtId="0" fontId="120" fillId="0" borderId="13" xfId="0" applyFont="1" applyBorder="1" applyAlignment="1">
      <alignment horizontal="right" wrapText="1"/>
    </xf>
    <xf numFmtId="0" fontId="124" fillId="0" borderId="137" xfId="0" applyFont="1" applyBorder="1" applyAlignment="1">
      <alignment horizontal="center"/>
    </xf>
    <xf numFmtId="195" fontId="0" fillId="0" borderId="0" xfId="25745" applyNumberFormat="1" applyFont="1" applyFill="1"/>
    <xf numFmtId="188" fontId="120" fillId="0" borderId="0" xfId="0" applyNumberFormat="1" applyFont="1" applyAlignment="1">
      <alignment horizontal="right"/>
    </xf>
    <xf numFmtId="186" fontId="120" fillId="0" borderId="0" xfId="0" applyNumberFormat="1" applyFont="1" applyAlignment="1">
      <alignment horizontal="right"/>
    </xf>
    <xf numFmtId="165" fontId="0" fillId="0" borderId="137" xfId="25742" applyNumberFormat="1" applyFont="1" applyFill="1" applyBorder="1"/>
    <xf numFmtId="165" fontId="0" fillId="0" borderId="137" xfId="0" applyNumberFormat="1" applyBorder="1"/>
    <xf numFmtId="0" fontId="124" fillId="0" borderId="137" xfId="0" applyFont="1" applyBorder="1"/>
    <xf numFmtId="186" fontId="120" fillId="0" borderId="137" xfId="0" applyNumberFormat="1" applyFont="1" applyBorder="1" applyAlignment="1">
      <alignment horizontal="right"/>
    </xf>
    <xf numFmtId="188" fontId="120" fillId="0" borderId="137" xfId="0" applyNumberFormat="1" applyFont="1" applyBorder="1" applyAlignment="1">
      <alignment horizontal="right"/>
    </xf>
    <xf numFmtId="195" fontId="0" fillId="0" borderId="141" xfId="25745" applyNumberFormat="1" applyFont="1" applyFill="1" applyBorder="1"/>
    <xf numFmtId="195" fontId="0" fillId="0" borderId="137" xfId="25745" applyNumberFormat="1" applyFont="1" applyFill="1" applyBorder="1"/>
    <xf numFmtId="43" fontId="120" fillId="0" borderId="0" xfId="0" applyNumberFormat="1" applyFont="1" applyAlignment="1">
      <alignment horizontal="right"/>
    </xf>
    <xf numFmtId="0" fontId="120" fillId="0" borderId="0" xfId="33391" applyFont="1"/>
    <xf numFmtId="0" fontId="120" fillId="0" borderId="0" xfId="0" applyFont="1" applyAlignment="1">
      <alignment vertical="top"/>
    </xf>
    <xf numFmtId="183" fontId="0" fillId="0" borderId="0" xfId="0" applyNumberFormat="1"/>
    <xf numFmtId="5" fontId="120" fillId="0" borderId="0" xfId="0" applyNumberFormat="1" applyFont="1" applyAlignment="1">
      <alignment horizontal="right"/>
    </xf>
    <xf numFmtId="0" fontId="124" fillId="0" borderId="66" xfId="0" applyFont="1" applyBorder="1"/>
    <xf numFmtId="0" fontId="0" fillId="0" borderId="141" xfId="0" applyBorder="1"/>
    <xf numFmtId="195" fontId="0" fillId="0" borderId="141" xfId="0" applyNumberFormat="1" applyBorder="1"/>
    <xf numFmtId="7" fontId="120" fillId="0" borderId="141" xfId="0" applyNumberFormat="1" applyFont="1" applyBorder="1" applyAlignment="1">
      <alignment horizontal="right"/>
    </xf>
    <xf numFmtId="7" fontId="120" fillId="0" borderId="0" xfId="0" applyNumberFormat="1" applyFont="1" applyAlignment="1">
      <alignment horizontal="right"/>
    </xf>
    <xf numFmtId="165" fontId="120" fillId="0" borderId="0" xfId="0" applyNumberFormat="1" applyFont="1" applyAlignment="1">
      <alignment horizontal="right"/>
    </xf>
    <xf numFmtId="195" fontId="120" fillId="0" borderId="0" xfId="0" applyNumberFormat="1" applyFont="1" applyAlignment="1">
      <alignment horizontal="right"/>
    </xf>
    <xf numFmtId="201" fontId="120" fillId="0" borderId="0" xfId="0" applyNumberFormat="1" applyFont="1" applyAlignment="1">
      <alignment horizontal="right"/>
    </xf>
    <xf numFmtId="43" fontId="124" fillId="0" borderId="0" xfId="0" applyNumberFormat="1" applyFont="1" applyAlignment="1">
      <alignment horizontal="right"/>
    </xf>
    <xf numFmtId="195" fontId="0" fillId="0" borderId="64" xfId="25745" applyNumberFormat="1" applyFont="1" applyBorder="1"/>
    <xf numFmtId="0" fontId="135" fillId="0" borderId="0" xfId="30158" applyFont="1" applyAlignment="1">
      <alignment horizontal="left" indent="1"/>
    </xf>
    <xf numFmtId="0" fontId="135" fillId="0" borderId="0" xfId="30158" applyFont="1"/>
    <xf numFmtId="0" fontId="135" fillId="0" borderId="0" xfId="30158" applyFont="1" applyAlignment="1">
      <alignment horizontal="left"/>
    </xf>
    <xf numFmtId="14" fontId="1" fillId="0" borderId="0" xfId="0" applyNumberFormat="1" applyFont="1"/>
    <xf numFmtId="183" fontId="149" fillId="0" borderId="0" xfId="0" applyNumberFormat="1" applyFont="1"/>
    <xf numFmtId="0" fontId="161" fillId="0" borderId="0" xfId="0" applyFont="1" applyAlignment="1">
      <alignment horizontal="right"/>
    </xf>
    <xf numFmtId="43" fontId="161" fillId="0" borderId="0" xfId="25742" applyFont="1" applyFill="1" applyAlignment="1">
      <alignment horizontal="right"/>
    </xf>
    <xf numFmtId="0" fontId="0" fillId="0" borderId="0" xfId="0" applyAlignment="1">
      <alignment horizontal="center" wrapText="1"/>
    </xf>
    <xf numFmtId="0" fontId="18" fillId="0" borderId="0" xfId="25999" quotePrefix="1"/>
    <xf numFmtId="0" fontId="18" fillId="0" borderId="0" xfId="25999"/>
    <xf numFmtId="0" fontId="163" fillId="0" borderId="0" xfId="25999" applyFont="1"/>
    <xf numFmtId="0" fontId="18" fillId="0" borderId="137" xfId="25999" applyBorder="1" applyAlignment="1">
      <alignment horizontal="center"/>
    </xf>
    <xf numFmtId="166" fontId="18" fillId="0" borderId="0" xfId="25748" applyNumberFormat="1" applyFont="1" applyFill="1"/>
    <xf numFmtId="166" fontId="18" fillId="0" borderId="0" xfId="25748" applyNumberFormat="1" applyFont="1"/>
    <xf numFmtId="166" fontId="18" fillId="0" borderId="0" xfId="25999" applyNumberFormat="1"/>
    <xf numFmtId="0" fontId="1" fillId="0" borderId="0" xfId="366" applyAlignment="1">
      <alignment horizontal="left" wrapText="1"/>
    </xf>
    <xf numFmtId="0" fontId="18" fillId="0" borderId="0" xfId="0" applyFont="1" applyAlignment="1">
      <alignment horizontal="left"/>
    </xf>
    <xf numFmtId="0" fontId="1" fillId="0" borderId="0" xfId="366" applyAlignment="1">
      <alignment horizontal="left"/>
    </xf>
    <xf numFmtId="165" fontId="1" fillId="0" borderId="137" xfId="0" applyNumberFormat="1" applyFont="1" applyBorder="1"/>
    <xf numFmtId="2" fontId="1" fillId="0" borderId="0" xfId="0" applyNumberFormat="1" applyFont="1"/>
    <xf numFmtId="2" fontId="1" fillId="0" borderId="0" xfId="25793" applyNumberFormat="1" applyFont="1" applyFill="1" applyBorder="1"/>
    <xf numFmtId="49" fontId="120" fillId="0" borderId="0" xfId="27901" applyNumberFormat="1" applyFont="1" applyAlignment="1">
      <alignment horizontal="center"/>
    </xf>
    <xf numFmtId="49" fontId="120" fillId="0" borderId="0" xfId="33384" applyNumberFormat="1" applyFont="1" applyAlignment="1">
      <alignment horizontal="center"/>
    </xf>
    <xf numFmtId="49" fontId="124" fillId="0" borderId="137" xfId="33384" quotePrefix="1" applyNumberFormat="1" applyFont="1" applyBorder="1" applyAlignment="1">
      <alignment horizontal="center"/>
    </xf>
    <xf numFmtId="49" fontId="124" fillId="0" borderId="0" xfId="27901" quotePrefix="1" applyNumberFormat="1" applyFont="1" applyAlignment="1">
      <alignment horizontal="center"/>
    </xf>
    <xf numFmtId="49" fontId="120" fillId="0" borderId="0" xfId="27907" applyNumberFormat="1" applyFont="1"/>
    <xf numFmtId="49" fontId="120" fillId="0" borderId="0" xfId="166" applyNumberFormat="1" applyFont="1"/>
    <xf numFmtId="0" fontId="124" fillId="0" borderId="0" xfId="25764" applyFont="1"/>
    <xf numFmtId="49" fontId="124" fillId="0" borderId="0" xfId="25764" applyNumberFormat="1" applyFont="1"/>
    <xf numFmtId="49" fontId="120" fillId="0" borderId="0" xfId="27901" applyNumberFormat="1" applyFont="1" applyAlignment="1">
      <alignment horizontal="right"/>
    </xf>
    <xf numFmtId="49" fontId="120" fillId="0" borderId="0" xfId="52" applyNumberFormat="1" applyFont="1"/>
    <xf numFmtId="49" fontId="120" fillId="0" borderId="0" xfId="27904" applyNumberFormat="1" applyFont="1"/>
    <xf numFmtId="49" fontId="120" fillId="0" borderId="0" xfId="27905" applyNumberFormat="1" applyFont="1"/>
    <xf numFmtId="49" fontId="120" fillId="0" borderId="0" xfId="27906" applyNumberFormat="1" applyFont="1"/>
    <xf numFmtId="39" fontId="120" fillId="0" borderId="0" xfId="166" applyNumberFormat="1" applyFont="1"/>
    <xf numFmtId="39" fontId="120" fillId="0" borderId="0" xfId="52" applyNumberFormat="1" applyFont="1"/>
    <xf numFmtId="39" fontId="120" fillId="0" borderId="0" xfId="27904" applyNumberFormat="1" applyFont="1"/>
    <xf numFmtId="39" fontId="120" fillId="0" borderId="0" xfId="27905" applyNumberFormat="1" applyFont="1"/>
    <xf numFmtId="39" fontId="120" fillId="0" borderId="137" xfId="27903" applyNumberFormat="1" applyFont="1" applyFill="1" applyBorder="1"/>
    <xf numFmtId="39" fontId="120" fillId="0" borderId="141" xfId="27903" applyNumberFormat="1" applyFont="1" applyFill="1" applyBorder="1"/>
    <xf numFmtId="43" fontId="120" fillId="0" borderId="137" xfId="166" applyNumberFormat="1" applyFont="1" applyBorder="1"/>
    <xf numFmtId="43" fontId="120" fillId="0" borderId="0" xfId="166" applyNumberFormat="1" applyFont="1"/>
    <xf numFmtId="165" fontId="120" fillId="0" borderId="137" xfId="25742" applyNumberFormat="1" applyFont="1" applyFill="1" applyBorder="1"/>
    <xf numFmtId="43" fontId="120" fillId="0" borderId="138" xfId="27908" applyFont="1" applyFill="1" applyBorder="1"/>
    <xf numFmtId="43" fontId="120" fillId="0" borderId="138" xfId="27909" applyFont="1" applyFill="1" applyBorder="1"/>
    <xf numFmtId="43" fontId="120" fillId="0" borderId="138" xfId="27910" applyFont="1" applyFill="1" applyBorder="1"/>
    <xf numFmtId="43" fontId="120" fillId="0" borderId="138" xfId="27911" applyFont="1" applyFill="1" applyBorder="1"/>
    <xf numFmtId="43" fontId="120" fillId="0" borderId="138" xfId="27912" applyFont="1" applyFill="1" applyBorder="1"/>
    <xf numFmtId="43" fontId="120" fillId="0" borderId="138" xfId="27913" applyFont="1" applyFill="1" applyBorder="1"/>
    <xf numFmtId="43" fontId="120" fillId="0" borderId="138" xfId="27914" applyFont="1" applyFill="1" applyBorder="1"/>
    <xf numFmtId="43" fontId="120" fillId="0" borderId="138" xfId="27915" applyFont="1" applyFill="1" applyBorder="1"/>
    <xf numFmtId="0" fontId="120" fillId="0" borderId="0" xfId="0" quotePrefix="1" applyFont="1"/>
    <xf numFmtId="43" fontId="120" fillId="0" borderId="0" xfId="25766" applyFont="1" applyFill="1"/>
    <xf numFmtId="43" fontId="120" fillId="0" borderId="0" xfId="27900" applyFont="1" applyFill="1"/>
    <xf numFmtId="49" fontId="120" fillId="0" borderId="0" xfId="27919" applyNumberFormat="1" applyFont="1"/>
    <xf numFmtId="49" fontId="120" fillId="0" borderId="0" xfId="27920" applyNumberFormat="1" applyFont="1"/>
    <xf numFmtId="49" fontId="120" fillId="0" borderId="0" xfId="27921" applyNumberFormat="1" applyFont="1"/>
    <xf numFmtId="43" fontId="124" fillId="0" borderId="64" xfId="27903" applyFont="1" applyFill="1" applyBorder="1"/>
    <xf numFmtId="2" fontId="120" fillId="0" borderId="0" xfId="25764" applyNumberFormat="1" applyFont="1" applyAlignment="1">
      <alignment wrapText="1"/>
    </xf>
    <xf numFmtId="49" fontId="120" fillId="0" borderId="0" xfId="25764" applyNumberFormat="1" applyFont="1"/>
    <xf numFmtId="49" fontId="120" fillId="0" borderId="0" xfId="409" applyNumberFormat="1" applyFont="1"/>
    <xf numFmtId="0" fontId="143" fillId="0" borderId="138" xfId="0" applyFont="1" applyBorder="1"/>
    <xf numFmtId="0" fontId="0" fillId="0" borderId="0" xfId="0" applyAlignment="1">
      <alignment horizontal="right"/>
    </xf>
    <xf numFmtId="202" fontId="1" fillId="0" borderId="0" xfId="0" applyNumberFormat="1" applyFont="1" applyAlignment="1">
      <alignment horizontal="right"/>
    </xf>
    <xf numFmtId="0" fontId="127" fillId="0" borderId="0" xfId="0" applyFont="1" applyAlignment="1">
      <alignment horizontal="center"/>
    </xf>
    <xf numFmtId="0" fontId="143" fillId="0" borderId="0" xfId="0" applyFont="1" applyAlignment="1">
      <alignment horizontal="right"/>
    </xf>
    <xf numFmtId="10" fontId="144" fillId="0" borderId="0" xfId="0" applyNumberFormat="1" applyFont="1"/>
    <xf numFmtId="39" fontId="120" fillId="0" borderId="0" xfId="25455" applyNumberFormat="1" applyFont="1" applyAlignment="1">
      <alignment horizontal="center"/>
    </xf>
    <xf numFmtId="0" fontId="18" fillId="0" borderId="0" xfId="33396" applyFont="1"/>
    <xf numFmtId="0" fontId="0" fillId="0" borderId="141" xfId="0" applyBorder="1" applyAlignment="1">
      <alignment horizontal="center"/>
    </xf>
    <xf numFmtId="0" fontId="0" fillId="0" borderId="66" xfId="0" applyBorder="1" applyAlignment="1">
      <alignment horizontal="center"/>
    </xf>
    <xf numFmtId="5" fontId="0" fillId="0" borderId="0" xfId="0" applyNumberFormat="1"/>
    <xf numFmtId="5" fontId="0" fillId="0" borderId="143" xfId="0" applyNumberFormat="1" applyBorder="1"/>
    <xf numFmtId="4" fontId="120" fillId="0" borderId="137" xfId="25742" applyNumberFormat="1" applyFont="1" applyFill="1" applyBorder="1" applyAlignment="1">
      <alignment horizontal="center" wrapText="1"/>
    </xf>
    <xf numFmtId="4" fontId="120" fillId="0" borderId="0" xfId="25742" applyNumberFormat="1" applyFont="1" applyFill="1" applyBorder="1"/>
    <xf numFmtId="4" fontId="120" fillId="0" borderId="0" xfId="25742" applyNumberFormat="1" applyFont="1" applyFill="1"/>
    <xf numFmtId="4" fontId="120" fillId="0" borderId="141" xfId="25742" applyNumberFormat="1" applyFont="1" applyFill="1" applyBorder="1"/>
    <xf numFmtId="4" fontId="120" fillId="0" borderId="0" xfId="25793" applyNumberFormat="1" applyFont="1" applyFill="1" applyBorder="1"/>
    <xf numFmtId="4" fontId="120" fillId="0" borderId="65" xfId="25742" applyNumberFormat="1" applyFont="1" applyFill="1" applyBorder="1"/>
    <xf numFmtId="0" fontId="120" fillId="0" borderId="0" xfId="25794" applyFont="1"/>
    <xf numFmtId="14" fontId="120" fillId="0" borderId="0" xfId="25750" applyNumberFormat="1" applyFont="1" applyAlignment="1">
      <alignment horizontal="right" wrapText="1"/>
    </xf>
    <xf numFmtId="4" fontId="120" fillId="0" borderId="0" xfId="25794" applyNumberFormat="1" applyFont="1"/>
    <xf numFmtId="0" fontId="120" fillId="0" borderId="0" xfId="25794" applyFont="1" applyAlignment="1">
      <alignment horizontal="center"/>
    </xf>
    <xf numFmtId="39" fontId="120" fillId="0" borderId="0" xfId="25794" applyNumberFormat="1" applyFont="1"/>
    <xf numFmtId="14" fontId="120" fillId="0" borderId="0" xfId="0" applyNumberFormat="1" applyFont="1"/>
    <xf numFmtId="4" fontId="120" fillId="0" borderId="0" xfId="0" applyNumberFormat="1" applyFont="1"/>
    <xf numFmtId="0" fontId="120" fillId="0" borderId="0" xfId="24690" applyFont="1"/>
    <xf numFmtId="0" fontId="120" fillId="0" borderId="0" xfId="24690" applyFont="1" applyAlignment="1">
      <alignment horizontal="center"/>
    </xf>
    <xf numFmtId="0" fontId="120" fillId="0" borderId="137" xfId="25750" applyFont="1" applyBorder="1" applyAlignment="1">
      <alignment horizontal="center" wrapText="1"/>
    </xf>
    <xf numFmtId="4" fontId="120" fillId="0" borderId="137" xfId="25750" applyNumberFormat="1" applyFont="1" applyBorder="1" applyAlignment="1">
      <alignment horizontal="center" wrapText="1"/>
    </xf>
    <xf numFmtId="0" fontId="120" fillId="0" borderId="0" xfId="25750" applyFont="1" applyAlignment="1">
      <alignment horizontal="left" wrapText="1"/>
    </xf>
    <xf numFmtId="172" fontId="120" fillId="0" borderId="0" xfId="0" applyNumberFormat="1" applyFont="1"/>
    <xf numFmtId="0" fontId="120" fillId="0" borderId="141" xfId="25750" applyFont="1" applyBorder="1"/>
    <xf numFmtId="0" fontId="120" fillId="0" borderId="141" xfId="25750" applyFont="1" applyBorder="1" applyAlignment="1">
      <alignment horizontal="right"/>
    </xf>
    <xf numFmtId="0" fontId="120" fillId="0" borderId="0" xfId="25750" applyFont="1"/>
    <xf numFmtId="0" fontId="120" fillId="0" borderId="0" xfId="25750" applyFont="1" applyAlignment="1">
      <alignment horizontal="right"/>
    </xf>
    <xf numFmtId="4" fontId="120" fillId="0" borderId="0" xfId="25750" applyNumberFormat="1" applyFont="1"/>
    <xf numFmtId="207" fontId="120" fillId="0" borderId="0" xfId="0" applyNumberFormat="1" applyFont="1" applyAlignment="1">
      <alignment horizontal="center"/>
    </xf>
    <xf numFmtId="0" fontId="120" fillId="0" borderId="65" xfId="25750" applyFont="1" applyBorder="1" applyAlignment="1">
      <alignment horizontal="right"/>
    </xf>
    <xf numFmtId="0" fontId="120" fillId="0" borderId="137" xfId="25794" applyFont="1" applyBorder="1" applyAlignment="1">
      <alignment horizontal="center" wrapText="1"/>
    </xf>
    <xf numFmtId="4" fontId="120" fillId="0" borderId="137" xfId="25794" applyNumberFormat="1" applyFont="1" applyBorder="1" applyAlignment="1">
      <alignment horizontal="center" wrapText="1"/>
    </xf>
    <xf numFmtId="14" fontId="120" fillId="0" borderId="137" xfId="25794" applyNumberFormat="1" applyFont="1" applyBorder="1" applyAlignment="1">
      <alignment horizontal="center" wrapText="1"/>
    </xf>
    <xf numFmtId="172" fontId="120" fillId="0" borderId="0" xfId="25794" applyNumberFormat="1" applyFont="1" applyAlignment="1">
      <alignment horizontal="center"/>
    </xf>
    <xf numFmtId="0" fontId="120" fillId="0" borderId="0" xfId="25794" applyFont="1" applyAlignment="1">
      <alignment horizontal="right"/>
    </xf>
    <xf numFmtId="10" fontId="120" fillId="0" borderId="137" xfId="0" applyNumberFormat="1" applyFont="1" applyBorder="1"/>
    <xf numFmtId="0" fontId="120" fillId="0" borderId="141" xfId="25794" applyFont="1" applyBorder="1" applyAlignment="1">
      <alignment horizontal="center"/>
    </xf>
    <xf numFmtId="10" fontId="120" fillId="0" borderId="141" xfId="25794" applyNumberFormat="1" applyFont="1" applyBorder="1" applyAlignment="1">
      <alignment horizontal="center"/>
    </xf>
    <xf numFmtId="43" fontId="120" fillId="0" borderId="141" xfId="0" applyNumberFormat="1" applyFont="1" applyBorder="1"/>
    <xf numFmtId="165" fontId="1" fillId="0" borderId="0" xfId="0" applyNumberFormat="1" applyFont="1" applyAlignment="1">
      <alignment horizontal="center"/>
    </xf>
    <xf numFmtId="165" fontId="1" fillId="0" borderId="137" xfId="0" applyNumberFormat="1" applyFont="1" applyBorder="1" applyAlignment="1">
      <alignment horizontal="center"/>
    </xf>
    <xf numFmtId="165" fontId="1" fillId="0" borderId="0" xfId="0" applyNumberFormat="1" applyFont="1" applyAlignment="1">
      <alignment horizontal="left"/>
    </xf>
    <xf numFmtId="165" fontId="124" fillId="0" borderId="0" xfId="30158" applyNumberFormat="1" applyFont="1"/>
    <xf numFmtId="165" fontId="1" fillId="0" borderId="137" xfId="0" applyNumberFormat="1" applyFont="1" applyBorder="1" applyAlignment="1">
      <alignment horizontal="left"/>
    </xf>
    <xf numFmtId="190" fontId="1" fillId="0" borderId="0" xfId="0" applyNumberFormat="1" applyFont="1"/>
    <xf numFmtId="204" fontId="0" fillId="0" borderId="141" xfId="0" applyNumberFormat="1" applyBorder="1" applyAlignment="1">
      <alignment horizontal="center"/>
    </xf>
    <xf numFmtId="10" fontId="0" fillId="0" borderId="0" xfId="0" applyNumberFormat="1"/>
    <xf numFmtId="17" fontId="0" fillId="0" borderId="0" xfId="0" quotePrefix="1" applyNumberFormat="1" applyAlignment="1">
      <alignment horizontal="center"/>
    </xf>
    <xf numFmtId="165" fontId="0" fillId="0" borderId="137" xfId="0" applyNumberFormat="1" applyBorder="1" applyAlignment="1">
      <alignment horizontal="center"/>
    </xf>
    <xf numFmtId="10" fontId="0" fillId="0" borderId="137" xfId="0" applyNumberFormat="1" applyBorder="1"/>
    <xf numFmtId="4" fontId="0" fillId="0" borderId="0" xfId="0" applyNumberFormat="1"/>
    <xf numFmtId="5" fontId="0" fillId="0" borderId="0" xfId="25745" applyNumberFormat="1" applyFont="1"/>
    <xf numFmtId="5" fontId="0" fillId="0" borderId="137" xfId="25745" applyNumberFormat="1" applyFont="1" applyBorder="1"/>
    <xf numFmtId="5" fontId="0" fillId="0" borderId="139" xfId="0" applyNumberFormat="1" applyBorder="1"/>
    <xf numFmtId="5" fontId="0" fillId="0" borderId="137" xfId="0" applyNumberFormat="1" applyBorder="1"/>
    <xf numFmtId="166" fontId="124" fillId="0" borderId="65" xfId="25292" applyNumberFormat="1" applyFont="1" applyFill="1" applyBorder="1" applyAlignment="1">
      <alignment horizontal="center"/>
    </xf>
    <xf numFmtId="9" fontId="0" fillId="0" borderId="0" xfId="0" applyNumberFormat="1"/>
    <xf numFmtId="0" fontId="133" fillId="0" borderId="137" xfId="0" applyFont="1" applyBorder="1" applyAlignment="1">
      <alignment horizontal="center" wrapText="1"/>
    </xf>
    <xf numFmtId="10" fontId="146" fillId="0" borderId="0" xfId="0" applyNumberFormat="1" applyFont="1"/>
    <xf numFmtId="10" fontId="16" fillId="0" borderId="0" xfId="25793" applyNumberFormat="1" applyFont="1"/>
    <xf numFmtId="39" fontId="124" fillId="0" borderId="0" xfId="25743" applyFont="1" applyAlignment="1">
      <alignment horizontal="left"/>
    </xf>
    <xf numFmtId="39" fontId="120" fillId="0" borderId="0" xfId="25743" applyFont="1"/>
    <xf numFmtId="49" fontId="120" fillId="0" borderId="0" xfId="25743" applyNumberFormat="1" applyFont="1" applyAlignment="1">
      <alignment horizontal="center"/>
    </xf>
    <xf numFmtId="39" fontId="120" fillId="0" borderId="0" xfId="25743" applyFont="1" applyAlignment="1">
      <alignment horizontal="left"/>
    </xf>
    <xf numFmtId="39" fontId="120" fillId="0" borderId="0" xfId="25743" applyFont="1" applyAlignment="1">
      <alignment horizontal="center"/>
    </xf>
    <xf numFmtId="39" fontId="120" fillId="0" borderId="0" xfId="25743" quotePrefix="1" applyFont="1" applyAlignment="1">
      <alignment horizontal="center"/>
    </xf>
    <xf numFmtId="37" fontId="120" fillId="0" borderId="0" xfId="25743" applyNumberFormat="1" applyFont="1" applyAlignment="1">
      <alignment horizontal="center"/>
    </xf>
    <xf numFmtId="39" fontId="124" fillId="0" borderId="0" xfId="25743" applyFont="1" applyAlignment="1">
      <alignment horizontal="left" indent="2"/>
    </xf>
    <xf numFmtId="165" fontId="1" fillId="0" borderId="138" xfId="0" applyNumberFormat="1" applyFont="1" applyBorder="1"/>
    <xf numFmtId="165" fontId="120" fillId="0" borderId="64" xfId="0" applyNumberFormat="1" applyFont="1" applyBorder="1"/>
    <xf numFmtId="213" fontId="120" fillId="0" borderId="137" xfId="25742" applyNumberFormat="1" applyFont="1" applyBorder="1"/>
    <xf numFmtId="165" fontId="124" fillId="0" borderId="0" xfId="25742" applyNumberFormat="1" applyFont="1" applyFill="1"/>
    <xf numFmtId="43" fontId="134" fillId="0" borderId="0" xfId="33391" applyNumberFormat="1"/>
    <xf numFmtId="44" fontId="134" fillId="0" borderId="0" xfId="33391" applyNumberFormat="1"/>
    <xf numFmtId="43" fontId="1" fillId="0" borderId="0" xfId="25742" applyFont="1" applyFill="1" applyBorder="1"/>
    <xf numFmtId="49" fontId="0" fillId="0" borderId="0" xfId="0" applyNumberFormat="1"/>
    <xf numFmtId="43" fontId="0" fillId="0" borderId="0" xfId="25766" applyFont="1" applyFill="1"/>
    <xf numFmtId="14" fontId="0" fillId="0" borderId="0" xfId="0" applyNumberFormat="1" applyAlignment="1">
      <alignment horizontal="center" wrapText="1"/>
    </xf>
    <xf numFmtId="0" fontId="1" fillId="0" borderId="141" xfId="0" applyFont="1" applyBorder="1" applyAlignment="1">
      <alignment horizontal="center" wrapText="1"/>
    </xf>
    <xf numFmtId="37" fontId="1" fillId="0" borderId="0" xfId="25745" applyNumberFormat="1" applyFont="1"/>
    <xf numFmtId="37" fontId="1" fillId="0" borderId="137" xfId="25745" applyNumberFormat="1" applyFont="1" applyBorder="1"/>
    <xf numFmtId="37" fontId="1" fillId="0" borderId="137" xfId="0" applyNumberFormat="1" applyFont="1" applyBorder="1"/>
    <xf numFmtId="37" fontId="1" fillId="0" borderId="65" xfId="25745" applyNumberFormat="1" applyFont="1" applyFill="1" applyBorder="1"/>
    <xf numFmtId="0" fontId="120" fillId="0" borderId="0" xfId="30158" applyFont="1" applyAlignment="1">
      <alignment horizontal="center"/>
    </xf>
    <xf numFmtId="0" fontId="120" fillId="0" borderId="0" xfId="30158" applyFont="1" applyAlignment="1">
      <alignment horizontal="left" indent="1"/>
    </xf>
    <xf numFmtId="37" fontId="120" fillId="0" borderId="0" xfId="30158" applyNumberFormat="1" applyFont="1"/>
    <xf numFmtId="194" fontId="120" fillId="0" borderId="0" xfId="30158" applyNumberFormat="1" applyFont="1"/>
    <xf numFmtId="0" fontId="16" fillId="0" borderId="144" xfId="0" applyFont="1" applyBorder="1" applyAlignment="1">
      <alignment vertical="center"/>
    </xf>
    <xf numFmtId="0" fontId="16" fillId="0" borderId="145" xfId="0" applyFont="1" applyBorder="1" applyAlignment="1">
      <alignment vertical="center"/>
    </xf>
    <xf numFmtId="0" fontId="16" fillId="0" borderId="146" xfId="0" applyFont="1" applyBorder="1" applyAlignment="1">
      <alignment vertical="center"/>
    </xf>
    <xf numFmtId="0" fontId="16" fillId="0" borderId="73" xfId="0" applyFont="1" applyBorder="1" applyAlignment="1">
      <alignment vertical="center"/>
    </xf>
    <xf numFmtId="0" fontId="16" fillId="0" borderId="0" xfId="0" applyFont="1" applyAlignment="1">
      <alignment vertical="center"/>
    </xf>
    <xf numFmtId="0" fontId="16" fillId="0" borderId="74" xfId="0" applyFont="1" applyBorder="1" applyAlignment="1">
      <alignment vertical="center"/>
    </xf>
    <xf numFmtId="0" fontId="16" fillId="0" borderId="75" xfId="0" applyFont="1" applyBorder="1" applyAlignment="1">
      <alignment vertical="center"/>
    </xf>
    <xf numFmtId="0" fontId="16" fillId="0" borderId="42" xfId="0" applyFont="1" applyBorder="1" applyAlignment="1">
      <alignment vertical="center"/>
    </xf>
    <xf numFmtId="0" fontId="16" fillId="0" borderId="76" xfId="0" applyFont="1" applyBorder="1" applyAlignment="1">
      <alignment vertical="center"/>
    </xf>
    <xf numFmtId="165" fontId="129" fillId="0" borderId="0" xfId="25742" applyNumberFormat="1" applyFont="1"/>
    <xf numFmtId="190" fontId="0" fillId="0" borderId="0" xfId="25793" applyNumberFormat="1" applyFont="1"/>
    <xf numFmtId="195" fontId="120" fillId="0" borderId="0" xfId="25745" applyNumberFormat="1" applyFont="1"/>
    <xf numFmtId="0" fontId="120" fillId="0" borderId="141" xfId="25750" applyFont="1" applyBorder="1" applyAlignment="1">
      <alignment horizontal="center" wrapText="1"/>
    </xf>
    <xf numFmtId="43" fontId="120" fillId="0" borderId="141" xfId="25742" applyFont="1" applyBorder="1" applyAlignment="1">
      <alignment horizontal="center" wrapText="1"/>
    </xf>
    <xf numFmtId="4" fontId="120" fillId="0" borderId="141" xfId="25750" applyNumberFormat="1" applyFont="1" applyBorder="1" applyAlignment="1">
      <alignment horizontal="center" wrapText="1"/>
    </xf>
    <xf numFmtId="17" fontId="124" fillId="0" borderId="137" xfId="0" quotePrefix="1" applyNumberFormat="1" applyFont="1" applyBorder="1"/>
    <xf numFmtId="43" fontId="124" fillId="0" borderId="0" xfId="25742" applyFont="1" applyFill="1" applyAlignment="1">
      <alignment horizontal="center"/>
    </xf>
    <xf numFmtId="17" fontId="124" fillId="0" borderId="0" xfId="0" quotePrefix="1" applyNumberFormat="1" applyFont="1"/>
    <xf numFmtId="43" fontId="124" fillId="0" borderId="0" xfId="25742" applyFont="1" applyFill="1" applyBorder="1" applyAlignment="1">
      <alignment horizontal="center"/>
    </xf>
    <xf numFmtId="0" fontId="120" fillId="0" borderId="0" xfId="0" quotePrefix="1" applyFont="1" applyAlignment="1">
      <alignment horizontal="left"/>
    </xf>
    <xf numFmtId="49" fontId="120" fillId="0" borderId="0" xfId="3264" applyNumberFormat="1" applyFont="1"/>
    <xf numFmtId="49" fontId="120" fillId="0" borderId="0" xfId="451" applyNumberFormat="1" applyFont="1"/>
    <xf numFmtId="49" fontId="120" fillId="0" borderId="0" xfId="419" applyNumberFormat="1" applyFont="1"/>
    <xf numFmtId="49" fontId="120" fillId="0" borderId="0" xfId="370" applyNumberFormat="1" applyFont="1"/>
    <xf numFmtId="49" fontId="120" fillId="0" borderId="0" xfId="0" applyNumberFormat="1" applyFont="1"/>
    <xf numFmtId="39" fontId="120" fillId="0" borderId="0" xfId="3264" applyNumberFormat="1" applyFont="1"/>
    <xf numFmtId="39" fontId="120" fillId="0" borderId="0" xfId="451" applyNumberFormat="1" applyFont="1"/>
    <xf numFmtId="39" fontId="120" fillId="0" borderId="0" xfId="419" applyNumberFormat="1" applyFont="1"/>
    <xf numFmtId="39" fontId="120" fillId="0" borderId="0" xfId="370" applyNumberFormat="1" applyFont="1"/>
    <xf numFmtId="43" fontId="120" fillId="0" borderId="138" xfId="25766" applyFont="1" applyFill="1" applyBorder="1"/>
    <xf numFmtId="43" fontId="120" fillId="0" borderId="0" xfId="25766" applyFont="1" applyFill="1" applyBorder="1"/>
    <xf numFmtId="43" fontId="120" fillId="0" borderId="143" xfId="25742" applyFont="1" applyFill="1" applyBorder="1"/>
    <xf numFmtId="49" fontId="120" fillId="0" borderId="0" xfId="3265" applyNumberFormat="1" applyFont="1"/>
    <xf numFmtId="49" fontId="120" fillId="0" borderId="0" xfId="3262" applyNumberFormat="1" applyFont="1"/>
    <xf numFmtId="43" fontId="124" fillId="0" borderId="0" xfId="25742" applyFont="1" applyFill="1" applyBorder="1"/>
    <xf numFmtId="43" fontId="124" fillId="0" borderId="11" xfId="25742" applyFont="1" applyFill="1" applyBorder="1"/>
    <xf numFmtId="2" fontId="120" fillId="0" borderId="0" xfId="409" applyNumberFormat="1" applyFont="1" applyAlignment="1">
      <alignment wrapText="1"/>
    </xf>
    <xf numFmtId="49" fontId="124" fillId="0" borderId="0" xfId="409" applyNumberFormat="1" applyFont="1"/>
    <xf numFmtId="0" fontId="120" fillId="0" borderId="137" xfId="0" applyFont="1" applyBorder="1"/>
    <xf numFmtId="43" fontId="124" fillId="0" borderId="0" xfId="0" applyNumberFormat="1" applyFont="1"/>
    <xf numFmtId="43" fontId="120" fillId="0" borderId="13" xfId="25742" applyFont="1" applyFill="1" applyBorder="1"/>
    <xf numFmtId="10" fontId="0" fillId="0" borderId="0" xfId="25793" applyNumberFormat="1" applyFont="1"/>
    <xf numFmtId="214" fontId="0" fillId="0" borderId="0" xfId="0" applyNumberFormat="1"/>
    <xf numFmtId="10" fontId="0" fillId="86" borderId="0" xfId="0" applyNumberFormat="1" applyFill="1"/>
    <xf numFmtId="14" fontId="124" fillId="0" borderId="0" xfId="25295" applyNumberFormat="1" applyFont="1"/>
    <xf numFmtId="195" fontId="0" fillId="0" borderId="0" xfId="25745" applyNumberFormat="1" applyFont="1" applyBorder="1"/>
    <xf numFmtId="14" fontId="120" fillId="0" borderId="0" xfId="25295" applyNumberFormat="1" applyFont="1"/>
    <xf numFmtId="165" fontId="0" fillId="0" borderId="143" xfId="0" applyNumberFormat="1" applyBorder="1"/>
    <xf numFmtId="0" fontId="165" fillId="0" borderId="137" xfId="0" applyFont="1" applyBorder="1" applyAlignment="1">
      <alignment horizontal="center"/>
    </xf>
    <xf numFmtId="0" fontId="120" fillId="0" borderId="137" xfId="30158" applyFont="1" applyBorder="1" applyAlignment="1">
      <alignment horizontal="center"/>
    </xf>
    <xf numFmtId="17" fontId="120" fillId="0" borderId="137" xfId="30158" applyNumberFormat="1" applyFont="1" applyBorder="1" applyAlignment="1">
      <alignment horizontal="center"/>
    </xf>
    <xf numFmtId="17" fontId="120" fillId="0" borderId="137" xfId="30158" quotePrefix="1" applyNumberFormat="1" applyFont="1" applyBorder="1" applyAlignment="1">
      <alignment horizontal="center"/>
    </xf>
    <xf numFmtId="0" fontId="124" fillId="0" borderId="137" xfId="30158" applyFont="1" applyBorder="1" applyAlignment="1">
      <alignment horizontal="center"/>
    </xf>
    <xf numFmtId="0" fontId="124" fillId="89" borderId="0" xfId="1" applyFont="1" applyFill="1" applyAlignment="1">
      <alignment horizontal="center"/>
    </xf>
    <xf numFmtId="0" fontId="124" fillId="0" borderId="0" xfId="1" applyFont="1" applyAlignment="1">
      <alignment horizontal="center"/>
    </xf>
    <xf numFmtId="0" fontId="0" fillId="0" borderId="141" xfId="0" applyBorder="1" applyAlignment="1">
      <alignment horizontal="center" vertical="center"/>
    </xf>
    <xf numFmtId="0" fontId="120" fillId="0" borderId="138" xfId="0" applyFont="1" applyBorder="1" applyAlignment="1">
      <alignment wrapText="1"/>
    </xf>
    <xf numFmtId="0" fontId="124" fillId="0" borderId="138" xfId="0" applyFont="1" applyBorder="1" applyAlignment="1">
      <alignment horizontal="center" wrapText="1"/>
    </xf>
    <xf numFmtId="43" fontId="120" fillId="0" borderId="0" xfId="25745" applyNumberFormat="1" applyFont="1" applyFill="1"/>
    <xf numFmtId="189" fontId="120" fillId="0" borderId="0" xfId="0" applyNumberFormat="1" applyFont="1"/>
    <xf numFmtId="43" fontId="120" fillId="0" borderId="67" xfId="25742" applyFont="1" applyBorder="1"/>
    <xf numFmtId="43" fontId="120" fillId="0" borderId="67" xfId="25742" applyFont="1" applyFill="1" applyBorder="1"/>
    <xf numFmtId="43" fontId="120" fillId="0" borderId="68" xfId="25742" applyFont="1" applyBorder="1"/>
    <xf numFmtId="43" fontId="120" fillId="0" borderId="68" xfId="25742" applyFont="1" applyFill="1" applyBorder="1"/>
    <xf numFmtId="43" fontId="120" fillId="0" borderId="11" xfId="25742" applyFont="1" applyBorder="1"/>
    <xf numFmtId="43" fontId="120" fillId="0" borderId="139" xfId="25742" applyFont="1" applyBorder="1"/>
    <xf numFmtId="43" fontId="120" fillId="0" borderId="139" xfId="25742" applyFont="1" applyFill="1" applyBorder="1"/>
    <xf numFmtId="43" fontId="120" fillId="0" borderId="138" xfId="25742" applyFont="1" applyBorder="1"/>
    <xf numFmtId="43" fontId="120" fillId="0" borderId="64" xfId="25742" applyFont="1" applyBorder="1"/>
    <xf numFmtId="43" fontId="120" fillId="0" borderId="72" xfId="25742" applyFont="1" applyBorder="1"/>
    <xf numFmtId="43" fontId="120" fillId="0" borderId="72" xfId="25742" applyFont="1" applyFill="1" applyBorder="1"/>
    <xf numFmtId="43" fontId="120" fillId="0" borderId="143" xfId="25742" applyFont="1" applyBorder="1"/>
    <xf numFmtId="43" fontId="120" fillId="0" borderId="66" xfId="25742" applyFont="1" applyBorder="1"/>
    <xf numFmtId="43" fontId="120" fillId="0" borderId="69" xfId="25742" applyFont="1" applyBorder="1"/>
    <xf numFmtId="43" fontId="120" fillId="0" borderId="140" xfId="25742" applyFont="1" applyBorder="1"/>
    <xf numFmtId="43" fontId="120" fillId="0" borderId="137" xfId="25742" applyFont="1" applyBorder="1"/>
    <xf numFmtId="43" fontId="120" fillId="0" borderId="71" xfId="25742" applyFont="1" applyBorder="1"/>
    <xf numFmtId="43" fontId="120" fillId="0" borderId="65" xfId="25742" applyFont="1" applyBorder="1"/>
    <xf numFmtId="43" fontId="120" fillId="0" borderId="0" xfId="25742" quotePrefix="1" applyFont="1" applyFill="1"/>
    <xf numFmtId="43" fontId="124" fillId="0" borderId="0" xfId="25455" applyNumberFormat="1" applyFont="1" applyAlignment="1">
      <alignment horizontal="center"/>
    </xf>
    <xf numFmtId="44" fontId="16" fillId="0" borderId="0" xfId="25745" applyFont="1" applyFill="1"/>
    <xf numFmtId="0" fontId="120" fillId="0" borderId="0" xfId="25455" applyFont="1" applyAlignment="1">
      <alignment wrapText="1"/>
    </xf>
    <xf numFmtId="0" fontId="0" fillId="0" borderId="0" xfId="0" applyAlignment="1">
      <alignment horizontal="left" indent="2"/>
    </xf>
    <xf numFmtId="172" fontId="0" fillId="0" borderId="0" xfId="0" applyNumberFormat="1" applyAlignment="1">
      <alignment horizontal="right"/>
    </xf>
    <xf numFmtId="4" fontId="0" fillId="0" borderId="65" xfId="0" applyNumberFormat="1" applyBorder="1"/>
    <xf numFmtId="14" fontId="0" fillId="0" borderId="0" xfId="0" applyNumberFormat="1" applyAlignment="1">
      <alignment horizontal="right"/>
    </xf>
    <xf numFmtId="178" fontId="150" fillId="0" borderId="0" xfId="0" applyNumberFormat="1" applyFont="1" applyAlignment="1">
      <alignment horizontal="left" wrapText="1"/>
    </xf>
    <xf numFmtId="0" fontId="166" fillId="0" borderId="0" xfId="0" applyFont="1" applyAlignment="1">
      <alignment horizontal="center"/>
    </xf>
    <xf numFmtId="0" fontId="148" fillId="0" borderId="0" xfId="0" applyFont="1" applyAlignment="1">
      <alignment horizontal="center"/>
    </xf>
    <xf numFmtId="0" fontId="148" fillId="0" borderId="0" xfId="0" applyFont="1" applyAlignment="1">
      <alignment horizontal="left"/>
    </xf>
    <xf numFmtId="0" fontId="167" fillId="0" borderId="0" xfId="0" applyFont="1"/>
    <xf numFmtId="0" fontId="148" fillId="0" borderId="0" xfId="0" applyFont="1" applyAlignment="1">
      <alignment horizontal="right"/>
    </xf>
    <xf numFmtId="195" fontId="148" fillId="0" borderId="0" xfId="0" applyNumberFormat="1" applyFont="1"/>
    <xf numFmtId="196" fontId="148" fillId="0" borderId="0" xfId="0" applyNumberFormat="1" applyFont="1" applyAlignment="1">
      <alignment horizontal="right"/>
    </xf>
    <xf numFmtId="196" fontId="148" fillId="0" borderId="0" xfId="0" applyNumberFormat="1" applyFont="1"/>
    <xf numFmtId="0" fontId="166" fillId="0" borderId="0" xfId="0" applyFont="1" applyAlignment="1">
      <alignment horizontal="center" vertical="top" wrapText="1"/>
    </xf>
    <xf numFmtId="0" fontId="166" fillId="0" borderId="0" xfId="0" applyFont="1"/>
    <xf numFmtId="10" fontId="148" fillId="0" borderId="0" xfId="0" applyNumberFormat="1" applyFont="1" applyAlignment="1">
      <alignment horizontal="right"/>
    </xf>
    <xf numFmtId="10" fontId="148" fillId="0" borderId="0" xfId="0" applyNumberFormat="1" applyFont="1"/>
    <xf numFmtId="195" fontId="148" fillId="0" borderId="0" xfId="0" applyNumberFormat="1" applyFont="1" applyAlignment="1">
      <alignment horizontal="right"/>
    </xf>
    <xf numFmtId="0" fontId="166" fillId="0" borderId="0" xfId="0" applyFont="1" applyAlignment="1">
      <alignment horizontal="center" vertical="top"/>
    </xf>
    <xf numFmtId="44" fontId="148" fillId="0" borderId="0" xfId="0" applyNumberFormat="1" applyFont="1"/>
    <xf numFmtId="165" fontId="148" fillId="0" borderId="0" xfId="0" applyNumberFormat="1" applyFont="1"/>
    <xf numFmtId="0" fontId="148" fillId="0" borderId="0" xfId="0" applyFont="1" applyAlignment="1">
      <alignment vertical="center"/>
    </xf>
    <xf numFmtId="42" fontId="148" fillId="0" borderId="0" xfId="0" applyNumberFormat="1" applyFont="1"/>
    <xf numFmtId="0" fontId="148" fillId="0" borderId="0" xfId="0" applyFont="1" applyAlignment="1">
      <alignment horizontal="left" wrapText="1"/>
    </xf>
    <xf numFmtId="195" fontId="148" fillId="0" borderId="0" xfId="0" applyNumberFormat="1" applyFont="1" applyAlignment="1">
      <alignment vertical="top"/>
    </xf>
    <xf numFmtId="178" fontId="150" fillId="0" borderId="0" xfId="0" applyNumberFormat="1" applyFont="1" applyAlignment="1">
      <alignment horizontal="left"/>
    </xf>
    <xf numFmtId="0" fontId="167" fillId="0" borderId="0" xfId="0" applyFont="1" applyAlignment="1">
      <alignment horizontal="center"/>
    </xf>
    <xf numFmtId="0" fontId="167" fillId="0" borderId="0" xfId="0" applyFont="1" applyAlignment="1">
      <alignment horizontal="center" wrapText="1"/>
    </xf>
    <xf numFmtId="10" fontId="148" fillId="0" borderId="0" xfId="25793" applyNumberFormat="1" applyFont="1"/>
    <xf numFmtId="195" fontId="148" fillId="0" borderId="0" xfId="25745" applyNumberFormat="1" applyFont="1"/>
    <xf numFmtId="10" fontId="148" fillId="0" borderId="0" xfId="25793" applyNumberFormat="1" applyFont="1" applyAlignment="1"/>
    <xf numFmtId="186" fontId="0" fillId="0" borderId="64" xfId="0" applyNumberFormat="1" applyBorder="1"/>
    <xf numFmtId="198" fontId="0" fillId="0" borderId="0" xfId="25745" applyNumberFormat="1" applyFont="1"/>
    <xf numFmtId="0" fontId="120" fillId="0" borderId="137" xfId="25455" applyFont="1" applyBorder="1" applyAlignment="1">
      <alignment horizontal="center"/>
    </xf>
    <xf numFmtId="0" fontId="120" fillId="0" borderId="141" xfId="25455" applyFont="1" applyBorder="1" applyAlignment="1">
      <alignment horizontal="center"/>
    </xf>
    <xf numFmtId="10" fontId="120" fillId="0" borderId="0" xfId="25795" applyNumberFormat="1" applyFont="1" applyAlignment="1">
      <alignment horizontal="left"/>
    </xf>
    <xf numFmtId="9" fontId="0" fillId="0" borderId="0" xfId="25793" applyFont="1"/>
    <xf numFmtId="37" fontId="145" fillId="0" borderId="0" xfId="29411" applyFont="1" applyAlignment="1">
      <alignment horizontal="left"/>
    </xf>
    <xf numFmtId="165" fontId="120" fillId="0" borderId="0" xfId="25766" applyNumberFormat="1" applyFont="1" applyAlignment="1">
      <alignment horizontal="center"/>
    </xf>
    <xf numFmtId="37" fontId="120" fillId="0" borderId="0" xfId="29411" applyFont="1"/>
    <xf numFmtId="10" fontId="120" fillId="0" borderId="0" xfId="29411" applyNumberFormat="1" applyFont="1" applyAlignment="1">
      <alignment horizontal="center"/>
    </xf>
    <xf numFmtId="37" fontId="120" fillId="0" borderId="0" xfId="29411" applyFont="1" applyAlignment="1">
      <alignment horizontal="center" wrapText="1"/>
    </xf>
    <xf numFmtId="191" fontId="120" fillId="0" borderId="0" xfId="29411" applyNumberFormat="1" applyFont="1"/>
    <xf numFmtId="37" fontId="120" fillId="0" borderId="137" xfId="29411" applyFont="1" applyBorder="1"/>
    <xf numFmtId="37" fontId="120" fillId="0" borderId="0" xfId="29411" applyFont="1" applyAlignment="1">
      <alignment horizontal="right"/>
    </xf>
    <xf numFmtId="165" fontId="120" fillId="0" borderId="0" xfId="25766" applyNumberFormat="1" applyFont="1"/>
    <xf numFmtId="10" fontId="120" fillId="0" borderId="0" xfId="29411" applyNumberFormat="1" applyFont="1" applyAlignment="1">
      <alignment horizontal="right"/>
    </xf>
    <xf numFmtId="10" fontId="120" fillId="0" borderId="141" xfId="29411" applyNumberFormat="1" applyFont="1" applyBorder="1" applyAlignment="1">
      <alignment horizontal="right"/>
    </xf>
    <xf numFmtId="10" fontId="120" fillId="0" borderId="141" xfId="29411" applyNumberFormat="1" applyFont="1" applyBorder="1"/>
    <xf numFmtId="10" fontId="120" fillId="0" borderId="0" xfId="29411" applyNumberFormat="1" applyFont="1" applyAlignment="1">
      <alignment horizontal="fill"/>
    </xf>
    <xf numFmtId="10" fontId="120" fillId="0" borderId="0" xfId="29411" applyNumberFormat="1" applyFont="1" applyAlignment="1">
      <alignment horizontal="left"/>
    </xf>
    <xf numFmtId="10" fontId="120" fillId="0" borderId="0" xfId="29411" applyNumberFormat="1" applyFont="1" applyAlignment="1">
      <alignment horizontal="center" wrapText="1"/>
    </xf>
    <xf numFmtId="37" fontId="120" fillId="0" borderId="0" xfId="29411" applyFont="1" applyAlignment="1">
      <alignment horizontal="center"/>
    </xf>
    <xf numFmtId="10" fontId="120" fillId="0" borderId="141" xfId="29411" applyNumberFormat="1" applyFont="1" applyBorder="1" applyAlignment="1">
      <alignment horizontal="left"/>
    </xf>
    <xf numFmtId="165" fontId="120" fillId="0" borderId="137" xfId="25742" applyNumberFormat="1" applyFont="1" applyBorder="1" applyAlignment="1">
      <alignment horizontal="center"/>
    </xf>
    <xf numFmtId="192" fontId="120" fillId="0" borderId="0" xfId="29411" applyNumberFormat="1" applyFont="1" applyAlignment="1">
      <alignment horizontal="center"/>
    </xf>
    <xf numFmtId="10" fontId="120" fillId="0" borderId="141" xfId="29411" applyNumberFormat="1" applyFont="1" applyBorder="1" applyAlignment="1">
      <alignment horizontal="center"/>
    </xf>
    <xf numFmtId="0" fontId="120" fillId="0" borderId="140" xfId="25455" quotePrefix="1" applyFont="1" applyBorder="1" applyAlignment="1">
      <alignment horizontal="center"/>
    </xf>
    <xf numFmtId="0" fontId="169" fillId="0" borderId="0" xfId="0" applyFont="1" applyAlignment="1">
      <alignment horizontal="center"/>
    </xf>
    <xf numFmtId="0" fontId="43" fillId="0" borderId="0" xfId="0" applyFont="1"/>
    <xf numFmtId="0" fontId="171" fillId="0" borderId="0" xfId="0" applyFont="1"/>
    <xf numFmtId="0" fontId="169" fillId="0" borderId="0" xfId="0" applyFont="1"/>
    <xf numFmtId="10" fontId="148" fillId="0" borderId="0" xfId="25793" applyNumberFormat="1" applyFont="1" applyFill="1" applyAlignment="1"/>
    <xf numFmtId="0" fontId="156" fillId="0" borderId="0" xfId="0" applyFont="1" applyAlignment="1">
      <alignment horizontal="center"/>
    </xf>
    <xf numFmtId="0" fontId="157" fillId="0" borderId="0" xfId="0" applyFont="1" applyAlignment="1">
      <alignment horizontal="center"/>
    </xf>
    <xf numFmtId="0" fontId="158" fillId="0" borderId="0" xfId="0" applyFont="1" applyAlignment="1">
      <alignment horizontal="center"/>
    </xf>
    <xf numFmtId="0" fontId="124" fillId="0" borderId="0" xfId="1" quotePrefix="1" applyFont="1"/>
    <xf numFmtId="0" fontId="149" fillId="0" borderId="0" xfId="0" applyFont="1" applyAlignment="1">
      <alignment horizontal="center"/>
    </xf>
    <xf numFmtId="0" fontId="149" fillId="0" borderId="141" xfId="0" applyFont="1" applyBorder="1" applyAlignment="1">
      <alignment horizontal="center"/>
    </xf>
    <xf numFmtId="183" fontId="120" fillId="0" borderId="0" xfId="25276" applyNumberFormat="1" applyFont="1" applyAlignment="1">
      <alignment horizontal="center"/>
    </xf>
    <xf numFmtId="183" fontId="120" fillId="0" borderId="0" xfId="24767" applyNumberFormat="1" applyFont="1" applyAlignment="1">
      <alignment horizontal="center"/>
    </xf>
    <xf numFmtId="183" fontId="124" fillId="0" borderId="0" xfId="25276" applyNumberFormat="1" applyFont="1" applyAlignment="1">
      <alignment horizontal="center"/>
    </xf>
    <xf numFmtId="185" fontId="120" fillId="0" borderId="0" xfId="0" applyNumberFormat="1" applyFont="1" applyAlignment="1">
      <alignment horizontal="center"/>
    </xf>
    <xf numFmtId="165" fontId="1" fillId="0" borderId="0" xfId="25742" applyNumberFormat="1" applyFont="1" applyAlignment="1">
      <alignment horizontal="center"/>
    </xf>
    <xf numFmtId="183" fontId="1" fillId="0" borderId="0" xfId="0" applyNumberFormat="1" applyFont="1" applyAlignment="1">
      <alignment horizontal="center"/>
    </xf>
    <xf numFmtId="0" fontId="151" fillId="0" borderId="0" xfId="0" applyFont="1" applyAlignment="1">
      <alignment horizontal="left"/>
    </xf>
    <xf numFmtId="215" fontId="120" fillId="89" borderId="0" xfId="25742" applyNumberFormat="1" applyFont="1" applyFill="1" applyBorder="1"/>
    <xf numFmtId="215" fontId="120" fillId="89" borderId="137" xfId="25742" applyNumberFormat="1" applyFont="1" applyFill="1" applyBorder="1"/>
    <xf numFmtId="215" fontId="120" fillId="89" borderId="0" xfId="25742" applyNumberFormat="1" applyFont="1" applyFill="1" applyBorder="1" applyProtection="1"/>
    <xf numFmtId="215" fontId="120" fillId="89" borderId="0" xfId="2" applyNumberFormat="1" applyFont="1" applyFill="1" applyBorder="1" applyProtection="1"/>
    <xf numFmtId="183" fontId="120" fillId="0" borderId="0" xfId="0" applyNumberFormat="1" applyFont="1"/>
    <xf numFmtId="215" fontId="120" fillId="89" borderId="137" xfId="25742" applyNumberFormat="1" applyFont="1" applyFill="1" applyBorder="1" applyProtection="1"/>
    <xf numFmtId="215" fontId="120" fillId="89" borderId="137" xfId="25742" applyNumberFormat="1" applyFont="1" applyFill="1" applyBorder="1" applyAlignment="1">
      <alignment horizontal="right"/>
    </xf>
    <xf numFmtId="215" fontId="120" fillId="89" borderId="0" xfId="25742" applyNumberFormat="1" applyFont="1" applyFill="1" applyBorder="1" applyAlignment="1">
      <alignment horizontal="right"/>
    </xf>
    <xf numFmtId="215" fontId="120" fillId="89" borderId="0" xfId="3" applyNumberFormat="1" applyFont="1" applyFill="1" applyBorder="1">
      <alignment horizontal="right"/>
    </xf>
    <xf numFmtId="215" fontId="120" fillId="89" borderId="65" xfId="25742" applyNumberFormat="1" applyFont="1" applyFill="1" applyBorder="1" applyAlignment="1">
      <alignment horizontal="right"/>
    </xf>
    <xf numFmtId="215" fontId="120" fillId="89" borderId="0" xfId="25742" applyNumberFormat="1" applyFont="1" applyFill="1" applyBorder="1" applyAlignment="1" applyProtection="1">
      <alignment horizontal="right"/>
    </xf>
    <xf numFmtId="215" fontId="120" fillId="0" borderId="0" xfId="25742" applyNumberFormat="1" applyFont="1" applyFill="1" applyBorder="1"/>
    <xf numFmtId="215" fontId="120" fillId="0" borderId="137" xfId="25742" applyNumberFormat="1" applyFont="1" applyFill="1" applyBorder="1"/>
    <xf numFmtId="215" fontId="120" fillId="0" borderId="65" xfId="25742" applyNumberFormat="1" applyFont="1" applyFill="1" applyBorder="1" applyAlignment="1">
      <alignment horizontal="right"/>
    </xf>
    <xf numFmtId="215" fontId="120" fillId="0" borderId="0" xfId="3" applyNumberFormat="1" applyFont="1" applyFill="1" applyBorder="1">
      <alignment horizontal="right"/>
    </xf>
    <xf numFmtId="215" fontId="120" fillId="0" borderId="0" xfId="2" applyNumberFormat="1" applyFont="1" applyFill="1" applyBorder="1"/>
    <xf numFmtId="215" fontId="120" fillId="0" borderId="0" xfId="25742" applyNumberFormat="1" applyFont="1" applyFill="1" applyBorder="1" applyAlignment="1" applyProtection="1">
      <alignment horizontal="right"/>
    </xf>
    <xf numFmtId="215" fontId="120" fillId="0" borderId="0" xfId="25742" applyNumberFormat="1" applyFont="1" applyFill="1" applyBorder="1" applyAlignment="1">
      <alignment horizontal="right"/>
    </xf>
    <xf numFmtId="215" fontId="120" fillId="0" borderId="0" xfId="25742" applyNumberFormat="1" applyFont="1" applyFill="1" applyBorder="1" applyProtection="1"/>
    <xf numFmtId="215" fontId="120" fillId="0" borderId="0" xfId="25457" applyNumberFormat="1" applyFont="1" applyFill="1" applyBorder="1">
      <alignment horizontal="right"/>
    </xf>
    <xf numFmtId="215" fontId="120" fillId="0" borderId="0" xfId="25456" applyNumberFormat="1" applyFont="1" applyFill="1" applyBorder="1"/>
    <xf numFmtId="215" fontId="120" fillId="0" borderId="137" xfId="25457" applyNumberFormat="1" applyFont="1" applyFill="1" applyBorder="1">
      <alignment horizontal="right"/>
    </xf>
    <xf numFmtId="215" fontId="124" fillId="0" borderId="0" xfId="25457" applyNumberFormat="1" applyFont="1" applyFill="1" applyBorder="1">
      <alignment horizontal="right"/>
    </xf>
    <xf numFmtId="215" fontId="120" fillId="0" borderId="65" xfId="25457" applyNumberFormat="1" applyFont="1" applyFill="1" applyBorder="1">
      <alignment horizontal="right"/>
    </xf>
    <xf numFmtId="215" fontId="120" fillId="0" borderId="0" xfId="25455" applyNumberFormat="1" applyFont="1"/>
    <xf numFmtId="215" fontId="124" fillId="0" borderId="0" xfId="25456" applyNumberFormat="1" applyFont="1" applyFill="1" applyBorder="1"/>
    <xf numFmtId="215" fontId="124" fillId="0" borderId="137" xfId="25456" applyNumberFormat="1" applyFont="1" applyFill="1" applyBorder="1"/>
    <xf numFmtId="215" fontId="124" fillId="0" borderId="137" xfId="25457" applyNumberFormat="1" applyFont="1" applyFill="1" applyBorder="1">
      <alignment horizontal="right"/>
    </xf>
    <xf numFmtId="215" fontId="124" fillId="0" borderId="65" xfId="25457" applyNumberFormat="1" applyFont="1" applyFill="1" applyBorder="1">
      <alignment horizontal="right"/>
    </xf>
    <xf numFmtId="215" fontId="120" fillId="0" borderId="65" xfId="25456" applyNumberFormat="1" applyFont="1" applyFill="1" applyBorder="1"/>
    <xf numFmtId="165" fontId="120" fillId="0" borderId="0" xfId="25766" applyNumberFormat="1" applyFont="1" applyProtection="1">
      <protection locked="0"/>
    </xf>
    <xf numFmtId="165" fontId="120" fillId="0" borderId="137" xfId="25766" applyNumberFormat="1" applyFont="1" applyBorder="1" applyProtection="1">
      <protection locked="0"/>
    </xf>
    <xf numFmtId="165" fontId="120" fillId="0" borderId="0" xfId="25766" applyNumberFormat="1" applyFont="1" applyFill="1" applyBorder="1" applyProtection="1">
      <protection locked="0"/>
    </xf>
    <xf numFmtId="165" fontId="120" fillId="0" borderId="137" xfId="25766" applyNumberFormat="1" applyFont="1" applyFill="1" applyBorder="1" applyProtection="1">
      <protection locked="0"/>
    </xf>
    <xf numFmtId="165" fontId="120" fillId="0" borderId="137" xfId="0" applyNumberFormat="1" applyFont="1" applyBorder="1"/>
    <xf numFmtId="43" fontId="120" fillId="0" borderId="0" xfId="25793" applyNumberFormat="1" applyFont="1" applyFill="1"/>
    <xf numFmtId="49" fontId="124" fillId="0" borderId="0" xfId="27901" applyNumberFormat="1" applyFont="1" applyAlignment="1">
      <alignment horizontal="center"/>
    </xf>
    <xf numFmtId="14" fontId="120" fillId="0" borderId="0" xfId="0" applyNumberFormat="1" applyFont="1" applyAlignment="1">
      <alignment horizontal="right"/>
    </xf>
    <xf numFmtId="4" fontId="120" fillId="0" borderId="65" xfId="0" applyNumberFormat="1" applyFont="1" applyBorder="1"/>
    <xf numFmtId="211" fontId="120" fillId="0" borderId="0" xfId="25742" applyNumberFormat="1" applyFont="1" applyFill="1" applyBorder="1"/>
    <xf numFmtId="9" fontId="120" fillId="0" borderId="0" xfId="25793" applyFont="1"/>
    <xf numFmtId="165" fontId="120" fillId="0" borderId="65" xfId="25742" applyNumberFormat="1" applyFont="1" applyFill="1" applyBorder="1"/>
    <xf numFmtId="165" fontId="120" fillId="0" borderId="137" xfId="25742" applyNumberFormat="1" applyFont="1" applyBorder="1"/>
    <xf numFmtId="44" fontId="120" fillId="0" borderId="0" xfId="25745" applyFont="1" applyBorder="1"/>
    <xf numFmtId="165" fontId="120" fillId="0" borderId="141" xfId="25742" applyNumberFormat="1" applyFont="1" applyBorder="1"/>
    <xf numFmtId="165" fontId="120" fillId="0" borderId="65" xfId="25742" applyNumberFormat="1" applyFont="1" applyBorder="1"/>
    <xf numFmtId="186" fontId="120" fillId="0" borderId="0" xfId="0" applyNumberFormat="1" applyFont="1"/>
    <xf numFmtId="186" fontId="120" fillId="0" borderId="137" xfId="0" applyNumberFormat="1" applyFont="1" applyBorder="1"/>
    <xf numFmtId="10" fontId="120" fillId="0" borderId="137" xfId="25793" applyNumberFormat="1" applyFont="1" applyBorder="1"/>
    <xf numFmtId="43" fontId="120" fillId="0" borderId="141" xfId="25766" applyFont="1" applyFill="1" applyBorder="1"/>
    <xf numFmtId="209" fontId="120" fillId="0" borderId="0" xfId="0" applyNumberFormat="1" applyFont="1"/>
    <xf numFmtId="6" fontId="120" fillId="0" borderId="0" xfId="0" applyNumberFormat="1" applyFont="1"/>
    <xf numFmtId="210" fontId="120" fillId="0" borderId="0" xfId="0" applyNumberFormat="1" applyFont="1"/>
    <xf numFmtId="210" fontId="122" fillId="0" borderId="0" xfId="0" applyNumberFormat="1" applyFont="1"/>
    <xf numFmtId="0" fontId="122" fillId="0" borderId="0" xfId="0" applyFont="1"/>
    <xf numFmtId="6" fontId="148" fillId="0" borderId="0" xfId="0" applyNumberFormat="1" applyFont="1"/>
    <xf numFmtId="210" fontId="148" fillId="0" borderId="0" xfId="0" applyNumberFormat="1" applyFont="1"/>
    <xf numFmtId="215" fontId="120" fillId="0" borderId="0" xfId="27610" applyNumberFormat="1" applyFont="1" applyFill="1" applyBorder="1">
      <alignment horizontal="right"/>
    </xf>
    <xf numFmtId="215" fontId="120" fillId="0" borderId="0" xfId="27609" applyNumberFormat="1" applyFont="1" applyFill="1" applyBorder="1"/>
    <xf numFmtId="215" fontId="120" fillId="0" borderId="137" xfId="27610" applyNumberFormat="1" applyFont="1" applyFill="1" applyBorder="1">
      <alignment horizontal="right"/>
    </xf>
    <xf numFmtId="215" fontId="124" fillId="0" borderId="148" xfId="25456" applyNumberFormat="1" applyFont="1" applyFill="1" applyBorder="1"/>
    <xf numFmtId="215" fontId="120" fillId="0" borderId="0" xfId="0" applyNumberFormat="1" applyFont="1"/>
    <xf numFmtId="5" fontId="120" fillId="0" borderId="0" xfId="0" applyNumberFormat="1" applyFont="1"/>
    <xf numFmtId="43" fontId="124" fillId="0" borderId="0" xfId="30158" applyNumberFormat="1" applyFont="1"/>
    <xf numFmtId="165" fontId="124" fillId="0" borderId="0" xfId="30159" applyNumberFormat="1" applyFont="1" applyFill="1" applyBorder="1"/>
    <xf numFmtId="43" fontId="124" fillId="0" borderId="0" xfId="30159" applyFont="1" applyFill="1" applyBorder="1"/>
    <xf numFmtId="188" fontId="1" fillId="0" borderId="137" xfId="0" applyNumberFormat="1" applyFont="1" applyBorder="1"/>
    <xf numFmtId="44" fontId="0" fillId="0" borderId="0" xfId="25745" applyFont="1"/>
    <xf numFmtId="195" fontId="120" fillId="0" borderId="0" xfId="25745" applyNumberFormat="1" applyFont="1" applyFill="1"/>
    <xf numFmtId="195" fontId="1" fillId="0" borderId="0" xfId="25745" applyNumberFormat="1" applyFont="1" applyFill="1"/>
    <xf numFmtId="195" fontId="1" fillId="0" borderId="65" xfId="25745" applyNumberFormat="1" applyFont="1" applyFill="1" applyBorder="1"/>
    <xf numFmtId="0" fontId="150" fillId="0" borderId="0" xfId="0" applyFont="1" applyAlignment="1">
      <alignment horizontal="center"/>
    </xf>
    <xf numFmtId="37" fontId="173" fillId="0" borderId="0" xfId="0" applyNumberFormat="1" applyFont="1" applyAlignment="1">
      <alignment horizontal="center" wrapText="1"/>
    </xf>
    <xf numFmtId="165" fontId="148" fillId="0" borderId="0" xfId="25742" applyNumberFormat="1" applyFont="1"/>
    <xf numFmtId="217" fontId="0" fillId="0" borderId="0" xfId="0" applyNumberFormat="1" applyAlignment="1">
      <alignment horizontal="center"/>
    </xf>
    <xf numFmtId="44" fontId="0" fillId="0" borderId="137" xfId="25745" applyFont="1" applyBorder="1"/>
    <xf numFmtId="165" fontId="124" fillId="0" borderId="65" xfId="25742" applyNumberFormat="1" applyFont="1" applyFill="1" applyBorder="1"/>
    <xf numFmtId="165" fontId="124" fillId="0" borderId="78" xfId="25742" applyNumberFormat="1" applyFont="1" applyFill="1" applyBorder="1"/>
    <xf numFmtId="49" fontId="120" fillId="0" borderId="144" xfId="0" applyNumberFormat="1" applyFont="1" applyBorder="1" applyAlignment="1">
      <alignment horizontal="center"/>
    </xf>
    <xf numFmtId="49" fontId="120" fillId="0" borderId="145" xfId="0" applyNumberFormat="1" applyFont="1" applyBorder="1" applyAlignment="1">
      <alignment horizontal="center"/>
    </xf>
    <xf numFmtId="49" fontId="120" fillId="0" borderId="146" xfId="0" applyNumberFormat="1" applyFont="1" applyBorder="1" applyAlignment="1">
      <alignment horizontal="center"/>
    </xf>
    <xf numFmtId="49" fontId="120" fillId="0" borderId="0" xfId="0" applyNumberFormat="1" applyFont="1" applyAlignment="1">
      <alignment horizontal="center"/>
    </xf>
    <xf numFmtId="49" fontId="120" fillId="0" borderId="73" xfId="0" applyNumberFormat="1" applyFont="1" applyBorder="1" applyAlignment="1">
      <alignment horizontal="center"/>
    </xf>
    <xf numFmtId="49" fontId="120" fillId="0" borderId="74" xfId="0" applyNumberFormat="1" applyFont="1" applyBorder="1" applyAlignment="1">
      <alignment horizontal="center"/>
    </xf>
    <xf numFmtId="0" fontId="120" fillId="0" borderId="73" xfId="0" applyFont="1" applyBorder="1"/>
    <xf numFmtId="0" fontId="120" fillId="0" borderId="74" xfId="0" applyFont="1" applyBorder="1"/>
    <xf numFmtId="0" fontId="120" fillId="0" borderId="73" xfId="0" applyFont="1" applyBorder="1" applyAlignment="1">
      <alignment wrapText="1"/>
    </xf>
    <xf numFmtId="0" fontId="124" fillId="0" borderId="137" xfId="0" applyFont="1" applyBorder="1" applyAlignment="1">
      <alignment horizontal="center" wrapText="1"/>
    </xf>
    <xf numFmtId="0" fontId="124" fillId="0" borderId="136" xfId="0" applyFont="1" applyBorder="1" applyAlignment="1">
      <alignment horizontal="center" wrapText="1"/>
    </xf>
    <xf numFmtId="0" fontId="120" fillId="0" borderId="74" xfId="0" applyFont="1" applyBorder="1" applyAlignment="1">
      <alignment wrapText="1"/>
    </xf>
    <xf numFmtId="165" fontId="120" fillId="0" borderId="73" xfId="25742" applyNumberFormat="1" applyFont="1" applyFill="1" applyBorder="1"/>
    <xf numFmtId="165" fontId="120" fillId="0" borderId="74" xfId="25742" applyNumberFormat="1" applyFont="1" applyFill="1" applyBorder="1"/>
    <xf numFmtId="165" fontId="124" fillId="0" borderId="79" xfId="25742" applyNumberFormat="1" applyFont="1" applyFill="1" applyBorder="1"/>
    <xf numFmtId="38" fontId="174" fillId="0" borderId="0" xfId="0" applyNumberFormat="1" applyFont="1"/>
    <xf numFmtId="38" fontId="120" fillId="0" borderId="0" xfId="0" applyNumberFormat="1" applyFont="1"/>
    <xf numFmtId="1" fontId="120" fillId="0" borderId="0" xfId="0" applyNumberFormat="1" applyFont="1" applyAlignment="1">
      <alignment horizontal="left"/>
    </xf>
    <xf numFmtId="38" fontId="120" fillId="0" borderId="144" xfId="0" applyNumberFormat="1" applyFont="1" applyBorder="1"/>
    <xf numFmtId="38" fontId="120" fillId="0" borderId="145" xfId="0" applyNumberFormat="1" applyFont="1" applyBorder="1"/>
    <xf numFmtId="38" fontId="120" fillId="0" borderId="146" xfId="0" applyNumberFormat="1" applyFont="1" applyBorder="1"/>
    <xf numFmtId="6" fontId="120" fillId="0" borderId="146" xfId="0" applyNumberFormat="1" applyFont="1" applyBorder="1"/>
    <xf numFmtId="38" fontId="120" fillId="0" borderId="74" xfId="0" applyNumberFormat="1" applyFont="1" applyBorder="1"/>
    <xf numFmtId="0" fontId="120" fillId="0" borderId="0" xfId="0" applyFont="1" applyAlignment="1">
      <alignment horizontal="left" wrapText="1"/>
    </xf>
    <xf numFmtId="38" fontId="120" fillId="0" borderId="0" xfId="0" applyNumberFormat="1" applyFont="1" applyAlignment="1">
      <alignment horizontal="left"/>
    </xf>
    <xf numFmtId="37" fontId="120" fillId="0" borderId="0" xfId="0" applyNumberFormat="1" applyFont="1"/>
    <xf numFmtId="37" fontId="120" fillId="0" borderId="75" xfId="0" applyNumberFormat="1" applyFont="1" applyBorder="1"/>
    <xf numFmtId="37" fontId="120" fillId="0" borderId="80" xfId="0" applyNumberFormat="1" applyFont="1" applyBorder="1"/>
    <xf numFmtId="37" fontId="120" fillId="0" borderId="147" xfId="0" applyNumberFormat="1" applyFont="1" applyBorder="1"/>
    <xf numFmtId="37" fontId="120" fillId="0" borderId="73" xfId="0" applyNumberFormat="1" applyFont="1" applyBorder="1"/>
    <xf numFmtId="37" fontId="120" fillId="0" borderId="107" xfId="0" applyNumberFormat="1" applyFont="1" applyBorder="1"/>
    <xf numFmtId="37" fontId="120" fillId="0" borderId="64" xfId="0" applyNumberFormat="1" applyFont="1" applyBorder="1"/>
    <xf numFmtId="37" fontId="120" fillId="0" borderId="74" xfId="0" applyNumberFormat="1" applyFont="1" applyBorder="1"/>
    <xf numFmtId="37" fontId="120" fillId="0" borderId="65" xfId="0" applyNumberFormat="1" applyFont="1" applyBorder="1"/>
    <xf numFmtId="37" fontId="120" fillId="0" borderId="78" xfId="0" applyNumberFormat="1" applyFont="1" applyBorder="1"/>
    <xf numFmtId="37" fontId="120" fillId="0" borderId="134" xfId="0" applyNumberFormat="1" applyFont="1" applyBorder="1"/>
    <xf numFmtId="37" fontId="120" fillId="0" borderId="157" xfId="0" applyNumberFormat="1" applyFont="1" applyBorder="1"/>
    <xf numFmtId="37" fontId="16" fillId="0" borderId="0" xfId="0" applyNumberFormat="1" applyFont="1"/>
    <xf numFmtId="0" fontId="16" fillId="0" borderId="0" xfId="0" applyFont="1" applyAlignment="1">
      <alignment horizontal="center" wrapText="1"/>
    </xf>
    <xf numFmtId="37" fontId="120" fillId="0" borderId="156" xfId="0" applyNumberFormat="1" applyFont="1" applyBorder="1" applyAlignment="1" applyProtection="1">
      <alignment horizontal="left" indent="1"/>
      <protection locked="0"/>
    </xf>
    <xf numFmtId="180" fontId="120" fillId="0" borderId="156" xfId="0" applyNumberFormat="1" applyFont="1" applyBorder="1" applyAlignment="1" applyProtection="1">
      <alignment horizontal="left" indent="1"/>
      <protection locked="0"/>
    </xf>
    <xf numFmtId="37" fontId="120" fillId="0" borderId="156" xfId="0" applyNumberFormat="1" applyFont="1" applyBorder="1" applyProtection="1">
      <protection locked="0"/>
    </xf>
    <xf numFmtId="37" fontId="0" fillId="0" borderId="0" xfId="0" applyNumberFormat="1"/>
    <xf numFmtId="180" fontId="0" fillId="0" borderId="0" xfId="0" applyNumberFormat="1" applyAlignment="1">
      <alignment horizontal="center"/>
    </xf>
    <xf numFmtId="0" fontId="16" fillId="0" borderId="0" xfId="0" applyFont="1" applyAlignment="1">
      <alignment horizontal="left"/>
    </xf>
    <xf numFmtId="42" fontId="0" fillId="0" borderId="0" xfId="0" applyNumberFormat="1"/>
    <xf numFmtId="180" fontId="120" fillId="0" borderId="156" xfId="0" applyNumberFormat="1" applyFont="1" applyBorder="1" applyAlignment="1" applyProtection="1">
      <alignment horizontal="center"/>
      <protection locked="0"/>
    </xf>
    <xf numFmtId="212" fontId="120" fillId="0" borderId="156" xfId="0" applyNumberFormat="1" applyFont="1" applyBorder="1" applyAlignment="1" applyProtection="1">
      <alignment horizontal="center"/>
      <protection locked="0"/>
    </xf>
    <xf numFmtId="6" fontId="0" fillId="0" borderId="0" xfId="0" applyNumberFormat="1"/>
    <xf numFmtId="172" fontId="0" fillId="0" borderId="0" xfId="0" applyNumberFormat="1" applyAlignment="1">
      <alignment horizontal="center"/>
    </xf>
    <xf numFmtId="0" fontId="162" fillId="0" borderId="0" xfId="0" applyFont="1"/>
    <xf numFmtId="8" fontId="0" fillId="0" borderId="0" xfId="0" applyNumberFormat="1"/>
    <xf numFmtId="37" fontId="120" fillId="0" borderId="0" xfId="0" applyNumberFormat="1" applyFont="1" applyAlignment="1" applyProtection="1">
      <alignment horizontal="left" indent="1"/>
      <protection locked="0"/>
    </xf>
    <xf numFmtId="180" fontId="120" fillId="0" borderId="0" xfId="0" applyNumberFormat="1" applyFont="1" applyAlignment="1" applyProtection="1">
      <alignment horizontal="center"/>
      <protection locked="0"/>
    </xf>
    <xf numFmtId="39" fontId="0" fillId="0" borderId="0" xfId="0" applyNumberFormat="1"/>
    <xf numFmtId="37" fontId="120" fillId="0" borderId="0" xfId="0" applyNumberFormat="1" applyFont="1" applyProtection="1">
      <protection locked="0"/>
    </xf>
    <xf numFmtId="37" fontId="16" fillId="0" borderId="0" xfId="33394" applyNumberFormat="1" applyFont="1" applyFill="1"/>
    <xf numFmtId="165" fontId="0" fillId="0" borderId="141" xfId="0" applyNumberFormat="1" applyBorder="1"/>
    <xf numFmtId="217" fontId="16" fillId="0" borderId="0" xfId="0" applyNumberFormat="1" applyFont="1" applyAlignment="1">
      <alignment horizontal="center"/>
    </xf>
    <xf numFmtId="0" fontId="169" fillId="0" borderId="0" xfId="165" applyFont="1" applyAlignment="1">
      <alignment horizontal="center"/>
    </xf>
    <xf numFmtId="0" fontId="170" fillId="0" borderId="0" xfId="30158" applyFont="1" applyAlignment="1">
      <alignment horizontal="center"/>
    </xf>
    <xf numFmtId="0" fontId="134" fillId="0" borderId="0" xfId="33391" applyAlignment="1">
      <alignment horizontal="center"/>
    </xf>
    <xf numFmtId="0" fontId="159" fillId="0" borderId="141" xfId="0" applyFont="1" applyBorder="1" applyAlignment="1">
      <alignment horizontal="center"/>
    </xf>
    <xf numFmtId="0" fontId="159" fillId="0" borderId="141" xfId="0" applyFont="1" applyBorder="1"/>
    <xf numFmtId="0" fontId="55" fillId="0" borderId="0" xfId="165" applyAlignment="1">
      <alignment horizontal="center"/>
    </xf>
    <xf numFmtId="0" fontId="120" fillId="0" borderId="141" xfId="30158" applyFont="1" applyBorder="1" applyAlignment="1">
      <alignment horizontal="center"/>
    </xf>
    <xf numFmtId="16" fontId="1" fillId="0" borderId="141" xfId="0" applyNumberFormat="1" applyFont="1" applyBorder="1" applyAlignment="1">
      <alignment horizontal="center"/>
    </xf>
    <xf numFmtId="165" fontId="16" fillId="0" borderId="0" xfId="0" applyNumberFormat="1" applyFont="1" applyAlignment="1">
      <alignment horizontal="left"/>
    </xf>
    <xf numFmtId="0" fontId="164" fillId="0" borderId="0" xfId="0" applyFont="1" applyAlignment="1">
      <alignment horizontal="center"/>
    </xf>
    <xf numFmtId="0" fontId="175" fillId="0" borderId="0" xfId="0" applyFont="1" applyAlignment="1">
      <alignment vertical="center" wrapText="1"/>
    </xf>
    <xf numFmtId="0" fontId="176" fillId="0" borderId="137" xfId="0" applyFont="1" applyBorder="1" applyAlignment="1">
      <alignment vertical="center" wrapText="1"/>
    </xf>
    <xf numFmtId="0" fontId="176" fillId="0" borderId="137" xfId="0" applyFont="1" applyBorder="1" applyAlignment="1">
      <alignment horizontal="center" vertical="center" wrapText="1"/>
    </xf>
    <xf numFmtId="0" fontId="177" fillId="0" borderId="13" xfId="0" applyFont="1" applyBorder="1" applyAlignment="1">
      <alignment horizontal="center" vertical="center" wrapText="1"/>
    </xf>
    <xf numFmtId="0" fontId="176" fillId="91" borderId="13" xfId="0" applyFont="1" applyFill="1" applyBorder="1" applyAlignment="1">
      <alignment horizontal="center" vertical="center"/>
    </xf>
    <xf numFmtId="0" fontId="176" fillId="91" borderId="13" xfId="0" applyFont="1" applyFill="1" applyBorder="1" applyAlignment="1">
      <alignment horizontal="center" vertical="center" wrapText="1"/>
    </xf>
    <xf numFmtId="0" fontId="164" fillId="86" borderId="141" xfId="0" applyFont="1" applyFill="1" applyBorder="1" applyAlignment="1">
      <alignment horizontal="center"/>
    </xf>
    <xf numFmtId="0" fontId="177" fillId="0" borderId="138" xfId="0" applyFont="1" applyBorder="1" applyAlignment="1">
      <alignment horizontal="left" vertical="center" wrapText="1"/>
    </xf>
    <xf numFmtId="0" fontId="175" fillId="0" borderId="152" xfId="0" quotePrefix="1" applyFont="1" applyBorder="1" applyAlignment="1">
      <alignment horizontal="center"/>
    </xf>
    <xf numFmtId="0" fontId="175" fillId="0" borderId="0" xfId="0" applyFont="1"/>
    <xf numFmtId="0" fontId="177" fillId="0" borderId="0" xfId="0" applyFont="1" applyAlignment="1">
      <alignment horizontal="left" vertical="center" wrapText="1"/>
    </xf>
    <xf numFmtId="0" fontId="175" fillId="0" borderId="11" xfId="0" quotePrefix="1" applyFont="1" applyBorder="1" applyAlignment="1">
      <alignment horizontal="center" vertical="center"/>
    </xf>
    <xf numFmtId="0" fontId="175" fillId="0" borderId="11" xfId="0" quotePrefix="1" applyFont="1" applyBorder="1" applyAlignment="1">
      <alignment horizontal="center"/>
    </xf>
    <xf numFmtId="0" fontId="177" fillId="0" borderId="0" xfId="0" applyFont="1" applyAlignment="1">
      <alignment vertical="center"/>
    </xf>
    <xf numFmtId="0" fontId="177" fillId="0" borderId="0" xfId="0" applyFont="1" applyAlignment="1">
      <alignment horizontal="left" vertical="center"/>
    </xf>
    <xf numFmtId="0" fontId="175" fillId="0" borderId="0" xfId="0" applyFont="1" applyAlignment="1">
      <alignment horizontal="left" vertical="center" indent="4"/>
    </xf>
    <xf numFmtId="0" fontId="175" fillId="0" borderId="11" xfId="0" applyFont="1" applyBorder="1" applyAlignment="1">
      <alignment horizontal="center" vertical="center"/>
    </xf>
    <xf numFmtId="0" fontId="177" fillId="0" borderId="138" xfId="0" applyFont="1" applyBorder="1" applyAlignment="1">
      <alignment vertical="center" wrapText="1"/>
    </xf>
    <xf numFmtId="3" fontId="177" fillId="0" borderId="11" xfId="0" applyNumberFormat="1" applyFont="1" applyBorder="1" applyAlignment="1">
      <alignment horizontal="center" wrapText="1"/>
    </xf>
    <xf numFmtId="218" fontId="177" fillId="0" borderId="11" xfId="0" applyNumberFormat="1" applyFont="1" applyBorder="1" applyAlignment="1">
      <alignment horizontal="center" wrapText="1"/>
    </xf>
    <xf numFmtId="0" fontId="177" fillId="0" borderId="142" xfId="0" applyFont="1" applyBorder="1" applyAlignment="1">
      <alignment vertical="center" wrapText="1"/>
    </xf>
    <xf numFmtId="0" fontId="177" fillId="0" borderId="11" xfId="0" applyFont="1" applyBorder="1" applyAlignment="1">
      <alignment horizontal="center" wrapText="1"/>
    </xf>
    <xf numFmtId="0" fontId="175" fillId="0" borderId="143" xfId="0" applyFont="1" applyBorder="1"/>
    <xf numFmtId="0" fontId="177" fillId="0" borderId="143" xfId="0" applyFont="1" applyBorder="1" applyAlignment="1">
      <alignment vertical="center" wrapText="1"/>
    </xf>
    <xf numFmtId="3" fontId="177" fillId="0" borderId="152" xfId="0" applyNumberFormat="1" applyFont="1" applyBorder="1" applyAlignment="1">
      <alignment horizontal="center" wrapText="1"/>
    </xf>
    <xf numFmtId="0" fontId="175" fillId="0" borderId="0" xfId="0" applyFont="1" applyAlignment="1">
      <alignment horizontal="left" vertical="center"/>
    </xf>
    <xf numFmtId="0" fontId="177" fillId="0" borderId="140" xfId="0" applyFont="1" applyBorder="1" applyAlignment="1">
      <alignment vertical="center" wrapText="1"/>
    </xf>
    <xf numFmtId="3" fontId="177" fillId="0" borderId="139" xfId="0" applyNumberFormat="1" applyFont="1" applyBorder="1" applyAlignment="1">
      <alignment horizontal="center" wrapText="1"/>
    </xf>
    <xf numFmtId="0" fontId="175" fillId="0" borderId="142" xfId="0" applyFont="1" applyBorder="1"/>
    <xf numFmtId="0" fontId="175" fillId="0" borderId="152" xfId="0" applyFont="1" applyBorder="1" applyAlignment="1">
      <alignment horizontal="center" vertical="center"/>
    </xf>
    <xf numFmtId="0" fontId="177" fillId="0" borderId="0" xfId="0" applyFont="1" applyAlignment="1">
      <alignment vertical="center" wrapText="1"/>
    </xf>
    <xf numFmtId="0" fontId="177" fillId="0" borderId="11" xfId="0" applyFont="1" applyBorder="1" applyAlignment="1">
      <alignment horizontal="center" vertical="center" wrapText="1"/>
    </xf>
    <xf numFmtId="0" fontId="178" fillId="0" borderId="142" xfId="0" applyFont="1" applyBorder="1" applyAlignment="1">
      <alignment horizontal="center" vertical="center" wrapText="1"/>
    </xf>
    <xf numFmtId="0" fontId="177" fillId="0" borderId="141" xfId="0" applyFont="1" applyBorder="1" applyAlignment="1">
      <alignment vertical="center" wrapText="1"/>
    </xf>
    <xf numFmtId="218" fontId="177" fillId="0" borderId="67" xfId="0" applyNumberFormat="1" applyFont="1" applyBorder="1" applyAlignment="1">
      <alignment horizontal="center" wrapText="1"/>
    </xf>
    <xf numFmtId="0" fontId="175" fillId="89" borderId="0" xfId="0" applyFont="1" applyFill="1"/>
    <xf numFmtId="218" fontId="177" fillId="0" borderId="152" xfId="0" applyNumberFormat="1" applyFont="1" applyBorder="1" applyAlignment="1">
      <alignment horizontal="center" wrapText="1"/>
    </xf>
    <xf numFmtId="218" fontId="177" fillId="0" borderId="139" xfId="0" applyNumberFormat="1" applyFont="1" applyBorder="1" applyAlignment="1">
      <alignment horizontal="center" wrapText="1"/>
    </xf>
    <xf numFmtId="0" fontId="179" fillId="0" borderId="0" xfId="0" applyFont="1" applyAlignment="1">
      <alignment horizontal="right"/>
    </xf>
    <xf numFmtId="0" fontId="179" fillId="0" borderId="137" xfId="0" applyFont="1" applyBorder="1" applyAlignment="1">
      <alignment horizontal="right"/>
    </xf>
    <xf numFmtId="0" fontId="175" fillId="0" borderId="0" xfId="0" applyFont="1" applyAlignment="1">
      <alignment vertical="center"/>
    </xf>
    <xf numFmtId="0" fontId="177" fillId="0" borderId="137" xfId="0" applyFont="1" applyBorder="1" applyAlignment="1">
      <alignment vertical="center" wrapText="1"/>
    </xf>
    <xf numFmtId="0" fontId="177" fillId="0" borderId="152" xfId="0" applyFont="1" applyBorder="1" applyAlignment="1">
      <alignment horizontal="center" wrapText="1"/>
    </xf>
    <xf numFmtId="0" fontId="175" fillId="0" borderId="11" xfId="0" applyFont="1" applyBorder="1" applyAlignment="1">
      <alignment horizontal="center"/>
    </xf>
    <xf numFmtId="0" fontId="177" fillId="0" borderId="142" xfId="0" applyFont="1" applyBorder="1"/>
    <xf numFmtId="0" fontId="177" fillId="0" borderId="152" xfId="0" applyFont="1" applyBorder="1" applyAlignment="1">
      <alignment horizontal="center"/>
    </xf>
    <xf numFmtId="0" fontId="177" fillId="0" borderId="143" xfId="0" applyFont="1" applyBorder="1"/>
    <xf numFmtId="0" fontId="177" fillId="0" borderId="11" xfId="0" applyFont="1" applyBorder="1" applyAlignment="1">
      <alignment horizontal="center"/>
    </xf>
    <xf numFmtId="0" fontId="177" fillId="0" borderId="140" xfId="0" applyFont="1" applyBorder="1"/>
    <xf numFmtId="0" fontId="177" fillId="0" borderId="139" xfId="0" applyFont="1" applyBorder="1" applyAlignment="1">
      <alignment horizontal="center"/>
    </xf>
    <xf numFmtId="0" fontId="178" fillId="0" borderId="13" xfId="0" applyFont="1" applyBorder="1" applyAlignment="1">
      <alignment horizontal="center" vertical="center" wrapText="1"/>
    </xf>
    <xf numFmtId="0" fontId="177" fillId="89" borderId="66" xfId="0" applyFont="1" applyFill="1" applyBorder="1" applyAlignment="1">
      <alignment horizontal="left" vertical="center"/>
    </xf>
    <xf numFmtId="0" fontId="177" fillId="89" borderId="67" xfId="0" applyFont="1" applyFill="1" applyBorder="1" applyAlignment="1">
      <alignment horizontal="center" vertical="center"/>
    </xf>
    <xf numFmtId="0" fontId="177" fillId="0" borderId="142" xfId="0" applyFont="1" applyBorder="1" applyAlignment="1">
      <alignment horizontal="left"/>
    </xf>
    <xf numFmtId="0" fontId="177" fillId="0" borderId="143" xfId="0" applyFont="1" applyBorder="1" applyAlignment="1">
      <alignment horizontal="left"/>
    </xf>
    <xf numFmtId="0" fontId="177" fillId="0" borderId="140" xfId="0" applyFont="1" applyBorder="1" applyAlignment="1">
      <alignment horizontal="left"/>
    </xf>
    <xf numFmtId="0" fontId="175" fillId="0" borderId="66" xfId="0" applyFont="1" applyBorder="1"/>
    <xf numFmtId="0" fontId="175" fillId="0" borderId="67" xfId="0" applyFont="1" applyBorder="1" applyAlignment="1">
      <alignment horizontal="center"/>
    </xf>
    <xf numFmtId="0" fontId="177" fillId="0" borderId="0" xfId="0" applyFont="1"/>
    <xf numFmtId="0" fontId="178" fillId="0" borderId="66" xfId="0" applyFont="1" applyBorder="1" applyAlignment="1">
      <alignment horizontal="center" vertical="center" wrapText="1"/>
    </xf>
    <xf numFmtId="0" fontId="178" fillId="0" borderId="138" xfId="0" applyFont="1" applyBorder="1" applyAlignment="1">
      <alignment horizontal="center" vertical="center" wrapText="1"/>
    </xf>
    <xf numFmtId="0" fontId="177" fillId="89" borderId="66" xfId="0" applyFont="1" applyFill="1" applyBorder="1" applyAlignment="1">
      <alignment horizontal="left"/>
    </xf>
    <xf numFmtId="0" fontId="177" fillId="89" borderId="67" xfId="0" applyFont="1" applyFill="1" applyBorder="1" applyAlignment="1">
      <alignment horizontal="center"/>
    </xf>
    <xf numFmtId="0" fontId="164" fillId="89" borderId="13" xfId="0" applyFont="1" applyFill="1" applyBorder="1" applyAlignment="1">
      <alignment horizontal="center" wrapText="1"/>
    </xf>
    <xf numFmtId="0" fontId="178" fillId="89" borderId="13" xfId="0" applyFont="1" applyFill="1" applyBorder="1" applyAlignment="1">
      <alignment horizontal="center"/>
    </xf>
    <xf numFmtId="0" fontId="177" fillId="0" borderId="143" xfId="0" applyFont="1" applyBorder="1" applyAlignment="1">
      <alignment wrapText="1"/>
    </xf>
    <xf numFmtId="0" fontId="177" fillId="0" borderId="0" xfId="33379" applyFont="1"/>
    <xf numFmtId="41" fontId="177" fillId="0" borderId="0" xfId="33379" applyNumberFormat="1" applyFont="1"/>
    <xf numFmtId="0" fontId="177" fillId="0" borderId="0" xfId="33379" applyFont="1" applyAlignment="1">
      <alignment horizontal="left"/>
    </xf>
    <xf numFmtId="0" fontId="177" fillId="0" borderId="137" xfId="33379" applyFont="1" applyBorder="1" applyAlignment="1">
      <alignment horizontal="center"/>
    </xf>
    <xf numFmtId="0" fontId="177" fillId="0" borderId="137" xfId="33379" applyFont="1" applyBorder="1" applyAlignment="1">
      <alignment horizontal="left"/>
    </xf>
    <xf numFmtId="41" fontId="177" fillId="0" borderId="137" xfId="33379" applyNumberFormat="1" applyFont="1" applyBorder="1" applyAlignment="1">
      <alignment horizontal="center"/>
    </xf>
    <xf numFmtId="41" fontId="177" fillId="0" borderId="141" xfId="33379" applyNumberFormat="1" applyFont="1" applyBorder="1" applyAlignment="1">
      <alignment horizontal="center"/>
    </xf>
    <xf numFmtId="4" fontId="177" fillId="0" borderId="0" xfId="33379" applyNumberFormat="1" applyFont="1" applyAlignment="1">
      <alignment horizontal="center"/>
    </xf>
    <xf numFmtId="4" fontId="177" fillId="0" borderId="0" xfId="33379" applyNumberFormat="1" applyFont="1" applyAlignment="1">
      <alignment horizontal="left"/>
    </xf>
    <xf numFmtId="3" fontId="177" fillId="0" borderId="0" xfId="33379" applyNumberFormat="1" applyFont="1"/>
    <xf numFmtId="10" fontId="177" fillId="0" borderId="0" xfId="33379" applyNumberFormat="1" applyFont="1" applyAlignment="1">
      <alignment horizontal="left"/>
    </xf>
    <xf numFmtId="165" fontId="177" fillId="0" borderId="0" xfId="25940" applyNumberFormat="1" applyFont="1"/>
    <xf numFmtId="165" fontId="177" fillId="0" borderId="0" xfId="25940" applyNumberFormat="1" applyFont="1" applyFill="1"/>
    <xf numFmtId="3" fontId="184" fillId="0" borderId="0" xfId="33379" applyNumberFormat="1" applyFont="1" applyAlignment="1">
      <alignment horizontal="center"/>
    </xf>
    <xf numFmtId="3" fontId="183" fillId="0" borderId="0" xfId="33379" applyNumberFormat="1" applyFont="1"/>
    <xf numFmtId="41" fontId="183" fillId="0" borderId="0" xfId="33379" applyNumberFormat="1" applyFont="1"/>
    <xf numFmtId="0" fontId="177" fillId="0" borderId="0" xfId="33379" applyFont="1" applyAlignment="1">
      <alignment horizontal="center"/>
    </xf>
    <xf numFmtId="41" fontId="177" fillId="0" borderId="65" xfId="25751" applyNumberFormat="1" applyFont="1" applyFill="1" applyBorder="1"/>
    <xf numFmtId="10" fontId="178" fillId="0" borderId="65" xfId="33379" applyNumberFormat="1" applyFont="1" applyBorder="1" applyAlignment="1">
      <alignment horizontal="left"/>
    </xf>
    <xf numFmtId="41" fontId="177" fillId="0" borderId="0" xfId="25751" applyNumberFormat="1" applyFont="1" applyFill="1" applyBorder="1"/>
    <xf numFmtId="10" fontId="178" fillId="0" borderId="0" xfId="33379" applyNumberFormat="1" applyFont="1" applyAlignment="1">
      <alignment horizontal="left"/>
    </xf>
    <xf numFmtId="165" fontId="177" fillId="0" borderId="0" xfId="25940" applyNumberFormat="1" applyFont="1" applyFill="1" applyBorder="1"/>
    <xf numFmtId="0" fontId="178" fillId="0" borderId="0" xfId="33379" applyFont="1" applyAlignment="1">
      <alignment horizontal="left"/>
    </xf>
    <xf numFmtId="41" fontId="177" fillId="0" borderId="0" xfId="25751" applyNumberFormat="1" applyFont="1" applyBorder="1"/>
    <xf numFmtId="43" fontId="0" fillId="0" borderId="137" xfId="25742" applyFont="1" applyFill="1" applyBorder="1"/>
    <xf numFmtId="165" fontId="175" fillId="0" borderId="0" xfId="25742" applyNumberFormat="1" applyFont="1"/>
    <xf numFmtId="10" fontId="175" fillId="0" borderId="0" xfId="25793" applyNumberFormat="1" applyFont="1"/>
    <xf numFmtId="0" fontId="164" fillId="89" borderId="13" xfId="0" applyFont="1" applyFill="1" applyBorder="1" applyAlignment="1">
      <alignment horizontal="center" vertical="center" wrapText="1"/>
    </xf>
    <xf numFmtId="165" fontId="175" fillId="0" borderId="0" xfId="0" applyNumberFormat="1" applyFont="1"/>
    <xf numFmtId="37" fontId="175" fillId="0" borderId="0" xfId="0" applyNumberFormat="1" applyFont="1"/>
    <xf numFmtId="5" fontId="175" fillId="0" borderId="0" xfId="0" applyNumberFormat="1" applyFont="1"/>
    <xf numFmtId="0" fontId="164" fillId="86" borderId="141" xfId="0" quotePrefix="1" applyFont="1" applyFill="1" applyBorder="1" applyAlignment="1">
      <alignment horizontal="center"/>
    </xf>
    <xf numFmtId="0" fontId="175" fillId="0" borderId="0" xfId="0" applyFont="1" applyAlignment="1">
      <alignment horizontal="center"/>
    </xf>
    <xf numFmtId="219" fontId="177" fillId="0" borderId="0" xfId="25751" applyNumberFormat="1" applyFont="1" applyBorder="1"/>
    <xf numFmtId="0" fontId="185" fillId="0" borderId="0" xfId="33397" applyFont="1"/>
    <xf numFmtId="0" fontId="67" fillId="0" borderId="0" xfId="33397" applyFont="1"/>
    <xf numFmtId="0" fontId="186" fillId="0" borderId="0" xfId="33397" applyFont="1"/>
    <xf numFmtId="0" fontId="186" fillId="0" borderId="143" xfId="33397" applyFont="1" applyBorder="1"/>
    <xf numFmtId="0" fontId="187" fillId="0" borderId="0" xfId="33397" applyFont="1"/>
    <xf numFmtId="0" fontId="67" fillId="0" borderId="137" xfId="33397" applyFont="1" applyBorder="1"/>
    <xf numFmtId="0" fontId="188" fillId="0" borderId="137" xfId="33397" applyFont="1" applyBorder="1"/>
    <xf numFmtId="0" fontId="185" fillId="0" borderId="137" xfId="33397" applyFont="1" applyBorder="1"/>
    <xf numFmtId="0" fontId="187" fillId="0" borderId="137" xfId="33397" applyFont="1" applyBorder="1"/>
    <xf numFmtId="0" fontId="67" fillId="0" borderId="0" xfId="33397" applyFont="1" applyAlignment="1">
      <alignment horizontal="center"/>
    </xf>
    <xf numFmtId="0" fontId="186" fillId="0" borderId="137" xfId="33397" applyFont="1" applyBorder="1"/>
    <xf numFmtId="0" fontId="185" fillId="0" borderId="0" xfId="33397" applyFont="1" applyAlignment="1">
      <alignment horizontal="center"/>
    </xf>
    <xf numFmtId="166" fontId="67" fillId="0" borderId="0" xfId="33397" applyNumberFormat="1" applyFont="1"/>
    <xf numFmtId="0" fontId="185" fillId="0" borderId="137" xfId="33397" applyFont="1" applyBorder="1" applyAlignment="1">
      <alignment horizontal="center"/>
    </xf>
    <xf numFmtId="0" fontId="67" fillId="0" borderId="137" xfId="33397" applyFont="1" applyBorder="1" applyAlignment="1">
      <alignment horizontal="center"/>
    </xf>
    <xf numFmtId="9" fontId="67" fillId="0" borderId="0" xfId="33397" applyNumberFormat="1" applyFont="1"/>
    <xf numFmtId="41" fontId="185" fillId="0" borderId="0" xfId="33397" applyNumberFormat="1" applyFont="1"/>
    <xf numFmtId="5" fontId="185" fillId="0" borderId="0" xfId="33397" applyNumberFormat="1" applyFont="1"/>
    <xf numFmtId="2" fontId="67" fillId="0" borderId="0" xfId="33397" applyNumberFormat="1" applyFont="1"/>
    <xf numFmtId="41" fontId="67" fillId="0" borderId="0" xfId="33397" applyNumberFormat="1" applyFont="1"/>
    <xf numFmtId="41" fontId="186" fillId="0" borderId="0" xfId="33397" applyNumberFormat="1" applyFont="1"/>
    <xf numFmtId="2" fontId="67" fillId="0" borderId="0" xfId="33397" quotePrefix="1" applyNumberFormat="1" applyFont="1"/>
    <xf numFmtId="0" fontId="67" fillId="89" borderId="137" xfId="33397" applyFont="1" applyFill="1" applyBorder="1" applyAlignment="1">
      <alignment horizontal="center"/>
    </xf>
    <xf numFmtId="10" fontId="67" fillId="89" borderId="0" xfId="33397" applyNumberFormat="1" applyFont="1" applyFill="1"/>
    <xf numFmtId="10" fontId="67" fillId="89" borderId="137" xfId="33397" applyNumberFormat="1" applyFont="1" applyFill="1" applyBorder="1"/>
    <xf numFmtId="0" fontId="189" fillId="0" borderId="0" xfId="33397" applyFont="1"/>
    <xf numFmtId="0" fontId="67" fillId="0" borderId="0" xfId="33397" applyFont="1" applyAlignment="1">
      <alignment horizontal="right"/>
    </xf>
    <xf numFmtId="2" fontId="186" fillId="0" borderId="0" xfId="33397" applyNumberFormat="1" applyFont="1"/>
    <xf numFmtId="41" fontId="186" fillId="0" borderId="138" xfId="33397" applyNumberFormat="1" applyFont="1" applyBorder="1"/>
    <xf numFmtId="41" fontId="189" fillId="0" borderId="0" xfId="33397" applyNumberFormat="1" applyFont="1"/>
    <xf numFmtId="41" fontId="189" fillId="0" borderId="138" xfId="33397" applyNumberFormat="1" applyFont="1" applyBorder="1"/>
    <xf numFmtId="41" fontId="189" fillId="0" borderId="65" xfId="33397" applyNumberFormat="1" applyFont="1" applyBorder="1"/>
    <xf numFmtId="0" fontId="190" fillId="0" borderId="0" xfId="33397" applyFont="1"/>
    <xf numFmtId="41" fontId="185" fillId="0" borderId="138" xfId="33397" applyNumberFormat="1" applyFont="1" applyBorder="1"/>
    <xf numFmtId="41" fontId="67" fillId="0" borderId="138" xfId="33397" applyNumberFormat="1" applyFont="1" applyBorder="1"/>
    <xf numFmtId="41" fontId="185" fillId="0" borderId="64" xfId="33397" applyNumberFormat="1" applyFont="1" applyBorder="1"/>
    <xf numFmtId="41" fontId="67" fillId="0" borderId="0" xfId="33397" applyNumberFormat="1" applyFont="1" applyAlignment="1">
      <alignment horizontal="right"/>
    </xf>
    <xf numFmtId="0" fontId="185" fillId="0" borderId="0" xfId="33397" quotePrefix="1" applyFont="1" applyAlignment="1">
      <alignment horizontal="center"/>
    </xf>
    <xf numFmtId="0" fontId="185" fillId="0" borderId="0" xfId="33397" applyFont="1" applyAlignment="1">
      <alignment horizontal="right" indent="1"/>
    </xf>
    <xf numFmtId="7" fontId="67" fillId="0" borderId="0" xfId="33397" applyNumberFormat="1" applyFont="1"/>
    <xf numFmtId="0" fontId="191" fillId="0" borderId="137" xfId="33397" applyFont="1" applyBorder="1" applyAlignment="1">
      <alignment horizontal="center"/>
    </xf>
    <xf numFmtId="0" fontId="192" fillId="0" borderId="0" xfId="33397" applyFont="1"/>
    <xf numFmtId="0" fontId="193" fillId="0" borderId="0" xfId="33397" applyFont="1"/>
    <xf numFmtId="0" fontId="192" fillId="0" borderId="0" xfId="33397" applyFont="1" applyAlignment="1">
      <alignment horizontal="center"/>
    </xf>
    <xf numFmtId="10" fontId="1" fillId="95" borderId="42" xfId="0" applyNumberFormat="1" applyFont="1" applyFill="1" applyBorder="1"/>
    <xf numFmtId="10" fontId="1" fillId="95" borderId="0" xfId="0" applyNumberFormat="1" applyFont="1" applyFill="1"/>
    <xf numFmtId="10" fontId="144" fillId="95" borderId="0" xfId="0" applyNumberFormat="1" applyFont="1" applyFill="1"/>
    <xf numFmtId="0" fontId="194" fillId="0" borderId="0" xfId="0" applyFont="1"/>
    <xf numFmtId="0" fontId="159" fillId="89" borderId="0" xfId="0" applyFont="1" applyFill="1"/>
    <xf numFmtId="0" fontId="195" fillId="89" borderId="0" xfId="0" applyFont="1" applyFill="1"/>
    <xf numFmtId="0" fontId="159" fillId="89" borderId="158" xfId="0" applyFont="1" applyFill="1" applyBorder="1"/>
    <xf numFmtId="166" fontId="159" fillId="89" borderId="0" xfId="0" applyNumberFormat="1" applyFont="1" applyFill="1"/>
    <xf numFmtId="0" fontId="159" fillId="89" borderId="0" xfId="0" quotePrefix="1" applyFont="1" applyFill="1"/>
    <xf numFmtId="41" fontId="159" fillId="89" borderId="0" xfId="0" applyNumberFormat="1" applyFont="1" applyFill="1"/>
    <xf numFmtId="10" fontId="159" fillId="89" borderId="0" xfId="0" applyNumberFormat="1" applyFont="1" applyFill="1"/>
    <xf numFmtId="0" fontId="159" fillId="96" borderId="0" xfId="0" applyFont="1" applyFill="1"/>
    <xf numFmtId="0" fontId="159" fillId="96" borderId="0" xfId="0" quotePrefix="1" applyFont="1" applyFill="1"/>
    <xf numFmtId="0" fontId="196" fillId="96" borderId="0" xfId="0" applyFont="1" applyFill="1" applyAlignment="1">
      <alignment horizontal="left" indent="1"/>
    </xf>
    <xf numFmtId="0" fontId="196" fillId="96" borderId="0" xfId="0" applyFont="1" applyFill="1"/>
    <xf numFmtId="166" fontId="196" fillId="96" borderId="0" xfId="0" applyNumberFormat="1" applyFont="1" applyFill="1"/>
    <xf numFmtId="0" fontId="196" fillId="89" borderId="0" xfId="0" applyFont="1" applyFill="1" applyAlignment="1">
      <alignment horizontal="left" indent="1"/>
    </xf>
    <xf numFmtId="0" fontId="196" fillId="89" borderId="0" xfId="0" applyFont="1" applyFill="1"/>
    <xf numFmtId="166" fontId="196" fillId="89" borderId="0" xfId="0" applyNumberFormat="1" applyFont="1" applyFill="1"/>
    <xf numFmtId="10" fontId="196" fillId="96" borderId="0" xfId="0" applyNumberFormat="1" applyFont="1" applyFill="1"/>
    <xf numFmtId="0" fontId="197" fillId="89" borderId="0" xfId="0" applyFont="1" applyFill="1" applyAlignment="1">
      <alignment horizontal="center"/>
    </xf>
    <xf numFmtId="10" fontId="120" fillId="95" borderId="0" xfId="25793" applyNumberFormat="1" applyFont="1" applyFill="1"/>
    <xf numFmtId="10" fontId="124" fillId="95" borderId="0" xfId="25793" applyNumberFormat="1" applyFont="1" applyFill="1"/>
    <xf numFmtId="41" fontId="1" fillId="0" borderId="0" xfId="0" applyNumberFormat="1" applyFont="1"/>
    <xf numFmtId="41" fontId="120" fillId="0" borderId="0" xfId="0" applyNumberFormat="1" applyFont="1"/>
    <xf numFmtId="0" fontId="198" fillId="89" borderId="0" xfId="0" applyFont="1" applyFill="1"/>
    <xf numFmtId="0" fontId="198" fillId="89" borderId="158" xfId="0" applyFont="1" applyFill="1" applyBorder="1"/>
    <xf numFmtId="0" fontId="159" fillId="89" borderId="137" xfId="0" applyFont="1" applyFill="1" applyBorder="1"/>
    <xf numFmtId="41" fontId="159" fillId="96" borderId="0" xfId="0" applyNumberFormat="1" applyFont="1" applyFill="1"/>
    <xf numFmtId="0" fontId="199" fillId="89" borderId="0" xfId="0" applyFont="1" applyFill="1"/>
    <xf numFmtId="0" fontId="14" fillId="0" borderId="0" xfId="27280" applyFont="1" applyAlignment="1">
      <alignment horizontal="center"/>
    </xf>
    <xf numFmtId="0" fontId="120" fillId="0" borderId="137" xfId="27280" applyFont="1" applyBorder="1" applyAlignment="1">
      <alignment horizontal="center" wrapText="1"/>
    </xf>
    <xf numFmtId="0" fontId="120" fillId="0" borderId="0" xfId="27280" applyFont="1" applyAlignment="1">
      <alignment horizontal="center"/>
    </xf>
    <xf numFmtId="0" fontId="120" fillId="0" borderId="0" xfId="27280" applyFont="1"/>
    <xf numFmtId="0" fontId="67" fillId="89" borderId="0" xfId="33397" applyFont="1" applyFill="1" applyAlignment="1">
      <alignment horizontal="center"/>
    </xf>
    <xf numFmtId="0" fontId="67" fillId="89" borderId="0" xfId="33397" applyFont="1" applyFill="1"/>
    <xf numFmtId="10" fontId="67" fillId="89" borderId="0" xfId="25748" applyNumberFormat="1" applyFont="1" applyFill="1" applyBorder="1"/>
    <xf numFmtId="166" fontId="67" fillId="89" borderId="138" xfId="25748" applyNumberFormat="1" applyFont="1" applyFill="1" applyBorder="1"/>
    <xf numFmtId="10" fontId="67" fillId="89" borderId="138" xfId="25748" applyNumberFormat="1" applyFont="1" applyFill="1" applyBorder="1"/>
    <xf numFmtId="0" fontId="120" fillId="0" borderId="76" xfId="0" applyFont="1" applyBorder="1"/>
    <xf numFmtId="0" fontId="120" fillId="0" borderId="42" xfId="0" applyFont="1" applyBorder="1"/>
    <xf numFmtId="0" fontId="120" fillId="0" borderId="75" xfId="0" applyFont="1" applyBorder="1"/>
    <xf numFmtId="188" fontId="120" fillId="0" borderId="0" xfId="25742" applyNumberFormat="1" applyFont="1" applyFill="1" applyBorder="1"/>
    <xf numFmtId="0" fontId="124" fillId="0" borderId="73" xfId="0" applyFont="1" applyBorder="1" applyAlignment="1">
      <alignment horizontal="center"/>
    </xf>
    <xf numFmtId="165" fontId="201" fillId="0" borderId="74" xfId="25766" applyNumberFormat="1" applyFont="1" applyFill="1" applyBorder="1"/>
    <xf numFmtId="165" fontId="201" fillId="0" borderId="0" xfId="25766" applyNumberFormat="1" applyFont="1" applyFill="1" applyBorder="1"/>
    <xf numFmtId="0" fontId="120" fillId="0" borderId="73" xfId="0" applyFont="1" applyBorder="1" applyAlignment="1">
      <alignment horizontal="center"/>
    </xf>
    <xf numFmtId="0" fontId="120" fillId="0" borderId="146" xfId="0" applyFont="1" applyBorder="1"/>
    <xf numFmtId="0" fontId="120" fillId="0" borderId="145" xfId="0" applyFont="1" applyBorder="1"/>
    <xf numFmtId="0" fontId="120" fillId="0" borderId="144" xfId="0" applyFont="1" applyBorder="1" applyAlignment="1">
      <alignment horizontal="center"/>
    </xf>
    <xf numFmtId="0" fontId="124" fillId="0" borderId="159" xfId="0" applyFont="1" applyBorder="1" applyAlignment="1">
      <alignment horizontal="center" wrapText="1"/>
    </xf>
    <xf numFmtId="0" fontId="124" fillId="0" borderId="160" xfId="0" applyFont="1" applyBorder="1" applyAlignment="1">
      <alignment horizontal="center" wrapText="1"/>
    </xf>
    <xf numFmtId="0" fontId="124" fillId="0" borderId="161" xfId="0" applyFont="1" applyBorder="1" applyAlignment="1">
      <alignment horizontal="center" wrapText="1"/>
    </xf>
    <xf numFmtId="0" fontId="124" fillId="0" borderId="162" xfId="0" applyFont="1" applyBorder="1" applyAlignment="1">
      <alignment horizontal="center" wrapText="1"/>
    </xf>
    <xf numFmtId="0" fontId="124" fillId="0" borderId="163" xfId="0" applyFont="1" applyBorder="1" applyAlignment="1">
      <alignment horizontal="center" wrapText="1"/>
    </xf>
    <xf numFmtId="0" fontId="124" fillId="0" borderId="164" xfId="0" applyFont="1" applyBorder="1" applyAlignment="1">
      <alignment horizontal="centerContinuous"/>
    </xf>
    <xf numFmtId="0" fontId="120" fillId="0" borderId="13" xfId="25750" applyFont="1" applyBorder="1" applyAlignment="1">
      <alignment horizontal="center" wrapText="1"/>
    </xf>
    <xf numFmtId="0" fontId="0" fillId="0" borderId="13" xfId="0" applyBorder="1"/>
    <xf numFmtId="0" fontId="0" fillId="0" borderId="13" xfId="0" applyBorder="1" applyAlignment="1">
      <alignment horizontal="center"/>
    </xf>
    <xf numFmtId="14" fontId="120" fillId="0" borderId="0" xfId="25794" applyNumberFormat="1" applyFont="1" applyAlignment="1">
      <alignment horizontal="center" wrapText="1"/>
    </xf>
    <xf numFmtId="43" fontId="120" fillId="97" borderId="0" xfId="25742" applyFont="1" applyFill="1" applyBorder="1" applyAlignment="1">
      <alignment horizontal="center" wrapText="1"/>
    </xf>
    <xf numFmtId="41" fontId="120" fillId="97" borderId="0" xfId="25742" applyNumberFormat="1" applyFont="1" applyFill="1" applyBorder="1" applyAlignment="1">
      <alignment horizontal="center" wrapText="1"/>
    </xf>
    <xf numFmtId="196" fontId="0" fillId="0" borderId="0" xfId="0" applyNumberFormat="1"/>
    <xf numFmtId="0" fontId="200" fillId="0" borderId="0" xfId="0" applyFont="1" applyAlignment="1">
      <alignment horizontal="center"/>
    </xf>
    <xf numFmtId="0" fontId="199" fillId="89" borderId="0" xfId="0" applyFont="1" applyFill="1" applyAlignment="1">
      <alignment horizontal="center"/>
    </xf>
    <xf numFmtId="196" fontId="159" fillId="96" borderId="0" xfId="0" applyNumberFormat="1" applyFont="1" applyFill="1"/>
    <xf numFmtId="0" fontId="169" fillId="89" borderId="0" xfId="0" applyFont="1" applyFill="1"/>
    <xf numFmtId="0" fontId="169" fillId="89" borderId="137" xfId="0" applyFont="1" applyFill="1" applyBorder="1" applyAlignment="1">
      <alignment horizontal="center"/>
    </xf>
    <xf numFmtId="41" fontId="159" fillId="89" borderId="137" xfId="0" applyNumberFormat="1" applyFont="1" applyFill="1" applyBorder="1"/>
    <xf numFmtId="41" fontId="169" fillId="89" borderId="0" xfId="0" applyNumberFormat="1" applyFont="1" applyFill="1"/>
    <xf numFmtId="0" fontId="43" fillId="89" borderId="0" xfId="0" applyFont="1" applyFill="1"/>
    <xf numFmtId="196" fontId="43" fillId="89" borderId="0" xfId="0" applyNumberFormat="1" applyFont="1" applyFill="1"/>
    <xf numFmtId="0" fontId="43" fillId="89" borderId="158" xfId="0" applyFont="1" applyFill="1" applyBorder="1"/>
    <xf numFmtId="0" fontId="202" fillId="89" borderId="0" xfId="0" applyFont="1" applyFill="1"/>
    <xf numFmtId="0" fontId="43" fillId="89" borderId="0" xfId="0" applyFont="1" applyFill="1" applyAlignment="1">
      <alignment horizontal="centerContinuous"/>
    </xf>
    <xf numFmtId="0" fontId="203" fillId="89" borderId="0" xfId="0" applyFont="1" applyFill="1" applyAlignment="1">
      <alignment horizontal="centerContinuous"/>
    </xf>
    <xf numFmtId="0" fontId="170" fillId="89" borderId="0" xfId="0" applyFont="1" applyFill="1" applyAlignment="1">
      <alignment horizontal="centerContinuous"/>
    </xf>
    <xf numFmtId="0" fontId="43" fillId="96" borderId="0" xfId="0" applyFont="1" applyFill="1"/>
    <xf numFmtId="196" fontId="43" fillId="96" borderId="0" xfId="0" applyNumberFormat="1" applyFont="1" applyFill="1"/>
    <xf numFmtId="196" fontId="43" fillId="96" borderId="137" xfId="0" applyNumberFormat="1" applyFont="1" applyFill="1" applyBorder="1"/>
    <xf numFmtId="43" fontId="120" fillId="0" borderId="0" xfId="25455" quotePrefix="1" applyNumberFormat="1" applyFont="1"/>
    <xf numFmtId="0" fontId="66" fillId="0" borderId="0" xfId="33397" applyFont="1" applyAlignment="1">
      <alignment horizontal="center"/>
    </xf>
    <xf numFmtId="0" fontId="66" fillId="0" borderId="137" xfId="33397" applyFont="1" applyBorder="1" applyAlignment="1">
      <alignment horizontal="center"/>
    </xf>
    <xf numFmtId="0" fontId="65" fillId="0" borderId="0" xfId="33397" applyFont="1" applyAlignment="1">
      <alignment horizontal="center"/>
    </xf>
    <xf numFmtId="2" fontId="65" fillId="0" borderId="0" xfId="33397" applyNumberFormat="1" applyFont="1" applyAlignment="1">
      <alignment horizontal="center"/>
    </xf>
    <xf numFmtId="2" fontId="65" fillId="0" borderId="0" xfId="33397" quotePrefix="1" applyNumberFormat="1" applyFont="1" applyAlignment="1">
      <alignment horizontal="center"/>
    </xf>
    <xf numFmtId="2" fontId="76" fillId="0" borderId="0" xfId="33397" applyNumberFormat="1" applyFont="1" applyAlignment="1">
      <alignment horizontal="center"/>
    </xf>
    <xf numFmtId="2" fontId="204" fillId="0" borderId="0" xfId="33397" applyNumberFormat="1" applyFont="1"/>
    <xf numFmtId="41" fontId="205" fillId="0" borderId="0" xfId="33397" applyNumberFormat="1" applyFont="1" applyAlignment="1">
      <alignment horizontal="center"/>
    </xf>
    <xf numFmtId="0" fontId="204" fillId="0" borderId="0" xfId="33397" applyFont="1"/>
    <xf numFmtId="41" fontId="204" fillId="0" borderId="0" xfId="33397" applyNumberFormat="1" applyFont="1"/>
    <xf numFmtId="0" fontId="206" fillId="0" borderId="0" xfId="33397" applyFont="1"/>
    <xf numFmtId="41" fontId="206" fillId="0" borderId="0" xfId="33397" applyNumberFormat="1" applyFont="1"/>
    <xf numFmtId="0" fontId="204" fillId="0" borderId="0" xfId="33397" applyFont="1" applyAlignment="1">
      <alignment horizontal="center"/>
    </xf>
    <xf numFmtId="9" fontId="0" fillId="0" borderId="137" xfId="0" applyNumberFormat="1" applyBorder="1"/>
    <xf numFmtId="196" fontId="124" fillId="0" borderId="0" xfId="24690" applyNumberFormat="1" applyFont="1"/>
    <xf numFmtId="10" fontId="207" fillId="96" borderId="0" xfId="0" applyNumberFormat="1" applyFont="1" applyFill="1"/>
    <xf numFmtId="10" fontId="169" fillId="89" borderId="0" xfId="0" applyNumberFormat="1" applyFont="1" applyFill="1"/>
    <xf numFmtId="10" fontId="208" fillId="89" borderId="0" xfId="0" applyNumberFormat="1" applyFont="1" applyFill="1"/>
    <xf numFmtId="0" fontId="209" fillId="89" borderId="0" xfId="0" applyFont="1" applyFill="1"/>
    <xf numFmtId="0" fontId="196" fillId="89" borderId="137" xfId="0" applyFont="1" applyFill="1" applyBorder="1"/>
    <xf numFmtId="166" fontId="196" fillId="89" borderId="137" xfId="0" applyNumberFormat="1" applyFont="1" applyFill="1" applyBorder="1"/>
    <xf numFmtId="10" fontId="159" fillId="96" borderId="0" xfId="0" applyNumberFormat="1" applyFont="1" applyFill="1"/>
    <xf numFmtId="10" fontId="208" fillId="96" borderId="0" xfId="0" applyNumberFormat="1" applyFont="1" applyFill="1"/>
    <xf numFmtId="0" fontId="210" fillId="89" borderId="0" xfId="0" applyFont="1" applyFill="1" applyAlignment="1">
      <alignment horizontal="centerContinuous"/>
    </xf>
    <xf numFmtId="0" fontId="210" fillId="89" borderId="0" xfId="0" applyFont="1" applyFill="1" applyAlignment="1">
      <alignment horizontal="center"/>
    </xf>
    <xf numFmtId="41" fontId="151" fillId="0" borderId="0" xfId="0" applyNumberFormat="1" applyFont="1"/>
    <xf numFmtId="2" fontId="205" fillId="0" borderId="0" xfId="33397" applyNumberFormat="1" applyFont="1" applyAlignment="1">
      <alignment horizontal="center"/>
    </xf>
    <xf numFmtId="0" fontId="0" fillId="89" borderId="0" xfId="0" applyFill="1"/>
    <xf numFmtId="0" fontId="17" fillId="89" borderId="0" xfId="0" applyFont="1" applyFill="1"/>
    <xf numFmtId="0" fontId="0" fillId="96" borderId="130" xfId="0" applyFill="1" applyBorder="1"/>
    <xf numFmtId="0" fontId="159" fillId="96" borderId="170" xfId="0" applyFont="1" applyFill="1" applyBorder="1"/>
    <xf numFmtId="0" fontId="159" fillId="89" borderId="173" xfId="0" applyFont="1" applyFill="1" applyBorder="1"/>
    <xf numFmtId="0" fontId="159" fillId="96" borderId="166" xfId="0" applyFont="1" applyFill="1" applyBorder="1" applyAlignment="1">
      <alignment horizontal="center" vertical="center" textRotation="90"/>
    </xf>
    <xf numFmtId="0" fontId="159" fillId="89" borderId="143" xfId="0" applyFont="1" applyFill="1" applyBorder="1" applyAlignment="1">
      <alignment horizontal="center" vertical="center" textRotation="90"/>
    </xf>
    <xf numFmtId="0" fontId="159" fillId="96" borderId="167" xfId="0" applyFont="1" applyFill="1" applyBorder="1" applyAlignment="1">
      <alignment horizontal="center" vertical="center"/>
    </xf>
    <xf numFmtId="0" fontId="159" fillId="89" borderId="174" xfId="0" applyFont="1" applyFill="1" applyBorder="1" applyAlignment="1">
      <alignment horizontal="center" vertical="center"/>
    </xf>
    <xf numFmtId="0" fontId="159" fillId="89" borderId="0" xfId="0" applyFont="1" applyFill="1" applyAlignment="1">
      <alignment horizontal="center" vertical="center"/>
    </xf>
    <xf numFmtId="0" fontId="159" fillId="96" borderId="153" xfId="0" applyFont="1" applyFill="1" applyBorder="1" applyAlignment="1">
      <alignment horizontal="center" vertical="center"/>
    </xf>
    <xf numFmtId="0" fontId="159" fillId="89" borderId="142" xfId="0" applyFont="1" applyFill="1" applyBorder="1" applyAlignment="1">
      <alignment horizontal="center" vertical="center"/>
    </xf>
    <xf numFmtId="0" fontId="159" fillId="96" borderId="130" xfId="0" applyFont="1" applyFill="1" applyBorder="1"/>
    <xf numFmtId="0" fontId="159" fillId="89" borderId="140" xfId="0" applyFont="1" applyFill="1" applyBorder="1"/>
    <xf numFmtId="0" fontId="159" fillId="96" borderId="153" xfId="0" applyFont="1" applyFill="1" applyBorder="1"/>
    <xf numFmtId="0" fontId="197" fillId="89" borderId="28" xfId="0" applyFont="1" applyFill="1" applyBorder="1"/>
    <xf numFmtId="0" fontId="197" fillId="89" borderId="0" xfId="0" applyFont="1" applyFill="1" applyAlignment="1">
      <alignment horizontal="center" vertical="center" textRotation="90"/>
    </xf>
    <xf numFmtId="0" fontId="159" fillId="89" borderId="171" xfId="0" applyFont="1" applyFill="1" applyBorder="1"/>
    <xf numFmtId="0" fontId="211" fillId="89" borderId="171" xfId="0" applyFont="1" applyFill="1" applyBorder="1" applyAlignment="1">
      <alignment horizontal="center" vertical="center" textRotation="90"/>
    </xf>
    <xf numFmtId="220" fontId="212" fillId="89" borderId="171" xfId="0" applyNumberFormat="1" applyFont="1" applyFill="1" applyBorder="1" applyAlignment="1">
      <alignment horizontal="center" vertical="center" textRotation="90"/>
    </xf>
    <xf numFmtId="220" fontId="212" fillId="89" borderId="172" xfId="0" applyNumberFormat="1" applyFont="1" applyFill="1" applyBorder="1" applyAlignment="1">
      <alignment horizontal="center" vertical="center" textRotation="90"/>
    </xf>
    <xf numFmtId="0" fontId="159" fillId="89" borderId="0" xfId="0" applyFont="1" applyFill="1" applyAlignment="1">
      <alignment horizontal="center" vertical="center" textRotation="90"/>
    </xf>
    <xf numFmtId="0" fontId="211" fillId="89" borderId="0" xfId="0" applyFont="1" applyFill="1" applyAlignment="1">
      <alignment horizontal="center" vertical="center" textRotation="90"/>
    </xf>
    <xf numFmtId="176" fontId="213" fillId="98" borderId="165" xfId="0" applyNumberFormat="1" applyFont="1" applyFill="1" applyBorder="1" applyAlignment="1">
      <alignment horizontal="center" vertical="center" textRotation="90" wrapText="1"/>
    </xf>
    <xf numFmtId="220" fontId="212" fillId="89" borderId="0" xfId="0" applyNumberFormat="1" applyFont="1" applyFill="1" applyAlignment="1">
      <alignment horizontal="center" vertical="center" textRotation="90"/>
    </xf>
    <xf numFmtId="220" fontId="212" fillId="89" borderId="11" xfId="0" applyNumberFormat="1" applyFont="1" applyFill="1" applyBorder="1" applyAlignment="1">
      <alignment horizontal="center" vertical="center" textRotation="90"/>
    </xf>
    <xf numFmtId="0" fontId="159" fillId="89" borderId="168" xfId="0" applyFont="1" applyFill="1" applyBorder="1" applyAlignment="1">
      <alignment horizontal="center" vertical="center"/>
    </xf>
    <xf numFmtId="0" fontId="211" fillId="89" borderId="168" xfId="0" applyFont="1" applyFill="1" applyBorder="1" applyAlignment="1">
      <alignment horizontal="center" vertical="center"/>
    </xf>
    <xf numFmtId="0" fontId="211" fillId="89" borderId="169" xfId="0" applyFont="1" applyFill="1" applyBorder="1" applyAlignment="1">
      <alignment horizontal="center" vertical="center"/>
    </xf>
    <xf numFmtId="0" fontId="211" fillId="89" borderId="0" xfId="0" applyFont="1" applyFill="1" applyAlignment="1">
      <alignment horizontal="center" vertical="center"/>
    </xf>
    <xf numFmtId="0" fontId="159" fillId="89" borderId="28" xfId="0" applyFont="1" applyFill="1" applyBorder="1" applyAlignment="1">
      <alignment horizontal="center" vertical="center"/>
    </xf>
    <xf numFmtId="0" fontId="211" fillId="89" borderId="28" xfId="0" applyFont="1" applyFill="1" applyBorder="1" applyAlignment="1">
      <alignment horizontal="center" vertical="center"/>
    </xf>
    <xf numFmtId="0" fontId="211" fillId="89" borderId="152" xfId="0" applyFont="1" applyFill="1" applyBorder="1" applyAlignment="1">
      <alignment horizontal="center" vertical="center"/>
    </xf>
    <xf numFmtId="220" fontId="211" fillId="89" borderId="0" xfId="0" applyNumberFormat="1" applyFont="1" applyFill="1" applyAlignment="1">
      <alignment horizontal="center" vertical="center" textRotation="90"/>
    </xf>
    <xf numFmtId="0" fontId="211" fillId="0" borderId="0" xfId="0" applyFont="1" applyAlignment="1">
      <alignment horizontal="center" vertical="center" textRotation="90"/>
    </xf>
    <xf numFmtId="176" fontId="66" fillId="89" borderId="11" xfId="0" applyNumberFormat="1" applyFont="1" applyFill="1" applyBorder="1" applyAlignment="1">
      <alignment horizontal="center" vertical="center" textRotation="90"/>
    </xf>
    <xf numFmtId="0" fontId="211" fillId="89" borderId="137" xfId="0" applyFont="1" applyFill="1" applyBorder="1"/>
    <xf numFmtId="0" fontId="211" fillId="89" borderId="139" xfId="0" applyFont="1" applyFill="1" applyBorder="1"/>
    <xf numFmtId="0" fontId="211" fillId="89" borderId="0" xfId="0" applyFont="1" applyFill="1"/>
    <xf numFmtId="0" fontId="159" fillId="89" borderId="28" xfId="0" applyFont="1" applyFill="1" applyBorder="1"/>
    <xf numFmtId="0" fontId="211" fillId="89" borderId="28" xfId="0" applyFont="1" applyFill="1" applyBorder="1"/>
    <xf numFmtId="0" fontId="211" fillId="89" borderId="152" xfId="0" applyFont="1" applyFill="1" applyBorder="1"/>
    <xf numFmtId="0" fontId="211" fillId="89" borderId="11" xfId="0" applyFont="1" applyFill="1" applyBorder="1"/>
    <xf numFmtId="176" fontId="66" fillId="89" borderId="0" xfId="0" applyNumberFormat="1" applyFont="1" applyFill="1" applyAlignment="1">
      <alignment horizontal="center" vertical="center" textRotation="90"/>
    </xf>
    <xf numFmtId="0" fontId="211" fillId="0" borderId="0" xfId="0" applyFont="1"/>
    <xf numFmtId="0" fontId="159" fillId="89" borderId="137" xfId="0" quotePrefix="1" applyFont="1" applyFill="1" applyBorder="1"/>
    <xf numFmtId="0" fontId="159" fillId="89" borderId="139" xfId="0" applyFont="1" applyFill="1" applyBorder="1"/>
    <xf numFmtId="176" fontId="65" fillId="86" borderId="165" xfId="0" applyNumberFormat="1" applyFont="1" applyFill="1" applyBorder="1" applyAlignment="1">
      <alignment horizontal="center" vertical="center" textRotation="90"/>
    </xf>
    <xf numFmtId="0" fontId="159" fillId="96" borderId="166" xfId="0" applyFont="1" applyFill="1" applyBorder="1" applyAlignment="1">
      <alignment horizontal="center" vertical="center" textRotation="90" wrapText="1"/>
    </xf>
    <xf numFmtId="0" fontId="159" fillId="96" borderId="166" xfId="0" applyFont="1" applyFill="1" applyBorder="1" applyAlignment="1">
      <alignment horizontal="center" vertical="center" textRotation="90"/>
    </xf>
    <xf numFmtId="39" fontId="124" fillId="0" borderId="0" xfId="25743" applyFont="1" applyAlignment="1">
      <alignment horizontal="left" wrapText="1" indent="1"/>
    </xf>
    <xf numFmtId="0" fontId="16" fillId="0" borderId="0" xfId="0" applyFont="1" applyAlignment="1">
      <alignment horizontal="center"/>
    </xf>
    <xf numFmtId="0" fontId="124" fillId="0" borderId="0" xfId="24690" applyFont="1" applyAlignment="1">
      <alignment horizontal="center"/>
    </xf>
    <xf numFmtId="0" fontId="16" fillId="0" borderId="141" xfId="0" applyFont="1" applyBorder="1" applyAlignment="1">
      <alignment horizontal="center"/>
    </xf>
    <xf numFmtId="0" fontId="1" fillId="0" borderId="141" xfId="0" applyFont="1" applyBorder="1" applyAlignment="1">
      <alignment horizontal="center"/>
    </xf>
    <xf numFmtId="0" fontId="124" fillId="0" borderId="0" xfId="27280" applyFont="1" applyAlignment="1">
      <alignment horizontal="center"/>
    </xf>
    <xf numFmtId="0" fontId="124" fillId="0" borderId="0" xfId="0" applyFont="1" applyAlignment="1">
      <alignment horizontal="center" vertical="center"/>
    </xf>
    <xf numFmtId="0" fontId="148" fillId="0" borderId="0" xfId="0" quotePrefix="1" applyFont="1" applyAlignment="1">
      <alignment horizontal="left" wrapText="1"/>
    </xf>
    <xf numFmtId="0" fontId="166" fillId="0" borderId="0" xfId="0" applyFont="1" applyAlignment="1">
      <alignment horizontal="left" wrapText="1"/>
    </xf>
    <xf numFmtId="0" fontId="166" fillId="0" borderId="0" xfId="0" applyFont="1" applyAlignment="1">
      <alignment horizontal="left" vertical="top" wrapText="1"/>
    </xf>
    <xf numFmtId="0" fontId="148" fillId="0" borderId="0" xfId="0" applyFont="1" applyAlignment="1">
      <alignment horizontal="left" wrapText="1"/>
    </xf>
    <xf numFmtId="0" fontId="148" fillId="0" borderId="137" xfId="0" applyFont="1" applyBorder="1" applyAlignment="1">
      <alignment horizontal="center"/>
    </xf>
    <xf numFmtId="0" fontId="148" fillId="0" borderId="0" xfId="0" applyFont="1" applyAlignment="1">
      <alignment horizontal="center"/>
    </xf>
    <xf numFmtId="0" fontId="0" fillId="0" borderId="137" xfId="0" applyBorder="1" applyAlignment="1">
      <alignment horizontal="center"/>
    </xf>
    <xf numFmtId="0" fontId="160" fillId="0" borderId="0" xfId="0" applyFont="1" applyAlignment="1">
      <alignment horizontal="center" vertical="center" wrapText="1"/>
    </xf>
    <xf numFmtId="0" fontId="120" fillId="0" borderId="66" xfId="0" applyFont="1" applyBorder="1" applyAlignment="1">
      <alignment horizontal="center" wrapText="1"/>
    </xf>
    <xf numFmtId="0" fontId="120" fillId="0" borderId="67" xfId="0" applyFont="1" applyBorder="1" applyAlignment="1">
      <alignment horizontal="center" wrapText="1"/>
    </xf>
    <xf numFmtId="0" fontId="120" fillId="0" borderId="141" xfId="0" applyFont="1" applyBorder="1" applyAlignment="1">
      <alignment horizontal="center" wrapText="1"/>
    </xf>
    <xf numFmtId="0" fontId="0" fillId="0" borderId="141" xfId="0" applyBorder="1" applyAlignment="1">
      <alignment horizontal="center" wrapText="1"/>
    </xf>
    <xf numFmtId="0" fontId="153" fillId="0" borderId="0" xfId="0" applyFont="1" applyAlignment="1">
      <alignment horizontal="center"/>
    </xf>
    <xf numFmtId="0" fontId="152" fillId="0" borderId="0" xfId="0" applyFont="1" applyAlignment="1">
      <alignment horizontal="center"/>
    </xf>
    <xf numFmtId="0" fontId="157" fillId="0" borderId="0" xfId="0" applyFont="1" applyAlignment="1">
      <alignment horizontal="center"/>
    </xf>
    <xf numFmtId="0" fontId="156" fillId="0" borderId="0" xfId="0" applyFont="1" applyAlignment="1">
      <alignment horizontal="center"/>
    </xf>
    <xf numFmtId="0" fontId="169" fillId="0" borderId="0" xfId="0" applyFont="1" applyAlignment="1">
      <alignment horizontal="center"/>
    </xf>
    <xf numFmtId="0" fontId="172" fillId="0" borderId="0" xfId="33391" applyFont="1" applyAlignment="1">
      <alignment horizontal="center"/>
    </xf>
    <xf numFmtId="216" fontId="0" fillId="0" borderId="137" xfId="0" quotePrefix="1" applyNumberFormat="1" applyBorder="1" applyAlignment="1">
      <alignment horizontal="center"/>
    </xf>
    <xf numFmtId="216" fontId="0" fillId="0" borderId="137" xfId="0" applyNumberFormat="1" applyBorder="1" applyAlignment="1">
      <alignment horizontal="center"/>
    </xf>
    <xf numFmtId="0" fontId="169" fillId="0" borderId="0" xfId="165" applyFont="1" applyAlignment="1">
      <alignment horizontal="center"/>
    </xf>
    <xf numFmtId="0" fontId="170" fillId="0" borderId="0" xfId="30158" applyFont="1" applyAlignment="1">
      <alignment horizontal="center"/>
    </xf>
    <xf numFmtId="0" fontId="1" fillId="90" borderId="145" xfId="0" applyFont="1" applyFill="1" applyBorder="1" applyAlignment="1">
      <alignment horizontal="center" wrapText="1"/>
    </xf>
    <xf numFmtId="0" fontId="1" fillId="90" borderId="146" xfId="0" applyFont="1" applyFill="1" applyBorder="1" applyAlignment="1">
      <alignment horizontal="center" wrapText="1"/>
    </xf>
    <xf numFmtId="0" fontId="1" fillId="90" borderId="144" xfId="0" applyFont="1" applyFill="1" applyBorder="1" applyAlignment="1">
      <alignment horizontal="center" wrapText="1"/>
    </xf>
    <xf numFmtId="0" fontId="1" fillId="90" borderId="145" xfId="0" applyFont="1" applyFill="1" applyBorder="1" applyAlignment="1">
      <alignment wrapText="1"/>
    </xf>
    <xf numFmtId="0" fontId="1" fillId="90" borderId="146" xfId="0" applyFont="1" applyFill="1" applyBorder="1" applyAlignment="1">
      <alignment wrapText="1"/>
    </xf>
    <xf numFmtId="0" fontId="1" fillId="0" borderId="73" xfId="0" applyFont="1" applyBorder="1" applyAlignment="1">
      <alignment horizontal="center"/>
    </xf>
    <xf numFmtId="0" fontId="1" fillId="0" borderId="0" xfId="0" applyFont="1" applyAlignment="1">
      <alignment horizontal="center"/>
    </xf>
    <xf numFmtId="0" fontId="170" fillId="0" borderId="0" xfId="28781" applyFont="1" applyAlignment="1">
      <alignment horizontal="center"/>
    </xf>
    <xf numFmtId="0" fontId="120" fillId="0" borderId="0" xfId="0" applyFont="1" applyAlignment="1">
      <alignment horizontal="center"/>
    </xf>
    <xf numFmtId="0" fontId="120" fillId="89" borderId="0" xfId="0" applyFont="1" applyFill="1" applyAlignment="1">
      <alignment horizontal="center" vertical="center"/>
    </xf>
    <xf numFmtId="0" fontId="124" fillId="89" borderId="0" xfId="1" applyFont="1" applyFill="1" applyAlignment="1">
      <alignment horizontal="center"/>
    </xf>
    <xf numFmtId="0" fontId="124" fillId="89" borderId="137" xfId="1" quotePrefix="1" applyFont="1" applyFill="1" applyBorder="1" applyAlignment="1">
      <alignment horizontal="center"/>
    </xf>
    <xf numFmtId="0" fontId="124" fillId="0" borderId="137" xfId="1" applyFont="1" applyBorder="1" applyAlignment="1">
      <alignment horizontal="center"/>
    </xf>
    <xf numFmtId="0" fontId="120" fillId="0" borderId="137" xfId="1" applyFont="1" applyBorder="1" applyAlignment="1">
      <alignment horizontal="center"/>
    </xf>
    <xf numFmtId="0" fontId="124" fillId="0" borderId="0" xfId="1" applyFont="1" applyAlignment="1">
      <alignment horizontal="center"/>
    </xf>
    <xf numFmtId="0" fontId="124" fillId="0" borderId="0" xfId="1" quotePrefix="1" applyFont="1" applyAlignment="1">
      <alignment horizontal="center"/>
    </xf>
    <xf numFmtId="0" fontId="124" fillId="0" borderId="137" xfId="25455" applyFont="1" applyBorder="1" applyAlignment="1">
      <alignment horizontal="center"/>
    </xf>
    <xf numFmtId="0" fontId="124" fillId="0" borderId="0" xfId="25276" applyFont="1" applyAlignment="1">
      <alignment horizontal="center"/>
    </xf>
    <xf numFmtId="0" fontId="120" fillId="0" borderId="0" xfId="24690" applyFont="1" applyAlignment="1">
      <alignment horizontal="center"/>
    </xf>
    <xf numFmtId="49" fontId="120" fillId="0" borderId="137" xfId="25795" applyNumberFormat="1" applyFont="1" applyBorder="1" applyAlignment="1">
      <alignment horizontal="center"/>
    </xf>
    <xf numFmtId="0" fontId="152" fillId="0" borderId="0" xfId="27280" applyFont="1" applyAlignment="1">
      <alignment horizontal="center"/>
    </xf>
    <xf numFmtId="0" fontId="120" fillId="0" borderId="137" xfId="0" applyFont="1" applyBorder="1" applyAlignment="1">
      <alignment horizontal="center"/>
    </xf>
    <xf numFmtId="43" fontId="120" fillId="0" borderId="137" xfId="0" applyNumberFormat="1" applyFont="1" applyBorder="1" applyAlignment="1">
      <alignment horizontal="center"/>
    </xf>
    <xf numFmtId="0" fontId="124" fillId="0" borderId="140" xfId="0" applyFont="1" applyBorder="1" applyAlignment="1">
      <alignment horizontal="left"/>
    </xf>
    <xf numFmtId="0" fontId="124" fillId="0" borderId="139" xfId="0" applyFont="1" applyBorder="1" applyAlignment="1">
      <alignment horizontal="left"/>
    </xf>
    <xf numFmtId="39" fontId="124" fillId="0" borderId="143" xfId="25743" applyFont="1" applyBorder="1" applyAlignment="1">
      <alignment horizontal="left" wrapText="1" indent="1"/>
    </xf>
    <xf numFmtId="39" fontId="124" fillId="0" borderId="11" xfId="25743" applyFont="1" applyBorder="1" applyAlignment="1">
      <alignment horizontal="left" wrapText="1" indent="1"/>
    </xf>
    <xf numFmtId="0" fontId="124" fillId="0" borderId="142" xfId="0" applyFont="1" applyBorder="1" applyAlignment="1">
      <alignment horizontal="left" vertical="center"/>
    </xf>
    <xf numFmtId="0" fontId="124" fillId="0" borderId="152" xfId="0" applyFont="1" applyBorder="1" applyAlignment="1">
      <alignment horizontal="left" vertical="center"/>
    </xf>
    <xf numFmtId="0" fontId="124" fillId="0" borderId="143" xfId="0" applyFont="1" applyBorder="1" applyAlignment="1">
      <alignment horizontal="left" vertical="center"/>
    </xf>
    <xf numFmtId="0" fontId="124" fillId="0" borderId="11" xfId="0" applyFont="1" applyBorder="1" applyAlignment="1">
      <alignment horizontal="left" vertical="center"/>
    </xf>
    <xf numFmtId="0" fontId="124" fillId="0" borderId="66" xfId="0" applyFont="1" applyBorder="1" applyAlignment="1">
      <alignment horizontal="center"/>
    </xf>
    <xf numFmtId="0" fontId="124" fillId="0" borderId="141" xfId="0" applyFont="1" applyBorder="1" applyAlignment="1">
      <alignment horizontal="center"/>
    </xf>
    <xf numFmtId="0" fontId="124" fillId="0" borderId="67" xfId="0" applyFont="1" applyBorder="1" applyAlignment="1">
      <alignment horizontal="center"/>
    </xf>
    <xf numFmtId="0" fontId="124" fillId="0" borderId="142" xfId="0" applyFont="1" applyBorder="1" applyAlignment="1">
      <alignment horizontal="center"/>
    </xf>
    <xf numFmtId="0" fontId="124" fillId="0" borderId="138" xfId="0" applyFont="1" applyBorder="1" applyAlignment="1">
      <alignment horizontal="center"/>
    </xf>
    <xf numFmtId="0" fontId="124" fillId="0" borderId="152" xfId="0" applyFont="1" applyBorder="1" applyAlignment="1">
      <alignment horizontal="center"/>
    </xf>
    <xf numFmtId="0" fontId="1" fillId="0" borderId="137" xfId="0" applyFont="1" applyBorder="1" applyAlignment="1">
      <alignment horizontal="center"/>
    </xf>
    <xf numFmtId="0" fontId="120" fillId="0" borderId="0" xfId="25295" applyFont="1" applyAlignment="1">
      <alignment horizontal="left" wrapText="1"/>
    </xf>
    <xf numFmtId="49" fontId="124" fillId="0" borderId="0" xfId="25293" applyNumberFormat="1" applyFont="1" applyFill="1" applyBorder="1" applyAlignment="1">
      <alignment horizontal="center"/>
    </xf>
    <xf numFmtId="0" fontId="120" fillId="0" borderId="137" xfId="25455" quotePrefix="1" applyFont="1" applyBorder="1" applyAlignment="1">
      <alignment horizontal="center"/>
    </xf>
    <xf numFmtId="0" fontId="120" fillId="0" borderId="140" xfId="25455" quotePrefix="1" applyFont="1" applyBorder="1" applyAlignment="1">
      <alignment horizontal="center"/>
    </xf>
    <xf numFmtId="0" fontId="120" fillId="0" borderId="149" xfId="25455" quotePrefix="1" applyFont="1" applyBorder="1" applyAlignment="1">
      <alignment horizontal="center"/>
    </xf>
    <xf numFmtId="0" fontId="120" fillId="0" borderId="148" xfId="25455" quotePrefix="1" applyFont="1" applyBorder="1" applyAlignment="1">
      <alignment horizontal="center"/>
    </xf>
    <xf numFmtId="0" fontId="120" fillId="0" borderId="150" xfId="25455" quotePrefix="1" applyFont="1" applyBorder="1" applyAlignment="1">
      <alignment horizontal="center"/>
    </xf>
    <xf numFmtId="43" fontId="120" fillId="0" borderId="141" xfId="25455" applyNumberFormat="1" applyFont="1" applyBorder="1" applyAlignment="1">
      <alignment horizontal="center" wrapText="1"/>
    </xf>
    <xf numFmtId="0" fontId="124" fillId="0" borderId="0" xfId="0" applyFont="1" applyAlignment="1">
      <alignment horizontal="center"/>
    </xf>
    <xf numFmtId="0" fontId="120" fillId="0" borderId="137" xfId="24690" applyFont="1" applyBorder="1" applyAlignment="1">
      <alignment horizontal="center"/>
    </xf>
    <xf numFmtId="0" fontId="1" fillId="0" borderId="0" xfId="0" applyFont="1" applyAlignment="1">
      <alignment horizontal="left"/>
    </xf>
    <xf numFmtId="0" fontId="174" fillId="0" borderId="73" xfId="0" applyFont="1" applyBorder="1" applyAlignment="1">
      <alignment horizontal="left"/>
    </xf>
    <xf numFmtId="0" fontId="174" fillId="0" borderId="0" xfId="0" applyFont="1" applyAlignment="1">
      <alignment horizontal="left"/>
    </xf>
    <xf numFmtId="0" fontId="174" fillId="0" borderId="74" xfId="0" applyFont="1" applyBorder="1" applyAlignment="1">
      <alignment horizontal="left"/>
    </xf>
    <xf numFmtId="0" fontId="174" fillId="0" borderId="144" xfId="0" applyFont="1" applyBorder="1" applyAlignment="1">
      <alignment horizontal="center" vertical="center" wrapText="1"/>
    </xf>
    <xf numFmtId="0" fontId="174" fillId="0" borderId="145" xfId="0" applyFont="1" applyBorder="1" applyAlignment="1">
      <alignment horizontal="center" vertical="center" wrapText="1"/>
    </xf>
    <xf numFmtId="0" fontId="174" fillId="0" borderId="146" xfId="0" applyFont="1" applyBorder="1" applyAlignment="1">
      <alignment horizontal="center" vertical="center" wrapText="1"/>
    </xf>
    <xf numFmtId="0" fontId="174" fillId="0" borderId="73" xfId="0" applyFont="1" applyBorder="1" applyAlignment="1">
      <alignment horizontal="center" vertical="center" wrapText="1"/>
    </xf>
    <xf numFmtId="0" fontId="174" fillId="0" borderId="0" xfId="0" applyFont="1" applyAlignment="1">
      <alignment horizontal="center" vertical="center" wrapText="1"/>
    </xf>
    <xf numFmtId="0" fontId="174" fillId="0" borderId="74" xfId="0" applyFont="1" applyBorder="1" applyAlignment="1">
      <alignment horizontal="center" vertical="center" wrapText="1"/>
    </xf>
    <xf numFmtId="0" fontId="174" fillId="0" borderId="75" xfId="0" applyFont="1" applyBorder="1" applyAlignment="1">
      <alignment horizontal="center" vertical="center" wrapText="1"/>
    </xf>
    <xf numFmtId="0" fontId="174" fillId="0" borderId="42" xfId="0" applyFont="1" applyBorder="1" applyAlignment="1">
      <alignment horizontal="center" vertical="center" wrapText="1"/>
    </xf>
    <xf numFmtId="0" fontId="174" fillId="0" borderId="76" xfId="0" applyFont="1" applyBorder="1" applyAlignment="1">
      <alignment horizontal="center" vertical="center" wrapText="1"/>
    </xf>
    <xf numFmtId="0" fontId="120" fillId="0" borderId="145" xfId="0" applyFont="1" applyBorder="1" applyAlignment="1">
      <alignment horizontal="right"/>
    </xf>
    <xf numFmtId="0" fontId="120" fillId="0" borderId="146" xfId="0" applyFont="1" applyBorder="1" applyAlignment="1">
      <alignment horizontal="right"/>
    </xf>
    <xf numFmtId="0" fontId="120" fillId="0" borderId="0" xfId="0" applyFont="1" applyAlignment="1">
      <alignment horizontal="right"/>
    </xf>
    <xf numFmtId="0" fontId="120" fillId="0" borderId="74" xfId="0" applyFont="1" applyBorder="1" applyAlignment="1">
      <alignment horizontal="right"/>
    </xf>
    <xf numFmtId="0" fontId="164" fillId="0" borderId="137" xfId="0" applyFont="1" applyBorder="1" applyAlignment="1">
      <alignment horizontal="center"/>
    </xf>
    <xf numFmtId="0" fontId="0" fillId="0" borderId="141" xfId="0" applyBorder="1" applyAlignment="1">
      <alignment horizontal="center"/>
    </xf>
    <xf numFmtId="0" fontId="120" fillId="0" borderId="0" xfId="0" applyFont="1" applyAlignment="1">
      <alignment horizontal="left" wrapText="1"/>
    </xf>
    <xf numFmtId="0" fontId="0" fillId="0" borderId="0" xfId="0" applyAlignment="1">
      <alignment horizontal="center"/>
    </xf>
    <xf numFmtId="0" fontId="164" fillId="86" borderId="140" xfId="0" quotePrefix="1" applyFont="1" applyFill="1" applyBorder="1" applyAlignment="1">
      <alignment horizontal="right"/>
    </xf>
    <xf numFmtId="0" fontId="164" fillId="86" borderId="137" xfId="0" quotePrefix="1" applyFont="1" applyFill="1" applyBorder="1" applyAlignment="1">
      <alignment horizontal="right"/>
    </xf>
    <xf numFmtId="0" fontId="178" fillId="0" borderId="153" xfId="0" applyFont="1" applyBorder="1" applyAlignment="1">
      <alignment horizontal="center" vertical="center" wrapText="1"/>
    </xf>
    <xf numFmtId="0" fontId="178" fillId="0" borderId="14" xfId="0" applyFont="1" applyBorder="1" applyAlignment="1">
      <alignment horizontal="center" vertical="center" wrapText="1"/>
    </xf>
    <xf numFmtId="0" fontId="178" fillId="0" borderId="130" xfId="0" applyFont="1" applyBorder="1" applyAlignment="1">
      <alignment horizontal="center" vertical="center" wrapText="1"/>
    </xf>
    <xf numFmtId="0" fontId="164" fillId="0" borderId="141" xfId="0" quotePrefix="1" applyFont="1" applyBorder="1" applyAlignment="1">
      <alignment horizontal="right"/>
    </xf>
    <xf numFmtId="0" fontId="164" fillId="0" borderId="67" xfId="0" quotePrefix="1" applyFont="1" applyBorder="1" applyAlignment="1">
      <alignment horizontal="right"/>
    </xf>
    <xf numFmtId="0" fontId="178" fillId="0" borderId="141" xfId="0" applyFont="1" applyBorder="1" applyAlignment="1">
      <alignment horizontal="right" vertical="center"/>
    </xf>
    <xf numFmtId="0" fontId="178" fillId="0" borderId="67" xfId="0" applyFont="1" applyBorder="1" applyAlignment="1">
      <alignment horizontal="right" vertical="center"/>
    </xf>
    <xf numFmtId="0" fontId="178" fillId="0" borderId="66" xfId="0" applyFont="1" applyBorder="1" applyAlignment="1">
      <alignment horizontal="right" vertical="center"/>
    </xf>
    <xf numFmtId="0" fontId="178" fillId="0" borderId="13" xfId="0" applyFont="1" applyBorder="1" applyAlignment="1">
      <alignment horizontal="center" vertical="center" wrapText="1"/>
    </xf>
    <xf numFmtId="0" fontId="164" fillId="0" borderId="66" xfId="0" quotePrefix="1" applyFont="1" applyBorder="1" applyAlignment="1">
      <alignment horizontal="right"/>
    </xf>
    <xf numFmtId="0" fontId="176" fillId="92" borderId="138" xfId="0" applyFont="1" applyFill="1" applyBorder="1" applyAlignment="1">
      <alignment horizontal="right"/>
    </xf>
    <xf numFmtId="0" fontId="176" fillId="92" borderId="152" xfId="0" applyFont="1" applyFill="1" applyBorder="1" applyAlignment="1">
      <alignment horizontal="right"/>
    </xf>
    <xf numFmtId="0" fontId="178" fillId="0" borderId="13" xfId="0" applyFont="1" applyBorder="1" applyAlignment="1">
      <alignment horizontal="right" vertical="center"/>
    </xf>
    <xf numFmtId="0" fontId="164" fillId="86" borderId="13" xfId="0" quotePrefix="1" applyFont="1" applyFill="1" applyBorder="1" applyAlignment="1">
      <alignment horizontal="right"/>
    </xf>
    <xf numFmtId="0" fontId="178" fillId="93" borderId="66" xfId="0" applyFont="1" applyFill="1" applyBorder="1" applyAlignment="1">
      <alignment horizontal="right"/>
    </xf>
    <xf numFmtId="0" fontId="178" fillId="93" borderId="137" xfId="0" applyFont="1" applyFill="1" applyBorder="1" applyAlignment="1">
      <alignment horizontal="right"/>
    </xf>
    <xf numFmtId="0" fontId="178" fillId="93" borderId="139" xfId="0" applyFont="1" applyFill="1" applyBorder="1" applyAlignment="1">
      <alignment horizontal="right"/>
    </xf>
    <xf numFmtId="0" fontId="178" fillId="93" borderId="141" xfId="0" applyFont="1" applyFill="1" applyBorder="1" applyAlignment="1">
      <alignment horizontal="right"/>
    </xf>
    <xf numFmtId="0" fontId="178" fillId="93" borderId="67" xfId="0" applyFont="1" applyFill="1" applyBorder="1" applyAlignment="1">
      <alignment horizontal="right"/>
    </xf>
    <xf numFmtId="0" fontId="178" fillId="0" borderId="143" xfId="0" applyFont="1" applyBorder="1" applyAlignment="1">
      <alignment horizontal="center" vertical="center" wrapText="1"/>
    </xf>
    <xf numFmtId="0" fontId="178" fillId="0" borderId="140" xfId="0" applyFont="1" applyBorder="1" applyAlignment="1">
      <alignment horizontal="center" vertical="center" wrapText="1"/>
    </xf>
    <xf numFmtId="0" fontId="178" fillId="0" borderId="142" xfId="0" applyFont="1" applyBorder="1" applyAlignment="1">
      <alignment horizontal="center" vertical="center" wrapText="1"/>
    </xf>
    <xf numFmtId="0" fontId="178" fillId="93" borderId="13" xfId="0" applyFont="1" applyFill="1" applyBorder="1" applyAlignment="1">
      <alignment horizontal="right"/>
    </xf>
    <xf numFmtId="0" fontId="176" fillId="92" borderId="141" xfId="0" applyFont="1" applyFill="1" applyBorder="1" applyAlignment="1">
      <alignment horizontal="right"/>
    </xf>
    <xf numFmtId="0" fontId="176" fillId="92" borderId="67" xfId="0" applyFont="1" applyFill="1" applyBorder="1" applyAlignment="1">
      <alignment horizontal="right"/>
    </xf>
    <xf numFmtId="0" fontId="164" fillId="86" borderId="66" xfId="0" quotePrefix="1" applyFont="1" applyFill="1" applyBorder="1" applyAlignment="1">
      <alignment horizontal="right"/>
    </xf>
    <xf numFmtId="0" fontId="164" fillId="86" borderId="67" xfId="0" quotePrefix="1" applyFont="1" applyFill="1" applyBorder="1" applyAlignment="1">
      <alignment horizontal="right"/>
    </xf>
    <xf numFmtId="0" fontId="164" fillId="86" borderId="141" xfId="0" quotePrefix="1" applyFont="1" applyFill="1" applyBorder="1" applyAlignment="1">
      <alignment horizontal="right"/>
    </xf>
    <xf numFmtId="0" fontId="178" fillId="93" borderId="138" xfId="0" applyFont="1" applyFill="1" applyBorder="1" applyAlignment="1">
      <alignment horizontal="right"/>
    </xf>
    <xf numFmtId="0" fontId="178" fillId="93" borderId="152" xfId="0" applyFont="1" applyFill="1" applyBorder="1" applyAlignment="1">
      <alignment horizontal="right"/>
    </xf>
    <xf numFmtId="0" fontId="178" fillId="94" borderId="66" xfId="0" applyFont="1" applyFill="1" applyBorder="1" applyAlignment="1">
      <alignment horizontal="right"/>
    </xf>
    <xf numFmtId="0" fontId="178" fillId="94" borderId="0" xfId="0" applyFont="1" applyFill="1" applyAlignment="1">
      <alignment horizontal="right"/>
    </xf>
    <xf numFmtId="0" fontId="178" fillId="94" borderId="11" xfId="0" applyFont="1" applyFill="1" applyBorder="1" applyAlignment="1">
      <alignment horizontal="right"/>
    </xf>
    <xf numFmtId="0" fontId="178" fillId="93" borderId="142" xfId="0" applyFont="1" applyFill="1" applyBorder="1" applyAlignment="1">
      <alignment horizontal="right"/>
    </xf>
    <xf numFmtId="0" fontId="178" fillId="93" borderId="0" xfId="0" applyFont="1" applyFill="1" applyAlignment="1">
      <alignment horizontal="right"/>
    </xf>
    <xf numFmtId="0" fontId="178" fillId="93" borderId="11" xfId="0" applyFont="1" applyFill="1" applyBorder="1" applyAlignment="1">
      <alignment horizontal="right"/>
    </xf>
    <xf numFmtId="0" fontId="176" fillId="92" borderId="0" xfId="0" applyFont="1" applyFill="1" applyAlignment="1">
      <alignment horizontal="right"/>
    </xf>
    <xf numFmtId="0" fontId="176" fillId="92" borderId="11" xfId="0" applyFont="1" applyFill="1" applyBorder="1" applyAlignment="1">
      <alignment horizontal="right"/>
    </xf>
    <xf numFmtId="0" fontId="164" fillId="0" borderId="143" xfId="0" applyFont="1" applyBorder="1" applyAlignment="1">
      <alignment horizontal="right"/>
    </xf>
    <xf numFmtId="0" fontId="164" fillId="0" borderId="0" xfId="0" applyFont="1" applyAlignment="1">
      <alignment horizontal="right"/>
    </xf>
    <xf numFmtId="0" fontId="164" fillId="0" borderId="11" xfId="0" applyFont="1" applyBorder="1" applyAlignment="1">
      <alignment horizontal="right"/>
    </xf>
    <xf numFmtId="0" fontId="164" fillId="0" borderId="140" xfId="0" applyFont="1" applyBorder="1" applyAlignment="1">
      <alignment horizontal="right"/>
    </xf>
    <xf numFmtId="0" fontId="164" fillId="0" borderId="137" xfId="0" applyFont="1" applyBorder="1" applyAlignment="1">
      <alignment horizontal="right"/>
    </xf>
    <xf numFmtId="0" fontId="164" fillId="0" borderId="139" xfId="0" applyFont="1" applyBorder="1" applyAlignment="1">
      <alignment horizontal="right"/>
    </xf>
    <xf numFmtId="0" fontId="164" fillId="89" borderId="142" xfId="0" applyFont="1" applyFill="1" applyBorder="1" applyAlignment="1">
      <alignment horizontal="center" vertical="center" wrapText="1"/>
    </xf>
    <xf numFmtId="0" fontId="164" fillId="89" borderId="143" xfId="0" applyFont="1" applyFill="1" applyBorder="1" applyAlignment="1">
      <alignment horizontal="center" vertical="center" wrapText="1"/>
    </xf>
    <xf numFmtId="0" fontId="164" fillId="89" borderId="140" xfId="0" applyFont="1" applyFill="1" applyBorder="1" applyAlignment="1">
      <alignment horizontal="center" vertical="center" wrapText="1"/>
    </xf>
    <xf numFmtId="0" fontId="178" fillId="94" borderId="137" xfId="0" applyFont="1" applyFill="1" applyBorder="1" applyAlignment="1">
      <alignment horizontal="right"/>
    </xf>
    <xf numFmtId="0" fontId="178" fillId="94" borderId="139" xfId="0" applyFont="1" applyFill="1" applyBorder="1" applyAlignment="1">
      <alignment horizontal="right"/>
    </xf>
    <xf numFmtId="0" fontId="178" fillId="89" borderId="142" xfId="0" applyFont="1" applyFill="1" applyBorder="1" applyAlignment="1">
      <alignment horizontal="center" vertical="center" wrapText="1"/>
    </xf>
    <xf numFmtId="0" fontId="178" fillId="89" borderId="143" xfId="0" applyFont="1" applyFill="1" applyBorder="1" applyAlignment="1">
      <alignment horizontal="center" vertical="center" wrapText="1"/>
    </xf>
    <xf numFmtId="0" fontId="178" fillId="89" borderId="140" xfId="0" applyFont="1" applyFill="1" applyBorder="1" applyAlignment="1">
      <alignment horizontal="center" vertical="center" wrapText="1"/>
    </xf>
    <xf numFmtId="0" fontId="178" fillId="94" borderId="141" xfId="0" applyFont="1" applyFill="1" applyBorder="1" applyAlignment="1">
      <alignment horizontal="right"/>
    </xf>
    <xf numFmtId="0" fontId="178" fillId="94" borderId="67" xfId="0" applyFont="1" applyFill="1" applyBorder="1" applyAlignment="1">
      <alignment horizontal="right"/>
    </xf>
    <xf numFmtId="41" fontId="177" fillId="0" borderId="137" xfId="33379" applyNumberFormat="1" applyFont="1" applyBorder="1" applyAlignment="1">
      <alignment horizontal="center"/>
    </xf>
    <xf numFmtId="0" fontId="178" fillId="0" borderId="0" xfId="33379" applyFont="1" applyAlignment="1">
      <alignment horizontal="center"/>
    </xf>
    <xf numFmtId="0" fontId="177" fillId="0" borderId="0" xfId="33379" applyFont="1" applyAlignment="1">
      <alignment horizontal="center"/>
    </xf>
    <xf numFmtId="0" fontId="182" fillId="0" borderId="0" xfId="33379" applyFont="1" applyAlignment="1">
      <alignment horizontal="center"/>
    </xf>
  </cellXfs>
  <cellStyles count="33399">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10 3" xfId="33366" xr:uid="{94954D1F-B1BA-45C9-BDE9-97085BE6F68F}"/>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 6" xfId="33376" xr:uid="{ED3A4CCF-880C-4F9A-B9EB-D92C6C4825A3}"/>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75" xfId="33394" xr:uid="{6B94B3A8-281E-450B-BC42-0466B91C6D25}"/>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15" xfId="33390" xr:uid="{3299DDB1-4862-4D12-B705-1758BE844C9D}"/>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67" xfId="33381" xr:uid="{2ECDA545-2A84-42FE-AE64-67E97BAAF282}"/>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19" xfId="33382" xr:uid="{36F625AB-CF89-4A43-BFEC-E2AE82AD9AE4}"/>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31" xfId="33392" xr:uid="{B8CD3C73-DC5B-4CC1-A8D7-5E067EE73E4C}"/>
    <cellStyle name="Currency 4" xfId="168" xr:uid="{00000000-0005-0000-0000-0000884F0000}"/>
    <cellStyle name="Currency 4 2" xfId="25882" xr:uid="{00000000-0005-0000-0000-0000894F0000}"/>
    <cellStyle name="Currency 4 3" xfId="33386" xr:uid="{1E4BDCE6-94F4-4A9D-8223-24602B83FEFA}"/>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6 4" xfId="33385" xr:uid="{1E72D1A8-3977-4258-AD7A-4080E0D93ED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55" xfId="33363" xr:uid="{BBC7429A-2A77-4406-B6F2-60EFC8DDD392}"/>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74" xfId="33356" xr:uid="{E273C200-7811-44AF-A620-2293EC0FF2E7}"/>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74" xfId="33358" xr:uid="{E1B7260C-D08E-44E9-9AED-388897F7F3B4}"/>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73" xfId="33359" xr:uid="{8E858AB4-509D-4212-857D-BE7289B4A4E6}"/>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Hyperlink 5" xfId="33357" xr:uid="{4890475D-DAAD-4B59-ACD7-CBDDB3FEF2DB}"/>
    <cellStyle name="Hyperlink 6" xfId="33365" xr:uid="{AE549A7D-FC96-4DE0-A8BC-C13C7B1FA584}"/>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ame" xfId="33361" xr:uid="{744636E4-6EF7-4B22-B1B1-E6AF7504D087}"/>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2 4" xfId="33364" xr:uid="{B5ACB6D4-F25B-4919-B5F9-530F29439C4A}"/>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3 2" xfId="33384" xr:uid="{2FDB0B5C-F07A-41E8-A607-0FF604EDEFA9}"/>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11" xfId="33368" xr:uid="{8A262B1E-3B57-424C-855C-9C3F1D40EBAC}"/>
    <cellStyle name="Normal 112" xfId="33380" xr:uid="{4A94EEC0-1CB0-45B0-A8C5-E1E7336AFA48}"/>
    <cellStyle name="Normal 113" xfId="33391" xr:uid="{1FD2F6F3-D0E6-495C-B55F-D67C4A4897D7}"/>
    <cellStyle name="Normal 114" xfId="33398" xr:uid="{5BCC64E5-6C7C-4566-825F-956A8740E212}"/>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11" xfId="33387" xr:uid="{D9B39184-D9BF-4079-86F7-40D7DDDBC23A}"/>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2 2" xfId="33379" xr:uid="{1F50887F-3466-4D11-84DF-71B476864AE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16" xfId="33389" xr:uid="{0C293921-A744-4A7A-8257-4372421C5F83}"/>
    <cellStyle name="Normal 2 17" xfId="33393" xr:uid="{2FB7C1D8-2E9B-4A25-9490-D3B9344760E9}"/>
    <cellStyle name="Normal 2 2" xfId="51" xr:uid="{00000000-0005-0000-0000-000001560000}"/>
    <cellStyle name="Normal 2 2 10" xfId="33378" xr:uid="{7AF394B2-2A91-4094-9D12-BB595E5FDD28}"/>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2 4 3" xfId="33397" xr:uid="{9CE7F83E-4BE5-440D-8DF4-44373064B13F}"/>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20" xfId="33395" xr:uid="{AFB8B726-E26F-462C-9EEB-18C0E99AD00A}"/>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10" xfId="33367" xr:uid="{35C486FB-E6D0-4D75-8515-30F4BA5B5647}"/>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_WY Statements" xfId="33396" xr:uid="{4A331C72-9E22-4712-A20A-1C1C89E0BFA8}"/>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56" xfId="33383" xr:uid="{F3D10FFD-904D-4367-BA74-C69DECCFD03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6 7" xfId="33388" xr:uid="{EB158124-7EEB-4BEB-9BE5-27ADF0EEB1F8}"/>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Project Start" xfId="33360" xr:uid="{2D22D0E9-5F9A-4E46-A0E9-5778482523FF}"/>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 xfId="33372" xr:uid="{3C5FB271-747A-4FA4-92B1-FB8F0818A272}"/>
    <cellStyle name="Report Bar" xfId="33373" xr:uid="{03763989-2A7E-44D5-AA6B-68FCC542FCB2}"/>
    <cellStyle name="Report Heading" xfId="33371" xr:uid="{0DDF0DB9-3C3A-4352-91CA-DF976F9EA82D}"/>
    <cellStyle name="Report Unit Cost" xfId="33377" xr:uid="{77B97DFB-24F9-4A05-A9D3-181EFEE03660}"/>
    <cellStyle name="Reports Total" xfId="33374" xr:uid="{E7B81530-84E9-40B7-9425-6E3FFA19FF2B}"/>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ask" xfId="33362" xr:uid="{CF4CC4C5-36A4-4158-8DF8-881AA65D0458}"/>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 7" xfId="33354" xr:uid="{616265CE-236B-4993-AD14-9335B909A29D}"/>
    <cellStyle name="Title: Major" xfId="33369" xr:uid="{3C80E7E4-7BD7-4167-B94B-61CA28190657}"/>
    <cellStyle name="Title: Minor" xfId="33370" xr:uid="{0BD1BAFA-EC48-4B6B-8350-3CAFF28C6C4F}"/>
    <cellStyle name="Title: Worksheet" xfId="33375" xr:uid="{8940911B-F0DB-4E24-8126-735D12FE7C5F}"/>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 name="zHiddenText" xfId="33355" xr:uid="{E2621430-6FD2-41C0-9786-745230CA986A}"/>
  </cellStyles>
  <dxfs count="2">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90C8794B-AD58-41F5-9BDF-0BB114D835E9}"/>
  </tableStyles>
  <colors>
    <mruColors>
      <color rgb="FF0000FF"/>
      <color rgb="FFF6E8F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eetMetadata" Target="metadata.xml"/><Relationship Id="rId95" Type="http://schemas.openxmlformats.org/officeDocument/2006/relationships/customXml" Target="../customXml/item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6</xdr:col>
      <xdr:colOff>133350</xdr:colOff>
      <xdr:row>4</xdr:row>
      <xdr:rowOff>85725</xdr:rowOff>
    </xdr:from>
    <xdr:to>
      <xdr:col>6</xdr:col>
      <xdr:colOff>1247775</xdr:colOff>
      <xdr:row>4</xdr:row>
      <xdr:rowOff>647700</xdr:rowOff>
    </xdr:to>
    <xdr:sp macro="" textlink="">
      <xdr:nvSpPr>
        <xdr:cNvPr id="9" name="Arrow: Right 8">
          <a:extLst>
            <a:ext uri="{FF2B5EF4-FFF2-40B4-BE49-F238E27FC236}">
              <a16:creationId xmlns:a16="http://schemas.microsoft.com/office/drawing/2014/main" id="{314EF4D2-7033-4DBF-A16E-4EC8CA67FFAD}"/>
            </a:ext>
          </a:extLst>
        </xdr:cNvPr>
        <xdr:cNvSpPr/>
      </xdr:nvSpPr>
      <xdr:spPr>
        <a:xfrm>
          <a:off x="2962275" y="5229225"/>
          <a:ext cx="1114425" cy="561975"/>
        </a:xfrm>
        <a:prstGeom prst="rightArrow">
          <a:avLst/>
        </a:prstGeom>
        <a:solidFill>
          <a:schemeClr val="bg1">
            <a:lumMod val="85000"/>
          </a:schemeClr>
        </a:solidFill>
        <a:ln w="12700">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marL="0" indent="0" algn="l"/>
          <a:r>
            <a:rPr lang="en-US" sz="900" b="0" baseline="0">
              <a:solidFill>
                <a:sysClr val="windowText" lastClr="000000"/>
              </a:solidFill>
              <a:latin typeface="Times New Roman" panose="02020603050405020304" pitchFamily="18" charset="0"/>
              <a:ea typeface="+mn-ea"/>
              <a:cs typeface="Times New Roman" panose="02020603050405020304" pitchFamily="18" charset="0"/>
            </a:rPr>
            <a:t>2024 PF Plant </a:t>
          </a:r>
        </a:p>
      </xdr:txBody>
    </xdr:sp>
    <xdr:clientData/>
  </xdr:twoCellAnchor>
  <xdr:twoCellAnchor>
    <xdr:from>
      <xdr:col>8</xdr:col>
      <xdr:colOff>114300</xdr:colOff>
      <xdr:row>8</xdr:row>
      <xdr:rowOff>85725</xdr:rowOff>
    </xdr:from>
    <xdr:to>
      <xdr:col>8</xdr:col>
      <xdr:colOff>1238250</xdr:colOff>
      <xdr:row>9</xdr:row>
      <xdr:rowOff>2899</xdr:rowOff>
    </xdr:to>
    <xdr:sp macro="" textlink="">
      <xdr:nvSpPr>
        <xdr:cNvPr id="12" name="Arrow: Right 11">
          <a:extLst>
            <a:ext uri="{FF2B5EF4-FFF2-40B4-BE49-F238E27FC236}">
              <a16:creationId xmlns:a16="http://schemas.microsoft.com/office/drawing/2014/main" id="{DBF4093E-A966-4105-A4AC-1BF8AF16CEA3}"/>
            </a:ext>
          </a:extLst>
        </xdr:cNvPr>
        <xdr:cNvSpPr/>
      </xdr:nvSpPr>
      <xdr:spPr>
        <a:xfrm>
          <a:off x="4619625" y="6267450"/>
          <a:ext cx="1123950" cy="669649"/>
        </a:xfrm>
        <a:prstGeom prst="rightArrow">
          <a:avLst>
            <a:gd name="adj1" fmla="val 51922"/>
            <a:gd name="adj2" fmla="val 50000"/>
          </a:avLst>
        </a:prstGeom>
        <a:solidFill>
          <a:schemeClr val="accent1"/>
        </a:solidFill>
        <a:ln w="12700">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900">
              <a:latin typeface="Times New Roman" panose="02020603050405020304" pitchFamily="18" charset="0"/>
              <a:cs typeface="Times New Roman" panose="02020603050405020304" pitchFamily="18" charset="0"/>
            </a:rPr>
            <a:t>Depreciation</a:t>
          </a:r>
          <a:endParaRPr lang="en-US" sz="900" baseline="0">
            <a:latin typeface="Times New Roman" panose="02020603050405020304" pitchFamily="18" charset="0"/>
            <a:cs typeface="Times New Roman" panose="02020603050405020304" pitchFamily="18" charset="0"/>
          </a:endParaRPr>
        </a:p>
        <a:p>
          <a:pPr algn="ctr"/>
          <a:r>
            <a:rPr lang="en-US" sz="900" baseline="0">
              <a:latin typeface="Times New Roman" panose="02020603050405020304" pitchFamily="18" charset="0"/>
              <a:cs typeface="Times New Roman" panose="02020603050405020304" pitchFamily="18" charset="0"/>
            </a:rPr>
            <a:t>Fwd-Looking 2025</a:t>
          </a:r>
        </a:p>
      </xdr:txBody>
    </xdr:sp>
    <xdr:clientData/>
  </xdr:twoCellAnchor>
  <xdr:twoCellAnchor>
    <xdr:from>
      <xdr:col>6</xdr:col>
      <xdr:colOff>142875</xdr:colOff>
      <xdr:row>12</xdr:row>
      <xdr:rowOff>95250</xdr:rowOff>
    </xdr:from>
    <xdr:to>
      <xdr:col>6</xdr:col>
      <xdr:colOff>1247775</xdr:colOff>
      <xdr:row>12</xdr:row>
      <xdr:rowOff>666750</xdr:rowOff>
    </xdr:to>
    <xdr:sp macro="" textlink="">
      <xdr:nvSpPr>
        <xdr:cNvPr id="13" name="Arrow: Right 12">
          <a:extLst>
            <a:ext uri="{FF2B5EF4-FFF2-40B4-BE49-F238E27FC236}">
              <a16:creationId xmlns:a16="http://schemas.microsoft.com/office/drawing/2014/main" id="{65374083-0533-4D19-9A70-9DE34D8C6563}"/>
            </a:ext>
          </a:extLst>
        </xdr:cNvPr>
        <xdr:cNvSpPr/>
      </xdr:nvSpPr>
      <xdr:spPr>
        <a:xfrm>
          <a:off x="2971800" y="7315200"/>
          <a:ext cx="1104900" cy="571500"/>
        </a:xfrm>
        <a:prstGeom prst="rightArrow">
          <a:avLst/>
        </a:prstGeom>
        <a:solidFill>
          <a:schemeClr val="bg1">
            <a:lumMod val="85000"/>
          </a:schemeClr>
        </a:solidFill>
        <a:ln w="12700">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US" sz="900" b="0" baseline="0">
              <a:solidFill>
                <a:sysClr val="windowText" lastClr="000000"/>
              </a:solidFill>
              <a:latin typeface="Times New Roman" panose="02020603050405020304" pitchFamily="18" charset="0"/>
              <a:cs typeface="Times New Roman" panose="02020603050405020304" pitchFamily="18" charset="0"/>
            </a:rPr>
            <a:t>Annual Depr</a:t>
          </a:r>
        </a:p>
      </xdr:txBody>
    </xdr:sp>
    <xdr:clientData/>
  </xdr:twoCellAnchor>
  <xdr:twoCellAnchor>
    <xdr:from>
      <xdr:col>8</xdr:col>
      <xdr:colOff>133350</xdr:colOff>
      <xdr:row>14</xdr:row>
      <xdr:rowOff>28575</xdr:rowOff>
    </xdr:from>
    <xdr:to>
      <xdr:col>8</xdr:col>
      <xdr:colOff>1238250</xdr:colOff>
      <xdr:row>15</xdr:row>
      <xdr:rowOff>9525</xdr:rowOff>
    </xdr:to>
    <xdr:sp macro="" textlink="">
      <xdr:nvSpPr>
        <xdr:cNvPr id="15" name="Arrow: Right 14">
          <a:extLst>
            <a:ext uri="{FF2B5EF4-FFF2-40B4-BE49-F238E27FC236}">
              <a16:creationId xmlns:a16="http://schemas.microsoft.com/office/drawing/2014/main" id="{995519D4-D601-4B89-8E2F-75034AD95A53}"/>
            </a:ext>
          </a:extLst>
        </xdr:cNvPr>
        <xdr:cNvSpPr/>
      </xdr:nvSpPr>
      <xdr:spPr>
        <a:xfrm>
          <a:off x="4638675" y="8096250"/>
          <a:ext cx="1104900" cy="733425"/>
        </a:xfrm>
        <a:prstGeom prst="rightArrow">
          <a:avLst>
            <a:gd name="adj1" fmla="val 51922"/>
            <a:gd name="adj2" fmla="val 50000"/>
          </a:avLst>
        </a:prstGeom>
        <a:solidFill>
          <a:schemeClr val="accent1"/>
        </a:solidFill>
        <a:ln w="12700">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900">
              <a:latin typeface="Times New Roman" panose="02020603050405020304" pitchFamily="18" charset="0"/>
              <a:cs typeface="Times New Roman" panose="02020603050405020304" pitchFamily="18" charset="0"/>
            </a:rPr>
            <a:t>Accum. Depr.</a:t>
          </a:r>
          <a:endParaRPr lang="en-US" sz="900" baseline="0">
            <a:latin typeface="Times New Roman" panose="02020603050405020304" pitchFamily="18" charset="0"/>
            <a:cs typeface="Times New Roman" panose="02020603050405020304" pitchFamily="18" charset="0"/>
          </a:endParaRPr>
        </a:p>
        <a:p>
          <a:pPr algn="ctr"/>
          <a:r>
            <a:rPr lang="en-US" sz="900" baseline="0">
              <a:latin typeface="Times New Roman" panose="02020603050405020304" pitchFamily="18" charset="0"/>
              <a:cs typeface="Times New Roman" panose="02020603050405020304" pitchFamily="18" charset="0"/>
            </a:rPr>
            <a:t>Fwd-Looking 2025</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4</xdr:row>
      <xdr:rowOff>121920</xdr:rowOff>
    </xdr:from>
    <xdr:to>
      <xdr:col>10</xdr:col>
      <xdr:colOff>222885</xdr:colOff>
      <xdr:row>21</xdr:row>
      <xdr:rowOff>176186</xdr:rowOff>
    </xdr:to>
    <xdr:pic>
      <xdr:nvPicPr>
        <xdr:cNvPr id="2" name="Picture 1">
          <a:extLst>
            <a:ext uri="{FF2B5EF4-FFF2-40B4-BE49-F238E27FC236}">
              <a16:creationId xmlns:a16="http://schemas.microsoft.com/office/drawing/2014/main" id="{78DB5EEC-CE60-4F7C-8F38-D200191F6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036320"/>
          <a:ext cx="7690485" cy="31632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nwrk\15_cng\CA16%20-%20UE-240008%202024%20WA%20GRC\dir\_exh\final\240008-AWEC-Mullins-Exh-BGM-7-09-25-2024.xlsm" TargetMode="External"/><Relationship Id="rId1" Type="http://schemas.openxmlformats.org/officeDocument/2006/relationships/externalLinkPath" Target="240008-AWEC-Mullins-Exh-BGM-7-09-25-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gure 3"/>
      <sheetName val="Summary"/>
      <sheetName val="Discrete Project Review"/>
      <sheetName val="24-25 Plant Additions (RunRate)"/>
      <sheetName val="RunRate Dashboard"/>
      <sheetName val="DR 11 Monthly CWIP Balances"/>
      <sheetName val="AWEC DR 9 (wDetail)"/>
      <sheetName val="AWEC DR 9"/>
    </sheetNames>
    <sheetDataSet>
      <sheetData sheetId="0" refreshError="1"/>
      <sheetData sheetId="1">
        <row r="5">
          <cell r="D5" t="str">
            <v>FP-322677</v>
          </cell>
          <cell r="K5">
            <v>0</v>
          </cell>
          <cell r="L5">
            <v>0</v>
          </cell>
        </row>
        <row r="6">
          <cell r="D6" t="str">
            <v>FP-323431</v>
          </cell>
          <cell r="K6">
            <v>0</v>
          </cell>
          <cell r="L6">
            <v>0</v>
          </cell>
        </row>
        <row r="7">
          <cell r="D7" t="str">
            <v>FP-323432</v>
          </cell>
          <cell r="K7">
            <v>0</v>
          </cell>
          <cell r="L7">
            <v>0</v>
          </cell>
        </row>
        <row r="8">
          <cell r="D8" t="str">
            <v>FP-323434</v>
          </cell>
          <cell r="K8">
            <v>0</v>
          </cell>
          <cell r="L8">
            <v>0</v>
          </cell>
        </row>
        <row r="9">
          <cell r="D9" t="str">
            <v>FP-323435</v>
          </cell>
          <cell r="K9">
            <v>0</v>
          </cell>
          <cell r="L9">
            <v>0</v>
          </cell>
        </row>
        <row r="10">
          <cell r="D10" t="str">
            <v>FP-323443</v>
          </cell>
          <cell r="K10">
            <v>0</v>
          </cell>
          <cell r="L10">
            <v>0</v>
          </cell>
        </row>
        <row r="11">
          <cell r="D11" t="str">
            <v>FP-323446</v>
          </cell>
          <cell r="K11">
            <v>0</v>
          </cell>
          <cell r="L11">
            <v>0</v>
          </cell>
        </row>
        <row r="12">
          <cell r="D12" t="str">
            <v>FP-323452</v>
          </cell>
          <cell r="K12">
            <v>0</v>
          </cell>
          <cell r="L12">
            <v>0</v>
          </cell>
        </row>
        <row r="13">
          <cell r="D13" t="str">
            <v>FP-323467</v>
          </cell>
          <cell r="K13">
            <v>0</v>
          </cell>
          <cell r="L13">
            <v>0</v>
          </cell>
        </row>
        <row r="14">
          <cell r="D14" t="str">
            <v>FP-323469</v>
          </cell>
          <cell r="K14">
            <v>0</v>
          </cell>
          <cell r="L14">
            <v>0</v>
          </cell>
        </row>
        <row r="15">
          <cell r="D15" t="str">
            <v>FP-323472</v>
          </cell>
          <cell r="K15">
            <v>0</v>
          </cell>
          <cell r="L15">
            <v>0</v>
          </cell>
        </row>
        <row r="16">
          <cell r="D16" t="str">
            <v>FP-323775</v>
          </cell>
          <cell r="K16">
            <v>0</v>
          </cell>
          <cell r="L16">
            <v>0</v>
          </cell>
        </row>
        <row r="17">
          <cell r="D17" t="str">
            <v>FP-323824</v>
          </cell>
          <cell r="K17">
            <v>0</v>
          </cell>
          <cell r="L17">
            <v>0</v>
          </cell>
        </row>
        <row r="18">
          <cell r="D18" t="str">
            <v>FP-323840</v>
          </cell>
          <cell r="K18">
            <v>0</v>
          </cell>
          <cell r="L18">
            <v>0</v>
          </cell>
        </row>
        <row r="19">
          <cell r="D19" t="str">
            <v>FP-323841</v>
          </cell>
          <cell r="K19">
            <v>0</v>
          </cell>
          <cell r="L19">
            <v>0</v>
          </cell>
        </row>
        <row r="21">
          <cell r="K21">
            <v>0</v>
          </cell>
          <cell r="L21">
            <v>0</v>
          </cell>
        </row>
        <row r="23">
          <cell r="D23" t="str">
            <v>Discrete Large Projects</v>
          </cell>
        </row>
        <row r="24">
          <cell r="D24" t="str">
            <v>FP-316019</v>
          </cell>
          <cell r="K24">
            <v>0</v>
          </cell>
          <cell r="L24">
            <v>2616181.56</v>
          </cell>
        </row>
        <row r="25">
          <cell r="D25" t="str">
            <v>FP-320034</v>
          </cell>
          <cell r="K25">
            <v>3016751.45</v>
          </cell>
          <cell r="L25">
            <v>0</v>
          </cell>
        </row>
        <row r="26">
          <cell r="D26" t="str">
            <v>FP-320155</v>
          </cell>
          <cell r="K26">
            <v>0</v>
          </cell>
          <cell r="L26">
            <v>0</v>
          </cell>
        </row>
        <row r="27">
          <cell r="D27" t="str">
            <v>FP-302595</v>
          </cell>
          <cell r="K27">
            <v>0</v>
          </cell>
          <cell r="L27">
            <v>0</v>
          </cell>
        </row>
        <row r="28">
          <cell r="D28" t="str">
            <v>FP-316018</v>
          </cell>
          <cell r="K28">
            <v>2430742.7749890001</v>
          </cell>
          <cell r="L28">
            <v>0</v>
          </cell>
        </row>
        <row r="29">
          <cell r="D29" t="str">
            <v>FP-316041</v>
          </cell>
          <cell r="K29">
            <v>0</v>
          </cell>
          <cell r="L29">
            <v>0</v>
          </cell>
        </row>
        <row r="30">
          <cell r="D30" t="str">
            <v>FP-316046</v>
          </cell>
          <cell r="K30">
            <v>3037182.6</v>
          </cell>
          <cell r="L30">
            <v>0</v>
          </cell>
        </row>
        <row r="31">
          <cell r="D31" t="str">
            <v>FP-318656</v>
          </cell>
          <cell r="K31">
            <v>0</v>
          </cell>
          <cell r="L31">
            <v>1403134.75</v>
          </cell>
        </row>
        <row r="32">
          <cell r="D32" t="str">
            <v>FP-319057</v>
          </cell>
          <cell r="K32">
            <v>1901518.06</v>
          </cell>
          <cell r="L32">
            <v>0</v>
          </cell>
        </row>
        <row r="33">
          <cell r="D33" t="str">
            <v>FP-319061</v>
          </cell>
          <cell r="K33">
            <v>0</v>
          </cell>
          <cell r="L33">
            <v>2258569</v>
          </cell>
        </row>
        <row r="34">
          <cell r="D34" t="str">
            <v>FP-319992</v>
          </cell>
          <cell r="K34">
            <v>0</v>
          </cell>
          <cell r="L34">
            <v>1796668.1126259998</v>
          </cell>
        </row>
        <row r="35">
          <cell r="D35" t="str">
            <v>FP-320004</v>
          </cell>
          <cell r="K35">
            <v>0</v>
          </cell>
          <cell r="L35">
            <v>1069397.6499999999</v>
          </cell>
        </row>
        <row r="36">
          <cell r="D36" t="str">
            <v>FP-320106</v>
          </cell>
          <cell r="K36">
            <v>0</v>
          </cell>
          <cell r="L36">
            <v>1829249.22</v>
          </cell>
        </row>
        <row r="37">
          <cell r="D37" t="str">
            <v>FP-320144</v>
          </cell>
          <cell r="K37">
            <v>0</v>
          </cell>
          <cell r="L37">
            <v>2531049.7000000002</v>
          </cell>
        </row>
        <row r="38">
          <cell r="D38" t="str">
            <v>FP-320159</v>
          </cell>
          <cell r="K38">
            <v>0</v>
          </cell>
          <cell r="L38">
            <v>0</v>
          </cell>
        </row>
        <row r="39">
          <cell r="D39" t="str">
            <v>FP-321116</v>
          </cell>
          <cell r="K39">
            <v>16645248.84</v>
          </cell>
          <cell r="L39">
            <v>0</v>
          </cell>
        </row>
        <row r="40">
          <cell r="D40" t="str">
            <v>FP-321468</v>
          </cell>
          <cell r="K40">
            <v>1111422.1399999999</v>
          </cell>
          <cell r="L40">
            <v>0</v>
          </cell>
        </row>
        <row r="41">
          <cell r="D41" t="str">
            <v>FP-321511</v>
          </cell>
          <cell r="K41">
            <v>0</v>
          </cell>
          <cell r="L41">
            <v>0</v>
          </cell>
        </row>
        <row r="42">
          <cell r="D42" t="str">
            <v>FP-321879</v>
          </cell>
          <cell r="K42">
            <v>0</v>
          </cell>
          <cell r="L42">
            <v>0</v>
          </cell>
        </row>
        <row r="43">
          <cell r="D43" t="str">
            <v>FP-322391</v>
          </cell>
          <cell r="K43">
            <v>0</v>
          </cell>
          <cell r="L43">
            <v>0</v>
          </cell>
        </row>
        <row r="44">
          <cell r="D44" t="str">
            <v>FP-322639</v>
          </cell>
          <cell r="K44">
            <v>0</v>
          </cell>
          <cell r="L44">
            <v>1220755.99</v>
          </cell>
        </row>
        <row r="45">
          <cell r="D45" t="str">
            <v>FP-322776</v>
          </cell>
          <cell r="K45">
            <v>0</v>
          </cell>
          <cell r="L45">
            <v>0</v>
          </cell>
        </row>
        <row r="46">
          <cell r="D46" t="str">
            <v>FP-324101</v>
          </cell>
          <cell r="K46">
            <v>0</v>
          </cell>
          <cell r="L46">
            <v>2632121.5699999998</v>
          </cell>
        </row>
        <row r="47">
          <cell r="D47" t="str">
            <v>FP-324689</v>
          </cell>
          <cell r="K47">
            <v>0</v>
          </cell>
          <cell r="L47">
            <v>1634772.28</v>
          </cell>
        </row>
        <row r="48">
          <cell r="D48" t="str">
            <v>FP-324932</v>
          </cell>
          <cell r="K48">
            <v>0</v>
          </cell>
          <cell r="L48">
            <v>1001332.75</v>
          </cell>
        </row>
        <row r="49">
          <cell r="D49" t="str">
            <v>FP-324560</v>
          </cell>
          <cell r="K49">
            <v>0</v>
          </cell>
          <cell r="L49">
            <v>0</v>
          </cell>
        </row>
        <row r="51">
          <cell r="K51">
            <v>28142865.864989001</v>
          </cell>
          <cell r="L51">
            <v>19993232.582626</v>
          </cell>
        </row>
        <row r="53">
          <cell r="D53" t="str">
            <v xml:space="preserve">Studied Run Rate </v>
          </cell>
        </row>
        <row r="54">
          <cell r="D54" t="str">
            <v>FP-101480</v>
          </cell>
          <cell r="K54">
            <v>3643178.61</v>
          </cell>
          <cell r="L54">
            <v>0</v>
          </cell>
        </row>
        <row r="55">
          <cell r="D55" t="str">
            <v>FP-200064</v>
          </cell>
          <cell r="K55">
            <v>89593.503333333341</v>
          </cell>
          <cell r="L55">
            <v>89593.503333333341</v>
          </cell>
        </row>
        <row r="56">
          <cell r="D56" t="str">
            <v>FP-320999</v>
          </cell>
          <cell r="K56">
            <v>30964.215000000004</v>
          </cell>
          <cell r="L56">
            <v>30964.215000000004</v>
          </cell>
        </row>
        <row r="57">
          <cell r="D57" t="str">
            <v>FP-101194</v>
          </cell>
          <cell r="K57">
            <v>240662.24066667259</v>
          </cell>
          <cell r="L57">
            <v>267234.101809524</v>
          </cell>
        </row>
        <row r="58">
          <cell r="D58" t="str">
            <v>FP-101196</v>
          </cell>
          <cell r="K58">
            <v>406860.71</v>
          </cell>
          <cell r="L58">
            <v>406860.71</v>
          </cell>
        </row>
        <row r="59">
          <cell r="D59" t="str">
            <v>FP-101210</v>
          </cell>
          <cell r="K59">
            <v>3195561.9529540865</v>
          </cell>
          <cell r="L59">
            <v>4750341.8353332281</v>
          </cell>
        </row>
        <row r="60">
          <cell r="D60" t="str">
            <v>FP-101259</v>
          </cell>
          <cell r="K60">
            <v>533478.22499999998</v>
          </cell>
          <cell r="L60">
            <v>533478.22499999998</v>
          </cell>
        </row>
        <row r="61">
          <cell r="D61" t="str">
            <v>FP-302369</v>
          </cell>
          <cell r="K61">
            <v>296728.8033333334</v>
          </cell>
          <cell r="L61">
            <v>296728.8033333334</v>
          </cell>
        </row>
        <row r="62">
          <cell r="D62" t="str">
            <v>FP-317628</v>
          </cell>
          <cell r="K62">
            <v>143661.82750000001</v>
          </cell>
          <cell r="L62">
            <v>143661.82750000001</v>
          </cell>
        </row>
        <row r="63">
          <cell r="D63" t="str">
            <v>FP-317629</v>
          </cell>
          <cell r="K63">
            <v>84544.570000000298</v>
          </cell>
          <cell r="L63">
            <v>69125.594999998808</v>
          </cell>
        </row>
        <row r="64">
          <cell r="D64" t="str">
            <v>FP-317630</v>
          </cell>
          <cell r="K64">
            <v>421666.68799999997</v>
          </cell>
          <cell r="L64">
            <v>421666.68799999997</v>
          </cell>
        </row>
        <row r="65">
          <cell r="D65" t="str">
            <v>FP-317631</v>
          </cell>
          <cell r="K65">
            <v>184523.08750000002</v>
          </cell>
          <cell r="L65">
            <v>184523.08750000002</v>
          </cell>
        </row>
        <row r="66">
          <cell r="D66" t="str">
            <v>FP-317632</v>
          </cell>
          <cell r="K66">
            <v>4725.4375</v>
          </cell>
          <cell r="L66">
            <v>4725.4375</v>
          </cell>
        </row>
        <row r="67">
          <cell r="D67" t="str">
            <v>FP-317633</v>
          </cell>
          <cell r="K67">
            <v>13623.474999999999</v>
          </cell>
          <cell r="L67">
            <v>13623.474999999999</v>
          </cell>
        </row>
        <row r="68">
          <cell r="D68" t="str">
            <v>FP-317634</v>
          </cell>
          <cell r="K68">
            <v>106420.70333333332</v>
          </cell>
          <cell r="L68">
            <v>106420.70333333332</v>
          </cell>
        </row>
        <row r="69">
          <cell r="D69" t="str">
            <v>FP-317635</v>
          </cell>
          <cell r="K69">
            <v>1010.115</v>
          </cell>
          <cell r="L69">
            <v>1010.115</v>
          </cell>
        </row>
        <row r="70">
          <cell r="D70" t="str">
            <v>FP-317636</v>
          </cell>
          <cell r="K70">
            <v>247300.73250000001</v>
          </cell>
          <cell r="L70">
            <v>247300.73250000001</v>
          </cell>
        </row>
        <row r="71">
          <cell r="D71" t="str">
            <v>FP-317637</v>
          </cell>
          <cell r="K71">
            <v>201854.49000000209</v>
          </cell>
          <cell r="L71">
            <v>224484.68599999696</v>
          </cell>
        </row>
        <row r="72">
          <cell r="D72" t="str">
            <v>FP-317638</v>
          </cell>
          <cell r="K72">
            <v>481502.20266669989</v>
          </cell>
          <cell r="L72">
            <v>327047.00009524822</v>
          </cell>
        </row>
        <row r="73">
          <cell r="D73" t="str">
            <v>FP-317639</v>
          </cell>
          <cell r="K73">
            <v>91630.605000000447</v>
          </cell>
          <cell r="L73">
            <v>105890.96400000155</v>
          </cell>
        </row>
        <row r="74">
          <cell r="D74" t="str">
            <v>FP-317640</v>
          </cell>
          <cell r="K74">
            <v>103605.74499999732</v>
          </cell>
          <cell r="L74">
            <v>125973.51999999583</v>
          </cell>
        </row>
        <row r="75">
          <cell r="D75" t="str">
            <v>FP-317641</v>
          </cell>
          <cell r="K75">
            <v>88272.780000001192</v>
          </cell>
          <cell r="L75">
            <v>120934.13000000268</v>
          </cell>
        </row>
        <row r="76">
          <cell r="D76" t="str">
            <v>FP-317642</v>
          </cell>
          <cell r="K76">
            <v>122716.02933332324</v>
          </cell>
          <cell r="L76">
            <v>66874.709619045258</v>
          </cell>
        </row>
        <row r="77">
          <cell r="D77" t="str">
            <v>FP-317643</v>
          </cell>
          <cell r="K77">
            <v>90396.394999999553</v>
          </cell>
          <cell r="L77">
            <v>106121.63399999961</v>
          </cell>
        </row>
        <row r="78">
          <cell r="D78" t="str">
            <v>FP-317644</v>
          </cell>
          <cell r="K78">
            <v>312546.42500000447</v>
          </cell>
          <cell r="L78">
            <v>285193.96500000358</v>
          </cell>
        </row>
        <row r="79">
          <cell r="D79" t="str">
            <v>FP-317645</v>
          </cell>
          <cell r="K79">
            <v>268742.82999999914</v>
          </cell>
          <cell r="L79">
            <v>271558.39899999928</v>
          </cell>
        </row>
        <row r="80">
          <cell r="D80" t="str">
            <v>FP-317646</v>
          </cell>
          <cell r="K80">
            <v>690700.33266669512</v>
          </cell>
          <cell r="L80">
            <v>504010.32866668701</v>
          </cell>
        </row>
        <row r="81">
          <cell r="D81" t="str">
            <v>FP-317647</v>
          </cell>
          <cell r="K81">
            <v>122634.6400000006</v>
          </cell>
          <cell r="L81">
            <v>130637.57599999942</v>
          </cell>
        </row>
        <row r="82">
          <cell r="D82" t="str">
            <v>FP-317648</v>
          </cell>
          <cell r="K82">
            <v>379746.03999999911</v>
          </cell>
          <cell r="L82">
            <v>399297.27099999785</v>
          </cell>
        </row>
        <row r="83">
          <cell r="D83" t="str">
            <v>FP-317649</v>
          </cell>
          <cell r="K83">
            <v>100617.66500000004</v>
          </cell>
          <cell r="L83">
            <v>103594.5</v>
          </cell>
        </row>
        <row r="84">
          <cell r="D84" t="str">
            <v>FP-317650</v>
          </cell>
          <cell r="K84">
            <v>878460.73133337498</v>
          </cell>
          <cell r="L84">
            <v>528919.24504756927</v>
          </cell>
        </row>
        <row r="85">
          <cell r="D85" t="str">
            <v>FP-317651</v>
          </cell>
          <cell r="K85">
            <v>30673.550000000745</v>
          </cell>
          <cell r="L85">
            <v>36571.064999999478</v>
          </cell>
        </row>
        <row r="86">
          <cell r="D86" t="str">
            <v>FP-317652</v>
          </cell>
          <cell r="K86">
            <v>43225.069999992847</v>
          </cell>
          <cell r="L86">
            <v>1510.777999997139</v>
          </cell>
        </row>
        <row r="87">
          <cell r="D87" t="str">
            <v>FP-317653</v>
          </cell>
          <cell r="K87">
            <v>340327.31000000238</v>
          </cell>
          <cell r="L87">
            <v>456767.68999999762</v>
          </cell>
        </row>
        <row r="88">
          <cell r="D88" t="str">
            <v>FP-317654</v>
          </cell>
          <cell r="K88">
            <v>196882.61866667867</v>
          </cell>
          <cell r="L88">
            <v>91313.063523828983</v>
          </cell>
        </row>
        <row r="89">
          <cell r="D89" t="str">
            <v>FP-317655</v>
          </cell>
          <cell r="K89">
            <v>16580.8475</v>
          </cell>
          <cell r="L89">
            <v>16580.8475</v>
          </cell>
        </row>
        <row r="90">
          <cell r="D90" t="str">
            <v>FP-317656</v>
          </cell>
          <cell r="K90">
            <v>323725.55750000005</v>
          </cell>
          <cell r="L90">
            <v>323725.55750000005</v>
          </cell>
        </row>
        <row r="91">
          <cell r="D91" t="str">
            <v>FP-317657</v>
          </cell>
          <cell r="K91">
            <v>150820.62</v>
          </cell>
          <cell r="L91">
            <v>150820.62</v>
          </cell>
        </row>
        <row r="92">
          <cell r="D92" t="str">
            <v>FP-317658</v>
          </cell>
          <cell r="K92">
            <v>425175.603333354</v>
          </cell>
          <cell r="L92">
            <v>196913.94190478325</v>
          </cell>
        </row>
        <row r="93">
          <cell r="D93" t="str">
            <v>FP-317659</v>
          </cell>
          <cell r="K93">
            <v>120608.11749999999</v>
          </cell>
          <cell r="L93">
            <v>120608.11749999999</v>
          </cell>
        </row>
        <row r="94">
          <cell r="D94" t="str">
            <v>FP-317750</v>
          </cell>
          <cell r="K94">
            <v>1127764.46</v>
          </cell>
          <cell r="L94">
            <v>1127764.46</v>
          </cell>
        </row>
        <row r="95">
          <cell r="D95" t="str">
            <v>FP-317751</v>
          </cell>
          <cell r="K95">
            <v>130715.46500000078</v>
          </cell>
          <cell r="L95">
            <v>134134.77600000054</v>
          </cell>
        </row>
        <row r="96">
          <cell r="D96" t="str">
            <v>FP-317752</v>
          </cell>
          <cell r="K96">
            <v>1058346.5406666994</v>
          </cell>
          <cell r="L96">
            <v>707665.09752380848</v>
          </cell>
        </row>
        <row r="97">
          <cell r="D97" t="str">
            <v>FP-318092</v>
          </cell>
          <cell r="K97">
            <v>120281.75666666665</v>
          </cell>
          <cell r="L97">
            <v>120281.75666666665</v>
          </cell>
        </row>
        <row r="98">
          <cell r="D98" t="str">
            <v>FP-318186</v>
          </cell>
          <cell r="K98">
            <v>3518348.4725000006</v>
          </cell>
          <cell r="L98">
            <v>3518348.4725000006</v>
          </cell>
        </row>
        <row r="99">
          <cell r="D99" t="str">
            <v>FP-318187</v>
          </cell>
          <cell r="K99">
            <v>926264.08999999613</v>
          </cell>
          <cell r="L99">
            <v>943597.51099999994</v>
          </cell>
        </row>
        <row r="100">
          <cell r="D100" t="str">
            <v>FP-319111</v>
          </cell>
          <cell r="K100">
            <v>153338.53499999997</v>
          </cell>
          <cell r="L100">
            <v>153338.53499999997</v>
          </cell>
        </row>
        <row r="101">
          <cell r="D101" t="str">
            <v>FP-319112</v>
          </cell>
          <cell r="K101">
            <v>128877.07666666668</v>
          </cell>
          <cell r="L101">
            <v>128877.07666666668</v>
          </cell>
        </row>
        <row r="102">
          <cell r="D102" t="str">
            <v>FP-101163</v>
          </cell>
          <cell r="K102">
            <v>3286821.6849999428</v>
          </cell>
          <cell r="L102">
            <v>3852145.1189997196</v>
          </cell>
        </row>
        <row r="103">
          <cell r="D103" t="str">
            <v>FP-101164</v>
          </cell>
          <cell r="K103">
            <v>0</v>
          </cell>
          <cell r="L103">
            <v>0</v>
          </cell>
        </row>
        <row r="104">
          <cell r="D104" t="str">
            <v>FP-101215</v>
          </cell>
          <cell r="K104">
            <v>0</v>
          </cell>
          <cell r="L104">
            <v>0</v>
          </cell>
        </row>
        <row r="105">
          <cell r="D105" t="str">
            <v>FP-200662</v>
          </cell>
          <cell r="K105">
            <v>70533.544999999998</v>
          </cell>
          <cell r="L105">
            <v>70533.544999999998</v>
          </cell>
        </row>
        <row r="106">
          <cell r="D106" t="str">
            <v>FP-316445</v>
          </cell>
          <cell r="K106">
            <v>0</v>
          </cell>
          <cell r="L106">
            <v>0</v>
          </cell>
        </row>
        <row r="107">
          <cell r="D107" t="str">
            <v>FP-316832</v>
          </cell>
          <cell r="K107">
            <v>0</v>
          </cell>
          <cell r="L107">
            <v>0</v>
          </cell>
        </row>
        <row r="108">
          <cell r="D108" t="str">
            <v>FP-317744</v>
          </cell>
          <cell r="K108">
            <v>0</v>
          </cell>
          <cell r="L108">
            <v>0</v>
          </cell>
        </row>
        <row r="109">
          <cell r="D109" t="str">
            <v>FP-318192</v>
          </cell>
          <cell r="K109">
            <v>422743.01833333331</v>
          </cell>
          <cell r="L109">
            <v>422743.01833333331</v>
          </cell>
        </row>
        <row r="110">
          <cell r="D110" t="str">
            <v>FP-318197</v>
          </cell>
          <cell r="K110">
            <v>0</v>
          </cell>
          <cell r="L110">
            <v>0</v>
          </cell>
        </row>
        <row r="112">
          <cell r="D112" t="str">
            <v>Subtotal Run Rate Studied</v>
          </cell>
        </row>
        <row r="114">
          <cell r="D114" t="str">
            <v>Unstudied Small Projects</v>
          </cell>
        </row>
        <row r="116">
          <cell r="D116" t="str">
            <v xml:space="preserve">Grand Total </v>
          </cell>
        </row>
      </sheetData>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Custom 1">
      <a:dk1>
        <a:sysClr val="windowText" lastClr="000000"/>
      </a:dk1>
      <a:lt1>
        <a:sysClr val="window" lastClr="FFFFFF"/>
      </a:lt1>
      <a:dk2>
        <a:srgbClr val="1F497D"/>
      </a:dk2>
      <a:lt2>
        <a:srgbClr val="FBFAF7"/>
      </a:lt2>
      <a:accent1>
        <a:srgbClr val="B93C39"/>
      </a:accent1>
      <a:accent2>
        <a:srgbClr val="979CA7"/>
      </a:accent2>
      <a:accent3>
        <a:srgbClr val="97755B"/>
      </a:accent3>
      <a:accent4>
        <a:srgbClr val="54A5B0"/>
      </a:accent4>
      <a:accent5>
        <a:srgbClr val="E1B459"/>
      </a:accent5>
      <a:accent6>
        <a:srgbClr val="8C9DF4"/>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3A89A-F756-4075-AB57-59A86E5556FC}">
  <sheetPr codeName="Sheet10"/>
  <dimension ref="B3:P33"/>
  <sheetViews>
    <sheetView workbookViewId="0">
      <selection activeCell="P28" sqref="P28"/>
    </sheetView>
  </sheetViews>
  <sheetFormatPr defaultRowHeight="15"/>
  <cols>
    <col min="2" max="2" width="1.42578125" customWidth="1"/>
    <col min="3" max="3" width="3" style="1305" bestFit="1" customWidth="1"/>
    <col min="4" max="5" width="1.42578125" customWidth="1"/>
    <col min="6" max="6" width="2.5703125" customWidth="1"/>
    <col min="7" max="7" width="29" customWidth="1"/>
    <col min="8" max="8" width="1.42578125" customWidth="1"/>
    <col min="9" max="9" width="12" bestFit="1" customWidth="1"/>
    <col min="10" max="10" width="1.42578125" customWidth="1"/>
    <col min="12" max="12" width="1.42578125" customWidth="1"/>
    <col min="15" max="15" width="10.5703125" bestFit="1" customWidth="1"/>
    <col min="16" max="16" width="11.7109375" customWidth="1"/>
    <col min="17" max="17" width="11.28515625" bestFit="1" customWidth="1"/>
  </cols>
  <sheetData>
    <row r="3" spans="2:16" ht="7.5" customHeight="1">
      <c r="B3" s="1246"/>
      <c r="C3" s="1306"/>
      <c r="D3" s="1246"/>
      <c r="E3" s="1246"/>
      <c r="F3" s="1246"/>
      <c r="G3" s="1246"/>
      <c r="H3" s="1246"/>
      <c r="I3" s="1246"/>
      <c r="J3" s="1246"/>
      <c r="K3" s="1246"/>
      <c r="L3" s="1246"/>
    </row>
    <row r="4" spans="2:16">
      <c r="B4" s="1246"/>
      <c r="C4" s="1306"/>
      <c r="D4" s="1246"/>
      <c r="E4" s="1246"/>
      <c r="F4" s="1246"/>
      <c r="G4" s="1246"/>
      <c r="H4" s="1246"/>
      <c r="I4" s="1309" t="s">
        <v>4188</v>
      </c>
      <c r="J4" s="1308"/>
      <c r="K4" s="1309" t="s">
        <v>4180</v>
      </c>
      <c r="L4" s="1246"/>
    </row>
    <row r="5" spans="2:16" ht="7.5" customHeight="1">
      <c r="B5" s="1246"/>
      <c r="C5" s="1306"/>
      <c r="D5" s="1246"/>
      <c r="E5" s="1246"/>
      <c r="F5" s="1246"/>
      <c r="G5" s="1246"/>
      <c r="H5" s="1246"/>
      <c r="I5" s="1246"/>
      <c r="J5" s="1246"/>
      <c r="K5" s="1246"/>
      <c r="L5" s="1246"/>
    </row>
    <row r="6" spans="2:16">
      <c r="B6" s="1246"/>
      <c r="C6" s="1306">
        <v>1</v>
      </c>
      <c r="D6" s="1246"/>
      <c r="E6" s="1248"/>
      <c r="F6" s="1308" t="s">
        <v>4141</v>
      </c>
      <c r="G6" s="1308"/>
      <c r="H6" s="1308"/>
      <c r="I6" s="1311">
        <f>+'Exh JAD-5, Rev Req Calc'!E15/1000</f>
        <v>43829.673000000003</v>
      </c>
      <c r="J6" s="1311"/>
      <c r="K6" s="1311">
        <f>+'Exh JAD-5, Rev Req Calc'!F15/1000</f>
        <v>11669.242</v>
      </c>
      <c r="L6" s="1246"/>
    </row>
    <row r="7" spans="2:16">
      <c r="B7" s="1246"/>
      <c r="C7" s="1306">
        <v>2</v>
      </c>
      <c r="D7" s="1246"/>
      <c r="E7" s="1248"/>
      <c r="F7" s="1253"/>
      <c r="G7" s="1253" t="s">
        <v>4189</v>
      </c>
      <c r="H7" s="1253"/>
      <c r="I7" s="1307">
        <f>+I6/I30</f>
        <v>0.29775446085111945</v>
      </c>
      <c r="J7" s="1307"/>
      <c r="K7" s="1307">
        <f>+K6/K30</f>
        <v>6.108578541161868E-2</v>
      </c>
      <c r="L7" s="1246"/>
    </row>
    <row r="8" spans="2:16" ht="7.5" customHeight="1">
      <c r="B8" s="1246"/>
      <c r="C8" s="1306"/>
      <c r="D8" s="1246"/>
      <c r="E8" s="1248"/>
      <c r="F8" s="1246"/>
      <c r="G8" s="1246"/>
      <c r="H8" s="1246"/>
      <c r="I8" s="1246"/>
      <c r="J8" s="1246"/>
      <c r="K8" s="1246"/>
      <c r="L8" s="1246"/>
    </row>
    <row r="9" spans="2:16">
      <c r="B9" s="1246"/>
      <c r="C9" s="1306">
        <v>3</v>
      </c>
      <c r="D9" s="1246"/>
      <c r="E9" s="1248"/>
      <c r="F9" s="1308" t="s">
        <v>427</v>
      </c>
      <c r="G9" s="1246"/>
      <c r="H9" s="1246"/>
      <c r="I9" s="1246"/>
      <c r="J9" s="1246"/>
      <c r="K9" s="1246"/>
      <c r="L9" s="1246"/>
    </row>
    <row r="10" spans="2:16">
      <c r="B10" s="1246"/>
      <c r="C10" s="1306">
        <v>4</v>
      </c>
      <c r="D10" s="1246"/>
      <c r="E10" s="1248"/>
      <c r="F10" s="1246"/>
      <c r="G10" s="1246" t="s">
        <v>4190</v>
      </c>
      <c r="H10" s="1246"/>
      <c r="I10" s="1251">
        <f>+'Exh. BGM-3 (Detail)'!N73</f>
        <v>-7580.7349566464836</v>
      </c>
      <c r="J10" s="1251"/>
      <c r="K10" s="1251">
        <f>+'Exh. BGM-3 (Detail)'!N74</f>
        <v>-706.8843984629093</v>
      </c>
      <c r="L10" s="1246"/>
      <c r="O10" s="579">
        <f>-I10*1000</f>
        <v>7580734.9566464834</v>
      </c>
      <c r="P10" s="579">
        <f t="shared" ref="P10:P19" si="0">-K10*1000</f>
        <v>706884.39846290927</v>
      </c>
    </row>
    <row r="11" spans="2:16">
      <c r="B11" s="1246"/>
      <c r="C11" s="1306">
        <v>5</v>
      </c>
      <c r="D11" s="1246"/>
      <c r="E11" s="1248"/>
      <c r="F11" s="1253"/>
      <c r="G11" s="1253" t="s">
        <v>4216</v>
      </c>
      <c r="H11" s="1253"/>
      <c r="I11" s="1270">
        <f>+'Exh. BGM-3 (Detail)'!AD40</f>
        <v>-947.70779446326947</v>
      </c>
      <c r="J11" s="1270"/>
      <c r="K11" s="1270">
        <f>+'Exh. BGM-3 (Detail)'!AD54</f>
        <v>-2645.2826962376225</v>
      </c>
      <c r="L11" s="1246"/>
      <c r="O11" s="579">
        <f t="shared" ref="O11:O19" si="1">-I11*1000</f>
        <v>947707.79446326941</v>
      </c>
      <c r="P11" s="579">
        <f t="shared" si="0"/>
        <v>2645282.6962376228</v>
      </c>
    </row>
    <row r="12" spans="2:16">
      <c r="B12" s="1246"/>
      <c r="C12" s="1306">
        <v>6</v>
      </c>
      <c r="D12" s="1246"/>
      <c r="E12" s="1248"/>
      <c r="F12" s="1246"/>
      <c r="G12" s="1246" t="s">
        <v>4217</v>
      </c>
      <c r="H12" s="1246"/>
      <c r="I12" s="1251">
        <f>+'Exh. BGM-3 (Detail)'!AD41</f>
        <v>-5066.9181265065808</v>
      </c>
      <c r="J12" s="1251"/>
      <c r="K12" s="1251">
        <f>+'Exh. BGM-3 (Detail)'!AD55</f>
        <v>-3019.5003417961352</v>
      </c>
      <c r="L12" s="1246"/>
      <c r="O12" s="579">
        <f t="shared" si="1"/>
        <v>5066918.126506581</v>
      </c>
      <c r="P12" s="579">
        <f t="shared" si="0"/>
        <v>3019500.3417961351</v>
      </c>
    </row>
    <row r="13" spans="2:16">
      <c r="B13" s="1246"/>
      <c r="C13" s="1306">
        <v>7</v>
      </c>
      <c r="D13" s="1246"/>
      <c r="E13" s="1248"/>
      <c r="F13" s="1253"/>
      <c r="G13" s="1253" t="s">
        <v>4218</v>
      </c>
      <c r="H13" s="1253"/>
      <c r="I13" s="1270">
        <f>+'Exh. BGM-3 (Detail)'!AD42</f>
        <v>-2244.895580766457</v>
      </c>
      <c r="J13" s="1270"/>
      <c r="K13" s="1270">
        <f>+'Exh. BGM-3 (Detail)'!AD56</f>
        <v>-2452.7050148668945</v>
      </c>
      <c r="L13" s="1246"/>
      <c r="O13" s="579">
        <f t="shared" si="1"/>
        <v>2244895.5807664571</v>
      </c>
      <c r="P13" s="579">
        <f t="shared" si="0"/>
        <v>2452705.0148668946</v>
      </c>
    </row>
    <row r="14" spans="2:16">
      <c r="B14" s="1246"/>
      <c r="C14" s="1306">
        <v>8</v>
      </c>
      <c r="D14" s="1246"/>
      <c r="E14" s="1248"/>
      <c r="F14" s="1246"/>
      <c r="G14" s="1246" t="s">
        <v>4219</v>
      </c>
      <c r="H14" s="1246"/>
      <c r="I14" s="1251">
        <f>+'Exh. BGM-3 (Detail)'!AD43</f>
        <v>-1637.9997050188833</v>
      </c>
      <c r="J14" s="1251"/>
      <c r="K14" s="1251">
        <f>+'Exh. BGM-3 (Detail)'!AD57</f>
        <v>-79.037400720057178</v>
      </c>
      <c r="L14" s="1246"/>
      <c r="O14" s="579">
        <f t="shared" si="1"/>
        <v>1637999.7050188833</v>
      </c>
      <c r="P14" s="579">
        <f t="shared" si="0"/>
        <v>79037.40072005718</v>
      </c>
    </row>
    <row r="15" spans="2:16">
      <c r="B15" s="1246"/>
      <c r="C15" s="1306">
        <v>9</v>
      </c>
      <c r="D15" s="1246"/>
      <c r="E15" s="1248"/>
      <c r="F15" s="1253"/>
      <c r="G15" s="1253" t="s">
        <v>4220</v>
      </c>
      <c r="H15" s="1253"/>
      <c r="I15" s="1270">
        <f>+'Exh. BGM-3 (Detail)'!AD29</f>
        <v>-1493.5703721989778</v>
      </c>
      <c r="J15" s="1270"/>
      <c r="K15" s="1270">
        <f>+'Exh. BGM-3 (Detail)'!AD59</f>
        <v>-598.31662891392523</v>
      </c>
      <c r="L15" s="1246"/>
      <c r="O15" s="579">
        <f t="shared" si="1"/>
        <v>1493570.3721989777</v>
      </c>
      <c r="P15" s="579">
        <f t="shared" si="0"/>
        <v>598316.62891392526</v>
      </c>
    </row>
    <row r="16" spans="2:16">
      <c r="B16" s="1246"/>
      <c r="C16" s="1306">
        <v>10</v>
      </c>
      <c r="D16" s="1246"/>
      <c r="E16" s="1248"/>
      <c r="F16" s="1246"/>
      <c r="G16" s="1246" t="s">
        <v>4221</v>
      </c>
      <c r="H16" s="1246"/>
      <c r="I16" s="1251">
        <f>+'Exh. BGM-3 (Detail)'!AD38</f>
        <v>-202.86729979052896</v>
      </c>
      <c r="J16" s="1251"/>
      <c r="K16" s="1251">
        <f>+'Exh. BGM-3 (Detail)'!AD65</f>
        <v>-206.31314362486313</v>
      </c>
      <c r="L16" s="1246"/>
      <c r="O16" s="579">
        <f t="shared" si="1"/>
        <v>202867.29979052895</v>
      </c>
      <c r="P16" s="579">
        <f t="shared" si="0"/>
        <v>206313.14362486312</v>
      </c>
    </row>
    <row r="17" spans="2:16">
      <c r="B17" s="1246"/>
      <c r="C17" s="1306">
        <v>11</v>
      </c>
      <c r="D17" s="1246"/>
      <c r="E17" s="1248"/>
      <c r="F17" s="1253"/>
      <c r="G17" s="1253" t="s">
        <v>4233</v>
      </c>
      <c r="H17" s="1253"/>
      <c r="I17" s="1270">
        <f>+'Exh. BGM-3 (Detail)'!AD18</f>
        <v>-167.33768116928013</v>
      </c>
      <c r="J17" s="1270"/>
      <c r="K17" s="1270">
        <v>0</v>
      </c>
      <c r="L17" s="1246"/>
      <c r="O17" s="579">
        <f t="shared" si="1"/>
        <v>167337.68116928014</v>
      </c>
      <c r="P17" s="579">
        <f t="shared" si="0"/>
        <v>0</v>
      </c>
    </row>
    <row r="18" spans="2:16">
      <c r="B18" s="1246"/>
      <c r="C18" s="1306">
        <v>12</v>
      </c>
      <c r="D18" s="1246"/>
      <c r="E18" s="1248"/>
      <c r="F18" s="1246"/>
      <c r="G18" s="1246" t="s">
        <v>4222</v>
      </c>
      <c r="H18" s="1246"/>
      <c r="I18" s="1251">
        <f>+'Exh. BGM-3 (Detail)'!AD32</f>
        <v>-1525.0938795897243</v>
      </c>
      <c r="J18" s="1251"/>
      <c r="K18" s="1251">
        <v>0</v>
      </c>
      <c r="L18" s="1246"/>
      <c r="O18" s="579">
        <f t="shared" si="1"/>
        <v>1525093.8795897244</v>
      </c>
      <c r="P18" s="579">
        <f t="shared" si="0"/>
        <v>0</v>
      </c>
    </row>
    <row r="19" spans="2:16">
      <c r="B19" s="1246"/>
      <c r="C19" s="1306">
        <v>13</v>
      </c>
      <c r="D19" s="1246"/>
      <c r="E19" s="1248"/>
      <c r="F19" s="1253"/>
      <c r="G19" s="1253" t="s">
        <v>4223</v>
      </c>
      <c r="H19" s="1253"/>
      <c r="I19" s="1270">
        <f>+'Exh. BGM-3 (Detail)'!AD22</f>
        <v>-404.49087856486443</v>
      </c>
      <c r="J19" s="1270"/>
      <c r="K19" s="1270">
        <v>0</v>
      </c>
      <c r="L19" s="1246"/>
      <c r="O19" s="579">
        <f t="shared" si="1"/>
        <v>404490.87856486446</v>
      </c>
      <c r="P19" s="579">
        <f t="shared" si="0"/>
        <v>0</v>
      </c>
    </row>
    <row r="20" spans="2:16">
      <c r="B20" s="1246"/>
      <c r="C20" s="1306">
        <v>14</v>
      </c>
      <c r="D20" s="1246"/>
      <c r="E20" s="1248"/>
      <c r="F20" s="1246"/>
      <c r="G20" s="1246" t="s">
        <v>4224</v>
      </c>
      <c r="H20" s="1246"/>
      <c r="I20" s="1310">
        <f>+'Exh. BGM-3 (Detail)'!AD35</f>
        <v>-686.36699386385271</v>
      </c>
      <c r="J20" s="1251"/>
      <c r="K20" s="1310">
        <f>+'Exh. BGM-3 (Detail)'!AD60</f>
        <v>-804.49748265468895</v>
      </c>
      <c r="L20" s="1246"/>
      <c r="O20" s="579">
        <f t="shared" ref="O20" si="2">-I20*1000</f>
        <v>686366.99386385269</v>
      </c>
      <c r="P20" s="579">
        <f t="shared" ref="P20" si="3">-K20*1000</f>
        <v>804497.482654689</v>
      </c>
    </row>
    <row r="21" spans="2:16" ht="7.5" customHeight="1">
      <c r="B21" s="1246"/>
      <c r="C21" s="1306"/>
      <c r="D21" s="1246"/>
      <c r="E21" s="1248"/>
      <c r="F21" s="1246"/>
      <c r="G21" s="1246"/>
      <c r="H21" s="1246"/>
      <c r="I21" s="1251"/>
      <c r="J21" s="1251"/>
      <c r="K21" s="1251"/>
      <c r="L21" s="1246"/>
    </row>
    <row r="22" spans="2:16">
      <c r="B22" s="1246"/>
      <c r="C22" s="1306">
        <v>15</v>
      </c>
      <c r="D22" s="1246"/>
      <c r="E22" s="1248"/>
      <c r="F22" s="1253"/>
      <c r="G22" s="1253" t="s">
        <v>3809</v>
      </c>
      <c r="H22" s="1253"/>
      <c r="I22" s="1270">
        <f>+SUM(I9:I21)</f>
        <v>-21957.983268578904</v>
      </c>
      <c r="J22" s="1270"/>
      <c r="K22" s="1270">
        <f>+SUM(K9:K21)</f>
        <v>-10512.537107277096</v>
      </c>
      <c r="L22" s="1246"/>
    </row>
    <row r="23" spans="2:16" ht="7.5" customHeight="1">
      <c r="B23" s="1246"/>
      <c r="C23" s="1306"/>
      <c r="D23" s="1246"/>
      <c r="E23" s="1248"/>
      <c r="F23" s="1246"/>
      <c r="G23" s="1246"/>
      <c r="H23" s="1246"/>
      <c r="I23" s="1310"/>
      <c r="J23" s="1251"/>
      <c r="K23" s="1310"/>
      <c r="L23" s="1246"/>
    </row>
    <row r="24" spans="2:16">
      <c r="B24" s="1246"/>
      <c r="C24" s="1306">
        <v>16</v>
      </c>
      <c r="D24" s="1246"/>
      <c r="E24" s="1248"/>
      <c r="F24" s="1308" t="s">
        <v>532</v>
      </c>
      <c r="G24" s="1308"/>
      <c r="H24" s="1308"/>
      <c r="I24" s="1311">
        <f>+I6+I22</f>
        <v>21871.689731421098</v>
      </c>
      <c r="J24" s="1311"/>
      <c r="K24" s="1311">
        <f>+K6+K22</f>
        <v>1156.7048927229043</v>
      </c>
      <c r="L24" s="1246"/>
    </row>
    <row r="25" spans="2:16">
      <c r="B25" s="1246"/>
      <c r="C25" s="1306">
        <v>17</v>
      </c>
      <c r="D25" s="1246"/>
      <c r="E25" s="1248"/>
      <c r="F25" s="1253"/>
      <c r="G25" s="1253" t="s">
        <v>4189</v>
      </c>
      <c r="H25" s="1253"/>
      <c r="I25" s="1307">
        <f>+I24/I30</f>
        <v>0.14858411523814594</v>
      </c>
      <c r="J25" s="1253"/>
      <c r="K25" s="1307">
        <f>+K24/K31</f>
        <v>6.8414760816239498E-3</v>
      </c>
      <c r="L25" s="1246"/>
    </row>
    <row r="26" spans="2:16" ht="7.5" customHeight="1">
      <c r="B26" s="1246"/>
      <c r="C26" s="1306"/>
      <c r="D26" s="1246"/>
      <c r="E26" s="1246"/>
      <c r="F26" s="1246"/>
      <c r="G26" s="1246"/>
      <c r="H26" s="1246"/>
      <c r="I26" s="1246"/>
      <c r="J26" s="1246"/>
      <c r="K26" s="1246"/>
      <c r="L26" s="1246"/>
    </row>
    <row r="30" spans="2:16">
      <c r="B30" t="s">
        <v>4141</v>
      </c>
      <c r="G30" t="s">
        <v>4191</v>
      </c>
      <c r="I30" s="579">
        <f>+'Exh JAD-5, Rev Req Calc'!E17/1000</f>
        <v>147200.72664810665</v>
      </c>
      <c r="K30" s="579">
        <f>+I30+I6</f>
        <v>191030.39964810666</v>
      </c>
    </row>
    <row r="31" spans="2:16">
      <c r="G31" t="s">
        <v>4192</v>
      </c>
      <c r="K31" s="579">
        <f>+I30+I24</f>
        <v>169072.41637952774</v>
      </c>
    </row>
    <row r="32" spans="2:16">
      <c r="G32" t="s">
        <v>4193</v>
      </c>
      <c r="I32" s="579">
        <v>3148.0023500000002</v>
      </c>
      <c r="K32" s="579">
        <v>3148.0023500000002</v>
      </c>
    </row>
    <row r="33" spans="7:11">
      <c r="G33" t="s">
        <v>4194</v>
      </c>
      <c r="I33" s="1304">
        <f>+I24/(I30-I32)</f>
        <v>0.15183114264579423</v>
      </c>
      <c r="J33" s="1304" t="e">
        <f>+J24/(J30-J32)</f>
        <v>#DIV/0!</v>
      </c>
      <c r="K33" s="1304">
        <f>+K24/(K31-K32)</f>
        <v>6.9712760445069782E-3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6F59-C795-4F3B-A372-E9FC21C12041}">
  <sheetPr codeName="Sheet37">
    <pageSetUpPr fitToPage="1"/>
  </sheetPr>
  <dimension ref="A1:H25"/>
  <sheetViews>
    <sheetView workbookViewId="0">
      <selection sqref="A1:C1"/>
    </sheetView>
  </sheetViews>
  <sheetFormatPr defaultColWidth="8.85546875" defaultRowHeight="15"/>
  <cols>
    <col min="1" max="1" width="12" style="53" customWidth="1"/>
    <col min="2" max="2" width="50.85546875" style="53" customWidth="1"/>
    <col min="3" max="3" width="11.5703125" style="1" bestFit="1" customWidth="1"/>
    <col min="4" max="6" width="8.85546875" style="53"/>
    <col min="7" max="7" width="9.5703125" style="53" bestFit="1" customWidth="1"/>
    <col min="8" max="16384" width="8.85546875" style="53"/>
  </cols>
  <sheetData>
    <row r="1" spans="1:8">
      <c r="A1" s="1401" t="str">
        <f>Company</f>
        <v>Cascade Natural Gas Corp.</v>
      </c>
      <c r="B1" s="1401"/>
      <c r="C1" s="1401"/>
    </row>
    <row r="2" spans="1:8">
      <c r="A2" s="1401" t="str">
        <f>Title1</f>
        <v>Washington Jurisdiction</v>
      </c>
      <c r="B2" s="1401"/>
      <c r="C2" s="1401"/>
    </row>
    <row r="3" spans="1:8">
      <c r="A3" s="1401" t="str">
        <f>Title2</f>
        <v>Twelve-Months ended December 31, 2023</v>
      </c>
      <c r="B3" s="1401"/>
      <c r="C3" s="1401"/>
    </row>
    <row r="4" spans="1:8">
      <c r="B4" s="427" t="s">
        <v>673</v>
      </c>
    </row>
    <row r="5" spans="1:8">
      <c r="A5" s="1401" t="s">
        <v>672</v>
      </c>
      <c r="B5" s="1401"/>
      <c r="C5" s="1401"/>
    </row>
    <row r="6" spans="1:8">
      <c r="A6" s="172" t="s">
        <v>536</v>
      </c>
      <c r="B6" s="172" t="s">
        <v>537</v>
      </c>
      <c r="C6" s="67" t="s">
        <v>1064</v>
      </c>
      <c r="E6" s="644"/>
      <c r="F6" s="644"/>
    </row>
    <row r="7" spans="1:8">
      <c r="A7" s="486"/>
      <c r="B7" s="487" t="s">
        <v>439</v>
      </c>
      <c r="C7" s="425" t="s">
        <v>208</v>
      </c>
    </row>
    <row r="8" spans="1:8">
      <c r="B8" s="124"/>
      <c r="C8" s="2"/>
    </row>
    <row r="9" spans="1:8">
      <c r="B9" s="124"/>
      <c r="C9" s="2"/>
    </row>
    <row r="10" spans="1:8">
      <c r="A10" s="124">
        <v>1</v>
      </c>
      <c r="B10" s="53" t="s">
        <v>1362</v>
      </c>
      <c r="C10" s="20">
        <v>462991</v>
      </c>
    </row>
    <row r="11" spans="1:8">
      <c r="A11" s="124">
        <v>2</v>
      </c>
      <c r="B11" s="53" t="s">
        <v>4149</v>
      </c>
      <c r="C11" s="20">
        <v>-165021.44</v>
      </c>
    </row>
    <row r="12" spans="1:8">
      <c r="A12" s="449">
        <v>3</v>
      </c>
      <c r="B12" s="53" t="s">
        <v>1362</v>
      </c>
      <c r="C12" s="20">
        <f>+C10+C11</f>
        <v>297969.56</v>
      </c>
      <c r="H12"/>
    </row>
    <row r="13" spans="1:8">
      <c r="A13" s="449">
        <v>4</v>
      </c>
      <c r="B13" s="53" t="s">
        <v>1363</v>
      </c>
      <c r="C13" s="991">
        <v>0.5</v>
      </c>
      <c r="G13" s="656"/>
    </row>
    <row r="14" spans="1:8" ht="15.75" thickBot="1">
      <c r="A14" s="449">
        <v>5</v>
      </c>
      <c r="B14" s="53" t="s">
        <v>179</v>
      </c>
      <c r="C14" s="992">
        <f>+C12*C13</f>
        <v>148984.78</v>
      </c>
    </row>
    <row r="15" spans="1:8" ht="15.75" thickTop="1">
      <c r="A15" s="449">
        <v>6</v>
      </c>
      <c r="C15" s="65"/>
    </row>
    <row r="16" spans="1:8">
      <c r="A16" s="449">
        <v>7</v>
      </c>
      <c r="B16" s="53" t="s">
        <v>1364</v>
      </c>
      <c r="C16" s="20">
        <v>5572.32</v>
      </c>
    </row>
    <row r="17" spans="1:3">
      <c r="A17" s="124">
        <v>8</v>
      </c>
      <c r="B17" t="s">
        <v>4150</v>
      </c>
      <c r="C17" s="1266">
        <f>-C11</f>
        <v>165021.44</v>
      </c>
    </row>
    <row r="18" spans="1:3">
      <c r="A18" s="124">
        <v>9</v>
      </c>
      <c r="B18" t="s">
        <v>1365</v>
      </c>
      <c r="C18" s="6">
        <f>C14+C16+C17</f>
        <v>319578.54000000004</v>
      </c>
    </row>
    <row r="19" spans="1:3">
      <c r="A19" s="449"/>
    </row>
    <row r="20" spans="1:3">
      <c r="A20" s="449"/>
    </row>
    <row r="21" spans="1:3">
      <c r="A21" s="449"/>
    </row>
    <row r="22" spans="1:3">
      <c r="A22" s="449">
        <v>10</v>
      </c>
    </row>
    <row r="23" spans="1:3">
      <c r="A23" s="449">
        <v>11</v>
      </c>
      <c r="B23" t="s">
        <v>4148</v>
      </c>
      <c r="C23" s="6">
        <v>160480.375</v>
      </c>
    </row>
    <row r="24" spans="1:3">
      <c r="A24" s="449">
        <v>12</v>
      </c>
    </row>
    <row r="25" spans="1:3">
      <c r="A25" s="449">
        <v>13</v>
      </c>
      <c r="B25" s="53" t="s">
        <v>4142</v>
      </c>
      <c r="C25" s="6">
        <f>+C18-C23</f>
        <v>159098.16500000004</v>
      </c>
    </row>
  </sheetData>
  <mergeCells count="4">
    <mergeCell ref="A1:C1"/>
    <mergeCell ref="A2:C2"/>
    <mergeCell ref="A3:C3"/>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3926-D20F-4A57-9213-EAFA09C88F90}">
  <sheetPr codeName="Sheet39"/>
  <dimension ref="A1:N32"/>
  <sheetViews>
    <sheetView zoomScaleNormal="100" workbookViewId="0">
      <selection sqref="A1:D1"/>
    </sheetView>
  </sheetViews>
  <sheetFormatPr defaultRowHeight="15"/>
  <cols>
    <col min="2" max="2" width="39" customWidth="1"/>
    <col min="3" max="3" width="15.28515625" bestFit="1" customWidth="1"/>
    <col min="4" max="4" width="11.42578125" customWidth="1"/>
    <col min="5" max="5" width="1.42578125" customWidth="1"/>
    <col min="6" max="6" width="2" bestFit="1" customWidth="1"/>
    <col min="7" max="8" width="1.42578125" customWidth="1"/>
    <col min="12" max="12" width="11.5703125" bestFit="1" customWidth="1"/>
    <col min="13" max="13" width="1.42578125" customWidth="1"/>
    <col min="14" max="14" width="13.28515625" bestFit="1" customWidth="1"/>
  </cols>
  <sheetData>
    <row r="1" spans="1:14">
      <c r="A1" s="1402" t="str">
        <f>Company</f>
        <v>Cascade Natural Gas Corp.</v>
      </c>
      <c r="B1" s="1402"/>
      <c r="C1" s="1402"/>
      <c r="D1" s="1402"/>
    </row>
    <row r="2" spans="1:14">
      <c r="A2" s="1402" t="str">
        <f>Title1</f>
        <v>Washington Jurisdiction</v>
      </c>
      <c r="B2" s="1402"/>
      <c r="C2" s="1402"/>
      <c r="D2" s="1402"/>
    </row>
    <row r="3" spans="1:14">
      <c r="A3" s="1402" t="str">
        <f>Title2</f>
        <v>Twelve-Months ended December 31, 2023</v>
      </c>
      <c r="B3" s="1402"/>
      <c r="C3" s="1402"/>
      <c r="D3" s="1402"/>
    </row>
    <row r="4" spans="1:14">
      <c r="A4" s="1402" t="str">
        <f>Title8</f>
        <v>UG-240008</v>
      </c>
      <c r="B4" s="1402"/>
      <c r="C4" s="1402"/>
      <c r="D4" s="1402"/>
    </row>
    <row r="5" spans="1:14">
      <c r="A5" s="1402" t="s">
        <v>685</v>
      </c>
      <c r="B5" s="1402"/>
      <c r="C5" s="1402"/>
      <c r="D5" s="1402"/>
    </row>
    <row r="6" spans="1:14">
      <c r="A6" s="1402" t="s">
        <v>684</v>
      </c>
      <c r="B6" s="1402"/>
      <c r="C6" s="1402"/>
      <c r="D6" s="1402"/>
      <c r="E6" s="246"/>
      <c r="F6" s="839"/>
      <c r="G6" s="839"/>
      <c r="H6" s="839"/>
    </row>
    <row r="7" spans="1:14">
      <c r="A7" s="427"/>
      <c r="B7" s="427"/>
      <c r="C7" s="427"/>
      <c r="D7" s="427"/>
    </row>
    <row r="8" spans="1:14">
      <c r="A8" s="531" t="s">
        <v>504</v>
      </c>
      <c r="B8" s="531" t="s">
        <v>537</v>
      </c>
      <c r="C8" s="531" t="s">
        <v>369</v>
      </c>
    </row>
    <row r="9" spans="1:14">
      <c r="B9" s="449" t="s">
        <v>439</v>
      </c>
      <c r="C9" s="449" t="s">
        <v>208</v>
      </c>
    </row>
    <row r="10" spans="1:14">
      <c r="B10" s="520" t="s">
        <v>3742</v>
      </c>
    </row>
    <row r="11" spans="1:14">
      <c r="A11" s="449">
        <v>1</v>
      </c>
      <c r="B11" t="s">
        <v>1404</v>
      </c>
      <c r="C11" s="546"/>
    </row>
    <row r="12" spans="1:14">
      <c r="A12" s="124">
        <f>MAX($A$11:A11)+1</f>
        <v>2</v>
      </c>
      <c r="B12" t="s">
        <v>1405</v>
      </c>
      <c r="C12" s="546"/>
    </row>
    <row r="13" spans="1:14">
      <c r="A13" s="124">
        <f>MAX($A$11:A12)+1</f>
        <v>3</v>
      </c>
      <c r="B13" t="s">
        <v>1406</v>
      </c>
      <c r="C13" s="546"/>
    </row>
    <row r="14" spans="1:14">
      <c r="A14" s="124">
        <f>MAX($A$11:A13)+1</f>
        <v>4</v>
      </c>
      <c r="B14" t="s">
        <v>1407</v>
      </c>
      <c r="C14" s="546"/>
      <c r="N14" s="549"/>
    </row>
    <row r="15" spans="1:14">
      <c r="A15" s="124">
        <f>MAX($A$11:A14)+1</f>
        <v>5</v>
      </c>
      <c r="B15" t="s">
        <v>1408</v>
      </c>
      <c r="C15" s="550"/>
      <c r="N15" s="549"/>
    </row>
    <row r="16" spans="1:14">
      <c r="A16" s="124">
        <f>MAX($A$11:A15)+1</f>
        <v>6</v>
      </c>
      <c r="B16" t="s">
        <v>1409</v>
      </c>
      <c r="C16" s="546">
        <f>SUM(C11:C15)</f>
        <v>0</v>
      </c>
      <c r="N16" s="528"/>
    </row>
    <row r="17" spans="1:14">
      <c r="A17" s="124">
        <f>MAX($A$11:A16)+1</f>
        <v>7</v>
      </c>
      <c r="B17" t="s">
        <v>1410</v>
      </c>
      <c r="C17" s="838">
        <f>+C16/2</f>
        <v>0</v>
      </c>
      <c r="N17" s="549"/>
    </row>
    <row r="18" spans="1:14" ht="15.75" thickBot="1">
      <c r="A18" s="124">
        <f>MAX($A$11:A17)+1</f>
        <v>8</v>
      </c>
      <c r="B18" t="s">
        <v>1411</v>
      </c>
      <c r="C18" s="636">
        <v>-128188.95</v>
      </c>
      <c r="N18" s="549"/>
    </row>
    <row r="19" spans="1:14" ht="15.75" thickTop="1">
      <c r="A19" s="124">
        <f>MAX($A$11:A18)+1</f>
        <v>9</v>
      </c>
      <c r="B19" t="s">
        <v>684</v>
      </c>
      <c r="C19" s="549">
        <f>+C17+C18</f>
        <v>-128188.95</v>
      </c>
    </row>
    <row r="20" spans="1:14">
      <c r="C20" s="529"/>
    </row>
    <row r="21" spans="1:14">
      <c r="B21" t="s">
        <v>4152</v>
      </c>
      <c r="C21" s="579">
        <v>1321811.05</v>
      </c>
    </row>
    <row r="22" spans="1:14">
      <c r="B22" t="s">
        <v>4142</v>
      </c>
      <c r="C22" s="579">
        <f>+C19-C21</f>
        <v>-1450000</v>
      </c>
    </row>
    <row r="24" spans="1:14" ht="7.5" customHeight="1">
      <c r="E24" s="1246"/>
      <c r="F24" s="1246"/>
      <c r="G24" s="1267"/>
      <c r="H24" s="1267"/>
      <c r="I24" s="1267"/>
      <c r="J24" s="1267"/>
      <c r="K24" s="1267"/>
      <c r="L24" s="1267"/>
      <c r="M24" s="1267"/>
    </row>
    <row r="25" spans="1:14">
      <c r="E25" s="1246"/>
      <c r="F25" s="1271">
        <v>1</v>
      </c>
      <c r="G25" s="1267"/>
      <c r="H25" s="1268"/>
      <c r="I25" s="1253" t="str">
        <f>+B11</f>
        <v>Guidehouse</v>
      </c>
      <c r="J25" s="1253"/>
      <c r="K25" s="1253"/>
      <c r="L25" s="1270">
        <v>400000</v>
      </c>
      <c r="M25" s="1267"/>
    </row>
    <row r="26" spans="1:14">
      <c r="E26" s="1246"/>
      <c r="F26" s="1271">
        <v>2</v>
      </c>
      <c r="G26" s="1267"/>
      <c r="H26" s="1268"/>
      <c r="I26" s="1246" t="str">
        <f>+B12</f>
        <v>Brattle</v>
      </c>
      <c r="J26" s="1246"/>
      <c r="K26" s="1246"/>
      <c r="L26" s="1251">
        <v>40000</v>
      </c>
      <c r="M26" s="1267"/>
    </row>
    <row r="27" spans="1:14">
      <c r="E27" s="1246"/>
      <c r="F27" s="1271">
        <v>3</v>
      </c>
      <c r="G27" s="1267"/>
      <c r="H27" s="1268"/>
      <c r="I27" s="1253" t="str">
        <f>+B13</f>
        <v>Attrium</v>
      </c>
      <c r="J27" s="1253"/>
      <c r="K27" s="1253"/>
      <c r="L27" s="1270">
        <v>225250</v>
      </c>
      <c r="M27" s="1267"/>
    </row>
    <row r="28" spans="1:14">
      <c r="E28" s="1246"/>
      <c r="F28" s="1271">
        <v>4</v>
      </c>
      <c r="G28" s="1267"/>
      <c r="H28" s="1268"/>
      <c r="I28" s="1246" t="str">
        <f>+B14</f>
        <v>Perkins Coie</v>
      </c>
      <c r="J28" s="1246"/>
      <c r="K28" s="1246"/>
      <c r="L28" s="1251">
        <v>2084750</v>
      </c>
      <c r="M28" s="1267"/>
    </row>
    <row r="29" spans="1:14">
      <c r="E29" s="1246"/>
      <c r="F29" s="1271">
        <v>5</v>
      </c>
      <c r="G29" s="1267"/>
      <c r="H29" s="1268"/>
      <c r="I29" s="1253" t="str">
        <f>+B15</f>
        <v>H Gil Peach &amp; Associates LLC</v>
      </c>
      <c r="J29" s="1253"/>
      <c r="K29" s="1253"/>
      <c r="L29" s="1270">
        <v>150000</v>
      </c>
      <c r="M29" s="1267"/>
    </row>
    <row r="30" spans="1:14" ht="7.5" customHeight="1">
      <c r="E30" s="1246"/>
      <c r="F30" s="1271"/>
      <c r="G30" s="1267"/>
      <c r="H30" s="1268"/>
      <c r="I30" s="1246"/>
      <c r="J30" s="1246"/>
      <c r="K30" s="1246"/>
      <c r="L30" s="1269"/>
      <c r="M30" s="1267"/>
    </row>
    <row r="31" spans="1:14">
      <c r="E31" s="1246"/>
      <c r="F31" s="1271">
        <v>6</v>
      </c>
      <c r="G31" s="1267"/>
      <c r="H31" s="1268"/>
      <c r="I31" s="1246" t="s">
        <v>4151</v>
      </c>
      <c r="J31" s="1246"/>
      <c r="K31" s="1246"/>
      <c r="L31" s="1251">
        <f>+SUM(L25:L29)</f>
        <v>2900000</v>
      </c>
      <c r="M31" s="1267"/>
    </row>
    <row r="32" spans="1:14" ht="7.5" customHeight="1">
      <c r="E32" s="1246"/>
      <c r="F32" s="1246"/>
      <c r="G32" s="1267"/>
      <c r="H32" s="1267"/>
      <c r="I32" s="1267"/>
      <c r="J32" s="1267"/>
      <c r="K32" s="1267"/>
      <c r="L32" s="1267"/>
      <c r="M32" s="1267"/>
    </row>
  </sheetData>
  <mergeCells count="6">
    <mergeCell ref="A6:D6"/>
    <mergeCell ref="A1:D1"/>
    <mergeCell ref="A2:D2"/>
    <mergeCell ref="A3:D3"/>
    <mergeCell ref="A4:D4"/>
    <mergeCell ref="A5:D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2298-DADB-44EC-BEDB-7262BFD6483F}">
  <sheetPr codeName="Sheet41"/>
  <dimension ref="A1:AE158"/>
  <sheetViews>
    <sheetView view="pageBreakPreview" zoomScale="60" zoomScaleNormal="100" workbookViewId="0">
      <selection sqref="A1:C1"/>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8" width="16.140625" style="53" customWidth="1"/>
    <col min="9" max="10" width="12" style="53" bestFit="1" customWidth="1"/>
    <col min="11" max="12" width="14.85546875" style="53" customWidth="1"/>
    <col min="13" max="13" width="12" style="53" bestFit="1" customWidth="1"/>
    <col min="14" max="14" width="8" style="53" bestFit="1" customWidth="1"/>
    <col min="15" max="16" width="9" style="53" bestFit="1" customWidth="1"/>
    <col min="17" max="18" width="10" style="53" bestFit="1" customWidth="1"/>
    <col min="19" max="19" width="8.5703125" bestFit="1" customWidth="1"/>
    <col min="20" max="23" width="9" style="53" bestFit="1" customWidth="1"/>
    <col min="24"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c r="J10" s="53" t="s">
        <v>4187</v>
      </c>
    </row>
    <row r="11" spans="1:31" outlineLevel="1">
      <c r="A11" s="124">
        <f>MAX($A$10:A10)+1</f>
        <v>2</v>
      </c>
      <c r="B11" s="53" t="s">
        <v>1701</v>
      </c>
      <c r="C11" s="745">
        <f>+'24-25 Plant Additions (RunRate)'!G262</f>
        <v>70238276.422495037</v>
      </c>
      <c r="D11" s="449"/>
      <c r="G11" s="53" t="s">
        <v>4179</v>
      </c>
      <c r="H11" s="53" t="s">
        <v>4180</v>
      </c>
      <c r="K11" s="53" t="s">
        <v>4179</v>
      </c>
      <c r="L11" s="53" t="s">
        <v>4180</v>
      </c>
    </row>
    <row r="12" spans="1:31" outlineLevel="1">
      <c r="A12" s="124">
        <f>MAX($A$10:A11)+1</f>
        <v>3</v>
      </c>
      <c r="B12" s="424" t="s">
        <v>1702</v>
      </c>
      <c r="C12" s="746">
        <f>ROUND(C11*-2.9%,0)</f>
        <v>-2036910</v>
      </c>
      <c r="D12" s="254"/>
      <c r="F12" s="53" t="s">
        <v>4181</v>
      </c>
      <c r="G12" s="135">
        <f>+C13</f>
        <v>68201366.422495037</v>
      </c>
      <c r="H12" s="135">
        <f>+C43</f>
        <v>41384465.283809103</v>
      </c>
      <c r="J12" s="53" t="s">
        <v>4181</v>
      </c>
      <c r="K12" s="135">
        <f>+'Provisional Plant Add (RunRate)'!G12</f>
        <v>68201366.422495037</v>
      </c>
      <c r="L12" s="135">
        <f>+'Provisional Plant Add (RunRate)'!H12</f>
        <v>41384465.283809103</v>
      </c>
    </row>
    <row r="13" spans="1:31" outlineLevel="1">
      <c r="A13" s="124">
        <f>MAX($A$10:A12)+1</f>
        <v>4</v>
      </c>
      <c r="B13" s="424" t="s">
        <v>1703</v>
      </c>
      <c r="C13" s="745">
        <f>SUM(C11:C12)</f>
        <v>68201366.422495037</v>
      </c>
      <c r="F13" s="53" t="s">
        <v>1515</v>
      </c>
      <c r="G13" s="135">
        <f>+C18</f>
        <v>-50253752.444716714</v>
      </c>
      <c r="H13" s="135">
        <f>+C48</f>
        <v>-34461529.661072582</v>
      </c>
      <c r="J13" s="53" t="s">
        <v>1515</v>
      </c>
      <c r="K13" s="135">
        <f>+'Provisional Plant Add (RunRate)'!G13</f>
        <v>-32945033.922143608</v>
      </c>
      <c r="L13" s="135">
        <f>+'Provisional Plant Add (RunRate)'!H13</f>
        <v>-33626342.6231094</v>
      </c>
    </row>
    <row r="14" spans="1:31" outlineLevel="1">
      <c r="A14" s="124">
        <f>MAX($A$10:A13)+1</f>
        <v>5</v>
      </c>
      <c r="B14" s="424"/>
      <c r="C14" s="447"/>
      <c r="F14" t="s">
        <v>4182</v>
      </c>
      <c r="G14" s="135">
        <f>+C20</f>
        <v>68761.561904037371</v>
      </c>
      <c r="H14" s="135">
        <f>+C50</f>
        <v>-1767078.8683187142</v>
      </c>
      <c r="J14" t="s">
        <v>4182</v>
      </c>
      <c r="K14" s="135">
        <f>+'Provisional Plant Add (RunRate)'!G14</f>
        <v>68761.561904037371</v>
      </c>
      <c r="L14" s="135">
        <f>+'Provisional Plant Add (RunRate)'!H14</f>
        <v>-1767078.8683187142</v>
      </c>
    </row>
    <row r="15" spans="1:31" outlineLevel="1">
      <c r="A15" s="124">
        <f>MAX($A$10:A14)+1</f>
        <v>6</v>
      </c>
      <c r="B15" s="424" t="s">
        <v>1704</v>
      </c>
      <c r="C15" s="177">
        <f>-((C31)+'EOP Depn Exp Adj'!E55*1.5)</f>
        <v>-50760101.694716714</v>
      </c>
      <c r="F15" t="s">
        <v>568</v>
      </c>
      <c r="G15" s="135">
        <f>+SUM(G12:G14)</f>
        <v>18016375.539682359</v>
      </c>
      <c r="H15" s="135">
        <f>+SUM(H12:H14)</f>
        <v>5155856.7544178069</v>
      </c>
      <c r="J15" t="s">
        <v>568</v>
      </c>
      <c r="K15" s="135">
        <f>+'Provisional Plant Add (RunRate)'!G15</f>
        <v>35325094.062255464</v>
      </c>
      <c r="L15" s="135">
        <f>+'Provisional Plant Add (RunRate)'!H15</f>
        <v>5991043.7923809886</v>
      </c>
    </row>
    <row r="16" spans="1:31" outlineLevel="1">
      <c r="A16" s="124">
        <f>MAX($A$10:A15)+1</f>
        <v>7</v>
      </c>
      <c r="B16" s="424" t="s">
        <v>1702</v>
      </c>
      <c r="C16" s="747">
        <f>-C12</f>
        <v>2036910</v>
      </c>
    </row>
    <row r="17" spans="1:12" outlineLevel="1">
      <c r="A17" s="124">
        <f>MAX($A$10:A16)+1</f>
        <v>8</v>
      </c>
      <c r="B17" s="424" t="s">
        <v>1705</v>
      </c>
      <c r="C17" s="749">
        <f>'24-25 Cost of Removal'!F101</f>
        <v>-1530560.75</v>
      </c>
      <c r="F17" s="53" t="s">
        <v>4183</v>
      </c>
      <c r="G17" s="135">
        <f>+C31+C34</f>
        <v>2497597.5760052097</v>
      </c>
      <c r="H17" s="135">
        <f>+C61+C64</f>
        <v>1770793.005926372</v>
      </c>
      <c r="J17" t="s">
        <v>4143</v>
      </c>
      <c r="K17" s="135">
        <f>+'Provisional Plant Add (RunRate)'!G17</f>
        <v>2497597.5760052097</v>
      </c>
      <c r="L17" s="135">
        <f>+'Provisional Plant Add (RunRate)'!H17</f>
        <v>1770793.005926372</v>
      </c>
    </row>
    <row r="18" spans="1:12" outlineLevel="1">
      <c r="A18" s="124">
        <f>MAX($A$10:A17)+1</f>
        <v>9</v>
      </c>
      <c r="B18" s="424" t="s">
        <v>1706</v>
      </c>
      <c r="C18" s="747">
        <f>SUM(C15:C17)</f>
        <v>-50253752.444716714</v>
      </c>
    </row>
    <row r="19" spans="1:12" outlineLevel="1">
      <c r="A19" s="124">
        <f>MAX($A$10:A18)+1</f>
        <v>10</v>
      </c>
      <c r="B19" s="424"/>
      <c r="C19" s="447"/>
      <c r="D19" s="216"/>
    </row>
    <row r="20" spans="1:12" outlineLevel="1">
      <c r="A20" s="124">
        <f>MAX($A$10:A19)+1</f>
        <v>11</v>
      </c>
      <c r="B20" s="424" t="s">
        <v>1707</v>
      </c>
      <c r="C20" s="177">
        <f>'24-25 ADIT'!D16</f>
        <v>68761.561904037371</v>
      </c>
    </row>
    <row r="21" spans="1:12" outlineLevel="1">
      <c r="A21" s="124">
        <f>MAX($A$10:A20)+1</f>
        <v>12</v>
      </c>
      <c r="B21" s="60"/>
      <c r="C21" s="60"/>
      <c r="F21" s="53" t="s">
        <v>4142</v>
      </c>
      <c r="G21" s="53" t="s">
        <v>4179</v>
      </c>
      <c r="H21" s="53" t="s">
        <v>4180</v>
      </c>
    </row>
    <row r="22" spans="1:12" outlineLevel="1">
      <c r="A22" s="124">
        <f>MAX($A$10:A21)+1</f>
        <v>13</v>
      </c>
      <c r="B22" s="1403" t="s">
        <v>1708</v>
      </c>
      <c r="C22" s="1403"/>
      <c r="D22"/>
    </row>
    <row r="23" spans="1:12" outlineLevel="1">
      <c r="A23" s="124">
        <f>MAX($A$10:A22)+1</f>
        <v>14</v>
      </c>
      <c r="B23" s="53" t="s">
        <v>1709</v>
      </c>
      <c r="C23" s="565">
        <f>SUM(C110:N110,C115:N115,C122:N122)</f>
        <v>1571477.0432382778</v>
      </c>
      <c r="F23" s="53" t="s">
        <v>568</v>
      </c>
      <c r="G23" s="135">
        <f>+G15-K15</f>
        <v>-17308718.522573106</v>
      </c>
      <c r="H23" s="135">
        <f>+H15-L15</f>
        <v>-835187.03796318173</v>
      </c>
    </row>
    <row r="24" spans="1:12" outlineLevel="1">
      <c r="A24" s="124">
        <f>MAX($A$10:A23)+1</f>
        <v>15</v>
      </c>
      <c r="F24" s="53" t="s">
        <v>4183</v>
      </c>
      <c r="G24" s="135">
        <f>+G17-K17</f>
        <v>0</v>
      </c>
      <c r="H24" s="135">
        <f>+H17-L17</f>
        <v>0</v>
      </c>
    </row>
    <row r="25" spans="1:12" outlineLevel="1">
      <c r="A25" s="124">
        <f>MAX($A$10:A24)+1</f>
        <v>16</v>
      </c>
      <c r="B25" s="424" t="s">
        <v>1710</v>
      </c>
      <c r="C25" s="177">
        <f>'Operating Report'!AG54</f>
        <v>66819.203878491579</v>
      </c>
      <c r="D25" s="121"/>
    </row>
    <row r="26" spans="1:12" outlineLevel="1">
      <c r="A26" s="124">
        <f>MAX($A$10:A25)+1</f>
        <v>17</v>
      </c>
      <c r="B26" s="424"/>
      <c r="C26" s="177"/>
    </row>
    <row r="27" spans="1:12" outlineLevel="1">
      <c r="A27" s="124">
        <f>MAX($A$10:A26)+1</f>
        <v>18</v>
      </c>
      <c r="B27" s="53" t="s">
        <v>1711</v>
      </c>
      <c r="C27" s="135">
        <f>'Operating Report'!AG94</f>
        <v>10558.529677620663</v>
      </c>
    </row>
    <row r="28" spans="1:12" outlineLevel="1">
      <c r="A28" s="124">
        <f>MAX($A$10:A27)+1</f>
        <v>19</v>
      </c>
    </row>
    <row r="29" spans="1:12" outlineLevel="1">
      <c r="A29" s="124">
        <f>MAX($A$10:A28)+1</f>
        <v>20</v>
      </c>
      <c r="B29" s="53" t="s">
        <v>1712</v>
      </c>
      <c r="C29" s="177">
        <f>+'24-25 Plant Additions (RunRate)'!H302-'24-25 Plant Additions (RunRate)'!H289-'24-25 Plant Additions (RunRate)'!H295-'24-25 Plant Additions (RunRate)'!H288-'24-25 Plant Additions (RunRate)'!H294</f>
        <v>2394437.1960052098</v>
      </c>
    </row>
    <row r="30" spans="1:12" outlineLevel="1">
      <c r="A30" s="124">
        <f>MAX($A$10:A29)+1</f>
        <v>21</v>
      </c>
      <c r="B30" s="53" t="s">
        <v>1713</v>
      </c>
      <c r="C30" s="214">
        <f>ROUND(C12*0.0306,2)</f>
        <v>-62329.45</v>
      </c>
      <c r="E30" s="121"/>
    </row>
    <row r="31" spans="1:12" outlineLevel="1">
      <c r="A31" s="124">
        <f>MAX($A$10:A30)+1</f>
        <v>22</v>
      </c>
      <c r="B31" s="53" t="s">
        <v>1714</v>
      </c>
      <c r="C31" s="177">
        <f>C29+C30</f>
        <v>2332107.7460052096</v>
      </c>
      <c r="E31" s="121"/>
    </row>
    <row r="32" spans="1:12"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165489.82999999999</v>
      </c>
      <c r="E34" s="121"/>
      <c r="F34" s="112"/>
    </row>
    <row r="35" spans="1:7" outlineLevel="1">
      <c r="A35" s="124">
        <f>MAX($A$10:A34)+1</f>
        <v>26</v>
      </c>
      <c r="C35" s="177"/>
    </row>
    <row r="36" spans="1:7" outlineLevel="1">
      <c r="A36" s="124">
        <f>MAX($A$10:A35)+1</f>
        <v>27</v>
      </c>
      <c r="B36" t="s">
        <v>1716</v>
      </c>
      <c r="C36" s="177">
        <f>-'24-25 Plant Additions (RunRate)'!L10-'24-25 Plant Additions (RunRate)'!L11-'24-25 Plant Additions (RunRate)'!L25-'24-25 Plant Additions (RunRate)'!L240</f>
        <v>-292500</v>
      </c>
      <c r="D36" s="53" t="s">
        <v>1717</v>
      </c>
      <c r="E36" s="121">
        <f>C36-E37</f>
        <v>-280000</v>
      </c>
      <c r="F36" s="121"/>
    </row>
    <row r="37" spans="1:7" outlineLevel="1">
      <c r="A37" s="124">
        <f>MAX($A$10:A36)+1</f>
        <v>28</v>
      </c>
      <c r="C37" s="177"/>
      <c r="D37" s="53" t="s">
        <v>1718</v>
      </c>
      <c r="E37" s="121">
        <f>-'24-25 Plant Additions (RunRate)'!L11</f>
        <v>-12500</v>
      </c>
      <c r="G37" s="121"/>
    </row>
    <row r="38" spans="1:7" outlineLevel="1">
      <c r="A38" s="124">
        <f>MAX($A$10:A37)+1</f>
        <v>29</v>
      </c>
      <c r="B38" s="53" t="s">
        <v>1719</v>
      </c>
      <c r="C38" s="565">
        <f>((C23-SUM(C25,C27,C34,C31,C36))*'Exh JAD-6, Conversion Factor'!$C$33)</f>
        <v>-149309.63592783926</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 (RunRate)'!J262</f>
        <v>42620458.283809103</v>
      </c>
    </row>
    <row r="42" spans="1:7">
      <c r="A42" s="124">
        <f>MAX($A$10:A41)+1</f>
        <v>33</v>
      </c>
      <c r="B42" s="424" t="s">
        <v>1702</v>
      </c>
      <c r="C42" s="746">
        <f>ROUND(C41*-2.9%,0)</f>
        <v>-1235993</v>
      </c>
      <c r="D42" s="254"/>
    </row>
    <row r="43" spans="1:7">
      <c r="A43" s="124">
        <f>MAX($A$10:A42)+1</f>
        <v>34</v>
      </c>
      <c r="B43" s="424" t="s">
        <v>1703</v>
      </c>
      <c r="C43" s="745">
        <f>SUM(C41:C42)</f>
        <v>41384465.283809103</v>
      </c>
    </row>
    <row r="44" spans="1:7">
      <c r="A44" s="124">
        <f>MAX($A$10:A43)+1</f>
        <v>35</v>
      </c>
      <c r="B44" s="424"/>
    </row>
    <row r="45" spans="1:7">
      <c r="A45" s="124">
        <f>MAX($A$10:A44)+1</f>
        <v>36</v>
      </c>
      <c r="B45" s="424" t="s">
        <v>1704</v>
      </c>
      <c r="C45" s="177">
        <f>-((C61)+'EOP Depn Exp Adj'!E55+C31)</f>
        <v>-36287811.121072583</v>
      </c>
    </row>
    <row r="46" spans="1:7">
      <c r="A46" s="124">
        <f>MAX($A$10:A45)+1</f>
        <v>37</v>
      </c>
      <c r="B46" s="424" t="s">
        <v>1702</v>
      </c>
      <c r="C46" s="135">
        <f>-C42</f>
        <v>1235993</v>
      </c>
    </row>
    <row r="47" spans="1:7">
      <c r="A47" s="124">
        <f>MAX($A$10:A46)+1</f>
        <v>38</v>
      </c>
      <c r="B47" s="424" t="s">
        <v>1705</v>
      </c>
      <c r="C47" s="256">
        <f>'24-25 Cost of Removal'!H101</f>
        <v>590288.46</v>
      </c>
    </row>
    <row r="48" spans="1:7">
      <c r="A48" s="124">
        <f>MAX($A$10:A47)+1</f>
        <v>39</v>
      </c>
      <c r="B48" s="424" t="s">
        <v>1706</v>
      </c>
      <c r="C48" s="747">
        <f>SUM(C45:C47)</f>
        <v>-34461529.661072582</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 (RunRate)'!M302-'24-25 Plant Additions (RunRate)'!M289-'24-25 Plant Additions (RunRate)'!M295-'24-25 Plant Additions (RunRate)'!M288-'24-25 Plant Additions (RunRate)'!M294</f>
        <v>1708195.465926372</v>
      </c>
    </row>
    <row r="60" spans="1:6">
      <c r="A60" s="124">
        <f>MAX($A$10:A59)+1</f>
        <v>51</v>
      </c>
      <c r="B60" s="53" t="s">
        <v>1713</v>
      </c>
      <c r="C60" s="214">
        <f>ROUND(C42*0.0306,2)</f>
        <v>-37821.39</v>
      </c>
    </row>
    <row r="61" spans="1:6">
      <c r="A61" s="124">
        <f>MAX($A$10:A60)+1</f>
        <v>52</v>
      </c>
      <c r="B61" s="53" t="s">
        <v>1714</v>
      </c>
      <c r="C61" s="177">
        <f>C59+C60</f>
        <v>1670374.0759263721</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100418.93</v>
      </c>
      <c r="D64"/>
    </row>
    <row r="65" spans="1:26">
      <c r="A65" s="124">
        <f>MAX($A$10:A64)+1</f>
        <v>56</v>
      </c>
      <c r="C65" s="177"/>
    </row>
    <row r="66" spans="1:26">
      <c r="A66" s="124">
        <f>MAX($A$10:A65)+1</f>
        <v>57</v>
      </c>
      <c r="B66" t="s">
        <v>1716</v>
      </c>
      <c r="C66" s="177">
        <f>-'24-25 Plant Additions (RunRate)'!L12-'24-25 Plant Additions (RunRate)'!L21-'24-25 Plant Additions (RunRate)'!L242</f>
        <v>-455000</v>
      </c>
      <c r="D66" s="53" t="s">
        <v>1717</v>
      </c>
      <c r="E66" s="121">
        <f>C66-E67</f>
        <v>-280000</v>
      </c>
    </row>
    <row r="67" spans="1:26">
      <c r="A67" s="124">
        <f>MAX($A$10:A66)+1</f>
        <v>58</v>
      </c>
      <c r="D67" s="53" t="s">
        <v>1718</v>
      </c>
      <c r="E67" s="121">
        <f>-'24-25 Plant Additions (RunRate)'!L21</f>
        <v>-175000</v>
      </c>
      <c r="G67" s="121"/>
    </row>
    <row r="68" spans="1:26">
      <c r="A68" s="124">
        <f>MAX($A$10:A67)+1</f>
        <v>59</v>
      </c>
      <c r="B68" s="53" t="s">
        <v>1719</v>
      </c>
      <c r="C68" s="565">
        <f>((C53-SUM(C55,C57,C64,C61,C66))*'Exh JAD-6, Conversion Factor'!$C$33)</f>
        <v>132402.7156078566</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Z91"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si="6"/>
        <v>385491.19998866279</v>
      </c>
      <c r="P90" s="227">
        <f t="shared" si="6"/>
        <v>302531.08998857351</v>
      </c>
      <c r="Q90" s="227">
        <f t="shared" si="6"/>
        <v>258359.36310493672</v>
      </c>
      <c r="R90" s="227">
        <f t="shared" si="6"/>
        <v>166989.45714193527</v>
      </c>
      <c r="S90" s="227">
        <f t="shared" si="6"/>
        <v>105889.04837542165</v>
      </c>
      <c r="T90" s="227">
        <f t="shared" si="6"/>
        <v>55094.697291316523</v>
      </c>
      <c r="U90" s="227">
        <f t="shared" si="6"/>
        <v>56920.540896655511</v>
      </c>
      <c r="V90" s="227">
        <f t="shared" si="6"/>
        <v>29875.01268982593</v>
      </c>
      <c r="W90" s="227">
        <f t="shared" si="6"/>
        <v>65064.277468612738</v>
      </c>
      <c r="X90" s="227">
        <f t="shared" si="6"/>
        <v>158403.32068045993</v>
      </c>
      <c r="Y90" s="227">
        <f t="shared" si="6"/>
        <v>297252.83165960899</v>
      </c>
      <c r="Z90" s="227">
        <f t="shared" si="6"/>
        <v>383972.72520805482</v>
      </c>
    </row>
    <row r="91" spans="1:26">
      <c r="A91" s="124">
        <f>MAX($A$10:A90)+1</f>
        <v>82</v>
      </c>
      <c r="B91" s="53" t="s">
        <v>87</v>
      </c>
      <c r="C91" s="227">
        <f t="shared" si="6"/>
        <v>239442.76957331412</v>
      </c>
      <c r="D91" s="227">
        <f t="shared" si="6"/>
        <v>190330.92276753276</v>
      </c>
      <c r="E91" s="227">
        <f t="shared" si="6"/>
        <v>155444.97708893236</v>
      </c>
      <c r="F91" s="227">
        <f t="shared" si="6"/>
        <v>99850.831062116151</v>
      </c>
      <c r="G91" s="227">
        <f t="shared" si="6"/>
        <v>69528.979308284062</v>
      </c>
      <c r="H91" s="227">
        <f t="shared" si="6"/>
        <v>44348.077901978504</v>
      </c>
      <c r="I91" s="227">
        <f t="shared" si="6"/>
        <v>45824.736200325831</v>
      </c>
      <c r="J91" s="227">
        <f t="shared" si="6"/>
        <v>45825.385737094039</v>
      </c>
      <c r="K91" s="227">
        <f t="shared" si="6"/>
        <v>64398.460924924628</v>
      </c>
      <c r="L91" s="227">
        <f t="shared" si="6"/>
        <v>117469.42760722029</v>
      </c>
      <c r="M91" s="227">
        <f t="shared" si="6"/>
        <v>174087.01507093274</v>
      </c>
      <c r="N91" s="227">
        <f t="shared" si="6"/>
        <v>235919.03655076443</v>
      </c>
      <c r="O91" s="227">
        <f t="shared" si="6"/>
        <v>235147.83200249233</v>
      </c>
      <c r="P91" s="227">
        <f t="shared" si="6"/>
        <v>186916.91518425863</v>
      </c>
      <c r="Q91" s="227">
        <f t="shared" si="6"/>
        <v>152656.72637881699</v>
      </c>
      <c r="R91" s="227">
        <f t="shared" si="6"/>
        <v>98059.784765037839</v>
      </c>
      <c r="S91" s="227">
        <f t="shared" si="6"/>
        <v>68281.822728763262</v>
      </c>
      <c r="T91" s="227">
        <f t="shared" si="6"/>
        <v>43552.596684005795</v>
      </c>
      <c r="U91" s="227">
        <f t="shared" si="6"/>
        <v>45002.767837988147</v>
      </c>
      <c r="V91" s="227">
        <f t="shared" si="6"/>
        <v>45003.405723872624</v>
      </c>
      <c r="W91" s="227">
        <f t="shared" si="6"/>
        <v>63243.331580979793</v>
      </c>
      <c r="X91" s="227">
        <f t="shared" si="6"/>
        <v>115362.35267256162</v>
      </c>
      <c r="Y91" s="227">
        <f t="shared" si="6"/>
        <v>170964.37802930168</v>
      </c>
      <c r="Z91" s="227">
        <f t="shared" si="6"/>
        <v>231687.30495344131</v>
      </c>
    </row>
    <row r="92" spans="1:26">
      <c r="A92" s="124">
        <f>MAX($A$10:A91)+1</f>
        <v>83</v>
      </c>
      <c r="B92" s="53" t="s">
        <v>1729</v>
      </c>
      <c r="C92" s="227">
        <f t="shared" ref="C92:Z94" si="7">C$80*C85</f>
        <v>2968.4233870967741</v>
      </c>
      <c r="D92" s="227">
        <f t="shared" si="7"/>
        <v>2768.4435483870966</v>
      </c>
      <c r="E92" s="227">
        <f t="shared" si="7"/>
        <v>2899.541414141414</v>
      </c>
      <c r="F92" s="227">
        <f t="shared" si="7"/>
        <v>2674.0570264765784</v>
      </c>
      <c r="G92" s="227">
        <f t="shared" si="7"/>
        <v>2264.957142857143</v>
      </c>
      <c r="H92" s="227">
        <f t="shared" si="7"/>
        <v>1450.6</v>
      </c>
      <c r="I92" s="227">
        <f t="shared" si="7"/>
        <v>1242.5214723926381</v>
      </c>
      <c r="J92" s="227">
        <f t="shared" si="7"/>
        <v>1189.0245901639344</v>
      </c>
      <c r="K92" s="227">
        <f t="shared" si="7"/>
        <v>1257.3463114754097</v>
      </c>
      <c r="L92" s="227">
        <f t="shared" si="7"/>
        <v>1558.7714285714287</v>
      </c>
      <c r="M92" s="227">
        <f t="shared" si="7"/>
        <v>2270.2576064908721</v>
      </c>
      <c r="N92" s="227">
        <f t="shared" si="7"/>
        <v>2721.0060606060606</v>
      </c>
      <c r="O92" s="227">
        <f t="shared" si="7"/>
        <v>2544.3629032258063</v>
      </c>
      <c r="P92" s="227">
        <f t="shared" si="7"/>
        <v>2372.9516129032259</v>
      </c>
      <c r="Q92" s="227">
        <f t="shared" si="7"/>
        <v>2485.3212121212118</v>
      </c>
      <c r="R92" s="227">
        <f t="shared" si="7"/>
        <v>2292.048879837067</v>
      </c>
      <c r="S92" s="227">
        <f t="shared" si="7"/>
        <v>1941.3918367346939</v>
      </c>
      <c r="T92" s="227">
        <f t="shared" si="7"/>
        <v>1243.3714285714286</v>
      </c>
      <c r="U92" s="227">
        <f t="shared" si="7"/>
        <v>1065.0184049079755</v>
      </c>
      <c r="V92" s="227">
        <f t="shared" si="7"/>
        <v>1019.1639344262295</v>
      </c>
      <c r="W92" s="227">
        <f t="shared" si="7"/>
        <v>1077.7254098360654</v>
      </c>
      <c r="X92" s="227">
        <f t="shared" si="7"/>
        <v>1336.0897959183674</v>
      </c>
      <c r="Y92" s="227">
        <f t="shared" si="7"/>
        <v>1945.9350912778905</v>
      </c>
      <c r="Z92" s="227">
        <f t="shared" si="7"/>
        <v>2332.2909090909088</v>
      </c>
    </row>
    <row r="93" spans="1:26">
      <c r="A93" s="124">
        <f>MAX($A$10:A92)+1</f>
        <v>84</v>
      </c>
      <c r="B93" s="53" t="s">
        <v>1730</v>
      </c>
      <c r="C93" s="227">
        <f t="shared" si="7"/>
        <v>11561.925403225807</v>
      </c>
      <c r="D93" s="227">
        <f t="shared" si="7"/>
        <v>9565.104838709678</v>
      </c>
      <c r="E93" s="227">
        <f t="shared" si="7"/>
        <v>10462.270707070707</v>
      </c>
      <c r="F93" s="227">
        <f t="shared" si="7"/>
        <v>8109.8635437881876</v>
      </c>
      <c r="G93" s="227">
        <f t="shared" si="7"/>
        <v>6412.1</v>
      </c>
      <c r="H93" s="227">
        <f t="shared" si="7"/>
        <v>3953.4428571428571</v>
      </c>
      <c r="I93" s="227">
        <f t="shared" si="7"/>
        <v>3180.6625766871166</v>
      </c>
      <c r="J93" s="227">
        <f t="shared" si="7"/>
        <v>3328.9733606557375</v>
      </c>
      <c r="K93" s="227">
        <f t="shared" si="7"/>
        <v>3472.5881147540981</v>
      </c>
      <c r="L93" s="227">
        <f t="shared" si="7"/>
        <v>4507.9285714285716</v>
      </c>
      <c r="M93" s="227">
        <f t="shared" si="7"/>
        <v>6303.0385395537523</v>
      </c>
      <c r="N93" s="227">
        <f t="shared" si="7"/>
        <v>9025.7292929292926</v>
      </c>
      <c r="O93" s="227">
        <f t="shared" si="7"/>
        <v>9910.2217741935492</v>
      </c>
      <c r="P93" s="227">
        <f t="shared" si="7"/>
        <v>8198.6612903225814</v>
      </c>
      <c r="Q93" s="227">
        <f t="shared" si="7"/>
        <v>8967.6606060606064</v>
      </c>
      <c r="R93" s="227">
        <f t="shared" si="7"/>
        <v>6951.311608961304</v>
      </c>
      <c r="S93" s="227">
        <f t="shared" si="7"/>
        <v>5496.0857142857149</v>
      </c>
      <c r="T93" s="227">
        <f t="shared" si="7"/>
        <v>3388.6653061224488</v>
      </c>
      <c r="U93" s="227">
        <f t="shared" si="7"/>
        <v>2726.282208588957</v>
      </c>
      <c r="V93" s="227">
        <f t="shared" si="7"/>
        <v>2853.405737704918</v>
      </c>
      <c r="W93" s="227">
        <f t="shared" si="7"/>
        <v>2976.5040983606555</v>
      </c>
      <c r="X93" s="227">
        <f t="shared" si="7"/>
        <v>3863.9387755102043</v>
      </c>
      <c r="Y93" s="227">
        <f t="shared" si="7"/>
        <v>5402.6044624746446</v>
      </c>
      <c r="Z93" s="227">
        <f t="shared" si="7"/>
        <v>7736.3393939393936</v>
      </c>
    </row>
    <row r="94" spans="1:26">
      <c r="A94" s="124">
        <f>MAX($A$10:A93)+1</f>
        <v>85</v>
      </c>
      <c r="B94" s="53" t="s">
        <v>1731</v>
      </c>
      <c r="C94" s="227">
        <f t="shared" si="7"/>
        <v>11548.800403225807</v>
      </c>
      <c r="D94" s="227">
        <f t="shared" si="7"/>
        <v>6506.1189516129034</v>
      </c>
      <c r="E94" s="227">
        <f t="shared" si="7"/>
        <v>9960.2222222222226</v>
      </c>
      <c r="F94" s="227">
        <f t="shared" si="7"/>
        <v>5435.9775967413443</v>
      </c>
      <c r="G94" s="227">
        <f t="shared" si="7"/>
        <v>4004.7142857142853</v>
      </c>
      <c r="H94" s="227">
        <f t="shared" si="7"/>
        <v>2302.3142857142857</v>
      </c>
      <c r="I94" s="227">
        <f t="shared" si="7"/>
        <v>1870.7464212678938</v>
      </c>
      <c r="J94" s="227">
        <f t="shared" si="7"/>
        <v>2444.405737704918</v>
      </c>
      <c r="K94" s="227">
        <f t="shared" si="7"/>
        <v>2941.219262295082</v>
      </c>
      <c r="L94" s="227">
        <f t="shared" si="7"/>
        <v>7069.7857142857147</v>
      </c>
      <c r="M94" s="227">
        <f t="shared" si="7"/>
        <v>5475.050709939148</v>
      </c>
      <c r="N94" s="227">
        <f t="shared" si="7"/>
        <v>7451.7474747474753</v>
      </c>
      <c r="O94" s="227">
        <f t="shared" si="7"/>
        <v>9898.9717741935492</v>
      </c>
      <c r="P94" s="227">
        <f t="shared" si="7"/>
        <v>5576.6733870967746</v>
      </c>
      <c r="Q94" s="227">
        <f t="shared" si="7"/>
        <v>8537.3333333333339</v>
      </c>
      <c r="R94" s="227">
        <f t="shared" si="7"/>
        <v>4659.4093686354381</v>
      </c>
      <c r="S94" s="227">
        <f t="shared" si="7"/>
        <v>3432.612244897959</v>
      </c>
      <c r="T94" s="227">
        <f t="shared" si="7"/>
        <v>1973.4122448979592</v>
      </c>
      <c r="U94" s="227">
        <f t="shared" si="7"/>
        <v>1603.4969325153374</v>
      </c>
      <c r="V94" s="227">
        <f t="shared" si="7"/>
        <v>2095.2049180327867</v>
      </c>
      <c r="W94" s="227">
        <f t="shared" si="7"/>
        <v>2521.0450819672133</v>
      </c>
      <c r="X94" s="227">
        <f t="shared" si="7"/>
        <v>6059.8163265306121</v>
      </c>
      <c r="Y94" s="227">
        <f t="shared" si="7"/>
        <v>4692.9006085192696</v>
      </c>
      <c r="Z94" s="227">
        <f t="shared" si="7"/>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8">C97*C78</f>
        <v>17880</v>
      </c>
      <c r="D108" s="566">
        <f t="shared" si="8"/>
        <v>17880</v>
      </c>
      <c r="E108" s="566">
        <f t="shared" si="8"/>
        <v>17880</v>
      </c>
      <c r="F108" s="566">
        <f t="shared" si="8"/>
        <v>17880</v>
      </c>
      <c r="G108" s="566">
        <f t="shared" si="8"/>
        <v>17880</v>
      </c>
      <c r="H108" s="566">
        <f t="shared" si="8"/>
        <v>17880</v>
      </c>
      <c r="I108" s="566">
        <f t="shared" si="8"/>
        <v>17880</v>
      </c>
      <c r="J108" s="566">
        <f t="shared" si="8"/>
        <v>17880</v>
      </c>
      <c r="K108" s="566">
        <f t="shared" si="8"/>
        <v>17880</v>
      </c>
      <c r="L108" s="566">
        <f t="shared" si="8"/>
        <v>17880</v>
      </c>
      <c r="M108" s="566">
        <f t="shared" si="8"/>
        <v>17880</v>
      </c>
      <c r="N108" s="566">
        <f t="shared" si="8"/>
        <v>17880</v>
      </c>
      <c r="O108" s="566">
        <f t="shared" si="8"/>
        <v>35670</v>
      </c>
      <c r="P108" s="566">
        <f t="shared" si="8"/>
        <v>35670</v>
      </c>
      <c r="Q108" s="566">
        <f t="shared" si="8"/>
        <v>35670</v>
      </c>
      <c r="R108" s="566">
        <f t="shared" si="8"/>
        <v>35670</v>
      </c>
      <c r="S108" s="566">
        <f t="shared" si="8"/>
        <v>35670</v>
      </c>
      <c r="T108" s="566">
        <f t="shared" si="8"/>
        <v>35670</v>
      </c>
      <c r="U108" s="566">
        <f t="shared" si="8"/>
        <v>35670</v>
      </c>
      <c r="V108" s="566">
        <f t="shared" si="8"/>
        <v>35670</v>
      </c>
      <c r="W108" s="566">
        <f t="shared" si="8"/>
        <v>35670</v>
      </c>
      <c r="X108" s="566">
        <f t="shared" si="8"/>
        <v>35670</v>
      </c>
      <c r="Y108" s="566">
        <f t="shared" si="8"/>
        <v>35670</v>
      </c>
      <c r="Z108" s="566">
        <f t="shared" si="8"/>
        <v>35670</v>
      </c>
    </row>
    <row r="109" spans="1:26">
      <c r="A109" s="124">
        <f>MAX($A$10:A108)+1</f>
        <v>100</v>
      </c>
      <c r="B109" t="s">
        <v>142</v>
      </c>
      <c r="C109" s="256">
        <f t="shared" ref="C109:Z109" si="9">C90*C98</f>
        <v>138044.88503789133</v>
      </c>
      <c r="D109" s="256">
        <f t="shared" si="9"/>
        <v>108336.76498734298</v>
      </c>
      <c r="E109" s="256">
        <f t="shared" si="9"/>
        <v>92518.813864837168</v>
      </c>
      <c r="F109" s="256">
        <f t="shared" si="9"/>
        <v>59799.13527047127</v>
      </c>
      <c r="G109" s="256">
        <f t="shared" si="9"/>
        <v>37919.001809085894</v>
      </c>
      <c r="H109" s="256">
        <f t="shared" si="9"/>
        <v>19729.48060552586</v>
      </c>
      <c r="I109" s="256">
        <f t="shared" si="9"/>
        <v>20383.317504016934</v>
      </c>
      <c r="J109" s="256">
        <f t="shared" si="9"/>
        <v>10698.279733477324</v>
      </c>
      <c r="K109" s="256">
        <f t="shared" si="9"/>
        <v>23299.599844282468</v>
      </c>
      <c r="L109" s="256">
        <f t="shared" si="9"/>
        <v>56724.428971653375</v>
      </c>
      <c r="M109" s="256">
        <f t="shared" si="9"/>
        <v>106446.61402087827</v>
      </c>
      <c r="N109" s="256">
        <f t="shared" si="9"/>
        <v>137501.11730330199</v>
      </c>
      <c r="O109" s="256">
        <f t="shared" si="9"/>
        <v>169797.3088590063</v>
      </c>
      <c r="P109" s="256">
        <f t="shared" si="9"/>
        <v>133255.86920726698</v>
      </c>
      <c r="Q109" s="256">
        <f t="shared" si="9"/>
        <v>113799.54866683147</v>
      </c>
      <c r="R109" s="256">
        <f t="shared" si="9"/>
        <v>73553.846187308227</v>
      </c>
      <c r="S109" s="256">
        <f t="shared" si="9"/>
        <v>46640.949137921976</v>
      </c>
      <c r="T109" s="256">
        <f t="shared" si="9"/>
        <v>24267.561315906187</v>
      </c>
      <c r="U109" s="256">
        <f t="shared" si="9"/>
        <v>25071.790648749851</v>
      </c>
      <c r="V109" s="256">
        <f t="shared" si="9"/>
        <v>13159.046839487626</v>
      </c>
      <c r="W109" s="256">
        <f t="shared" si="9"/>
        <v>28658.862296599851</v>
      </c>
      <c r="X109" s="256">
        <f t="shared" si="9"/>
        <v>69771.910660122187</v>
      </c>
      <c r="Y109" s="256">
        <f t="shared" si="9"/>
        <v>130930.95476110796</v>
      </c>
      <c r="Z109" s="256">
        <f t="shared" si="9"/>
        <v>169128.4662723919</v>
      </c>
    </row>
    <row r="110" spans="1:26">
      <c r="A110" s="124">
        <f>MAX($A$10:A109)+1</f>
        <v>101</v>
      </c>
      <c r="B110" t="s">
        <v>1734</v>
      </c>
      <c r="C110" s="254">
        <f t="shared" ref="C110:N110" si="10">SUM(C108:C109)</f>
        <v>155924.88503789133</v>
      </c>
      <c r="D110" s="254">
        <f t="shared" si="10"/>
        <v>126216.76498734298</v>
      </c>
      <c r="E110" s="254">
        <f t="shared" si="10"/>
        <v>110398.81386483717</v>
      </c>
      <c r="F110" s="254">
        <f t="shared" si="10"/>
        <v>77679.135270471277</v>
      </c>
      <c r="G110" s="254">
        <f t="shared" si="10"/>
        <v>55799.001809085894</v>
      </c>
      <c r="H110" s="254">
        <f t="shared" si="10"/>
        <v>37609.48060552586</v>
      </c>
      <c r="I110" s="254">
        <f t="shared" si="10"/>
        <v>38263.31750401693</v>
      </c>
      <c r="J110" s="254">
        <f t="shared" si="10"/>
        <v>28578.279733477324</v>
      </c>
      <c r="K110" s="254">
        <f t="shared" si="10"/>
        <v>41179.599844282464</v>
      </c>
      <c r="L110" s="254">
        <f t="shared" si="10"/>
        <v>74604.428971653368</v>
      </c>
      <c r="M110" s="254">
        <f t="shared" si="10"/>
        <v>124326.61402087827</v>
      </c>
      <c r="N110" s="254">
        <f t="shared" si="10"/>
        <v>155381.11730330199</v>
      </c>
      <c r="O110" s="254">
        <f t="shared" ref="O110:Z110" si="11">SUM(O108:O109)</f>
        <v>205467.3088590063</v>
      </c>
      <c r="P110" s="254">
        <f t="shared" si="11"/>
        <v>168925.86920726698</v>
      </c>
      <c r="Q110" s="254">
        <f t="shared" si="11"/>
        <v>149469.54866683146</v>
      </c>
      <c r="R110" s="254">
        <f t="shared" si="11"/>
        <v>109223.84618730823</v>
      </c>
      <c r="S110" s="254">
        <f t="shared" si="11"/>
        <v>82310.949137921969</v>
      </c>
      <c r="T110" s="254">
        <f t="shared" si="11"/>
        <v>59937.56131590619</v>
      </c>
      <c r="U110" s="254">
        <f t="shared" si="11"/>
        <v>60741.790648749855</v>
      </c>
      <c r="V110" s="254">
        <f t="shared" si="11"/>
        <v>48829.046839487622</v>
      </c>
      <c r="W110" s="254">
        <f t="shared" si="11"/>
        <v>64328.862296599851</v>
      </c>
      <c r="X110" s="254">
        <f t="shared" si="11"/>
        <v>105441.91066012219</v>
      </c>
      <c r="Y110" s="254">
        <f t="shared" si="11"/>
        <v>166600.95476110798</v>
      </c>
      <c r="Z110" s="254">
        <f t="shared" si="11"/>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2">C79*C99</f>
        <v>5798</v>
      </c>
      <c r="D113" s="566">
        <f t="shared" si="12"/>
        <v>5798</v>
      </c>
      <c r="E113" s="566">
        <f t="shared" si="12"/>
        <v>5798</v>
      </c>
      <c r="F113" s="566">
        <f t="shared" si="12"/>
        <v>5798</v>
      </c>
      <c r="G113" s="566">
        <f t="shared" si="12"/>
        <v>5798</v>
      </c>
      <c r="H113" s="566">
        <f t="shared" si="12"/>
        <v>5798</v>
      </c>
      <c r="I113" s="566">
        <f t="shared" si="12"/>
        <v>5798</v>
      </c>
      <c r="J113" s="566">
        <f t="shared" si="12"/>
        <v>5798</v>
      </c>
      <c r="K113" s="566">
        <f t="shared" si="12"/>
        <v>5798</v>
      </c>
      <c r="L113" s="566">
        <f t="shared" si="12"/>
        <v>5798</v>
      </c>
      <c r="M113" s="566">
        <f t="shared" si="12"/>
        <v>5798</v>
      </c>
      <c r="N113" s="566">
        <f t="shared" si="12"/>
        <v>5798</v>
      </c>
      <c r="O113" s="566">
        <f t="shared" si="12"/>
        <v>8760</v>
      </c>
      <c r="P113" s="566">
        <f t="shared" si="12"/>
        <v>8760</v>
      </c>
      <c r="Q113" s="566">
        <f t="shared" si="12"/>
        <v>8760</v>
      </c>
      <c r="R113" s="566">
        <f t="shared" si="12"/>
        <v>8760</v>
      </c>
      <c r="S113" s="566">
        <f t="shared" si="12"/>
        <v>8760</v>
      </c>
      <c r="T113" s="566">
        <f t="shared" si="12"/>
        <v>8760</v>
      </c>
      <c r="U113" s="566">
        <f t="shared" si="12"/>
        <v>8760</v>
      </c>
      <c r="V113" s="566">
        <f t="shared" si="12"/>
        <v>8760</v>
      </c>
      <c r="W113" s="566">
        <f t="shared" si="12"/>
        <v>8760</v>
      </c>
      <c r="X113" s="566">
        <f t="shared" si="12"/>
        <v>8760</v>
      </c>
      <c r="Y113" s="566">
        <f t="shared" si="12"/>
        <v>8760</v>
      </c>
      <c r="Z113" s="566">
        <f t="shared" si="12"/>
        <v>8760</v>
      </c>
    </row>
    <row r="114" spans="1:26">
      <c r="A114" s="124">
        <f>MAX($A$10:A113)+1</f>
        <v>105</v>
      </c>
      <c r="B114" t="s">
        <v>142</v>
      </c>
      <c r="C114" s="256">
        <f t="shared" ref="C114:Z114" si="13">C91*C100</f>
        <v>70702.660999608197</v>
      </c>
      <c r="D114" s="256">
        <f t="shared" si="13"/>
        <v>56200.914874797083</v>
      </c>
      <c r="E114" s="256">
        <f t="shared" si="13"/>
        <v>45899.792834819949</v>
      </c>
      <c r="F114" s="256">
        <f t="shared" si="13"/>
        <v>29483.953396021661</v>
      </c>
      <c r="G114" s="256">
        <f t="shared" si="13"/>
        <v>20530.517010150121</v>
      </c>
      <c r="H114" s="256">
        <f t="shared" si="13"/>
        <v>13095.100442896215</v>
      </c>
      <c r="I114" s="256">
        <f t="shared" si="13"/>
        <v>13531.128105232214</v>
      </c>
      <c r="J114" s="256">
        <f t="shared" si="13"/>
        <v>13531.319900449129</v>
      </c>
      <c r="K114" s="256">
        <f t="shared" si="13"/>
        <v>19015.577541911745</v>
      </c>
      <c r="L114" s="256">
        <f t="shared" si="13"/>
        <v>34686.372583860015</v>
      </c>
      <c r="M114" s="256">
        <f t="shared" si="13"/>
        <v>51404.41381014503</v>
      </c>
      <c r="N114" s="256">
        <f t="shared" si="13"/>
        <v>69662.17311270973</v>
      </c>
      <c r="O114" s="256">
        <f t="shared" si="13"/>
        <v>76813.390801934147</v>
      </c>
      <c r="P114" s="256">
        <f t="shared" si="13"/>
        <v>61058.279514089925</v>
      </c>
      <c r="Q114" s="256">
        <f t="shared" si="13"/>
        <v>49866.846238904363</v>
      </c>
      <c r="R114" s="256">
        <f t="shared" si="13"/>
        <v>32032.209291347262</v>
      </c>
      <c r="S114" s="256">
        <f t="shared" si="13"/>
        <v>22304.940212577807</v>
      </c>
      <c r="T114" s="256">
        <f t="shared" si="13"/>
        <v>14226.891232797334</v>
      </c>
      <c r="U114" s="256">
        <f t="shared" si="13"/>
        <v>14700.604141957208</v>
      </c>
      <c r="V114" s="256">
        <f t="shared" si="13"/>
        <v>14700.812513760231</v>
      </c>
      <c r="W114" s="256">
        <f t="shared" si="13"/>
        <v>20659.066694242858</v>
      </c>
      <c r="X114" s="256">
        <f t="shared" si="13"/>
        <v>37684.266124018985</v>
      </c>
      <c r="Y114" s="256">
        <f t="shared" si="13"/>
        <v>55847.223727051685</v>
      </c>
      <c r="Z114" s="256">
        <f t="shared" si="13"/>
        <v>75682.975036091142</v>
      </c>
    </row>
    <row r="115" spans="1:26">
      <c r="A115" s="124">
        <f>MAX($A$10:A114)+1</f>
        <v>106</v>
      </c>
      <c r="B115" t="s">
        <v>1735</v>
      </c>
      <c r="C115" s="254">
        <f t="shared" ref="C115:N115" si="14">SUM(C113:C114)</f>
        <v>76500.660999608197</v>
      </c>
      <c r="D115" s="254">
        <f t="shared" si="14"/>
        <v>61998.914874797083</v>
      </c>
      <c r="E115" s="254">
        <f t="shared" si="14"/>
        <v>51697.792834819949</v>
      </c>
      <c r="F115" s="254">
        <f t="shared" si="14"/>
        <v>35281.953396021665</v>
      </c>
      <c r="G115" s="254">
        <f t="shared" si="14"/>
        <v>26328.517010150121</v>
      </c>
      <c r="H115" s="254">
        <f t="shared" si="14"/>
        <v>18893.100442896215</v>
      </c>
      <c r="I115" s="254">
        <f t="shared" si="14"/>
        <v>19329.128105232216</v>
      </c>
      <c r="J115" s="254">
        <f t="shared" si="14"/>
        <v>19329.319900449129</v>
      </c>
      <c r="K115" s="254">
        <f t="shared" si="14"/>
        <v>24813.577541911745</v>
      </c>
      <c r="L115" s="254">
        <f t="shared" si="14"/>
        <v>40484.372583860015</v>
      </c>
      <c r="M115" s="254">
        <f t="shared" si="14"/>
        <v>57202.41381014503</v>
      </c>
      <c r="N115" s="254">
        <f t="shared" si="14"/>
        <v>75460.17311270973</v>
      </c>
      <c r="O115" s="254">
        <f t="shared" ref="O115:Z115" si="15">SUM(O113:O114)</f>
        <v>85573.390801934147</v>
      </c>
      <c r="P115" s="254">
        <f t="shared" si="15"/>
        <v>69818.279514089925</v>
      </c>
      <c r="Q115" s="254">
        <f t="shared" si="15"/>
        <v>58626.846238904363</v>
      </c>
      <c r="R115" s="254">
        <f t="shared" si="15"/>
        <v>40792.209291347259</v>
      </c>
      <c r="S115" s="254">
        <f t="shared" si="15"/>
        <v>31064.940212577807</v>
      </c>
      <c r="T115" s="254">
        <f t="shared" si="15"/>
        <v>22986.891232797334</v>
      </c>
      <c r="U115" s="254">
        <f t="shared" si="15"/>
        <v>23460.604141957207</v>
      </c>
      <c r="V115" s="254">
        <f t="shared" si="15"/>
        <v>23460.812513760233</v>
      </c>
      <c r="W115" s="254">
        <f t="shared" si="15"/>
        <v>29419.066694242858</v>
      </c>
      <c r="X115" s="254">
        <f t="shared" si="15"/>
        <v>46444.266124018985</v>
      </c>
      <c r="Y115" s="254">
        <f t="shared" si="15"/>
        <v>64607.223727051685</v>
      </c>
      <c r="Z115" s="254">
        <f t="shared" si="15"/>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16">C80*C101</f>
        <v>420</v>
      </c>
      <c r="D118" s="566">
        <f t="shared" si="16"/>
        <v>420</v>
      </c>
      <c r="E118" s="566">
        <f t="shared" si="16"/>
        <v>420</v>
      </c>
      <c r="F118" s="566">
        <f t="shared" si="16"/>
        <v>420</v>
      </c>
      <c r="G118" s="566">
        <f t="shared" si="16"/>
        <v>420</v>
      </c>
      <c r="H118" s="566">
        <f t="shared" si="16"/>
        <v>420</v>
      </c>
      <c r="I118" s="566">
        <f t="shared" si="16"/>
        <v>420</v>
      </c>
      <c r="J118" s="566">
        <f t="shared" si="16"/>
        <v>420</v>
      </c>
      <c r="K118" s="566">
        <f t="shared" si="16"/>
        <v>420</v>
      </c>
      <c r="L118" s="566">
        <f t="shared" si="16"/>
        <v>420</v>
      </c>
      <c r="M118" s="566">
        <f t="shared" si="16"/>
        <v>420</v>
      </c>
      <c r="N118" s="566">
        <f t="shared" si="16"/>
        <v>420</v>
      </c>
      <c r="O118" s="566">
        <f t="shared" si="16"/>
        <v>600</v>
      </c>
      <c r="P118" s="566">
        <f t="shared" si="16"/>
        <v>600</v>
      </c>
      <c r="Q118" s="566">
        <f t="shared" si="16"/>
        <v>600</v>
      </c>
      <c r="R118" s="566">
        <f t="shared" si="16"/>
        <v>600</v>
      </c>
      <c r="S118" s="566">
        <f t="shared" si="16"/>
        <v>600</v>
      </c>
      <c r="T118" s="566">
        <f t="shared" si="16"/>
        <v>600</v>
      </c>
      <c r="U118" s="566">
        <f t="shared" si="16"/>
        <v>600</v>
      </c>
      <c r="V118" s="566">
        <f t="shared" si="16"/>
        <v>600</v>
      </c>
      <c r="W118" s="566">
        <f t="shared" si="16"/>
        <v>600</v>
      </c>
      <c r="X118" s="566">
        <f t="shared" si="16"/>
        <v>600</v>
      </c>
      <c r="Y118" s="566">
        <f t="shared" si="16"/>
        <v>600</v>
      </c>
      <c r="Z118" s="566">
        <f t="shared" si="16"/>
        <v>600</v>
      </c>
    </row>
    <row r="119" spans="1:26">
      <c r="A119" s="124">
        <f>MAX($A$10:A118)+1</f>
        <v>110</v>
      </c>
      <c r="B119" t="s">
        <v>160</v>
      </c>
      <c r="C119" s="227">
        <f t="shared" ref="C119:Z121" si="17">C92*C102</f>
        <v>678.10663854838708</v>
      </c>
      <c r="D119" s="227">
        <f t="shared" si="17"/>
        <v>632.42324419354838</v>
      </c>
      <c r="E119" s="227">
        <f t="shared" si="17"/>
        <v>662.37124064646457</v>
      </c>
      <c r="F119" s="227">
        <f t="shared" si="17"/>
        <v>610.86158712830957</v>
      </c>
      <c r="G119" s="227">
        <f t="shared" si="17"/>
        <v>517.40680971428571</v>
      </c>
      <c r="H119" s="227">
        <f t="shared" si="17"/>
        <v>331.37506400000001</v>
      </c>
      <c r="I119" s="227">
        <f t="shared" si="17"/>
        <v>283.84160515337425</v>
      </c>
      <c r="J119" s="227">
        <f t="shared" si="17"/>
        <v>271.62077737704919</v>
      </c>
      <c r="K119" s="227">
        <f t="shared" si="17"/>
        <v>287.22819139344261</v>
      </c>
      <c r="L119" s="227">
        <f t="shared" si="17"/>
        <v>356.08574514285721</v>
      </c>
      <c r="M119" s="227">
        <f t="shared" si="17"/>
        <v>518.6176476267749</v>
      </c>
      <c r="N119" s="227">
        <f t="shared" si="17"/>
        <v>621.58662448484847</v>
      </c>
      <c r="O119" s="227">
        <f t="shared" si="17"/>
        <v>677.05496854838702</v>
      </c>
      <c r="P119" s="227">
        <f t="shared" si="17"/>
        <v>631.44242419354839</v>
      </c>
      <c r="Q119" s="227">
        <f t="shared" si="17"/>
        <v>661.34397454545444</v>
      </c>
      <c r="R119" s="227">
        <f t="shared" si="17"/>
        <v>609.91420692464351</v>
      </c>
      <c r="S119" s="227">
        <f t="shared" si="17"/>
        <v>516.60436775510209</v>
      </c>
      <c r="T119" s="227">
        <f t="shared" si="17"/>
        <v>330.86113714285716</v>
      </c>
      <c r="U119" s="227">
        <f t="shared" si="17"/>
        <v>283.40139754601228</v>
      </c>
      <c r="V119" s="227">
        <f t="shared" si="17"/>
        <v>271.1995229508197</v>
      </c>
      <c r="W119" s="227">
        <f t="shared" si="17"/>
        <v>286.78273155737702</v>
      </c>
      <c r="X119" s="227">
        <f t="shared" si="17"/>
        <v>355.53349469387757</v>
      </c>
      <c r="Y119" s="227">
        <f t="shared" si="17"/>
        <v>517.81332778904664</v>
      </c>
      <c r="Z119" s="227">
        <f t="shared" si="17"/>
        <v>620.62261090909089</v>
      </c>
    </row>
    <row r="120" spans="1:26">
      <c r="A120" s="124">
        <f>MAX($A$10:A119)+1</f>
        <v>111</v>
      </c>
      <c r="B120" t="s">
        <v>161</v>
      </c>
      <c r="C120" s="227">
        <f t="shared" si="17"/>
        <v>2186.7069515120966</v>
      </c>
      <c r="D120" s="227">
        <f t="shared" si="17"/>
        <v>1809.0482781451612</v>
      </c>
      <c r="E120" s="227">
        <f t="shared" si="17"/>
        <v>1978.7292588282828</v>
      </c>
      <c r="F120" s="227">
        <f t="shared" si="17"/>
        <v>1533.8184920366598</v>
      </c>
      <c r="G120" s="227">
        <f t="shared" si="17"/>
        <v>1212.7204730000001</v>
      </c>
      <c r="H120" s="227">
        <f t="shared" si="17"/>
        <v>747.71464757142849</v>
      </c>
      <c r="I120" s="227">
        <f t="shared" si="17"/>
        <v>601.55871312883437</v>
      </c>
      <c r="J120" s="227">
        <f t="shared" si="17"/>
        <v>629.60873170081959</v>
      </c>
      <c r="K120" s="227">
        <f t="shared" si="17"/>
        <v>656.77059014344252</v>
      </c>
      <c r="L120" s="227">
        <f t="shared" si="17"/>
        <v>852.58453071428573</v>
      </c>
      <c r="M120" s="227">
        <f t="shared" si="17"/>
        <v>1192.093678985801</v>
      </c>
      <c r="N120" s="227">
        <f t="shared" si="17"/>
        <v>1707.0361811717171</v>
      </c>
      <c r="O120" s="227">
        <f t="shared" si="17"/>
        <v>2183.320959072581</v>
      </c>
      <c r="P120" s="227">
        <f t="shared" si="17"/>
        <v>1806.247068870968</v>
      </c>
      <c r="Q120" s="227">
        <f t="shared" si="17"/>
        <v>1975.6653081212123</v>
      </c>
      <c r="R120" s="227">
        <f t="shared" si="17"/>
        <v>1531.443460570265</v>
      </c>
      <c r="S120" s="227">
        <f t="shared" si="17"/>
        <v>1210.8426437142859</v>
      </c>
      <c r="T120" s="227">
        <f t="shared" si="17"/>
        <v>746.55685359183667</v>
      </c>
      <c r="U120" s="227">
        <f t="shared" si="17"/>
        <v>600.62723337423313</v>
      </c>
      <c r="V120" s="227">
        <f t="shared" si="17"/>
        <v>628.6338180737705</v>
      </c>
      <c r="W120" s="227">
        <f t="shared" si="17"/>
        <v>655.75361790983607</v>
      </c>
      <c r="X120" s="227">
        <f t="shared" si="17"/>
        <v>851.26435163265319</v>
      </c>
      <c r="Y120" s="227">
        <f t="shared" si="17"/>
        <v>1190.247789127789</v>
      </c>
      <c r="Z120" s="227">
        <f t="shared" si="17"/>
        <v>1704.3929318787877</v>
      </c>
    </row>
    <row r="121" spans="1:26">
      <c r="A121" s="124">
        <f>MAX($A$10:A120)+1</f>
        <v>112</v>
      </c>
      <c r="B121" t="s">
        <v>162</v>
      </c>
      <c r="C121" s="256">
        <f t="shared" si="17"/>
        <v>2115.6247458669354</v>
      </c>
      <c r="D121" s="256">
        <f t="shared" si="17"/>
        <v>1191.8559307459677</v>
      </c>
      <c r="E121" s="256">
        <f t="shared" si="17"/>
        <v>1824.613108888889</v>
      </c>
      <c r="F121" s="256">
        <f t="shared" si="17"/>
        <v>995.81673594704682</v>
      </c>
      <c r="G121" s="256">
        <f t="shared" si="17"/>
        <v>733.62360999999987</v>
      </c>
      <c r="H121" s="256">
        <f t="shared" si="17"/>
        <v>421.76095399999997</v>
      </c>
      <c r="I121" s="256">
        <f t="shared" si="17"/>
        <v>342.70203691206547</v>
      </c>
      <c r="J121" s="256">
        <f t="shared" si="17"/>
        <v>447.79068709016389</v>
      </c>
      <c r="K121" s="256">
        <f t="shared" si="17"/>
        <v>538.80195665983604</v>
      </c>
      <c r="L121" s="256">
        <f t="shared" si="17"/>
        <v>1295.114045</v>
      </c>
      <c r="M121" s="256">
        <f t="shared" si="17"/>
        <v>1002.9745395537525</v>
      </c>
      <c r="N121" s="256">
        <f t="shared" si="17"/>
        <v>1365.08561989899</v>
      </c>
      <c r="O121" s="256">
        <f t="shared" si="17"/>
        <v>2112.3415868951615</v>
      </c>
      <c r="P121" s="256">
        <f t="shared" si="17"/>
        <v>1190.0063340725808</v>
      </c>
      <c r="Q121" s="256">
        <f t="shared" si="17"/>
        <v>1821.7815600000001</v>
      </c>
      <c r="R121" s="256">
        <f t="shared" si="17"/>
        <v>994.27136517311612</v>
      </c>
      <c r="S121" s="256">
        <f t="shared" si="17"/>
        <v>732.48512693877547</v>
      </c>
      <c r="T121" s="256">
        <f t="shared" si="17"/>
        <v>421.10643893877551</v>
      </c>
      <c r="U121" s="256">
        <f t="shared" si="17"/>
        <v>342.17021042944788</v>
      </c>
      <c r="V121" s="256">
        <f t="shared" si="17"/>
        <v>447.09577745901635</v>
      </c>
      <c r="W121" s="256">
        <f t="shared" si="17"/>
        <v>537.96581004098368</v>
      </c>
      <c r="X121" s="256">
        <f t="shared" si="17"/>
        <v>1293.1042059183674</v>
      </c>
      <c r="Y121" s="256">
        <f t="shared" si="17"/>
        <v>1001.418060851927</v>
      </c>
      <c r="Z121" s="256">
        <f t="shared" si="17"/>
        <v>1362.9671945454547</v>
      </c>
    </row>
    <row r="122" spans="1:26">
      <c r="A122" s="124">
        <f>MAX($A$10:A121)+1</f>
        <v>113</v>
      </c>
      <c r="B122" t="s">
        <v>1736</v>
      </c>
      <c r="C122" s="254">
        <f t="shared" ref="C122:N122" si="18">SUM(C118:C121)</f>
        <v>5400.4383359274198</v>
      </c>
      <c r="D122" s="254">
        <f t="shared" si="18"/>
        <v>4053.327453084677</v>
      </c>
      <c r="E122" s="254">
        <f t="shared" si="18"/>
        <v>4885.713608363636</v>
      </c>
      <c r="F122" s="254">
        <f t="shared" si="18"/>
        <v>3560.4968151120161</v>
      </c>
      <c r="G122" s="254">
        <f t="shared" si="18"/>
        <v>2883.7508927142853</v>
      </c>
      <c r="H122" s="254">
        <f t="shared" si="18"/>
        <v>1920.8506655714286</v>
      </c>
      <c r="I122" s="254">
        <f t="shared" si="18"/>
        <v>1648.1023551942742</v>
      </c>
      <c r="J122" s="254">
        <f t="shared" si="18"/>
        <v>1769.0201961680327</v>
      </c>
      <c r="K122" s="254">
        <f t="shared" si="18"/>
        <v>1902.8007381967209</v>
      </c>
      <c r="L122" s="254">
        <f t="shared" si="18"/>
        <v>2923.784320857143</v>
      </c>
      <c r="M122" s="254">
        <f t="shared" si="18"/>
        <v>3133.6858661663287</v>
      </c>
      <c r="N122" s="254">
        <f t="shared" si="18"/>
        <v>4113.7084255555556</v>
      </c>
      <c r="O122" s="254">
        <f t="shared" ref="O122:Z122" si="19">SUM(O118:O121)</f>
        <v>5572.7175145161291</v>
      </c>
      <c r="P122" s="254">
        <f t="shared" si="19"/>
        <v>4227.6958271370977</v>
      </c>
      <c r="Q122" s="254">
        <f t="shared" si="19"/>
        <v>5058.7908426666672</v>
      </c>
      <c r="R122" s="254">
        <f t="shared" si="19"/>
        <v>3735.6290326680246</v>
      </c>
      <c r="S122" s="254">
        <f t="shared" si="19"/>
        <v>3059.9321384081632</v>
      </c>
      <c r="T122" s="254">
        <f t="shared" si="19"/>
        <v>2098.5244296734695</v>
      </c>
      <c r="U122" s="254">
        <f t="shared" si="19"/>
        <v>1826.1988413496933</v>
      </c>
      <c r="V122" s="254">
        <f t="shared" si="19"/>
        <v>1946.9291184836065</v>
      </c>
      <c r="W122" s="254">
        <f t="shared" si="19"/>
        <v>2080.5021595081967</v>
      </c>
      <c r="X122" s="254">
        <f t="shared" si="19"/>
        <v>3099.9020522448982</v>
      </c>
      <c r="Y122" s="254">
        <f t="shared" si="19"/>
        <v>3309.4791777687624</v>
      </c>
      <c r="Z122" s="254">
        <f t="shared" si="19"/>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10:C10"/>
    <mergeCell ref="B22:C22"/>
    <mergeCell ref="B40:C40"/>
    <mergeCell ref="B52:C52"/>
    <mergeCell ref="B70:Z70"/>
    <mergeCell ref="A6:C6"/>
    <mergeCell ref="A1:C1"/>
    <mergeCell ref="A2:C2"/>
    <mergeCell ref="A3:C3"/>
    <mergeCell ref="A4:C4"/>
    <mergeCell ref="A5:C5"/>
  </mergeCells>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F838F-209B-44F5-880D-4708EB7E3FD2}">
  <sheetPr codeName="Sheet42"/>
  <dimension ref="A1:AE158"/>
  <sheetViews>
    <sheetView view="pageBreakPreview" zoomScale="60" zoomScaleNormal="100" workbookViewId="0">
      <selection sqref="A1:C1"/>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8" width="16.140625" style="53" customWidth="1"/>
    <col min="9" max="10" width="12" style="53" bestFit="1" customWidth="1"/>
    <col min="11" max="12" width="14.85546875" style="53" customWidth="1"/>
    <col min="13" max="13" width="12" style="53" bestFit="1" customWidth="1"/>
    <col min="14" max="14" width="8" style="53" bestFit="1" customWidth="1"/>
    <col min="15" max="16" width="9" style="53" bestFit="1" customWidth="1"/>
    <col min="17" max="18" width="10" style="53" bestFit="1" customWidth="1"/>
    <col min="19" max="19" width="8.5703125" bestFit="1" customWidth="1"/>
    <col min="20" max="23" width="9" style="53" bestFit="1" customWidth="1"/>
    <col min="24"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c r="J10" s="53" t="s">
        <v>4187</v>
      </c>
    </row>
    <row r="11" spans="1:31" outlineLevel="1">
      <c r="A11" s="124">
        <f>MAX($A$10:A10)+1</f>
        <v>2</v>
      </c>
      <c r="B11" s="53" t="s">
        <v>1701</v>
      </c>
      <c r="C11" s="745">
        <f>+'24-25 Plant Additions (RunRate)'!G262</f>
        <v>70238276.422495037</v>
      </c>
      <c r="D11" s="449"/>
      <c r="G11" s="53" t="s">
        <v>4179</v>
      </c>
      <c r="H11" s="53" t="s">
        <v>4180</v>
      </c>
      <c r="K11" s="53" t="s">
        <v>4179</v>
      </c>
      <c r="L11" s="53" t="s">
        <v>4180</v>
      </c>
    </row>
    <row r="12" spans="1:31" outlineLevel="1">
      <c r="A12" s="124">
        <f>MAX($A$10:A11)+1</f>
        <v>3</v>
      </c>
      <c r="B12" s="424" t="s">
        <v>1702</v>
      </c>
      <c r="C12" s="746">
        <f>ROUND(C11*-2.9%,0)</f>
        <v>-2036910</v>
      </c>
      <c r="D12" s="254"/>
      <c r="F12" s="53" t="s">
        <v>4181</v>
      </c>
      <c r="G12" s="135">
        <f>+C13</f>
        <v>68201366.422495037</v>
      </c>
      <c r="H12" s="135">
        <f>+C43</f>
        <v>41384465.283809103</v>
      </c>
      <c r="J12" s="53" t="s">
        <v>4181</v>
      </c>
      <c r="K12" s="135">
        <f>+'Provisional Plant Add (Discr.)'!G12</f>
        <v>84561967.425510809</v>
      </c>
      <c r="L12" s="135">
        <f>+'Provisional Plant Add (Discr.)'!H12</f>
        <v>59984401.582505025</v>
      </c>
    </row>
    <row r="13" spans="1:31" outlineLevel="1">
      <c r="A13" s="124">
        <f>MAX($A$10:A12)+1</f>
        <v>4</v>
      </c>
      <c r="B13" s="424" t="s">
        <v>1703</v>
      </c>
      <c r="C13" s="745">
        <f>SUM(C11:C12)</f>
        <v>68201366.422495037</v>
      </c>
      <c r="F13" s="53" t="s">
        <v>1515</v>
      </c>
      <c r="G13" s="135">
        <f>+C18</f>
        <v>-32945033.922143608</v>
      </c>
      <c r="H13" s="135">
        <f>+C48</f>
        <v>-33626342.6231094</v>
      </c>
      <c r="J13" s="53" t="s">
        <v>1515</v>
      </c>
      <c r="K13" s="135">
        <f>+'Provisional Plant Add (Discr.)'!G13</f>
        <v>-32759363.493218899</v>
      </c>
      <c r="L13" s="135">
        <f>+'Provisional Plant Add (Discr.)'!H13</f>
        <v>-34000209.39276915</v>
      </c>
    </row>
    <row r="14" spans="1:31" outlineLevel="1">
      <c r="A14" s="124">
        <f>MAX($A$10:A13)+1</f>
        <v>5</v>
      </c>
      <c r="B14" s="424"/>
      <c r="C14" s="447"/>
      <c r="F14" t="s">
        <v>4182</v>
      </c>
      <c r="G14" s="135">
        <f>+C20</f>
        <v>68761.561904037371</v>
      </c>
      <c r="H14" s="135">
        <f>+C50</f>
        <v>-1767078.8683187142</v>
      </c>
      <c r="J14" t="s">
        <v>4182</v>
      </c>
      <c r="K14" s="135">
        <f>+'Provisional Plant Add (Discr.)'!G14</f>
        <v>68761.561904037371</v>
      </c>
      <c r="L14" s="135">
        <f>+'Provisional Plant Add (Discr.)'!H14</f>
        <v>-1767078.8683187142</v>
      </c>
    </row>
    <row r="15" spans="1:31" outlineLevel="1">
      <c r="A15" s="124">
        <f>MAX($A$10:A14)+1</f>
        <v>6</v>
      </c>
      <c r="B15" s="424" t="s">
        <v>1704</v>
      </c>
      <c r="C15" s="177">
        <f>-((C31/2)+'EOP Depn Exp Adj'!E55)</f>
        <v>-33451383.172143608</v>
      </c>
      <c r="F15" t="s">
        <v>568</v>
      </c>
      <c r="G15" s="135">
        <f>+SUM(G12:G14)</f>
        <v>35325094.062255464</v>
      </c>
      <c r="H15" s="135">
        <f>+SUM(H12:H14)</f>
        <v>5991043.7923809886</v>
      </c>
      <c r="J15" t="s">
        <v>568</v>
      </c>
      <c r="K15" s="135">
        <f>+'Provisional Plant Add (Discr.)'!G15</f>
        <v>51871365.494195946</v>
      </c>
      <c r="L15" s="135">
        <f>+'Provisional Plant Add (Discr.)'!H15</f>
        <v>24217113.32141716</v>
      </c>
    </row>
    <row r="16" spans="1:31" outlineLevel="1">
      <c r="A16" s="124">
        <f>MAX($A$10:A15)+1</f>
        <v>7</v>
      </c>
      <c r="B16" s="424" t="s">
        <v>1702</v>
      </c>
      <c r="C16" s="747">
        <f>-C12</f>
        <v>2036910</v>
      </c>
    </row>
    <row r="17" spans="1:12" outlineLevel="1">
      <c r="A17" s="124">
        <f>MAX($A$10:A16)+1</f>
        <v>8</v>
      </c>
      <c r="B17" s="424" t="s">
        <v>1705</v>
      </c>
      <c r="C17" s="749">
        <f>'24-25 Cost of Removal'!F101</f>
        <v>-1530560.75</v>
      </c>
      <c r="F17" s="53" t="s">
        <v>4183</v>
      </c>
      <c r="G17" s="135">
        <f>+C31+C34</f>
        <v>2497597.5760052097</v>
      </c>
      <c r="H17" s="135">
        <f>+C61+C64</f>
        <v>1770793.005926372</v>
      </c>
      <c r="J17" t="s">
        <v>4143</v>
      </c>
      <c r="K17" s="135">
        <f>+'Provisional Plant Add (Discr.)'!G17</f>
        <v>3143211.5281557827</v>
      </c>
      <c r="L17" s="135">
        <f>+'Provisional Plant Add (Discr.)'!H17</f>
        <v>2462844.7909447346</v>
      </c>
    </row>
    <row r="18" spans="1:12" outlineLevel="1">
      <c r="A18" s="124">
        <f>MAX($A$10:A17)+1</f>
        <v>9</v>
      </c>
      <c r="B18" s="424" t="s">
        <v>1706</v>
      </c>
      <c r="C18" s="747">
        <f>SUM(C15:C17)</f>
        <v>-32945033.922143608</v>
      </c>
    </row>
    <row r="19" spans="1:12" outlineLevel="1">
      <c r="A19" s="124">
        <f>MAX($A$10:A18)+1</f>
        <v>10</v>
      </c>
      <c r="B19" s="424"/>
      <c r="C19" s="447"/>
      <c r="D19" s="216"/>
    </row>
    <row r="20" spans="1:12" outlineLevel="1">
      <c r="A20" s="124">
        <f>MAX($A$10:A19)+1</f>
        <v>11</v>
      </c>
      <c r="B20" s="424" t="s">
        <v>1707</v>
      </c>
      <c r="C20" s="177">
        <f>'24-25 ADIT'!D16</f>
        <v>68761.561904037371</v>
      </c>
    </row>
    <row r="21" spans="1:12" outlineLevel="1">
      <c r="A21" s="124">
        <f>MAX($A$10:A20)+1</f>
        <v>12</v>
      </c>
      <c r="B21" s="60"/>
      <c r="C21" s="60"/>
      <c r="F21" s="53" t="s">
        <v>4142</v>
      </c>
      <c r="G21" s="53" t="s">
        <v>4179</v>
      </c>
      <c r="H21" s="53" t="s">
        <v>4180</v>
      </c>
    </row>
    <row r="22" spans="1:12" outlineLevel="1">
      <c r="A22" s="124">
        <f>MAX($A$10:A21)+1</f>
        <v>13</v>
      </c>
      <c r="B22" s="1403" t="s">
        <v>1708</v>
      </c>
      <c r="C22" s="1403"/>
      <c r="D22"/>
    </row>
    <row r="23" spans="1:12" outlineLevel="1">
      <c r="A23" s="124">
        <f>MAX($A$10:A22)+1</f>
        <v>14</v>
      </c>
      <c r="B23" s="53" t="s">
        <v>1709</v>
      </c>
      <c r="C23" s="565">
        <f>SUM(C110:N110,C115:N115,C122:N122)</f>
        <v>1571477.0432382778</v>
      </c>
      <c r="F23" s="53" t="s">
        <v>568</v>
      </c>
      <c r="G23" s="135">
        <f>+G15-K15</f>
        <v>-16546271.431940481</v>
      </c>
      <c r="H23" s="135">
        <f>+H15-L15</f>
        <v>-18226069.529036172</v>
      </c>
    </row>
    <row r="24" spans="1:12" outlineLevel="1">
      <c r="A24" s="124">
        <f>MAX($A$10:A23)+1</f>
        <v>15</v>
      </c>
      <c r="F24" s="53" t="s">
        <v>4183</v>
      </c>
      <c r="G24" s="135">
        <f>+G17-K17</f>
        <v>-645613.95215057302</v>
      </c>
      <c r="H24" s="135">
        <f>+H17-L17</f>
        <v>-692051.78501836257</v>
      </c>
    </row>
    <row r="25" spans="1:12" outlineLevel="1">
      <c r="A25" s="124">
        <f>MAX($A$10:A24)+1</f>
        <v>16</v>
      </c>
      <c r="B25" s="424" t="s">
        <v>1710</v>
      </c>
      <c r="C25" s="177">
        <f>'Operating Report'!AG54</f>
        <v>66819.203878491579</v>
      </c>
      <c r="D25" s="121"/>
    </row>
    <row r="26" spans="1:12" outlineLevel="1">
      <c r="A26" s="124">
        <f>MAX($A$10:A25)+1</f>
        <v>17</v>
      </c>
      <c r="B26" s="424"/>
      <c r="C26" s="177"/>
    </row>
    <row r="27" spans="1:12" outlineLevel="1">
      <c r="A27" s="124">
        <f>MAX($A$10:A26)+1</f>
        <v>18</v>
      </c>
      <c r="B27" s="53" t="s">
        <v>1711</v>
      </c>
      <c r="C27" s="135">
        <f>'Operating Report'!AG94</f>
        <v>10558.529677620663</v>
      </c>
    </row>
    <row r="28" spans="1:12" outlineLevel="1">
      <c r="A28" s="124">
        <f>MAX($A$10:A27)+1</f>
        <v>19</v>
      </c>
    </row>
    <row r="29" spans="1:12" outlineLevel="1">
      <c r="A29" s="124">
        <f>MAX($A$10:A28)+1</f>
        <v>20</v>
      </c>
      <c r="B29" s="53" t="s">
        <v>1712</v>
      </c>
      <c r="C29" s="177">
        <f>+'24-25 Plant Additions (RunRate)'!H302-'24-25 Plant Additions (RunRate)'!H289-'24-25 Plant Additions (RunRate)'!H295-'24-25 Plant Additions (RunRate)'!H288-'24-25 Plant Additions (RunRate)'!H294</f>
        <v>2394437.1960052098</v>
      </c>
    </row>
    <row r="30" spans="1:12" outlineLevel="1">
      <c r="A30" s="124">
        <f>MAX($A$10:A29)+1</f>
        <v>21</v>
      </c>
      <c r="B30" s="53" t="s">
        <v>1713</v>
      </c>
      <c r="C30" s="214">
        <f>ROUND(C12*0.0306,2)</f>
        <v>-62329.45</v>
      </c>
      <c r="E30" s="121"/>
    </row>
    <row r="31" spans="1:12" outlineLevel="1">
      <c r="A31" s="124">
        <f>MAX($A$10:A30)+1</f>
        <v>22</v>
      </c>
      <c r="B31" s="53" t="s">
        <v>1714</v>
      </c>
      <c r="C31" s="177">
        <f>C29+C30</f>
        <v>2332107.7460052096</v>
      </c>
      <c r="E31" s="121"/>
    </row>
    <row r="32" spans="1:12"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165489.82999999999</v>
      </c>
      <c r="E34" s="121"/>
      <c r="F34" s="112"/>
    </row>
    <row r="35" spans="1:7" outlineLevel="1">
      <c r="A35" s="124">
        <f>MAX($A$10:A34)+1</f>
        <v>26</v>
      </c>
      <c r="C35" s="177"/>
    </row>
    <row r="36" spans="1:7" outlineLevel="1">
      <c r="A36" s="124">
        <f>MAX($A$10:A35)+1</f>
        <v>27</v>
      </c>
      <c r="B36" t="s">
        <v>1716</v>
      </c>
      <c r="C36" s="177">
        <f>-'24-25 Plant Additions (RunRate)'!L10-'24-25 Plant Additions (RunRate)'!L11-'24-25 Plant Additions (RunRate)'!L25-'24-25 Plant Additions (RunRate)'!L240</f>
        <v>-292500</v>
      </c>
      <c r="D36" s="53" t="s">
        <v>1717</v>
      </c>
      <c r="E36" s="121">
        <f>C36-E37</f>
        <v>-280000</v>
      </c>
      <c r="F36" s="121"/>
    </row>
    <row r="37" spans="1:7" outlineLevel="1">
      <c r="A37" s="124">
        <f>MAX($A$10:A36)+1</f>
        <v>28</v>
      </c>
      <c r="C37" s="177"/>
      <c r="D37" s="53" t="s">
        <v>1718</v>
      </c>
      <c r="E37" s="121">
        <f>-'24-25 Plant Additions (RunRate)'!L11</f>
        <v>-12500</v>
      </c>
      <c r="G37" s="121"/>
    </row>
    <row r="38" spans="1:7" outlineLevel="1">
      <c r="A38" s="124">
        <f>MAX($A$10:A37)+1</f>
        <v>29</v>
      </c>
      <c r="B38" s="53" t="s">
        <v>1719</v>
      </c>
      <c r="C38" s="565">
        <f>((C23-SUM(C25,C27,C34,C31,C36))*'Exh JAD-6, Conversion Factor'!$C$33)</f>
        <v>-149309.63592783926</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 (RunRate)'!J262</f>
        <v>42620458.283809103</v>
      </c>
    </row>
    <row r="42" spans="1:7">
      <c r="A42" s="124">
        <f>MAX($A$10:A41)+1</f>
        <v>33</v>
      </c>
      <c r="B42" s="424" t="s">
        <v>1702</v>
      </c>
      <c r="C42" s="746">
        <f>ROUND(C41*-2.9%,0)</f>
        <v>-1235993</v>
      </c>
      <c r="D42" s="254"/>
    </row>
    <row r="43" spans="1:7">
      <c r="A43" s="124">
        <f>MAX($A$10:A42)+1</f>
        <v>34</v>
      </c>
      <c r="B43" s="424" t="s">
        <v>1703</v>
      </c>
      <c r="C43" s="745">
        <f>SUM(C41:C42)</f>
        <v>41384465.283809103</v>
      </c>
    </row>
    <row r="44" spans="1:7">
      <c r="A44" s="124">
        <f>MAX($A$10:A43)+1</f>
        <v>35</v>
      </c>
      <c r="B44" s="424"/>
    </row>
    <row r="45" spans="1:7">
      <c r="A45" s="124">
        <f>MAX($A$10:A44)+1</f>
        <v>36</v>
      </c>
      <c r="B45" s="424" t="s">
        <v>1704</v>
      </c>
      <c r="C45" s="177">
        <f>-((C61/2)+'EOP Depn Exp Adj'!E55+C31)</f>
        <v>-35452624.083109401</v>
      </c>
    </row>
    <row r="46" spans="1:7">
      <c r="A46" s="124">
        <f>MAX($A$10:A45)+1</f>
        <v>37</v>
      </c>
      <c r="B46" s="424" t="s">
        <v>1702</v>
      </c>
      <c r="C46" s="135">
        <f>-C42</f>
        <v>1235993</v>
      </c>
    </row>
    <row r="47" spans="1:7">
      <c r="A47" s="124">
        <f>MAX($A$10:A46)+1</f>
        <v>38</v>
      </c>
      <c r="B47" s="424" t="s">
        <v>1705</v>
      </c>
      <c r="C47" s="256">
        <f>'24-25 Cost of Removal'!H101</f>
        <v>590288.46</v>
      </c>
    </row>
    <row r="48" spans="1:7">
      <c r="A48" s="124">
        <f>MAX($A$10:A47)+1</f>
        <v>39</v>
      </c>
      <c r="B48" s="424" t="s">
        <v>1706</v>
      </c>
      <c r="C48" s="747">
        <f>SUM(C45:C47)</f>
        <v>-33626342.6231094</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 (RunRate)'!M302-'24-25 Plant Additions (RunRate)'!M289-'24-25 Plant Additions (RunRate)'!M295-'24-25 Plant Additions (RunRate)'!M288-'24-25 Plant Additions (RunRate)'!M294</f>
        <v>1708195.465926372</v>
      </c>
    </row>
    <row r="60" spans="1:6">
      <c r="A60" s="124">
        <f>MAX($A$10:A59)+1</f>
        <v>51</v>
      </c>
      <c r="B60" s="53" t="s">
        <v>1713</v>
      </c>
      <c r="C60" s="214">
        <f>ROUND(C42*0.0306,2)</f>
        <v>-37821.39</v>
      </c>
    </row>
    <row r="61" spans="1:6">
      <c r="A61" s="124">
        <f>MAX($A$10:A60)+1</f>
        <v>52</v>
      </c>
      <c r="B61" s="53" t="s">
        <v>1714</v>
      </c>
      <c r="C61" s="177">
        <f>C59+C60</f>
        <v>1670374.0759263721</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100418.93</v>
      </c>
      <c r="D64"/>
    </row>
    <row r="65" spans="1:26">
      <c r="A65" s="124">
        <f>MAX($A$10:A64)+1</f>
        <v>56</v>
      </c>
      <c r="C65" s="177"/>
    </row>
    <row r="66" spans="1:26">
      <c r="A66" s="124">
        <f>MAX($A$10:A65)+1</f>
        <v>57</v>
      </c>
      <c r="B66" t="s">
        <v>1716</v>
      </c>
      <c r="C66" s="177">
        <f>-'24-25 Plant Additions (RunRate)'!L12-'24-25 Plant Additions (RunRate)'!L21-'24-25 Plant Additions (RunRate)'!L242</f>
        <v>-455000</v>
      </c>
      <c r="D66" s="53" t="s">
        <v>1717</v>
      </c>
      <c r="E66" s="121">
        <f>C66-E67</f>
        <v>-280000</v>
      </c>
    </row>
    <row r="67" spans="1:26">
      <c r="A67" s="124">
        <f>MAX($A$10:A66)+1</f>
        <v>58</v>
      </c>
      <c r="D67" s="53" t="s">
        <v>1718</v>
      </c>
      <c r="E67" s="121">
        <f>-'24-25 Plant Additions (RunRate)'!L21</f>
        <v>-175000</v>
      </c>
      <c r="G67" s="121"/>
    </row>
    <row r="68" spans="1:26">
      <c r="A68" s="124">
        <f>MAX($A$10:A67)+1</f>
        <v>59</v>
      </c>
      <c r="B68" s="53" t="s">
        <v>1719</v>
      </c>
      <c r="C68" s="565">
        <f>((C53-SUM(C55,C57,C64,C61,C66))*'Exh JAD-6, Conversion Factor'!$C$33)</f>
        <v>132402.7156078566</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Z91"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si="6"/>
        <v>385491.19998866279</v>
      </c>
      <c r="P90" s="227">
        <f t="shared" si="6"/>
        <v>302531.08998857351</v>
      </c>
      <c r="Q90" s="227">
        <f t="shared" si="6"/>
        <v>258359.36310493672</v>
      </c>
      <c r="R90" s="227">
        <f t="shared" si="6"/>
        <v>166989.45714193527</v>
      </c>
      <c r="S90" s="227">
        <f t="shared" si="6"/>
        <v>105889.04837542165</v>
      </c>
      <c r="T90" s="227">
        <f t="shared" si="6"/>
        <v>55094.697291316523</v>
      </c>
      <c r="U90" s="227">
        <f t="shared" si="6"/>
        <v>56920.540896655511</v>
      </c>
      <c r="V90" s="227">
        <f t="shared" si="6"/>
        <v>29875.01268982593</v>
      </c>
      <c r="W90" s="227">
        <f t="shared" si="6"/>
        <v>65064.277468612738</v>
      </c>
      <c r="X90" s="227">
        <f t="shared" si="6"/>
        <v>158403.32068045993</v>
      </c>
      <c r="Y90" s="227">
        <f t="shared" si="6"/>
        <v>297252.83165960899</v>
      </c>
      <c r="Z90" s="227">
        <f t="shared" si="6"/>
        <v>383972.72520805482</v>
      </c>
    </row>
    <row r="91" spans="1:26">
      <c r="A91" s="124">
        <f>MAX($A$10:A90)+1</f>
        <v>82</v>
      </c>
      <c r="B91" s="53" t="s">
        <v>87</v>
      </c>
      <c r="C91" s="227">
        <f t="shared" si="6"/>
        <v>239442.76957331412</v>
      </c>
      <c r="D91" s="227">
        <f t="shared" si="6"/>
        <v>190330.92276753276</v>
      </c>
      <c r="E91" s="227">
        <f t="shared" si="6"/>
        <v>155444.97708893236</v>
      </c>
      <c r="F91" s="227">
        <f t="shared" si="6"/>
        <v>99850.831062116151</v>
      </c>
      <c r="G91" s="227">
        <f t="shared" si="6"/>
        <v>69528.979308284062</v>
      </c>
      <c r="H91" s="227">
        <f t="shared" si="6"/>
        <v>44348.077901978504</v>
      </c>
      <c r="I91" s="227">
        <f t="shared" si="6"/>
        <v>45824.736200325831</v>
      </c>
      <c r="J91" s="227">
        <f t="shared" si="6"/>
        <v>45825.385737094039</v>
      </c>
      <c r="K91" s="227">
        <f t="shared" si="6"/>
        <v>64398.460924924628</v>
      </c>
      <c r="L91" s="227">
        <f t="shared" si="6"/>
        <v>117469.42760722029</v>
      </c>
      <c r="M91" s="227">
        <f t="shared" si="6"/>
        <v>174087.01507093274</v>
      </c>
      <c r="N91" s="227">
        <f t="shared" si="6"/>
        <v>235919.03655076443</v>
      </c>
      <c r="O91" s="227">
        <f t="shared" si="6"/>
        <v>235147.83200249233</v>
      </c>
      <c r="P91" s="227">
        <f t="shared" si="6"/>
        <v>186916.91518425863</v>
      </c>
      <c r="Q91" s="227">
        <f t="shared" si="6"/>
        <v>152656.72637881699</v>
      </c>
      <c r="R91" s="227">
        <f t="shared" si="6"/>
        <v>98059.784765037839</v>
      </c>
      <c r="S91" s="227">
        <f t="shared" si="6"/>
        <v>68281.822728763262</v>
      </c>
      <c r="T91" s="227">
        <f t="shared" si="6"/>
        <v>43552.596684005795</v>
      </c>
      <c r="U91" s="227">
        <f t="shared" si="6"/>
        <v>45002.767837988147</v>
      </c>
      <c r="V91" s="227">
        <f t="shared" si="6"/>
        <v>45003.405723872624</v>
      </c>
      <c r="W91" s="227">
        <f t="shared" si="6"/>
        <v>63243.331580979793</v>
      </c>
      <c r="X91" s="227">
        <f t="shared" si="6"/>
        <v>115362.35267256162</v>
      </c>
      <c r="Y91" s="227">
        <f t="shared" si="6"/>
        <v>170964.37802930168</v>
      </c>
      <c r="Z91" s="227">
        <f t="shared" si="6"/>
        <v>231687.30495344131</v>
      </c>
    </row>
    <row r="92" spans="1:26">
      <c r="A92" s="124">
        <f>MAX($A$10:A91)+1</f>
        <v>83</v>
      </c>
      <c r="B92" s="53" t="s">
        <v>1729</v>
      </c>
      <c r="C92" s="227">
        <f t="shared" ref="C92:Z94" si="7">C$80*C85</f>
        <v>2968.4233870967741</v>
      </c>
      <c r="D92" s="227">
        <f t="shared" si="7"/>
        <v>2768.4435483870966</v>
      </c>
      <c r="E92" s="227">
        <f t="shared" si="7"/>
        <v>2899.541414141414</v>
      </c>
      <c r="F92" s="227">
        <f t="shared" si="7"/>
        <v>2674.0570264765784</v>
      </c>
      <c r="G92" s="227">
        <f t="shared" si="7"/>
        <v>2264.957142857143</v>
      </c>
      <c r="H92" s="227">
        <f t="shared" si="7"/>
        <v>1450.6</v>
      </c>
      <c r="I92" s="227">
        <f t="shared" si="7"/>
        <v>1242.5214723926381</v>
      </c>
      <c r="J92" s="227">
        <f t="shared" si="7"/>
        <v>1189.0245901639344</v>
      </c>
      <c r="K92" s="227">
        <f t="shared" si="7"/>
        <v>1257.3463114754097</v>
      </c>
      <c r="L92" s="227">
        <f t="shared" si="7"/>
        <v>1558.7714285714287</v>
      </c>
      <c r="M92" s="227">
        <f t="shared" si="7"/>
        <v>2270.2576064908721</v>
      </c>
      <c r="N92" s="227">
        <f t="shared" si="7"/>
        <v>2721.0060606060606</v>
      </c>
      <c r="O92" s="227">
        <f t="shared" si="7"/>
        <v>2544.3629032258063</v>
      </c>
      <c r="P92" s="227">
        <f t="shared" si="7"/>
        <v>2372.9516129032259</v>
      </c>
      <c r="Q92" s="227">
        <f t="shared" si="7"/>
        <v>2485.3212121212118</v>
      </c>
      <c r="R92" s="227">
        <f t="shared" si="7"/>
        <v>2292.048879837067</v>
      </c>
      <c r="S92" s="227">
        <f t="shared" si="7"/>
        <v>1941.3918367346939</v>
      </c>
      <c r="T92" s="227">
        <f t="shared" si="7"/>
        <v>1243.3714285714286</v>
      </c>
      <c r="U92" s="227">
        <f t="shared" si="7"/>
        <v>1065.0184049079755</v>
      </c>
      <c r="V92" s="227">
        <f t="shared" si="7"/>
        <v>1019.1639344262295</v>
      </c>
      <c r="W92" s="227">
        <f t="shared" si="7"/>
        <v>1077.7254098360654</v>
      </c>
      <c r="X92" s="227">
        <f t="shared" si="7"/>
        <v>1336.0897959183674</v>
      </c>
      <c r="Y92" s="227">
        <f t="shared" si="7"/>
        <v>1945.9350912778905</v>
      </c>
      <c r="Z92" s="227">
        <f t="shared" si="7"/>
        <v>2332.2909090909088</v>
      </c>
    </row>
    <row r="93" spans="1:26">
      <c r="A93" s="124">
        <f>MAX($A$10:A92)+1</f>
        <v>84</v>
      </c>
      <c r="B93" s="53" t="s">
        <v>1730</v>
      </c>
      <c r="C93" s="227">
        <f t="shared" si="7"/>
        <v>11561.925403225807</v>
      </c>
      <c r="D93" s="227">
        <f t="shared" si="7"/>
        <v>9565.104838709678</v>
      </c>
      <c r="E93" s="227">
        <f t="shared" si="7"/>
        <v>10462.270707070707</v>
      </c>
      <c r="F93" s="227">
        <f t="shared" si="7"/>
        <v>8109.8635437881876</v>
      </c>
      <c r="G93" s="227">
        <f t="shared" si="7"/>
        <v>6412.1</v>
      </c>
      <c r="H93" s="227">
        <f t="shared" si="7"/>
        <v>3953.4428571428571</v>
      </c>
      <c r="I93" s="227">
        <f t="shared" si="7"/>
        <v>3180.6625766871166</v>
      </c>
      <c r="J93" s="227">
        <f t="shared" si="7"/>
        <v>3328.9733606557375</v>
      </c>
      <c r="K93" s="227">
        <f t="shared" si="7"/>
        <v>3472.5881147540981</v>
      </c>
      <c r="L93" s="227">
        <f t="shared" si="7"/>
        <v>4507.9285714285716</v>
      </c>
      <c r="M93" s="227">
        <f t="shared" si="7"/>
        <v>6303.0385395537523</v>
      </c>
      <c r="N93" s="227">
        <f t="shared" si="7"/>
        <v>9025.7292929292926</v>
      </c>
      <c r="O93" s="227">
        <f t="shared" si="7"/>
        <v>9910.2217741935492</v>
      </c>
      <c r="P93" s="227">
        <f t="shared" si="7"/>
        <v>8198.6612903225814</v>
      </c>
      <c r="Q93" s="227">
        <f t="shared" si="7"/>
        <v>8967.6606060606064</v>
      </c>
      <c r="R93" s="227">
        <f t="shared" si="7"/>
        <v>6951.311608961304</v>
      </c>
      <c r="S93" s="227">
        <f t="shared" si="7"/>
        <v>5496.0857142857149</v>
      </c>
      <c r="T93" s="227">
        <f t="shared" si="7"/>
        <v>3388.6653061224488</v>
      </c>
      <c r="U93" s="227">
        <f t="shared" si="7"/>
        <v>2726.282208588957</v>
      </c>
      <c r="V93" s="227">
        <f t="shared" si="7"/>
        <v>2853.405737704918</v>
      </c>
      <c r="W93" s="227">
        <f t="shared" si="7"/>
        <v>2976.5040983606555</v>
      </c>
      <c r="X93" s="227">
        <f t="shared" si="7"/>
        <v>3863.9387755102043</v>
      </c>
      <c r="Y93" s="227">
        <f t="shared" si="7"/>
        <v>5402.6044624746446</v>
      </c>
      <c r="Z93" s="227">
        <f t="shared" si="7"/>
        <v>7736.3393939393936</v>
      </c>
    </row>
    <row r="94" spans="1:26">
      <c r="A94" s="124">
        <f>MAX($A$10:A93)+1</f>
        <v>85</v>
      </c>
      <c r="B94" s="53" t="s">
        <v>1731</v>
      </c>
      <c r="C94" s="227">
        <f t="shared" si="7"/>
        <v>11548.800403225807</v>
      </c>
      <c r="D94" s="227">
        <f t="shared" si="7"/>
        <v>6506.1189516129034</v>
      </c>
      <c r="E94" s="227">
        <f t="shared" si="7"/>
        <v>9960.2222222222226</v>
      </c>
      <c r="F94" s="227">
        <f t="shared" si="7"/>
        <v>5435.9775967413443</v>
      </c>
      <c r="G94" s="227">
        <f t="shared" si="7"/>
        <v>4004.7142857142853</v>
      </c>
      <c r="H94" s="227">
        <f t="shared" si="7"/>
        <v>2302.3142857142857</v>
      </c>
      <c r="I94" s="227">
        <f t="shared" si="7"/>
        <v>1870.7464212678938</v>
      </c>
      <c r="J94" s="227">
        <f t="shared" si="7"/>
        <v>2444.405737704918</v>
      </c>
      <c r="K94" s="227">
        <f t="shared" si="7"/>
        <v>2941.219262295082</v>
      </c>
      <c r="L94" s="227">
        <f t="shared" si="7"/>
        <v>7069.7857142857147</v>
      </c>
      <c r="M94" s="227">
        <f t="shared" si="7"/>
        <v>5475.050709939148</v>
      </c>
      <c r="N94" s="227">
        <f t="shared" si="7"/>
        <v>7451.7474747474753</v>
      </c>
      <c r="O94" s="227">
        <f t="shared" si="7"/>
        <v>9898.9717741935492</v>
      </c>
      <c r="P94" s="227">
        <f t="shared" si="7"/>
        <v>5576.6733870967746</v>
      </c>
      <c r="Q94" s="227">
        <f t="shared" si="7"/>
        <v>8537.3333333333339</v>
      </c>
      <c r="R94" s="227">
        <f t="shared" si="7"/>
        <v>4659.4093686354381</v>
      </c>
      <c r="S94" s="227">
        <f t="shared" si="7"/>
        <v>3432.612244897959</v>
      </c>
      <c r="T94" s="227">
        <f t="shared" si="7"/>
        <v>1973.4122448979592</v>
      </c>
      <c r="U94" s="227">
        <f t="shared" si="7"/>
        <v>1603.4969325153374</v>
      </c>
      <c r="V94" s="227">
        <f t="shared" si="7"/>
        <v>2095.2049180327867</v>
      </c>
      <c r="W94" s="227">
        <f t="shared" si="7"/>
        <v>2521.0450819672133</v>
      </c>
      <c r="X94" s="227">
        <f t="shared" si="7"/>
        <v>6059.8163265306121</v>
      </c>
      <c r="Y94" s="227">
        <f t="shared" si="7"/>
        <v>4692.9006085192696</v>
      </c>
      <c r="Z94" s="227">
        <f t="shared" si="7"/>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8">C97*C78</f>
        <v>17880</v>
      </c>
      <c r="D108" s="566">
        <f t="shared" si="8"/>
        <v>17880</v>
      </c>
      <c r="E108" s="566">
        <f t="shared" si="8"/>
        <v>17880</v>
      </c>
      <c r="F108" s="566">
        <f t="shared" si="8"/>
        <v>17880</v>
      </c>
      <c r="G108" s="566">
        <f t="shared" si="8"/>
        <v>17880</v>
      </c>
      <c r="H108" s="566">
        <f t="shared" si="8"/>
        <v>17880</v>
      </c>
      <c r="I108" s="566">
        <f t="shared" si="8"/>
        <v>17880</v>
      </c>
      <c r="J108" s="566">
        <f t="shared" si="8"/>
        <v>17880</v>
      </c>
      <c r="K108" s="566">
        <f t="shared" si="8"/>
        <v>17880</v>
      </c>
      <c r="L108" s="566">
        <f t="shared" si="8"/>
        <v>17880</v>
      </c>
      <c r="M108" s="566">
        <f t="shared" si="8"/>
        <v>17880</v>
      </c>
      <c r="N108" s="566">
        <f t="shared" si="8"/>
        <v>17880</v>
      </c>
      <c r="O108" s="566">
        <f t="shared" si="8"/>
        <v>35670</v>
      </c>
      <c r="P108" s="566">
        <f t="shared" si="8"/>
        <v>35670</v>
      </c>
      <c r="Q108" s="566">
        <f t="shared" si="8"/>
        <v>35670</v>
      </c>
      <c r="R108" s="566">
        <f t="shared" si="8"/>
        <v>35670</v>
      </c>
      <c r="S108" s="566">
        <f t="shared" si="8"/>
        <v>35670</v>
      </c>
      <c r="T108" s="566">
        <f t="shared" si="8"/>
        <v>35670</v>
      </c>
      <c r="U108" s="566">
        <f t="shared" si="8"/>
        <v>35670</v>
      </c>
      <c r="V108" s="566">
        <f t="shared" si="8"/>
        <v>35670</v>
      </c>
      <c r="W108" s="566">
        <f t="shared" si="8"/>
        <v>35670</v>
      </c>
      <c r="X108" s="566">
        <f t="shared" si="8"/>
        <v>35670</v>
      </c>
      <c r="Y108" s="566">
        <f t="shared" si="8"/>
        <v>35670</v>
      </c>
      <c r="Z108" s="566">
        <f t="shared" si="8"/>
        <v>35670</v>
      </c>
    </row>
    <row r="109" spans="1:26">
      <c r="A109" s="124">
        <f>MAX($A$10:A108)+1</f>
        <v>100</v>
      </c>
      <c r="B109" t="s">
        <v>142</v>
      </c>
      <c r="C109" s="256">
        <f t="shared" ref="C109:Z109" si="9">C90*C98</f>
        <v>138044.88503789133</v>
      </c>
      <c r="D109" s="256">
        <f t="shared" si="9"/>
        <v>108336.76498734298</v>
      </c>
      <c r="E109" s="256">
        <f t="shared" si="9"/>
        <v>92518.813864837168</v>
      </c>
      <c r="F109" s="256">
        <f t="shared" si="9"/>
        <v>59799.13527047127</v>
      </c>
      <c r="G109" s="256">
        <f t="shared" si="9"/>
        <v>37919.001809085894</v>
      </c>
      <c r="H109" s="256">
        <f t="shared" si="9"/>
        <v>19729.48060552586</v>
      </c>
      <c r="I109" s="256">
        <f t="shared" si="9"/>
        <v>20383.317504016934</v>
      </c>
      <c r="J109" s="256">
        <f t="shared" si="9"/>
        <v>10698.279733477324</v>
      </c>
      <c r="K109" s="256">
        <f t="shared" si="9"/>
        <v>23299.599844282468</v>
      </c>
      <c r="L109" s="256">
        <f t="shared" si="9"/>
        <v>56724.428971653375</v>
      </c>
      <c r="M109" s="256">
        <f t="shared" si="9"/>
        <v>106446.61402087827</v>
      </c>
      <c r="N109" s="256">
        <f t="shared" si="9"/>
        <v>137501.11730330199</v>
      </c>
      <c r="O109" s="256">
        <f t="shared" si="9"/>
        <v>169797.3088590063</v>
      </c>
      <c r="P109" s="256">
        <f t="shared" si="9"/>
        <v>133255.86920726698</v>
      </c>
      <c r="Q109" s="256">
        <f t="shared" si="9"/>
        <v>113799.54866683147</v>
      </c>
      <c r="R109" s="256">
        <f t="shared" si="9"/>
        <v>73553.846187308227</v>
      </c>
      <c r="S109" s="256">
        <f t="shared" si="9"/>
        <v>46640.949137921976</v>
      </c>
      <c r="T109" s="256">
        <f t="shared" si="9"/>
        <v>24267.561315906187</v>
      </c>
      <c r="U109" s="256">
        <f t="shared" si="9"/>
        <v>25071.790648749851</v>
      </c>
      <c r="V109" s="256">
        <f t="shared" si="9"/>
        <v>13159.046839487626</v>
      </c>
      <c r="W109" s="256">
        <f t="shared" si="9"/>
        <v>28658.862296599851</v>
      </c>
      <c r="X109" s="256">
        <f t="shared" si="9"/>
        <v>69771.910660122187</v>
      </c>
      <c r="Y109" s="256">
        <f t="shared" si="9"/>
        <v>130930.95476110796</v>
      </c>
      <c r="Z109" s="256">
        <f t="shared" si="9"/>
        <v>169128.4662723919</v>
      </c>
    </row>
    <row r="110" spans="1:26">
      <c r="A110" s="124">
        <f>MAX($A$10:A109)+1</f>
        <v>101</v>
      </c>
      <c r="B110" t="s">
        <v>1734</v>
      </c>
      <c r="C110" s="254">
        <f t="shared" ref="C110:N110" si="10">SUM(C108:C109)</f>
        <v>155924.88503789133</v>
      </c>
      <c r="D110" s="254">
        <f t="shared" si="10"/>
        <v>126216.76498734298</v>
      </c>
      <c r="E110" s="254">
        <f t="shared" si="10"/>
        <v>110398.81386483717</v>
      </c>
      <c r="F110" s="254">
        <f t="shared" si="10"/>
        <v>77679.135270471277</v>
      </c>
      <c r="G110" s="254">
        <f t="shared" si="10"/>
        <v>55799.001809085894</v>
      </c>
      <c r="H110" s="254">
        <f t="shared" si="10"/>
        <v>37609.48060552586</v>
      </c>
      <c r="I110" s="254">
        <f t="shared" si="10"/>
        <v>38263.31750401693</v>
      </c>
      <c r="J110" s="254">
        <f t="shared" si="10"/>
        <v>28578.279733477324</v>
      </c>
      <c r="K110" s="254">
        <f t="shared" si="10"/>
        <v>41179.599844282464</v>
      </c>
      <c r="L110" s="254">
        <f t="shared" si="10"/>
        <v>74604.428971653368</v>
      </c>
      <c r="M110" s="254">
        <f t="shared" si="10"/>
        <v>124326.61402087827</v>
      </c>
      <c r="N110" s="254">
        <f t="shared" si="10"/>
        <v>155381.11730330199</v>
      </c>
      <c r="O110" s="254">
        <f t="shared" ref="O110:Z110" si="11">SUM(O108:O109)</f>
        <v>205467.3088590063</v>
      </c>
      <c r="P110" s="254">
        <f t="shared" si="11"/>
        <v>168925.86920726698</v>
      </c>
      <c r="Q110" s="254">
        <f t="shared" si="11"/>
        <v>149469.54866683146</v>
      </c>
      <c r="R110" s="254">
        <f t="shared" si="11"/>
        <v>109223.84618730823</v>
      </c>
      <c r="S110" s="254">
        <f t="shared" si="11"/>
        <v>82310.949137921969</v>
      </c>
      <c r="T110" s="254">
        <f t="shared" si="11"/>
        <v>59937.56131590619</v>
      </c>
      <c r="U110" s="254">
        <f t="shared" si="11"/>
        <v>60741.790648749855</v>
      </c>
      <c r="V110" s="254">
        <f t="shared" si="11"/>
        <v>48829.046839487622</v>
      </c>
      <c r="W110" s="254">
        <f t="shared" si="11"/>
        <v>64328.862296599851</v>
      </c>
      <c r="X110" s="254">
        <f t="shared" si="11"/>
        <v>105441.91066012219</v>
      </c>
      <c r="Y110" s="254">
        <f t="shared" si="11"/>
        <v>166600.95476110798</v>
      </c>
      <c r="Z110" s="254">
        <f t="shared" si="11"/>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2">C79*C99</f>
        <v>5798</v>
      </c>
      <c r="D113" s="566">
        <f t="shared" si="12"/>
        <v>5798</v>
      </c>
      <c r="E113" s="566">
        <f t="shared" si="12"/>
        <v>5798</v>
      </c>
      <c r="F113" s="566">
        <f t="shared" si="12"/>
        <v>5798</v>
      </c>
      <c r="G113" s="566">
        <f t="shared" si="12"/>
        <v>5798</v>
      </c>
      <c r="H113" s="566">
        <f t="shared" si="12"/>
        <v>5798</v>
      </c>
      <c r="I113" s="566">
        <f t="shared" si="12"/>
        <v>5798</v>
      </c>
      <c r="J113" s="566">
        <f t="shared" si="12"/>
        <v>5798</v>
      </c>
      <c r="K113" s="566">
        <f t="shared" si="12"/>
        <v>5798</v>
      </c>
      <c r="L113" s="566">
        <f t="shared" si="12"/>
        <v>5798</v>
      </c>
      <c r="M113" s="566">
        <f t="shared" si="12"/>
        <v>5798</v>
      </c>
      <c r="N113" s="566">
        <f t="shared" si="12"/>
        <v>5798</v>
      </c>
      <c r="O113" s="566">
        <f t="shared" si="12"/>
        <v>8760</v>
      </c>
      <c r="P113" s="566">
        <f t="shared" si="12"/>
        <v>8760</v>
      </c>
      <c r="Q113" s="566">
        <f t="shared" si="12"/>
        <v>8760</v>
      </c>
      <c r="R113" s="566">
        <f t="shared" si="12"/>
        <v>8760</v>
      </c>
      <c r="S113" s="566">
        <f t="shared" si="12"/>
        <v>8760</v>
      </c>
      <c r="T113" s="566">
        <f t="shared" si="12"/>
        <v>8760</v>
      </c>
      <c r="U113" s="566">
        <f t="shared" si="12"/>
        <v>8760</v>
      </c>
      <c r="V113" s="566">
        <f t="shared" si="12"/>
        <v>8760</v>
      </c>
      <c r="W113" s="566">
        <f t="shared" si="12"/>
        <v>8760</v>
      </c>
      <c r="X113" s="566">
        <f t="shared" si="12"/>
        <v>8760</v>
      </c>
      <c r="Y113" s="566">
        <f t="shared" si="12"/>
        <v>8760</v>
      </c>
      <c r="Z113" s="566">
        <f t="shared" si="12"/>
        <v>8760</v>
      </c>
    </row>
    <row r="114" spans="1:26">
      <c r="A114" s="124">
        <f>MAX($A$10:A113)+1</f>
        <v>105</v>
      </c>
      <c r="B114" t="s">
        <v>142</v>
      </c>
      <c r="C114" s="256">
        <f t="shared" ref="C114:Z114" si="13">C91*C100</f>
        <v>70702.660999608197</v>
      </c>
      <c r="D114" s="256">
        <f t="shared" si="13"/>
        <v>56200.914874797083</v>
      </c>
      <c r="E114" s="256">
        <f t="shared" si="13"/>
        <v>45899.792834819949</v>
      </c>
      <c r="F114" s="256">
        <f t="shared" si="13"/>
        <v>29483.953396021661</v>
      </c>
      <c r="G114" s="256">
        <f t="shared" si="13"/>
        <v>20530.517010150121</v>
      </c>
      <c r="H114" s="256">
        <f t="shared" si="13"/>
        <v>13095.100442896215</v>
      </c>
      <c r="I114" s="256">
        <f t="shared" si="13"/>
        <v>13531.128105232214</v>
      </c>
      <c r="J114" s="256">
        <f t="shared" si="13"/>
        <v>13531.319900449129</v>
      </c>
      <c r="K114" s="256">
        <f t="shared" si="13"/>
        <v>19015.577541911745</v>
      </c>
      <c r="L114" s="256">
        <f t="shared" si="13"/>
        <v>34686.372583860015</v>
      </c>
      <c r="M114" s="256">
        <f t="shared" si="13"/>
        <v>51404.41381014503</v>
      </c>
      <c r="N114" s="256">
        <f t="shared" si="13"/>
        <v>69662.17311270973</v>
      </c>
      <c r="O114" s="256">
        <f t="shared" si="13"/>
        <v>76813.390801934147</v>
      </c>
      <c r="P114" s="256">
        <f t="shared" si="13"/>
        <v>61058.279514089925</v>
      </c>
      <c r="Q114" s="256">
        <f t="shared" si="13"/>
        <v>49866.846238904363</v>
      </c>
      <c r="R114" s="256">
        <f t="shared" si="13"/>
        <v>32032.209291347262</v>
      </c>
      <c r="S114" s="256">
        <f t="shared" si="13"/>
        <v>22304.940212577807</v>
      </c>
      <c r="T114" s="256">
        <f t="shared" si="13"/>
        <v>14226.891232797334</v>
      </c>
      <c r="U114" s="256">
        <f t="shared" si="13"/>
        <v>14700.604141957208</v>
      </c>
      <c r="V114" s="256">
        <f t="shared" si="13"/>
        <v>14700.812513760231</v>
      </c>
      <c r="W114" s="256">
        <f t="shared" si="13"/>
        <v>20659.066694242858</v>
      </c>
      <c r="X114" s="256">
        <f t="shared" si="13"/>
        <v>37684.266124018985</v>
      </c>
      <c r="Y114" s="256">
        <f t="shared" si="13"/>
        <v>55847.223727051685</v>
      </c>
      <c r="Z114" s="256">
        <f t="shared" si="13"/>
        <v>75682.975036091142</v>
      </c>
    </row>
    <row r="115" spans="1:26">
      <c r="A115" s="124">
        <f>MAX($A$10:A114)+1</f>
        <v>106</v>
      </c>
      <c r="B115" t="s">
        <v>1735</v>
      </c>
      <c r="C115" s="254">
        <f t="shared" ref="C115:N115" si="14">SUM(C113:C114)</f>
        <v>76500.660999608197</v>
      </c>
      <c r="D115" s="254">
        <f t="shared" si="14"/>
        <v>61998.914874797083</v>
      </c>
      <c r="E115" s="254">
        <f t="shared" si="14"/>
        <v>51697.792834819949</v>
      </c>
      <c r="F115" s="254">
        <f t="shared" si="14"/>
        <v>35281.953396021665</v>
      </c>
      <c r="G115" s="254">
        <f t="shared" si="14"/>
        <v>26328.517010150121</v>
      </c>
      <c r="H115" s="254">
        <f t="shared" si="14"/>
        <v>18893.100442896215</v>
      </c>
      <c r="I115" s="254">
        <f t="shared" si="14"/>
        <v>19329.128105232216</v>
      </c>
      <c r="J115" s="254">
        <f t="shared" si="14"/>
        <v>19329.319900449129</v>
      </c>
      <c r="K115" s="254">
        <f t="shared" si="14"/>
        <v>24813.577541911745</v>
      </c>
      <c r="L115" s="254">
        <f t="shared" si="14"/>
        <v>40484.372583860015</v>
      </c>
      <c r="M115" s="254">
        <f t="shared" si="14"/>
        <v>57202.41381014503</v>
      </c>
      <c r="N115" s="254">
        <f t="shared" si="14"/>
        <v>75460.17311270973</v>
      </c>
      <c r="O115" s="254">
        <f t="shared" ref="O115:Z115" si="15">SUM(O113:O114)</f>
        <v>85573.390801934147</v>
      </c>
      <c r="P115" s="254">
        <f t="shared" si="15"/>
        <v>69818.279514089925</v>
      </c>
      <c r="Q115" s="254">
        <f t="shared" si="15"/>
        <v>58626.846238904363</v>
      </c>
      <c r="R115" s="254">
        <f t="shared" si="15"/>
        <v>40792.209291347259</v>
      </c>
      <c r="S115" s="254">
        <f t="shared" si="15"/>
        <v>31064.940212577807</v>
      </c>
      <c r="T115" s="254">
        <f t="shared" si="15"/>
        <v>22986.891232797334</v>
      </c>
      <c r="U115" s="254">
        <f t="shared" si="15"/>
        <v>23460.604141957207</v>
      </c>
      <c r="V115" s="254">
        <f t="shared" si="15"/>
        <v>23460.812513760233</v>
      </c>
      <c r="W115" s="254">
        <f t="shared" si="15"/>
        <v>29419.066694242858</v>
      </c>
      <c r="X115" s="254">
        <f t="shared" si="15"/>
        <v>46444.266124018985</v>
      </c>
      <c r="Y115" s="254">
        <f t="shared" si="15"/>
        <v>64607.223727051685</v>
      </c>
      <c r="Z115" s="254">
        <f t="shared" si="15"/>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16">C80*C101</f>
        <v>420</v>
      </c>
      <c r="D118" s="566">
        <f t="shared" si="16"/>
        <v>420</v>
      </c>
      <c r="E118" s="566">
        <f t="shared" si="16"/>
        <v>420</v>
      </c>
      <c r="F118" s="566">
        <f t="shared" si="16"/>
        <v>420</v>
      </c>
      <c r="G118" s="566">
        <f t="shared" si="16"/>
        <v>420</v>
      </c>
      <c r="H118" s="566">
        <f t="shared" si="16"/>
        <v>420</v>
      </c>
      <c r="I118" s="566">
        <f t="shared" si="16"/>
        <v>420</v>
      </c>
      <c r="J118" s="566">
        <f t="shared" si="16"/>
        <v>420</v>
      </c>
      <c r="K118" s="566">
        <f t="shared" si="16"/>
        <v>420</v>
      </c>
      <c r="L118" s="566">
        <f t="shared" si="16"/>
        <v>420</v>
      </c>
      <c r="M118" s="566">
        <f t="shared" si="16"/>
        <v>420</v>
      </c>
      <c r="N118" s="566">
        <f t="shared" si="16"/>
        <v>420</v>
      </c>
      <c r="O118" s="566">
        <f t="shared" si="16"/>
        <v>600</v>
      </c>
      <c r="P118" s="566">
        <f t="shared" si="16"/>
        <v>600</v>
      </c>
      <c r="Q118" s="566">
        <f t="shared" si="16"/>
        <v>600</v>
      </c>
      <c r="R118" s="566">
        <f t="shared" si="16"/>
        <v>600</v>
      </c>
      <c r="S118" s="566">
        <f t="shared" si="16"/>
        <v>600</v>
      </c>
      <c r="T118" s="566">
        <f t="shared" si="16"/>
        <v>600</v>
      </c>
      <c r="U118" s="566">
        <f t="shared" si="16"/>
        <v>600</v>
      </c>
      <c r="V118" s="566">
        <f t="shared" si="16"/>
        <v>600</v>
      </c>
      <c r="W118" s="566">
        <f t="shared" si="16"/>
        <v>600</v>
      </c>
      <c r="X118" s="566">
        <f t="shared" si="16"/>
        <v>600</v>
      </c>
      <c r="Y118" s="566">
        <f t="shared" si="16"/>
        <v>600</v>
      </c>
      <c r="Z118" s="566">
        <f t="shared" si="16"/>
        <v>600</v>
      </c>
    </row>
    <row r="119" spans="1:26">
      <c r="A119" s="124">
        <f>MAX($A$10:A118)+1</f>
        <v>110</v>
      </c>
      <c r="B119" t="s">
        <v>160</v>
      </c>
      <c r="C119" s="227">
        <f t="shared" ref="C119:Z121" si="17">C92*C102</f>
        <v>678.10663854838708</v>
      </c>
      <c r="D119" s="227">
        <f t="shared" si="17"/>
        <v>632.42324419354838</v>
      </c>
      <c r="E119" s="227">
        <f t="shared" si="17"/>
        <v>662.37124064646457</v>
      </c>
      <c r="F119" s="227">
        <f t="shared" si="17"/>
        <v>610.86158712830957</v>
      </c>
      <c r="G119" s="227">
        <f t="shared" si="17"/>
        <v>517.40680971428571</v>
      </c>
      <c r="H119" s="227">
        <f t="shared" si="17"/>
        <v>331.37506400000001</v>
      </c>
      <c r="I119" s="227">
        <f t="shared" si="17"/>
        <v>283.84160515337425</v>
      </c>
      <c r="J119" s="227">
        <f t="shared" si="17"/>
        <v>271.62077737704919</v>
      </c>
      <c r="K119" s="227">
        <f t="shared" si="17"/>
        <v>287.22819139344261</v>
      </c>
      <c r="L119" s="227">
        <f t="shared" si="17"/>
        <v>356.08574514285721</v>
      </c>
      <c r="M119" s="227">
        <f t="shared" si="17"/>
        <v>518.6176476267749</v>
      </c>
      <c r="N119" s="227">
        <f t="shared" si="17"/>
        <v>621.58662448484847</v>
      </c>
      <c r="O119" s="227">
        <f t="shared" si="17"/>
        <v>677.05496854838702</v>
      </c>
      <c r="P119" s="227">
        <f t="shared" si="17"/>
        <v>631.44242419354839</v>
      </c>
      <c r="Q119" s="227">
        <f t="shared" si="17"/>
        <v>661.34397454545444</v>
      </c>
      <c r="R119" s="227">
        <f t="shared" si="17"/>
        <v>609.91420692464351</v>
      </c>
      <c r="S119" s="227">
        <f t="shared" si="17"/>
        <v>516.60436775510209</v>
      </c>
      <c r="T119" s="227">
        <f t="shared" si="17"/>
        <v>330.86113714285716</v>
      </c>
      <c r="U119" s="227">
        <f t="shared" si="17"/>
        <v>283.40139754601228</v>
      </c>
      <c r="V119" s="227">
        <f t="shared" si="17"/>
        <v>271.1995229508197</v>
      </c>
      <c r="W119" s="227">
        <f t="shared" si="17"/>
        <v>286.78273155737702</v>
      </c>
      <c r="X119" s="227">
        <f t="shared" si="17"/>
        <v>355.53349469387757</v>
      </c>
      <c r="Y119" s="227">
        <f t="shared" si="17"/>
        <v>517.81332778904664</v>
      </c>
      <c r="Z119" s="227">
        <f t="shared" si="17"/>
        <v>620.62261090909089</v>
      </c>
    </row>
    <row r="120" spans="1:26">
      <c r="A120" s="124">
        <f>MAX($A$10:A119)+1</f>
        <v>111</v>
      </c>
      <c r="B120" t="s">
        <v>161</v>
      </c>
      <c r="C120" s="227">
        <f t="shared" si="17"/>
        <v>2186.7069515120966</v>
      </c>
      <c r="D120" s="227">
        <f t="shared" si="17"/>
        <v>1809.0482781451612</v>
      </c>
      <c r="E120" s="227">
        <f t="shared" si="17"/>
        <v>1978.7292588282828</v>
      </c>
      <c r="F120" s="227">
        <f t="shared" si="17"/>
        <v>1533.8184920366598</v>
      </c>
      <c r="G120" s="227">
        <f t="shared" si="17"/>
        <v>1212.7204730000001</v>
      </c>
      <c r="H120" s="227">
        <f t="shared" si="17"/>
        <v>747.71464757142849</v>
      </c>
      <c r="I120" s="227">
        <f t="shared" si="17"/>
        <v>601.55871312883437</v>
      </c>
      <c r="J120" s="227">
        <f t="shared" si="17"/>
        <v>629.60873170081959</v>
      </c>
      <c r="K120" s="227">
        <f t="shared" si="17"/>
        <v>656.77059014344252</v>
      </c>
      <c r="L120" s="227">
        <f t="shared" si="17"/>
        <v>852.58453071428573</v>
      </c>
      <c r="M120" s="227">
        <f t="shared" si="17"/>
        <v>1192.093678985801</v>
      </c>
      <c r="N120" s="227">
        <f t="shared" si="17"/>
        <v>1707.0361811717171</v>
      </c>
      <c r="O120" s="227">
        <f t="shared" si="17"/>
        <v>2183.320959072581</v>
      </c>
      <c r="P120" s="227">
        <f t="shared" si="17"/>
        <v>1806.247068870968</v>
      </c>
      <c r="Q120" s="227">
        <f t="shared" si="17"/>
        <v>1975.6653081212123</v>
      </c>
      <c r="R120" s="227">
        <f t="shared" si="17"/>
        <v>1531.443460570265</v>
      </c>
      <c r="S120" s="227">
        <f t="shared" si="17"/>
        <v>1210.8426437142859</v>
      </c>
      <c r="T120" s="227">
        <f t="shared" si="17"/>
        <v>746.55685359183667</v>
      </c>
      <c r="U120" s="227">
        <f t="shared" si="17"/>
        <v>600.62723337423313</v>
      </c>
      <c r="V120" s="227">
        <f t="shared" si="17"/>
        <v>628.6338180737705</v>
      </c>
      <c r="W120" s="227">
        <f t="shared" si="17"/>
        <v>655.75361790983607</v>
      </c>
      <c r="X120" s="227">
        <f t="shared" si="17"/>
        <v>851.26435163265319</v>
      </c>
      <c r="Y120" s="227">
        <f t="shared" si="17"/>
        <v>1190.247789127789</v>
      </c>
      <c r="Z120" s="227">
        <f t="shared" si="17"/>
        <v>1704.3929318787877</v>
      </c>
    </row>
    <row r="121" spans="1:26">
      <c r="A121" s="124">
        <f>MAX($A$10:A120)+1</f>
        <v>112</v>
      </c>
      <c r="B121" t="s">
        <v>162</v>
      </c>
      <c r="C121" s="256">
        <f t="shared" si="17"/>
        <v>2115.6247458669354</v>
      </c>
      <c r="D121" s="256">
        <f t="shared" si="17"/>
        <v>1191.8559307459677</v>
      </c>
      <c r="E121" s="256">
        <f t="shared" si="17"/>
        <v>1824.613108888889</v>
      </c>
      <c r="F121" s="256">
        <f t="shared" si="17"/>
        <v>995.81673594704682</v>
      </c>
      <c r="G121" s="256">
        <f t="shared" si="17"/>
        <v>733.62360999999987</v>
      </c>
      <c r="H121" s="256">
        <f t="shared" si="17"/>
        <v>421.76095399999997</v>
      </c>
      <c r="I121" s="256">
        <f t="shared" si="17"/>
        <v>342.70203691206547</v>
      </c>
      <c r="J121" s="256">
        <f t="shared" si="17"/>
        <v>447.79068709016389</v>
      </c>
      <c r="K121" s="256">
        <f t="shared" si="17"/>
        <v>538.80195665983604</v>
      </c>
      <c r="L121" s="256">
        <f t="shared" si="17"/>
        <v>1295.114045</v>
      </c>
      <c r="M121" s="256">
        <f t="shared" si="17"/>
        <v>1002.9745395537525</v>
      </c>
      <c r="N121" s="256">
        <f t="shared" si="17"/>
        <v>1365.08561989899</v>
      </c>
      <c r="O121" s="256">
        <f t="shared" si="17"/>
        <v>2112.3415868951615</v>
      </c>
      <c r="P121" s="256">
        <f t="shared" si="17"/>
        <v>1190.0063340725808</v>
      </c>
      <c r="Q121" s="256">
        <f t="shared" si="17"/>
        <v>1821.7815600000001</v>
      </c>
      <c r="R121" s="256">
        <f t="shared" si="17"/>
        <v>994.27136517311612</v>
      </c>
      <c r="S121" s="256">
        <f t="shared" si="17"/>
        <v>732.48512693877547</v>
      </c>
      <c r="T121" s="256">
        <f t="shared" si="17"/>
        <v>421.10643893877551</v>
      </c>
      <c r="U121" s="256">
        <f t="shared" si="17"/>
        <v>342.17021042944788</v>
      </c>
      <c r="V121" s="256">
        <f t="shared" si="17"/>
        <v>447.09577745901635</v>
      </c>
      <c r="W121" s="256">
        <f t="shared" si="17"/>
        <v>537.96581004098368</v>
      </c>
      <c r="X121" s="256">
        <f t="shared" si="17"/>
        <v>1293.1042059183674</v>
      </c>
      <c r="Y121" s="256">
        <f t="shared" si="17"/>
        <v>1001.418060851927</v>
      </c>
      <c r="Z121" s="256">
        <f t="shared" si="17"/>
        <v>1362.9671945454547</v>
      </c>
    </row>
    <row r="122" spans="1:26">
      <c r="A122" s="124">
        <f>MAX($A$10:A121)+1</f>
        <v>113</v>
      </c>
      <c r="B122" t="s">
        <v>1736</v>
      </c>
      <c r="C122" s="254">
        <f t="shared" ref="C122:N122" si="18">SUM(C118:C121)</f>
        <v>5400.4383359274198</v>
      </c>
      <c r="D122" s="254">
        <f t="shared" si="18"/>
        <v>4053.327453084677</v>
      </c>
      <c r="E122" s="254">
        <f t="shared" si="18"/>
        <v>4885.713608363636</v>
      </c>
      <c r="F122" s="254">
        <f t="shared" si="18"/>
        <v>3560.4968151120161</v>
      </c>
      <c r="G122" s="254">
        <f t="shared" si="18"/>
        <v>2883.7508927142853</v>
      </c>
      <c r="H122" s="254">
        <f t="shared" si="18"/>
        <v>1920.8506655714286</v>
      </c>
      <c r="I122" s="254">
        <f t="shared" si="18"/>
        <v>1648.1023551942742</v>
      </c>
      <c r="J122" s="254">
        <f t="shared" si="18"/>
        <v>1769.0201961680327</v>
      </c>
      <c r="K122" s="254">
        <f t="shared" si="18"/>
        <v>1902.8007381967209</v>
      </c>
      <c r="L122" s="254">
        <f t="shared" si="18"/>
        <v>2923.784320857143</v>
      </c>
      <c r="M122" s="254">
        <f t="shared" si="18"/>
        <v>3133.6858661663287</v>
      </c>
      <c r="N122" s="254">
        <f t="shared" si="18"/>
        <v>4113.7084255555556</v>
      </c>
      <c r="O122" s="254">
        <f t="shared" ref="O122:Z122" si="19">SUM(O118:O121)</f>
        <v>5572.7175145161291</v>
      </c>
      <c r="P122" s="254">
        <f t="shared" si="19"/>
        <v>4227.6958271370977</v>
      </c>
      <c r="Q122" s="254">
        <f t="shared" si="19"/>
        <v>5058.7908426666672</v>
      </c>
      <c r="R122" s="254">
        <f t="shared" si="19"/>
        <v>3735.6290326680246</v>
      </c>
      <c r="S122" s="254">
        <f t="shared" si="19"/>
        <v>3059.9321384081632</v>
      </c>
      <c r="T122" s="254">
        <f t="shared" si="19"/>
        <v>2098.5244296734695</v>
      </c>
      <c r="U122" s="254">
        <f t="shared" si="19"/>
        <v>1826.1988413496933</v>
      </c>
      <c r="V122" s="254">
        <f t="shared" si="19"/>
        <v>1946.9291184836065</v>
      </c>
      <c r="W122" s="254">
        <f t="shared" si="19"/>
        <v>2080.5021595081967</v>
      </c>
      <c r="X122" s="254">
        <f t="shared" si="19"/>
        <v>3099.9020522448982</v>
      </c>
      <c r="Y122" s="254">
        <f t="shared" si="19"/>
        <v>3309.4791777687624</v>
      </c>
      <c r="Z122" s="254">
        <f t="shared" si="19"/>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10:C10"/>
    <mergeCell ref="B22:C22"/>
    <mergeCell ref="B40:C40"/>
    <mergeCell ref="B52:C52"/>
    <mergeCell ref="B70:Z70"/>
    <mergeCell ref="A6:C6"/>
    <mergeCell ref="A1:C1"/>
    <mergeCell ref="A2:C2"/>
    <mergeCell ref="A3:C3"/>
    <mergeCell ref="A4:C4"/>
    <mergeCell ref="A5:C5"/>
  </mergeCells>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2903-DE60-425D-9C01-472A0FB56FE4}">
  <sheetPr codeName="Sheet43">
    <pageSetUpPr fitToPage="1"/>
  </sheetPr>
  <dimension ref="A1:AY1048576"/>
  <sheetViews>
    <sheetView view="pageBreakPreview" zoomScale="70" zoomScaleNormal="100" zoomScaleSheetLayoutView="70" workbookViewId="0">
      <selection sqref="A1:L1"/>
    </sheetView>
  </sheetViews>
  <sheetFormatPr defaultColWidth="9.140625" defaultRowHeight="15" outlineLevelRow="1"/>
  <cols>
    <col min="1" max="1" width="6.28515625" style="2" customWidth="1"/>
    <col min="2" max="2" width="14.140625" style="1" bestFit="1" customWidth="1"/>
    <col min="3" max="3" width="17.42578125" style="1" customWidth="1"/>
    <col min="4" max="4" width="60.140625" style="1" bestFit="1" customWidth="1"/>
    <col min="5" max="5" width="13.5703125" style="2" bestFit="1" customWidth="1"/>
    <col min="6" max="6" width="18.85546875" style="1" bestFit="1" customWidth="1"/>
    <col min="7" max="8" width="18.85546875" style="1" customWidth="1"/>
    <col min="9" max="9" width="16.7109375" style="722" bestFit="1" customWidth="1"/>
    <col min="10" max="12" width="18" style="1" customWidth="1"/>
    <col min="13" max="13" width="15.140625" style="1" bestFit="1" customWidth="1"/>
    <col min="14" max="15" width="15.140625" style="1" customWidth="1"/>
    <col min="16" max="16" width="16.5703125" style="1" bestFit="1" customWidth="1"/>
    <col min="17" max="17" width="16.5703125" style="1" customWidth="1"/>
    <col min="18" max="30" width="18.5703125" style="1" customWidth="1"/>
    <col min="31" max="31" width="15" style="1" bestFit="1" customWidth="1"/>
    <col min="32" max="32" width="15" style="1" customWidth="1"/>
    <col min="33" max="33" width="9.140625" style="1"/>
    <col min="34" max="34" width="13.28515625" style="1" customWidth="1"/>
    <col min="35" max="36" width="16.140625" style="1" customWidth="1"/>
    <col min="37" max="37" width="9.140625" style="1"/>
    <col min="38" max="38" width="10.85546875" style="1" customWidth="1"/>
    <col min="39" max="39" width="9.140625" style="1"/>
    <col min="40" max="40" width="15.28515625" style="1" customWidth="1"/>
    <col min="41" max="41" width="14.7109375" style="1" customWidth="1"/>
    <col min="42" max="42" width="9.140625" style="1" customWidth="1"/>
    <col min="43" max="43" width="9.140625" style="1"/>
    <col min="44" max="44" width="13.5703125" style="1" customWidth="1"/>
    <col min="45" max="45" width="15.140625" style="1" customWidth="1"/>
    <col min="46" max="46" width="11.28515625" style="1" bestFit="1" customWidth="1"/>
    <col min="47" max="48" width="9.140625" style="1"/>
    <col min="49" max="49" width="15.7109375" style="1" customWidth="1"/>
    <col min="50" max="50" width="16.85546875" style="1" bestFit="1" customWidth="1"/>
    <col min="51" max="52" width="9.140625" style="1"/>
    <col min="53" max="53" width="9.7109375" style="1" bestFit="1" customWidth="1"/>
    <col min="54" max="16384" width="9.140625" style="1"/>
  </cols>
  <sheetData>
    <row r="1" spans="1:50">
      <c r="A1" s="1405" t="str">
        <f>Company</f>
        <v>Cascade Natural Gas Corp.</v>
      </c>
      <c r="B1" s="1405"/>
      <c r="C1" s="1405"/>
      <c r="D1" s="1405"/>
      <c r="E1" s="1405"/>
      <c r="F1" s="1405"/>
      <c r="G1" s="1405"/>
      <c r="H1" s="1405"/>
      <c r="I1" s="1405"/>
      <c r="J1" s="1405"/>
      <c r="K1" s="1405"/>
      <c r="L1" s="1405"/>
      <c r="M1" s="1275"/>
      <c r="N1" s="1275"/>
      <c r="O1" s="1275"/>
      <c r="P1" s="1" t="s">
        <v>1737</v>
      </c>
    </row>
    <row r="2" spans="1:50">
      <c r="A2" s="1405" t="str">
        <f>Title1</f>
        <v>Washington Jurisdiction</v>
      </c>
      <c r="B2" s="1405"/>
      <c r="C2" s="1405"/>
      <c r="D2" s="1405"/>
      <c r="E2" s="1405"/>
      <c r="F2" s="1405"/>
      <c r="G2" s="1405"/>
      <c r="H2" s="1405"/>
      <c r="I2" s="1405"/>
      <c r="J2" s="1405"/>
      <c r="K2" s="1405"/>
      <c r="L2" s="1405"/>
      <c r="M2" s="1275"/>
      <c r="N2" s="1275"/>
      <c r="O2" s="1275"/>
    </row>
    <row r="3" spans="1:50">
      <c r="A3" s="1405" t="str">
        <f>Title2</f>
        <v>Twelve-Months ended December 31, 2023</v>
      </c>
      <c r="B3" s="1405"/>
      <c r="C3" s="1405"/>
      <c r="D3" s="1405"/>
      <c r="E3" s="1405"/>
      <c r="F3" s="1405"/>
      <c r="G3" s="1405"/>
      <c r="H3" s="1405"/>
      <c r="I3" s="1405"/>
      <c r="J3" s="1405"/>
      <c r="K3" s="1405"/>
      <c r="L3" s="1405"/>
      <c r="M3" s="1275"/>
      <c r="N3" s="1275"/>
      <c r="O3" s="1275"/>
    </row>
    <row r="4" spans="1:50">
      <c r="A4" s="1405" t="str">
        <f>Title8</f>
        <v>UG-240008</v>
      </c>
      <c r="B4" s="1405"/>
      <c r="C4" s="1405"/>
      <c r="D4" s="1405"/>
      <c r="E4" s="1405"/>
      <c r="F4" s="1405"/>
      <c r="G4" s="1405"/>
      <c r="H4" s="1405"/>
      <c r="I4" s="1405"/>
      <c r="J4" s="1405"/>
      <c r="K4" s="1405"/>
      <c r="L4" s="1405"/>
      <c r="M4" s="1275"/>
      <c r="N4" s="1275"/>
      <c r="O4" s="1266"/>
    </row>
    <row r="5" spans="1:50">
      <c r="A5" s="1405" t="s">
        <v>708</v>
      </c>
      <c r="B5" s="1405"/>
      <c r="C5" s="1405"/>
      <c r="D5" s="1405"/>
      <c r="E5" s="1405"/>
      <c r="F5" s="1405"/>
      <c r="G5" s="1405"/>
      <c r="H5" s="1405"/>
      <c r="I5" s="1405"/>
      <c r="J5" s="1405"/>
      <c r="K5" s="1405"/>
      <c r="L5" s="1405"/>
      <c r="M5" s="1275"/>
      <c r="N5" s="1275"/>
      <c r="O5" s="1275"/>
    </row>
    <row r="6" spans="1:50">
      <c r="A6" s="1405" t="s">
        <v>1738</v>
      </c>
      <c r="B6" s="1405"/>
      <c r="C6" s="1405"/>
      <c r="D6" s="1405"/>
      <c r="E6" s="1405"/>
      <c r="F6" s="1405"/>
      <c r="G6" s="1405"/>
      <c r="H6" s="1405"/>
      <c r="I6" s="1405"/>
      <c r="J6" s="1405"/>
      <c r="K6" s="1405"/>
      <c r="L6" s="1405"/>
      <c r="M6" s="1275"/>
      <c r="N6" s="1275"/>
      <c r="O6" s="1275"/>
    </row>
    <row r="7" spans="1:50">
      <c r="D7" s="1274"/>
      <c r="N7" s="1">
        <v>1</v>
      </c>
      <c r="O7" s="1">
        <v>1</v>
      </c>
      <c r="P7" s="1">
        <v>1</v>
      </c>
      <c r="Q7" s="1">
        <v>0</v>
      </c>
      <c r="R7" s="1266">
        <f>+SUM(R10:R259)</f>
        <v>140193437.58551058</v>
      </c>
      <c r="S7" s="1266">
        <f>+SUM(S10:S259)</f>
        <v>107258633.47050503</v>
      </c>
      <c r="T7" s="1266">
        <f>+SUM(T10:T259)</f>
        <v>70238276.422495037</v>
      </c>
      <c r="U7" s="1266">
        <f>+SUM(U10:U259)</f>
        <v>47923572.6538091</v>
      </c>
    </row>
    <row r="8" spans="1:50" ht="45" outlineLevel="1">
      <c r="A8" s="67" t="s">
        <v>504</v>
      </c>
      <c r="B8" s="725" t="s">
        <v>1739</v>
      </c>
      <c r="C8" s="725" t="s">
        <v>1740</v>
      </c>
      <c r="D8" s="725" t="s">
        <v>1741</v>
      </c>
      <c r="E8" s="104" t="s">
        <v>1742</v>
      </c>
      <c r="F8" s="104" t="s">
        <v>1743</v>
      </c>
      <c r="G8" s="725" t="s">
        <v>1744</v>
      </c>
      <c r="H8" s="725" t="s">
        <v>1745</v>
      </c>
      <c r="I8" s="710" t="s">
        <v>1746</v>
      </c>
      <c r="J8" s="725" t="s">
        <v>1747</v>
      </c>
      <c r="K8" s="725" t="s">
        <v>1748</v>
      </c>
      <c r="L8" s="725" t="s">
        <v>1749</v>
      </c>
      <c r="M8"/>
      <c r="N8" s="1298" t="s">
        <v>4170</v>
      </c>
      <c r="O8" s="1298" t="s">
        <v>4171</v>
      </c>
      <c r="P8" s="1298" t="s">
        <v>4172</v>
      </c>
      <c r="Q8" s="1298" t="s">
        <v>4173</v>
      </c>
      <c r="R8" s="556" t="s">
        <v>4175</v>
      </c>
      <c r="S8" s="556" t="s">
        <v>4176</v>
      </c>
      <c r="T8" s="556" t="s">
        <v>4178</v>
      </c>
      <c r="U8" s="556" t="s">
        <v>4177</v>
      </c>
      <c r="V8" s="556"/>
      <c r="W8" s="556"/>
      <c r="X8" s="556"/>
      <c r="Y8" s="556"/>
      <c r="Z8" s="556"/>
      <c r="AA8" s="556"/>
      <c r="AB8" s="556"/>
      <c r="AC8" s="556"/>
      <c r="AD8" s="556"/>
      <c r="AF8" s="1273" t="s">
        <v>1750</v>
      </c>
      <c r="AL8" s="2"/>
    </row>
    <row r="9" spans="1:50" outlineLevel="1">
      <c r="A9" s="67"/>
      <c r="B9" s="725" t="s">
        <v>439</v>
      </c>
      <c r="C9" s="725" t="s">
        <v>208</v>
      </c>
      <c r="D9" s="725" t="s">
        <v>209</v>
      </c>
      <c r="E9" s="104" t="s">
        <v>440</v>
      </c>
      <c r="F9" s="104" t="s">
        <v>441</v>
      </c>
      <c r="G9" s="725" t="s">
        <v>442</v>
      </c>
      <c r="H9" s="725" t="s">
        <v>443</v>
      </c>
      <c r="I9" s="726" t="s">
        <v>444</v>
      </c>
      <c r="J9" s="725" t="s">
        <v>445</v>
      </c>
      <c r="K9" s="725" t="s">
        <v>446</v>
      </c>
      <c r="L9" s="725" t="s">
        <v>447</v>
      </c>
      <c r="M9"/>
      <c r="N9"/>
      <c r="O9"/>
      <c r="P9"/>
      <c r="Q9"/>
      <c r="AF9" s="1272" t="s">
        <v>1751</v>
      </c>
      <c r="AL9" s="2"/>
    </row>
    <row r="10" spans="1:50" ht="14.25" customHeight="1" outlineLevel="1">
      <c r="A10" s="545">
        <v>1</v>
      </c>
      <c r="B10" s="716" t="s">
        <v>1752</v>
      </c>
      <c r="C10" s="727" t="s">
        <v>1753</v>
      </c>
      <c r="D10" s="727" t="s">
        <v>1754</v>
      </c>
      <c r="E10" s="559">
        <v>303</v>
      </c>
      <c r="F10" s="1302" cm="1">
        <f t="array" ref="F10">+IF(SUM(VALUE(N10:Q10)*$N$7:$Q$7)=0,R10,T10)</f>
        <v>3643178.61</v>
      </c>
      <c r="G10" s="103">
        <f>+F10</f>
        <v>3643178.61</v>
      </c>
      <c r="H10" s="990">
        <v>45657</v>
      </c>
      <c r="I10" s="1302" cm="1">
        <f t="array" ref="I10">+IF(SUM(VALUE(N10:Q10)*$N$7:$Q$7)=0,S10,U10)</f>
        <v>0</v>
      </c>
      <c r="J10" s="103">
        <f t="shared" ref="J10:J30" si="0">+I10</f>
        <v>0</v>
      </c>
      <c r="K10" s="575">
        <v>46022</v>
      </c>
      <c r="L10" s="6">
        <v>250000</v>
      </c>
      <c r="M10"/>
      <c r="N10" s="1299">
        <v>0</v>
      </c>
      <c r="O10" s="1300">
        <v>0</v>
      </c>
      <c r="P10" s="1300">
        <v>1</v>
      </c>
      <c r="Q10" s="1300">
        <v>0</v>
      </c>
      <c r="R10" s="1266">
        <v>3980874.52</v>
      </c>
      <c r="S10" s="1266">
        <v>1038161.99</v>
      </c>
      <c r="T10" s="1266">
        <f>+IF($Q10=1,$G10,INDEX([1]Summary!$K$5:$K$110,MATCH($C10,[1]Summary!$D$5:$D111,0)))</f>
        <v>3643178.61</v>
      </c>
      <c r="U10" s="1266">
        <f>+IF($Q10=1,$J10,INDEX([1]Summary!$L$5:$L$110,MATCH($C10,[1]Summary!$D$5:$D111,0)))</f>
        <v>0</v>
      </c>
      <c r="AF10" s="1272"/>
      <c r="AL10" s="2"/>
    </row>
    <row r="11" spans="1:50" outlineLevel="1">
      <c r="A11" s="545">
        <f>MAX($A$10:A10)+1</f>
        <v>2</v>
      </c>
      <c r="B11" s="716" t="s">
        <v>1752</v>
      </c>
      <c r="C11" s="716" t="s">
        <v>1755</v>
      </c>
      <c r="D11" s="716" t="s">
        <v>1756</v>
      </c>
      <c r="E11" s="559">
        <v>303</v>
      </c>
      <c r="F11" s="1302" cm="1">
        <f t="array" ref="F11">+IF(SUM(VALUE(N11:Q11)*$N$7:$Q$7)=0,R11,T11)</f>
        <v>89593.503333333341</v>
      </c>
      <c r="G11" s="103">
        <f>+F11</f>
        <v>89593.503333333341</v>
      </c>
      <c r="H11" s="575">
        <v>45657</v>
      </c>
      <c r="I11" s="1302" cm="1">
        <f t="array" ref="I11">+IF(SUM(VALUE(N11:Q11)*$N$7:$Q$7)=0,S11,U11)</f>
        <v>89593.503333333341</v>
      </c>
      <c r="J11" s="103">
        <f t="shared" si="0"/>
        <v>89593.503333333341</v>
      </c>
      <c r="K11" s="575">
        <v>46022</v>
      </c>
      <c r="L11" s="6">
        <v>12500</v>
      </c>
      <c r="M11"/>
      <c r="N11" s="1299">
        <v>0</v>
      </c>
      <c r="O11" s="1300">
        <v>0</v>
      </c>
      <c r="P11" s="1300">
        <v>1</v>
      </c>
      <c r="Q11" s="1300">
        <v>0</v>
      </c>
      <c r="R11" s="1266">
        <v>148544.66</v>
      </c>
      <c r="S11" s="1266">
        <v>185337.55</v>
      </c>
      <c r="T11" s="1266">
        <f>+IF($Q11=1,$G11,INDEX([1]Summary!$K$5:$K$110,MATCH($C11,[1]Summary!$D$5:$D112,0)))</f>
        <v>89593.503333333341</v>
      </c>
      <c r="U11" s="1266">
        <f>+IF($Q11=1,$J11,INDEX([1]Summary!$L$5:$L$110,MATCH($C11,[1]Summary!$D$5:$D112,0)))</f>
        <v>89593.503333333341</v>
      </c>
      <c r="V11" s="721"/>
      <c r="W11" s="721"/>
      <c r="X11" s="721"/>
      <c r="Y11" s="721"/>
      <c r="Z11" s="721"/>
      <c r="AA11" s="721"/>
      <c r="AB11" s="721"/>
      <c r="AC11" s="721"/>
      <c r="AD11" s="721"/>
      <c r="AF11" s="720"/>
      <c r="AI11" s="105"/>
      <c r="AJ11" s="105"/>
      <c r="AL11" s="2"/>
      <c r="AN11" s="105"/>
      <c r="AO11" s="105"/>
      <c r="AP11" s="105"/>
      <c r="AS11" s="105"/>
      <c r="AT11" s="721"/>
      <c r="AW11" s="105"/>
      <c r="AX11" s="721"/>
    </row>
    <row r="12" spans="1:50" outlineLevel="1">
      <c r="A12" s="545">
        <f>MAX($A$10:A11)+1</f>
        <v>3</v>
      </c>
      <c r="B12" s="716" t="s">
        <v>1752</v>
      </c>
      <c r="C12" s="14" t="s">
        <v>1757</v>
      </c>
      <c r="D12" s="14" t="s">
        <v>1758</v>
      </c>
      <c r="E12" s="559">
        <v>303</v>
      </c>
      <c r="F12" s="1302" cm="1">
        <f t="array" ref="F12">+IF(SUM(VALUE(N12:Q12)*$N$7:$Q$7)=0,R12,T12)</f>
        <v>0</v>
      </c>
      <c r="G12" s="103"/>
      <c r="H12" s="103"/>
      <c r="I12" s="1302" cm="1">
        <f t="array" ref="I12">+IF(SUM(VALUE(N12:Q12)*$N$7:$Q$7)=0,S12,U12)</f>
        <v>2616181.56</v>
      </c>
      <c r="J12" s="103">
        <f t="shared" si="0"/>
        <v>2616181.56</v>
      </c>
      <c r="K12" s="575">
        <v>45839</v>
      </c>
      <c r="L12" s="6">
        <v>20000</v>
      </c>
      <c r="M12"/>
      <c r="N12" s="1299">
        <v>0</v>
      </c>
      <c r="O12" s="1300">
        <v>1</v>
      </c>
      <c r="P12" s="1300">
        <v>0</v>
      </c>
      <c r="Q12" s="1300">
        <v>0</v>
      </c>
      <c r="R12" s="1266">
        <v>0</v>
      </c>
      <c r="S12" s="1266">
        <v>2616181.56</v>
      </c>
      <c r="T12" s="1266">
        <f>+IF($Q12=1,$G12,INDEX([1]Summary!$K$5:$K$110,MATCH($C12,[1]Summary!$D$5:$D113,0)))</f>
        <v>0</v>
      </c>
      <c r="U12" s="1266">
        <f>+IF($Q12=1,$J12,INDEX([1]Summary!$L$5:$L$110,MATCH($C12,[1]Summary!$D$5:$D113,0)))</f>
        <v>2616181.56</v>
      </c>
      <c r="V12" s="721"/>
      <c r="W12" s="721"/>
      <c r="X12" s="721"/>
      <c r="Y12" s="721"/>
      <c r="Z12" s="721"/>
      <c r="AA12" s="721"/>
      <c r="AB12" s="721"/>
      <c r="AC12" s="721"/>
      <c r="AD12" s="721"/>
      <c r="AF12" s="720"/>
      <c r="AI12" s="105"/>
      <c r="AJ12" s="105"/>
      <c r="AL12" s="2"/>
      <c r="AN12" s="105"/>
      <c r="AO12" s="105"/>
      <c r="AP12" s="105"/>
      <c r="AS12" s="105"/>
      <c r="AT12" s="721"/>
      <c r="AW12" s="105"/>
      <c r="AX12" s="721"/>
    </row>
    <row r="13" spans="1:50" outlineLevel="1">
      <c r="A13" s="545">
        <f>MAX($A$10:A12)+1</f>
        <v>4</v>
      </c>
      <c r="B13" s="716" t="s">
        <v>1752</v>
      </c>
      <c r="C13" s="716" t="s">
        <v>1759</v>
      </c>
      <c r="D13" s="716" t="s">
        <v>1760</v>
      </c>
      <c r="E13" s="559">
        <v>303</v>
      </c>
      <c r="F13" s="1302" cm="1">
        <f t="array" ref="F13">+IF(SUM(VALUE(N13:Q13)*$N$7:$Q$7)=0,R13,T13)</f>
        <v>109304.13</v>
      </c>
      <c r="G13" s="103">
        <f>+F13</f>
        <v>109304.13</v>
      </c>
      <c r="H13" s="575">
        <v>45657</v>
      </c>
      <c r="I13" s="1302" cm="1">
        <f t="array" ref="I13">+IF(SUM(VALUE(N13:Q13)*$N$7:$Q$7)=0,S13,U13)</f>
        <v>20571.150000000001</v>
      </c>
      <c r="J13" s="103">
        <f t="shared" si="0"/>
        <v>20571.150000000001</v>
      </c>
      <c r="K13" s="575">
        <v>46022</v>
      </c>
      <c r="L13" s="6"/>
      <c r="M13"/>
      <c r="N13" s="1299">
        <v>0</v>
      </c>
      <c r="O13" s="1300">
        <v>0</v>
      </c>
      <c r="P13" s="1300">
        <v>0</v>
      </c>
      <c r="Q13" s="1300">
        <v>1</v>
      </c>
      <c r="R13" s="1266">
        <v>109304.13</v>
      </c>
      <c r="S13" s="1266">
        <v>20571.150000000001</v>
      </c>
      <c r="T13" s="1266">
        <f>+IF($Q13=1,$G13,INDEX([1]Summary!$K$5:$K$110,MATCH($C13,[1]Summary!$D$5:$D114,0)))</f>
        <v>109304.13</v>
      </c>
      <c r="U13" s="1266">
        <f>+IF($Q13=1,$J13,INDEX([1]Summary!$L$5:$L$110,MATCH($C13,[1]Summary!$D$5:$D114,0)))</f>
        <v>20571.150000000001</v>
      </c>
      <c r="V13" s="721"/>
      <c r="W13" s="721"/>
      <c r="X13" s="721"/>
      <c r="Y13" s="721"/>
      <c r="Z13" s="721"/>
      <c r="AA13" s="721"/>
      <c r="AB13" s="721"/>
      <c r="AC13" s="721"/>
      <c r="AD13" s="721"/>
      <c r="AF13" s="720"/>
      <c r="AI13" s="105"/>
      <c r="AJ13" s="105"/>
      <c r="AN13" s="105"/>
      <c r="AO13" s="105"/>
      <c r="AP13" s="105"/>
      <c r="AS13" s="105"/>
      <c r="AT13" s="721"/>
      <c r="AW13" s="105"/>
      <c r="AX13" s="721"/>
    </row>
    <row r="14" spans="1:50" outlineLevel="1">
      <c r="A14" s="545">
        <f>MAX($A$10:A13)+1</f>
        <v>5</v>
      </c>
      <c r="B14" s="716" t="s">
        <v>1752</v>
      </c>
      <c r="C14" s="716" t="s">
        <v>1761</v>
      </c>
      <c r="D14" s="716" t="s">
        <v>1762</v>
      </c>
      <c r="E14" s="559">
        <v>303</v>
      </c>
      <c r="F14" s="1302" cm="1">
        <f t="array" ref="F14">+IF(SUM(VALUE(N14:Q14)*$N$7:$Q$7)=0,R14,T14)</f>
        <v>3016751.45</v>
      </c>
      <c r="G14" s="103">
        <f>+F14</f>
        <v>3016751.45</v>
      </c>
      <c r="H14" s="575">
        <v>45595</v>
      </c>
      <c r="I14" s="1302" cm="1">
        <f t="array" ref="I14">+IF(SUM(VALUE(N14:Q14)*$N$7:$Q$7)=0,S14,U14)</f>
        <v>0</v>
      </c>
      <c r="J14" s="103">
        <f t="shared" si="0"/>
        <v>0</v>
      </c>
      <c r="K14" s="103"/>
      <c r="L14" s="6"/>
      <c r="M14"/>
      <c r="N14" s="1299">
        <v>0</v>
      </c>
      <c r="O14" s="1300">
        <v>1</v>
      </c>
      <c r="P14" s="1300">
        <v>0</v>
      </c>
      <c r="Q14" s="1300">
        <v>0</v>
      </c>
      <c r="R14" s="1266">
        <v>3016751.45</v>
      </c>
      <c r="S14" s="1266">
        <v>0</v>
      </c>
      <c r="T14" s="1266">
        <f>+IF($Q14=1,$G14,INDEX([1]Summary!$K$5:$K$110,MATCH($C14,[1]Summary!$D$5:$D115,0)))</f>
        <v>3016751.45</v>
      </c>
      <c r="U14" s="1266">
        <f>+IF($Q14=1,$J14,INDEX([1]Summary!$L$5:$L$110,MATCH($C14,[1]Summary!$D$5:$D115,0)))</f>
        <v>0</v>
      </c>
      <c r="V14" s="721"/>
      <c r="W14" s="721"/>
      <c r="X14" s="721"/>
      <c r="Y14" s="721"/>
      <c r="Z14" s="721"/>
      <c r="AA14" s="721"/>
      <c r="AB14" s="721"/>
      <c r="AC14" s="721"/>
      <c r="AD14" s="721"/>
      <c r="AF14" s="720"/>
      <c r="AI14" s="105"/>
      <c r="AJ14" s="105"/>
      <c r="AN14" s="105"/>
      <c r="AO14" s="105"/>
      <c r="AP14" s="105"/>
      <c r="AS14" s="105"/>
      <c r="AT14" s="721"/>
      <c r="AW14" s="105"/>
      <c r="AX14" s="721"/>
    </row>
    <row r="15" spans="1:50" outlineLevel="1">
      <c r="A15" s="545">
        <f>MAX($A$10:A14)+1</f>
        <v>6</v>
      </c>
      <c r="B15" s="716" t="s">
        <v>1752</v>
      </c>
      <c r="C15" s="14" t="s">
        <v>1763</v>
      </c>
      <c r="D15" s="14" t="s">
        <v>1764</v>
      </c>
      <c r="E15" s="559">
        <v>303</v>
      </c>
      <c r="F15" s="1302" cm="1">
        <f t="array" ref="F15">+IF(SUM(VALUE(N15:Q15)*$N$7:$Q$7)=0,R15,T15)</f>
        <v>0</v>
      </c>
      <c r="G15" s="103"/>
      <c r="I15" s="1302" cm="1">
        <f t="array" ref="I15">+IF(SUM(VALUE(N15:Q15)*$N$7:$Q$7)=0,S15,U15)</f>
        <v>0</v>
      </c>
      <c r="J15" s="103">
        <f t="shared" si="0"/>
        <v>0</v>
      </c>
      <c r="K15" s="717">
        <v>45962</v>
      </c>
      <c r="L15" s="6"/>
      <c r="M15"/>
      <c r="N15" s="1299">
        <v>0</v>
      </c>
      <c r="O15" s="1300">
        <v>1</v>
      </c>
      <c r="P15" s="1300">
        <v>0</v>
      </c>
      <c r="Q15" s="1300">
        <v>0</v>
      </c>
      <c r="R15" s="1266">
        <v>0</v>
      </c>
      <c r="S15" s="1266">
        <v>5054117.12</v>
      </c>
      <c r="T15" s="1266">
        <f>+IF($Q15=1,$G15,INDEX([1]Summary!$K$5:$K$110,MATCH($C15,[1]Summary!$D$5:$D116,0)))</f>
        <v>0</v>
      </c>
      <c r="U15" s="1266">
        <f>+IF($Q15=1,$J15,INDEX([1]Summary!$L$5:$L$110,MATCH($C15,[1]Summary!$D$5:$D116,0)))</f>
        <v>0</v>
      </c>
      <c r="V15" s="721"/>
      <c r="W15" s="721"/>
      <c r="X15" s="721"/>
      <c r="Y15" s="721"/>
      <c r="Z15" s="721"/>
      <c r="AA15" s="721"/>
      <c r="AB15" s="721"/>
      <c r="AC15" s="721"/>
      <c r="AD15" s="721"/>
      <c r="AF15" s="720"/>
      <c r="AI15" s="105"/>
      <c r="AJ15" s="105"/>
      <c r="AN15" s="105"/>
      <c r="AO15" s="105"/>
      <c r="AP15" s="105"/>
      <c r="AS15" s="105"/>
      <c r="AT15" s="721"/>
      <c r="AW15" s="105"/>
      <c r="AX15" s="721"/>
    </row>
    <row r="16" spans="1:50" outlineLevel="1">
      <c r="A16" s="545">
        <f>MAX($A$10:A15)+1</f>
        <v>7</v>
      </c>
      <c r="B16" s="716" t="s">
        <v>1752</v>
      </c>
      <c r="C16" s="716" t="s">
        <v>1765</v>
      </c>
      <c r="D16" s="716" t="s">
        <v>1766</v>
      </c>
      <c r="E16" s="559">
        <v>303</v>
      </c>
      <c r="F16" s="1302" cm="1">
        <f t="array" ref="F16">+IF(SUM(VALUE(N16:Q16)*$N$7:$Q$7)=0,R16,T16)</f>
        <v>30964.215000000004</v>
      </c>
      <c r="G16" s="103">
        <f t="shared" ref="G16:G25" si="1">+F16</f>
        <v>30964.215000000004</v>
      </c>
      <c r="H16" s="717">
        <v>45657</v>
      </c>
      <c r="I16" s="1302" cm="1">
        <f t="array" ref="I16">+IF(SUM(VALUE(N16:Q16)*$N$7:$Q$7)=0,S16,U16)</f>
        <v>30964.215000000004</v>
      </c>
      <c r="J16" s="103">
        <f t="shared" si="0"/>
        <v>30964.215000000004</v>
      </c>
      <c r="K16" s="575">
        <v>46022</v>
      </c>
      <c r="L16" s="6"/>
      <c r="M16"/>
      <c r="N16" s="1299">
        <v>0</v>
      </c>
      <c r="O16" s="1300">
        <v>0</v>
      </c>
      <c r="P16" s="1300">
        <v>1</v>
      </c>
      <c r="Q16" s="1300">
        <v>0</v>
      </c>
      <c r="R16" s="1266">
        <v>44563.44</v>
      </c>
      <c r="S16" s="1266">
        <v>48576.72</v>
      </c>
      <c r="T16" s="1266">
        <f>+IF($Q16=1,$G16,INDEX([1]Summary!$K$5:$K$110,MATCH($C16,[1]Summary!$D$5:$D117,0)))</f>
        <v>30964.215000000004</v>
      </c>
      <c r="U16" s="1266">
        <f>+IF($Q16=1,$J16,INDEX([1]Summary!$L$5:$L$110,MATCH($C16,[1]Summary!$D$5:$D117,0)))</f>
        <v>30964.215000000004</v>
      </c>
      <c r="V16" s="721"/>
      <c r="W16" s="721"/>
      <c r="X16" s="721"/>
      <c r="Y16" s="721"/>
      <c r="Z16" s="721"/>
      <c r="AA16" s="721"/>
      <c r="AB16" s="721"/>
      <c r="AC16" s="721"/>
      <c r="AD16" s="721"/>
      <c r="AF16" s="720"/>
      <c r="AI16" s="105"/>
      <c r="AJ16" s="105"/>
      <c r="AN16" s="105"/>
      <c r="AO16" s="105"/>
      <c r="AP16" s="105"/>
      <c r="AS16" s="105"/>
      <c r="AT16" s="721"/>
      <c r="AW16" s="105"/>
      <c r="AX16" s="721"/>
    </row>
    <row r="17" spans="1:50" outlineLevel="1">
      <c r="A17" s="545">
        <f>MAX($A$10:A16)+1</f>
        <v>8</v>
      </c>
      <c r="B17" s="716" t="s">
        <v>1752</v>
      </c>
      <c r="C17" s="716" t="s">
        <v>1767</v>
      </c>
      <c r="D17" s="716" t="s">
        <v>1768</v>
      </c>
      <c r="E17" s="559">
        <v>303</v>
      </c>
      <c r="F17" s="1302" cm="1">
        <f t="array" ref="F17">+IF(SUM(VALUE(N17:Q17)*$N$7:$Q$7)=0,R17,T17)</f>
        <v>395808.65</v>
      </c>
      <c r="G17" s="103">
        <f t="shared" si="1"/>
        <v>395808.65</v>
      </c>
      <c r="H17" s="717">
        <v>45505</v>
      </c>
      <c r="I17" s="1302" cm="1">
        <f t="array" ref="I17">+IF(SUM(VALUE(N17:Q17)*$N$7:$Q$7)=0,S17,U17)</f>
        <v>0</v>
      </c>
      <c r="J17" s="103">
        <f t="shared" si="0"/>
        <v>0</v>
      </c>
      <c r="K17" s="103"/>
      <c r="L17" s="6"/>
      <c r="M17"/>
      <c r="N17" s="1299">
        <v>0</v>
      </c>
      <c r="O17" s="1300">
        <v>0</v>
      </c>
      <c r="P17" s="1300">
        <v>0</v>
      </c>
      <c r="Q17" s="1300">
        <v>1</v>
      </c>
      <c r="R17" s="1266">
        <v>395808.65</v>
      </c>
      <c r="S17" s="1266">
        <v>0</v>
      </c>
      <c r="T17" s="1266">
        <f>+IF($Q17=1,$G17,INDEX([1]Summary!$K$5:$K$110,MATCH($C17,[1]Summary!$D$5:$D118,0)))</f>
        <v>395808.65</v>
      </c>
      <c r="U17" s="1266">
        <f>+IF($Q17=1,$J17,INDEX([1]Summary!$L$5:$L$110,MATCH($C17,[1]Summary!$D$5:$D118,0)))</f>
        <v>0</v>
      </c>
      <c r="V17" s="721"/>
      <c r="W17" s="721"/>
      <c r="X17" s="721"/>
      <c r="Y17" s="721"/>
      <c r="Z17" s="721"/>
      <c r="AA17" s="721"/>
      <c r="AB17" s="721"/>
      <c r="AC17" s="721"/>
      <c r="AD17" s="721"/>
      <c r="AF17" s="720"/>
      <c r="AI17" s="105"/>
      <c r="AJ17" s="105"/>
      <c r="AL17" s="2"/>
      <c r="AN17" s="105"/>
      <c r="AO17" s="105"/>
      <c r="AP17" s="105"/>
      <c r="AS17" s="105"/>
      <c r="AT17" s="721"/>
      <c r="AW17" s="105"/>
      <c r="AX17" s="721"/>
    </row>
    <row r="18" spans="1:50" outlineLevel="1">
      <c r="A18" s="545">
        <f>MAX($A$10:A17)+1</f>
        <v>9</v>
      </c>
      <c r="B18" s="716" t="s">
        <v>1752</v>
      </c>
      <c r="C18" s="716" t="s">
        <v>1769</v>
      </c>
      <c r="D18" s="716" t="s">
        <v>1770</v>
      </c>
      <c r="E18" s="559">
        <v>303</v>
      </c>
      <c r="F18" s="1302" cm="1">
        <f t="array" ref="F18">+IF(SUM(VALUE(N18:Q18)*$N$7:$Q$7)=0,R18,T18)</f>
        <v>249076.76</v>
      </c>
      <c r="G18" s="103">
        <f t="shared" si="1"/>
        <v>249076.76</v>
      </c>
      <c r="H18" s="717">
        <v>45565</v>
      </c>
      <c r="I18" s="1302" cm="1">
        <f t="array" ref="I18">+IF(SUM(VALUE(N18:Q18)*$N$7:$Q$7)=0,S18,U18)</f>
        <v>0</v>
      </c>
      <c r="J18" s="103">
        <f t="shared" si="0"/>
        <v>0</v>
      </c>
      <c r="K18" s="103"/>
      <c r="L18" s="6"/>
      <c r="M18"/>
      <c r="N18" s="1299">
        <v>0</v>
      </c>
      <c r="O18" s="1300">
        <v>0</v>
      </c>
      <c r="P18" s="1300">
        <v>0</v>
      </c>
      <c r="Q18" s="1300">
        <v>1</v>
      </c>
      <c r="R18" s="1266">
        <v>249076.76</v>
      </c>
      <c r="S18" s="1266">
        <v>0</v>
      </c>
      <c r="T18" s="1266">
        <f>+IF($Q18=1,$G18,INDEX([1]Summary!$K$5:$K$110,MATCH($C18,[1]Summary!$D$5:$D119,0)))</f>
        <v>249076.76</v>
      </c>
      <c r="U18" s="1266">
        <f>+IF($Q18=1,$J18,INDEX([1]Summary!$L$5:$L$110,MATCH($C18,[1]Summary!$D$5:$D119,0)))</f>
        <v>0</v>
      </c>
      <c r="V18" s="721"/>
      <c r="W18" s="721"/>
      <c r="X18" s="721"/>
      <c r="Y18" s="721"/>
      <c r="Z18" s="721"/>
      <c r="AA18" s="721"/>
      <c r="AB18" s="721"/>
      <c r="AC18" s="721"/>
      <c r="AD18" s="721"/>
      <c r="AF18" s="720"/>
      <c r="AI18" s="105"/>
      <c r="AJ18" s="105"/>
      <c r="AL18" s="2"/>
      <c r="AN18" s="105"/>
      <c r="AO18" s="105"/>
      <c r="AP18" s="105"/>
      <c r="AS18" s="105"/>
      <c r="AT18" s="721"/>
      <c r="AW18" s="105"/>
      <c r="AX18" s="721"/>
    </row>
    <row r="19" spans="1:50" outlineLevel="1">
      <c r="A19" s="545">
        <f>MAX($A$10:A18)+1</f>
        <v>10</v>
      </c>
      <c r="B19" s="716" t="s">
        <v>1752</v>
      </c>
      <c r="C19" s="14" t="s">
        <v>1771</v>
      </c>
      <c r="D19" s="14" t="s">
        <v>1772</v>
      </c>
      <c r="E19" s="559">
        <v>303</v>
      </c>
      <c r="F19" s="1302" cm="1">
        <f t="array" ref="F19">+IF(SUM(VALUE(N19:Q19)*$N$7:$Q$7)=0,R19,T19)</f>
        <v>0</v>
      </c>
      <c r="G19" s="103">
        <f t="shared" si="1"/>
        <v>0</v>
      </c>
      <c r="I19" s="1302" cm="1">
        <f t="array" ref="I19">+IF(SUM(VALUE(N19:Q19)*$N$7:$Q$7)=0,S19,U19)</f>
        <v>870373.19</v>
      </c>
      <c r="J19" s="103">
        <f t="shared" si="0"/>
        <v>870373.19</v>
      </c>
      <c r="K19" s="717">
        <v>45991</v>
      </c>
      <c r="L19" s="6"/>
      <c r="M19"/>
      <c r="N19" s="1299">
        <v>0</v>
      </c>
      <c r="O19" s="1300">
        <v>0</v>
      </c>
      <c r="P19" s="1300">
        <v>0</v>
      </c>
      <c r="Q19" s="1300">
        <v>1</v>
      </c>
      <c r="R19" s="1266">
        <v>0</v>
      </c>
      <c r="S19" s="1266">
        <v>870373.19</v>
      </c>
      <c r="T19" s="1266">
        <f>+IF($Q19=1,$G19,INDEX([1]Summary!$K$5:$K$110,MATCH($C19,[1]Summary!$D$5:$D120,0)))</f>
        <v>0</v>
      </c>
      <c r="U19" s="1266">
        <f>+IF($Q19=1,$J19,INDEX([1]Summary!$L$5:$L$110,MATCH($C19,[1]Summary!$D$5:$D120,0)))</f>
        <v>870373.19</v>
      </c>
      <c r="V19" s="721"/>
      <c r="W19" s="721"/>
      <c r="X19" s="721"/>
      <c r="Y19" s="721"/>
      <c r="Z19" s="721"/>
      <c r="AA19" s="721"/>
      <c r="AB19" s="721"/>
      <c r="AC19" s="721"/>
      <c r="AD19" s="721"/>
      <c r="AF19" s="720"/>
      <c r="AI19" s="105"/>
      <c r="AJ19" s="105"/>
      <c r="AL19" s="2"/>
      <c r="AN19" s="105"/>
      <c r="AO19" s="105"/>
      <c r="AP19" s="105"/>
      <c r="AS19" s="105"/>
      <c r="AT19" s="721"/>
      <c r="AW19" s="105"/>
      <c r="AX19" s="721"/>
    </row>
    <row r="20" spans="1:50" outlineLevel="1">
      <c r="A20" s="545">
        <f>MAX($A$10:A19)+1</f>
        <v>11</v>
      </c>
      <c r="B20" s="716" t="s">
        <v>1752</v>
      </c>
      <c r="C20" s="716" t="s">
        <v>1773</v>
      </c>
      <c r="D20" s="1" t="s">
        <v>1774</v>
      </c>
      <c r="E20" s="559">
        <v>303</v>
      </c>
      <c r="F20" s="1302" cm="1">
        <f t="array" ref="F20">+IF(SUM(VALUE(N20:Q20)*$N$7:$Q$7)=0,R20,T20)</f>
        <v>0</v>
      </c>
      <c r="G20" s="103">
        <f t="shared" si="1"/>
        <v>0</v>
      </c>
      <c r="H20" s="717"/>
      <c r="I20" s="1302" cm="1">
        <f t="array" ref="I20">+IF(SUM(VALUE(N20:Q20)*$N$7:$Q$7)=0,S20,U20)</f>
        <v>52427.32</v>
      </c>
      <c r="J20" s="103">
        <f t="shared" si="0"/>
        <v>52427.32</v>
      </c>
      <c r="K20" s="575">
        <v>45809</v>
      </c>
      <c r="L20" s="6"/>
      <c r="M20"/>
      <c r="N20" s="1299">
        <v>0</v>
      </c>
      <c r="O20" s="1300">
        <v>0</v>
      </c>
      <c r="P20" s="1300">
        <v>0</v>
      </c>
      <c r="Q20" s="1300">
        <v>1</v>
      </c>
      <c r="R20" s="1266">
        <v>0</v>
      </c>
      <c r="S20" s="1266">
        <v>52427.32</v>
      </c>
      <c r="T20" s="1266">
        <f>+IF($Q20=1,$G20,INDEX([1]Summary!$K$5:$K$110,MATCH($C20,[1]Summary!$D$5:$D121,0)))</f>
        <v>0</v>
      </c>
      <c r="U20" s="1266">
        <f>+IF($Q20=1,$J20,INDEX([1]Summary!$L$5:$L$110,MATCH($C20,[1]Summary!$D$5:$D121,0)))</f>
        <v>52427.32</v>
      </c>
      <c r="V20" s="721"/>
      <c r="W20" s="721"/>
      <c r="X20" s="721"/>
      <c r="Y20" s="721"/>
      <c r="Z20" s="721"/>
      <c r="AA20" s="721"/>
      <c r="AB20" s="721"/>
      <c r="AC20" s="721"/>
      <c r="AD20" s="721"/>
      <c r="AF20" s="720"/>
      <c r="AI20" s="105"/>
      <c r="AJ20" s="105"/>
      <c r="AL20" s="2"/>
      <c r="AN20" s="105"/>
      <c r="AO20" s="105"/>
      <c r="AP20" s="105"/>
      <c r="AS20" s="105"/>
      <c r="AT20" s="721"/>
      <c r="AW20" s="105"/>
      <c r="AX20" s="721"/>
    </row>
    <row r="21" spans="1:50" outlineLevel="1">
      <c r="A21" s="545">
        <f>MAX($A$10:A20)+1</f>
        <v>12</v>
      </c>
      <c r="B21" s="716" t="s">
        <v>1752</v>
      </c>
      <c r="C21" s="716" t="s">
        <v>1775</v>
      </c>
      <c r="D21" s="1" t="s">
        <v>1776</v>
      </c>
      <c r="E21" s="559">
        <v>303</v>
      </c>
      <c r="F21" s="1302" cm="1">
        <f t="array" ref="F21">+IF(SUM(VALUE(N21:Q21)*$N$7:$Q$7)=0,R21,T21)</f>
        <v>0</v>
      </c>
      <c r="G21" s="103">
        <f t="shared" si="1"/>
        <v>0</v>
      </c>
      <c r="I21" s="1302" cm="1">
        <f t="array" ref="I21">+IF(SUM(VALUE(N21:Q21)*$N$7:$Q$7)=0,S21,U21)</f>
        <v>267463.90999999997</v>
      </c>
      <c r="J21" s="103">
        <f t="shared" si="0"/>
        <v>267463.90999999997</v>
      </c>
      <c r="K21" s="717">
        <v>46022</v>
      </c>
      <c r="L21" s="6">
        <v>175000</v>
      </c>
      <c r="M21"/>
      <c r="N21" s="1299">
        <v>0</v>
      </c>
      <c r="O21" s="1300">
        <v>0</v>
      </c>
      <c r="P21" s="1300">
        <v>0</v>
      </c>
      <c r="Q21" s="1300">
        <v>1</v>
      </c>
      <c r="R21" s="1266">
        <v>0</v>
      </c>
      <c r="S21" s="1266">
        <v>267463.90999999997</v>
      </c>
      <c r="T21" s="1266">
        <f>+IF($Q21=1,$G21,INDEX([1]Summary!$K$5:$K$110,MATCH($C21,[1]Summary!$D$5:$D122,0)))</f>
        <v>0</v>
      </c>
      <c r="U21" s="1266">
        <f>+IF($Q21=1,$J21,INDEX([1]Summary!$L$5:$L$110,MATCH($C21,[1]Summary!$D$5:$D122,0)))</f>
        <v>267463.90999999997</v>
      </c>
      <c r="V21" s="721"/>
      <c r="W21" s="721"/>
      <c r="X21" s="721"/>
      <c r="Y21" s="721"/>
      <c r="Z21" s="721"/>
      <c r="AA21" s="721"/>
      <c r="AB21" s="721"/>
      <c r="AC21" s="721"/>
      <c r="AD21" s="721"/>
      <c r="AF21" s="720"/>
      <c r="AI21" s="105"/>
      <c r="AJ21" s="105"/>
      <c r="AL21" s="2"/>
      <c r="AN21" s="105"/>
      <c r="AO21" s="105"/>
      <c r="AP21" s="105"/>
      <c r="AS21" s="105"/>
      <c r="AT21" s="721"/>
      <c r="AW21" s="105"/>
      <c r="AX21" s="721"/>
    </row>
    <row r="22" spans="1:50" outlineLevel="1">
      <c r="A22" s="545">
        <f>MAX($A$10:A21)+1</f>
        <v>13</v>
      </c>
      <c r="B22" s="716" t="s">
        <v>1752</v>
      </c>
      <c r="C22" s="716" t="s">
        <v>1777</v>
      </c>
      <c r="D22" s="716" t="s">
        <v>1778</v>
      </c>
      <c r="E22" s="559">
        <v>303</v>
      </c>
      <c r="F22" s="1302" cm="1">
        <f t="array" ref="F22">+IF(SUM(VALUE(N22:Q22)*$N$7:$Q$7)=0,R22,T22)</f>
        <v>41466.040550000005</v>
      </c>
      <c r="G22" s="103">
        <f t="shared" si="1"/>
        <v>41466.040550000005</v>
      </c>
      <c r="H22" s="717">
        <v>45651</v>
      </c>
      <c r="I22" s="1302" cm="1">
        <f t="array" ref="I22">+IF(SUM(VALUE(N22:Q22)*$N$7:$Q$7)=0,S22,U22)</f>
        <v>0</v>
      </c>
      <c r="J22" s="103">
        <f t="shared" si="0"/>
        <v>0</v>
      </c>
      <c r="K22" s="103"/>
      <c r="L22" s="6"/>
      <c r="M22"/>
      <c r="N22" s="1299">
        <v>0</v>
      </c>
      <c r="O22" s="1300">
        <v>0</v>
      </c>
      <c r="P22" s="1300">
        <v>0</v>
      </c>
      <c r="Q22" s="1300">
        <v>1</v>
      </c>
      <c r="R22" s="1266">
        <v>41466.040550000005</v>
      </c>
      <c r="S22" s="1266">
        <v>0</v>
      </c>
      <c r="T22" s="1266">
        <f>+IF($Q22=1,$G22,INDEX([1]Summary!$K$5:$K$110,MATCH($C22,[1]Summary!$D$5:$D123,0)))</f>
        <v>41466.040550000005</v>
      </c>
      <c r="U22" s="1266">
        <f>+IF($Q22=1,$J22,INDEX([1]Summary!$L$5:$L$110,MATCH($C22,[1]Summary!$D$5:$D123,0)))</f>
        <v>0</v>
      </c>
      <c r="V22" s="721"/>
      <c r="W22" s="721"/>
      <c r="X22" s="721"/>
      <c r="Y22" s="721"/>
      <c r="Z22" s="721"/>
      <c r="AA22" s="721"/>
      <c r="AB22" s="721"/>
      <c r="AC22" s="721"/>
      <c r="AD22" s="721"/>
      <c r="AF22" s="720"/>
      <c r="AI22" s="105"/>
      <c r="AJ22" s="105"/>
      <c r="AN22" s="105"/>
      <c r="AO22" s="105"/>
      <c r="AP22" s="105"/>
      <c r="AS22" s="105"/>
      <c r="AT22" s="721"/>
      <c r="AW22" s="105"/>
      <c r="AX22" s="721"/>
    </row>
    <row r="23" spans="1:50" outlineLevel="1">
      <c r="A23" s="545">
        <f>MAX($A$10:A22)+1</f>
        <v>14</v>
      </c>
      <c r="B23" s="716" t="s">
        <v>1752</v>
      </c>
      <c r="C23" s="716" t="s">
        <v>1779</v>
      </c>
      <c r="D23" s="716" t="s">
        <v>1780</v>
      </c>
      <c r="E23" s="559">
        <v>303</v>
      </c>
      <c r="F23" s="1302" cm="1">
        <f t="array" ref="F23">+IF(SUM(VALUE(N23:Q23)*$N$7:$Q$7)=0,R23,T23)</f>
        <v>7539.2800999999999</v>
      </c>
      <c r="G23" s="103">
        <f t="shared" si="1"/>
        <v>7539.2800999999999</v>
      </c>
      <c r="H23" s="717">
        <v>45444</v>
      </c>
      <c r="I23" s="1302" cm="1">
        <f t="array" ref="I23">+IF(SUM(VALUE(N23:Q23)*$N$7:$Q$7)=0,S23,U23)</f>
        <v>0</v>
      </c>
      <c r="J23" s="103">
        <f t="shared" si="0"/>
        <v>0</v>
      </c>
      <c r="K23" s="103"/>
      <c r="L23" s="6"/>
      <c r="M23"/>
      <c r="N23" s="1299">
        <v>0</v>
      </c>
      <c r="O23" s="1300">
        <v>0</v>
      </c>
      <c r="P23" s="1300">
        <v>0</v>
      </c>
      <c r="Q23" s="1300">
        <v>1</v>
      </c>
      <c r="R23" s="1266">
        <v>7539.2800999999999</v>
      </c>
      <c r="S23" s="1266">
        <v>0</v>
      </c>
      <c r="T23" s="1266">
        <f>+IF($Q23=1,$G23,INDEX([1]Summary!$K$5:$K$110,MATCH($C23,[1]Summary!$D$5:$D124,0)))</f>
        <v>7539.2800999999999</v>
      </c>
      <c r="U23" s="1266">
        <f>+IF($Q23=1,$J23,INDEX([1]Summary!$L$5:$L$110,MATCH($C23,[1]Summary!$D$5:$D124,0)))</f>
        <v>0</v>
      </c>
      <c r="V23" s="721"/>
      <c r="W23" s="721"/>
      <c r="X23" s="721"/>
      <c r="Y23" s="721"/>
      <c r="Z23" s="721"/>
      <c r="AA23" s="721"/>
      <c r="AB23" s="721"/>
      <c r="AC23" s="721"/>
      <c r="AD23" s="721"/>
      <c r="AF23" s="720"/>
      <c r="AI23" s="105"/>
      <c r="AJ23" s="105"/>
      <c r="AN23" s="105"/>
      <c r="AO23" s="105"/>
      <c r="AP23" s="105"/>
      <c r="AS23" s="105"/>
      <c r="AT23" s="721"/>
      <c r="AW23" s="105"/>
      <c r="AX23" s="721"/>
    </row>
    <row r="24" spans="1:50" outlineLevel="1">
      <c r="A24" s="545">
        <f>MAX($A$10:A23)+1</f>
        <v>15</v>
      </c>
      <c r="B24" s="716" t="s">
        <v>1752</v>
      </c>
      <c r="C24" s="716" t="s">
        <v>1781</v>
      </c>
      <c r="D24" s="716" t="s">
        <v>1782</v>
      </c>
      <c r="E24" s="559">
        <v>303</v>
      </c>
      <c r="F24" s="1302" cm="1">
        <f t="array" ref="F24">+IF(SUM(VALUE(N24:Q24)*$N$7:$Q$7)=0,R24,T24)</f>
        <v>0</v>
      </c>
      <c r="G24" s="103">
        <f t="shared" si="1"/>
        <v>0</v>
      </c>
      <c r="H24" s="717"/>
      <c r="I24" s="1302" cm="1">
        <f t="array" ref="I24">+IF(SUM(VALUE(N24:Q24)*$N$7:$Q$7)=0,S24,U24)</f>
        <v>24020.778488</v>
      </c>
      <c r="J24" s="103">
        <f t="shared" si="0"/>
        <v>24020.778488</v>
      </c>
      <c r="K24" s="575">
        <v>45992</v>
      </c>
      <c r="L24" s="6"/>
      <c r="M24"/>
      <c r="N24" s="1299">
        <v>0</v>
      </c>
      <c r="O24" s="1300">
        <v>0</v>
      </c>
      <c r="P24" s="1300">
        <v>0</v>
      </c>
      <c r="Q24" s="1300">
        <v>1</v>
      </c>
      <c r="R24" s="1266">
        <v>0</v>
      </c>
      <c r="S24" s="1266">
        <v>24020.778488</v>
      </c>
      <c r="T24" s="1266">
        <f>+IF($Q24=1,$G24,INDEX([1]Summary!$K$5:$K$110,MATCH($C24,[1]Summary!$D$5:$D125,0)))</f>
        <v>0</v>
      </c>
      <c r="U24" s="1266">
        <f>+IF($Q24=1,$J24,INDEX([1]Summary!$L$5:$L$110,MATCH($C24,[1]Summary!$D$5:$D125,0)))</f>
        <v>24020.778488</v>
      </c>
      <c r="V24" s="721"/>
      <c r="W24" s="721"/>
      <c r="X24" s="721"/>
      <c r="Y24" s="721"/>
      <c r="Z24" s="721"/>
      <c r="AA24" s="721"/>
      <c r="AB24" s="721"/>
      <c r="AC24" s="721"/>
      <c r="AD24" s="721"/>
      <c r="AF24" s="720"/>
      <c r="AI24" s="105"/>
      <c r="AJ24" s="105"/>
      <c r="AN24" s="105"/>
      <c r="AO24" s="105"/>
      <c r="AP24" s="105"/>
      <c r="AS24" s="105"/>
      <c r="AT24" s="721"/>
      <c r="AW24" s="105"/>
      <c r="AX24" s="721"/>
    </row>
    <row r="25" spans="1:50" outlineLevel="1">
      <c r="A25" s="545">
        <f>MAX($A$10:A24)+1</f>
        <v>16</v>
      </c>
      <c r="B25" s="716" t="s">
        <v>1752</v>
      </c>
      <c r="C25" s="716" t="s">
        <v>1783</v>
      </c>
      <c r="D25" s="716" t="s">
        <v>1784</v>
      </c>
      <c r="E25" s="559">
        <v>303</v>
      </c>
      <c r="F25" s="1302" cm="1">
        <f t="array" ref="F25">+IF(SUM(VALUE(N25:Q25)*$N$7:$Q$7)=0,R25,T25)</f>
        <v>810507.85611499997</v>
      </c>
      <c r="G25" s="103">
        <f t="shared" si="1"/>
        <v>810507.85611499997</v>
      </c>
      <c r="H25" s="717">
        <v>45382</v>
      </c>
      <c r="I25" s="1302" cm="1">
        <f t="array" ref="I25">+IF(SUM(VALUE(N25:Q25)*$N$7:$Q$7)=0,S25,U25)</f>
        <v>0</v>
      </c>
      <c r="J25" s="103">
        <f t="shared" si="0"/>
        <v>0</v>
      </c>
      <c r="K25" s="103"/>
      <c r="L25" s="6">
        <v>10000</v>
      </c>
      <c r="M25"/>
      <c r="N25" s="1299">
        <v>0</v>
      </c>
      <c r="O25" s="1300">
        <v>0</v>
      </c>
      <c r="P25" s="1300">
        <v>0</v>
      </c>
      <c r="Q25" s="1300">
        <v>1</v>
      </c>
      <c r="R25" s="1266">
        <v>810507.85611499997</v>
      </c>
      <c r="S25" s="1266">
        <v>0</v>
      </c>
      <c r="T25" s="1266">
        <f>+IF($Q25=1,$G25,INDEX([1]Summary!$K$5:$K$110,MATCH($C25,[1]Summary!$D$5:$D126,0)))</f>
        <v>810507.85611499997</v>
      </c>
      <c r="U25" s="1266">
        <f>+IF($Q25=1,$J25,INDEX([1]Summary!$L$5:$L$110,MATCH($C25,[1]Summary!$D$5:$D126,0)))</f>
        <v>0</v>
      </c>
      <c r="V25" s="721"/>
      <c r="W25" s="721"/>
      <c r="X25" s="721"/>
      <c r="Y25" s="721"/>
      <c r="Z25" s="721"/>
      <c r="AA25" s="721"/>
      <c r="AB25" s="721"/>
      <c r="AC25" s="721"/>
      <c r="AD25" s="721"/>
      <c r="AF25" s="720"/>
      <c r="AI25" s="105"/>
      <c r="AJ25" s="105"/>
      <c r="AN25" s="105"/>
      <c r="AO25" s="105"/>
      <c r="AP25" s="105"/>
      <c r="AS25" s="105"/>
      <c r="AT25" s="721"/>
      <c r="AW25" s="105"/>
      <c r="AX25" s="721"/>
    </row>
    <row r="26" spans="1:50" outlineLevel="1">
      <c r="A26" s="545">
        <f>MAX($A$10:A25)+1</f>
        <v>17</v>
      </c>
      <c r="B26" s="716" t="s">
        <v>1752</v>
      </c>
      <c r="C26" s="14" t="s">
        <v>1785</v>
      </c>
      <c r="D26" s="14" t="s">
        <v>1786</v>
      </c>
      <c r="E26" s="559">
        <v>303</v>
      </c>
      <c r="F26" s="1302" cm="1">
        <f t="array" ref="F26">+IF(SUM(VALUE(N26:Q26)*$N$7:$Q$7)=0,R26,T26)</f>
        <v>0</v>
      </c>
      <c r="G26" s="103"/>
      <c r="I26" s="1302" cm="1">
        <f t="array" ref="I26">+IF(SUM(VALUE(N26:Q26)*$N$7:$Q$7)=0,S26,U26)</f>
        <v>61073.288584000002</v>
      </c>
      <c r="J26" s="103">
        <f t="shared" si="0"/>
        <v>61073.288584000002</v>
      </c>
      <c r="K26" s="717">
        <v>46022</v>
      </c>
      <c r="L26" s="6"/>
      <c r="M26"/>
      <c r="N26" s="1299">
        <v>0</v>
      </c>
      <c r="O26" s="1300">
        <v>0</v>
      </c>
      <c r="P26" s="1300">
        <v>0</v>
      </c>
      <c r="Q26" s="1300">
        <v>1</v>
      </c>
      <c r="R26" s="1266">
        <v>0</v>
      </c>
      <c r="S26" s="1266">
        <v>61073.288584000002</v>
      </c>
      <c r="T26" s="1266">
        <f>+IF($Q26=1,$G26,INDEX([1]Summary!$K$5:$K$110,MATCH($C26,[1]Summary!$D$5:$D127,0)))</f>
        <v>0</v>
      </c>
      <c r="U26" s="1266">
        <f>+IF($Q26=1,$J26,INDEX([1]Summary!$L$5:$L$110,MATCH($C26,[1]Summary!$D$5:$D127,0)))</f>
        <v>61073.288584000002</v>
      </c>
      <c r="V26" s="721"/>
      <c r="W26" s="721"/>
      <c r="X26" s="721"/>
      <c r="Y26" s="721"/>
      <c r="Z26" s="721"/>
      <c r="AA26" s="721"/>
      <c r="AB26" s="721"/>
      <c r="AC26" s="721"/>
      <c r="AD26" s="721"/>
      <c r="AF26" s="720"/>
      <c r="AI26" s="105"/>
      <c r="AJ26" s="105"/>
      <c r="AN26" s="105"/>
      <c r="AO26" s="105"/>
      <c r="AP26" s="105"/>
      <c r="AS26" s="105"/>
      <c r="AT26" s="721"/>
      <c r="AW26" s="105"/>
      <c r="AX26" s="721"/>
    </row>
    <row r="27" spans="1:50" outlineLevel="1">
      <c r="A27" s="545">
        <f>MAX($A$10:A26)+1</f>
        <v>18</v>
      </c>
      <c r="B27" s="716" t="s">
        <v>1752</v>
      </c>
      <c r="C27" s="716" t="s">
        <v>1787</v>
      </c>
      <c r="D27" s="716" t="s">
        <v>1788</v>
      </c>
      <c r="E27" s="559">
        <v>303</v>
      </c>
      <c r="F27" s="1302" cm="1">
        <f t="array" ref="F27">+IF(SUM(VALUE(N27:Q27)*$N$7:$Q$7)=0,R27,T27)</f>
        <v>52501.443155000008</v>
      </c>
      <c r="G27" s="103">
        <f>+F27</f>
        <v>52501.443155000008</v>
      </c>
      <c r="H27" s="717">
        <v>45657</v>
      </c>
      <c r="I27" s="1302" cm="1">
        <f t="array" ref="I27">+IF(SUM(VALUE(N27:Q27)*$N$7:$Q$7)=0,S27,U27)</f>
        <v>34898.571628000005</v>
      </c>
      <c r="J27" s="103">
        <f t="shared" si="0"/>
        <v>34898.571628000005</v>
      </c>
      <c r="K27" s="717">
        <v>46022</v>
      </c>
      <c r="L27" s="6"/>
      <c r="M27"/>
      <c r="N27" s="1299">
        <v>0</v>
      </c>
      <c r="O27" s="1300">
        <v>0</v>
      </c>
      <c r="P27" s="1300">
        <v>0</v>
      </c>
      <c r="Q27" s="1300">
        <v>1</v>
      </c>
      <c r="R27" s="1266">
        <v>52501.443155000008</v>
      </c>
      <c r="S27" s="1266">
        <v>34898.571628000005</v>
      </c>
      <c r="T27" s="1266">
        <f>+IF($Q27=1,$G27,INDEX([1]Summary!$K$5:$K$110,MATCH($C27,[1]Summary!$D$5:$D128,0)))</f>
        <v>52501.443155000008</v>
      </c>
      <c r="U27" s="1266">
        <f>+IF($Q27=1,$J27,INDEX([1]Summary!$L$5:$L$110,MATCH($C27,[1]Summary!$D$5:$D128,0)))</f>
        <v>34898.571628000005</v>
      </c>
      <c r="V27" s="721"/>
      <c r="W27" s="721"/>
      <c r="X27" s="721"/>
      <c r="Y27" s="721"/>
      <c r="Z27" s="721"/>
      <c r="AA27" s="721"/>
      <c r="AB27" s="721"/>
      <c r="AC27" s="721"/>
      <c r="AD27" s="721"/>
      <c r="AF27" s="720"/>
      <c r="AI27" s="105"/>
      <c r="AJ27" s="105"/>
      <c r="AN27" s="105"/>
      <c r="AO27" s="105"/>
      <c r="AP27" s="105"/>
      <c r="AS27" s="105"/>
      <c r="AT27" s="721"/>
      <c r="AW27" s="105"/>
      <c r="AX27" s="721"/>
    </row>
    <row r="28" spans="1:50" outlineLevel="1">
      <c r="A28" s="545">
        <f>MAX($A$10:A27)+1</f>
        <v>19</v>
      </c>
      <c r="B28" s="716" t="s">
        <v>1752</v>
      </c>
      <c r="C28" s="716" t="s">
        <v>1789</v>
      </c>
      <c r="D28" s="716" t="s">
        <v>1790</v>
      </c>
      <c r="E28" s="559">
        <v>303</v>
      </c>
      <c r="F28" s="1302" cm="1">
        <f t="array" ref="F28">+IF(SUM(VALUE(N28:Q28)*$N$7:$Q$7)=0,R28,T28)</f>
        <v>149733.94637000002</v>
      </c>
      <c r="G28" s="103">
        <f>+F28</f>
        <v>149733.94637000002</v>
      </c>
      <c r="H28" s="717">
        <v>45383</v>
      </c>
      <c r="I28" s="1302" cm="1">
        <f t="array" ref="I28">+IF(SUM(VALUE(N28:Q28)*$N$7:$Q$7)=0,S28,U28)</f>
        <v>0</v>
      </c>
      <c r="J28" s="103">
        <f t="shared" si="0"/>
        <v>0</v>
      </c>
      <c r="K28" s="103"/>
      <c r="L28" s="6"/>
      <c r="M28"/>
      <c r="N28" s="1299">
        <v>0</v>
      </c>
      <c r="O28" s="1300">
        <v>0</v>
      </c>
      <c r="P28" s="1300">
        <v>0</v>
      </c>
      <c r="Q28" s="1300">
        <v>1</v>
      </c>
      <c r="R28" s="1266">
        <v>149733.94637000002</v>
      </c>
      <c r="S28" s="1266">
        <v>0</v>
      </c>
      <c r="T28" s="1266">
        <f>+IF($Q28=1,$G28,INDEX([1]Summary!$K$5:$K$110,MATCH($C28,[1]Summary!$D$5:$D129,0)))</f>
        <v>149733.94637000002</v>
      </c>
      <c r="U28" s="1266">
        <f>+IF($Q28=1,$J28,INDEX([1]Summary!$L$5:$L$110,MATCH($C28,[1]Summary!$D$5:$D129,0)))</f>
        <v>0</v>
      </c>
      <c r="V28" s="721"/>
      <c r="W28" s="721"/>
      <c r="X28" s="721"/>
      <c r="Y28" s="721"/>
      <c r="Z28" s="721"/>
      <c r="AA28" s="721"/>
      <c r="AB28" s="721"/>
      <c r="AC28" s="721"/>
      <c r="AD28" s="721"/>
      <c r="AF28" s="720"/>
      <c r="AI28" s="105"/>
      <c r="AJ28" s="105"/>
      <c r="AN28" s="105"/>
      <c r="AO28" s="105"/>
      <c r="AP28" s="105"/>
      <c r="AS28" s="105"/>
      <c r="AT28" s="721"/>
      <c r="AW28" s="105"/>
      <c r="AX28" s="721"/>
    </row>
    <row r="29" spans="1:50" outlineLevel="1">
      <c r="A29" s="545">
        <f>MAX($A$10:A28)+1</f>
        <v>20</v>
      </c>
      <c r="B29" s="716" t="s">
        <v>1752</v>
      </c>
      <c r="C29" s="14" t="s">
        <v>1791</v>
      </c>
      <c r="D29" s="14" t="s">
        <v>1792</v>
      </c>
      <c r="E29" s="559">
        <v>303</v>
      </c>
      <c r="F29" s="1302" cm="1">
        <f t="array" ref="F29">+IF(SUM(VALUE(N29:Q29)*$N$7:$Q$7)=0,R29,T29)</f>
        <v>0</v>
      </c>
      <c r="G29" s="103">
        <f>+F29</f>
        <v>0</v>
      </c>
      <c r="I29" s="1302" cm="1">
        <f t="array" ref="I29">+IF(SUM(VALUE(N29:Q29)*$N$7:$Q$7)=0,S29,U29)</f>
        <v>345851.46120300004</v>
      </c>
      <c r="J29" s="103">
        <f t="shared" si="0"/>
        <v>345851.46120300004</v>
      </c>
      <c r="K29" s="717">
        <v>45992</v>
      </c>
      <c r="L29" s="6"/>
      <c r="M29"/>
      <c r="N29" s="1299">
        <v>0</v>
      </c>
      <c r="O29" s="1300">
        <v>0</v>
      </c>
      <c r="P29" s="1300">
        <v>0</v>
      </c>
      <c r="Q29" s="1300">
        <v>1</v>
      </c>
      <c r="R29" s="1266">
        <v>0</v>
      </c>
      <c r="S29" s="1266">
        <v>345851.46120300004</v>
      </c>
      <c r="T29" s="1266">
        <f>+IF($Q29=1,$G29,INDEX([1]Summary!$K$5:$K$110,MATCH($C29,[1]Summary!$D$5:$D130,0)))</f>
        <v>0</v>
      </c>
      <c r="U29" s="1266">
        <f>+IF($Q29=1,$J29,INDEX([1]Summary!$L$5:$L$110,MATCH($C29,[1]Summary!$D$5:$D130,0)))</f>
        <v>345851.46120300004</v>
      </c>
      <c r="V29" s="721"/>
      <c r="W29" s="721"/>
      <c r="X29" s="721"/>
      <c r="Y29" s="721"/>
      <c r="Z29" s="721"/>
      <c r="AA29" s="721"/>
      <c r="AB29" s="721"/>
      <c r="AC29" s="721"/>
      <c r="AD29" s="721"/>
      <c r="AF29" s="720"/>
      <c r="AI29" s="105"/>
      <c r="AJ29" s="105"/>
      <c r="AN29" s="105"/>
      <c r="AO29" s="105"/>
      <c r="AP29" s="105"/>
      <c r="AS29" s="105"/>
      <c r="AT29" s="721"/>
      <c r="AW29" s="105"/>
      <c r="AX29" s="721"/>
    </row>
    <row r="30" spans="1:50" outlineLevel="1">
      <c r="A30" s="545">
        <f>MAX($A$10:A29)+1</f>
        <v>21</v>
      </c>
      <c r="B30" s="716" t="s">
        <v>1752</v>
      </c>
      <c r="C30" s="14" t="s">
        <v>1793</v>
      </c>
      <c r="D30" s="14" t="s">
        <v>1794</v>
      </c>
      <c r="E30" s="559">
        <v>303</v>
      </c>
      <c r="F30" s="1302" cm="1">
        <f t="array" ref="F30">+IF(SUM(VALUE(N30:Q30)*$N$7:$Q$7)=0,R30,T30)</f>
        <v>0</v>
      </c>
      <c r="G30" s="103">
        <f>+F30</f>
        <v>0</v>
      </c>
      <c r="I30" s="1302" cm="1">
        <f t="array" ref="I30">+IF(SUM(VALUE(N30:Q30)*$N$7:$Q$7)=0,S30,U30)</f>
        <v>221968.01196600002</v>
      </c>
      <c r="J30" s="103">
        <f t="shared" si="0"/>
        <v>221968.01196600002</v>
      </c>
      <c r="K30" s="717">
        <v>45992</v>
      </c>
      <c r="L30" s="6"/>
      <c r="M30"/>
      <c r="N30" s="1299">
        <v>0</v>
      </c>
      <c r="O30" s="1300">
        <v>0</v>
      </c>
      <c r="P30" s="1300">
        <v>0</v>
      </c>
      <c r="Q30" s="1300">
        <v>1</v>
      </c>
      <c r="R30" s="1266">
        <v>0</v>
      </c>
      <c r="S30" s="1266">
        <v>221968.01196600002</v>
      </c>
      <c r="T30" s="1266">
        <f>+IF($Q30=1,$G30,INDEX([1]Summary!$K$5:$K$110,MATCH($C30,[1]Summary!$D$5:$D131,0)))</f>
        <v>0</v>
      </c>
      <c r="U30" s="1266">
        <f>+IF($Q30=1,$J30,INDEX([1]Summary!$L$5:$L$110,MATCH($C30,[1]Summary!$D$5:$D131,0)))</f>
        <v>221968.01196600002</v>
      </c>
      <c r="V30" s="721"/>
      <c r="W30" s="721"/>
      <c r="X30" s="721"/>
      <c r="Y30" s="721"/>
      <c r="Z30" s="721"/>
      <c r="AA30" s="721"/>
      <c r="AB30" s="721"/>
      <c r="AC30" s="721"/>
      <c r="AD30" s="721"/>
      <c r="AF30" s="720"/>
      <c r="AI30" s="105"/>
      <c r="AJ30" s="105"/>
      <c r="AN30" s="105"/>
      <c r="AO30" s="105"/>
      <c r="AP30" s="105"/>
      <c r="AS30" s="105"/>
      <c r="AT30" s="721"/>
      <c r="AW30" s="105"/>
      <c r="AX30" s="721"/>
    </row>
    <row r="31" spans="1:50" outlineLevel="1">
      <c r="A31" s="545">
        <f>MAX($A$10:A30)+1</f>
        <v>22</v>
      </c>
      <c r="B31" s="729"/>
      <c r="C31" s="729"/>
      <c r="D31" s="730" t="s">
        <v>1795</v>
      </c>
      <c r="E31" s="560"/>
      <c r="F31" s="495">
        <f>SUM(F10:F30)</f>
        <v>8596425.8846233338</v>
      </c>
      <c r="G31" s="495">
        <f>SUM(G10:G30)</f>
        <v>8596425.8846233338</v>
      </c>
      <c r="H31" s="495"/>
      <c r="I31" s="713">
        <f>SUM(I10:I30)</f>
        <v>4635386.9602023335</v>
      </c>
      <c r="J31" s="495">
        <f>SUM(J10:J30)</f>
        <v>4635386.9602023335</v>
      </c>
      <c r="K31" s="495"/>
      <c r="L31" s="507">
        <f>SUM(L10:L30)</f>
        <v>467500</v>
      </c>
      <c r="M31"/>
      <c r="N31"/>
      <c r="O31" s="449"/>
      <c r="P31" s="449"/>
      <c r="Q31" s="449"/>
      <c r="R31" s="1266"/>
      <c r="S31" s="1266"/>
      <c r="T31" s="1266"/>
      <c r="U31" s="1266"/>
      <c r="V31" s="721"/>
      <c r="W31" s="721"/>
      <c r="X31" s="721"/>
      <c r="Y31" s="721"/>
      <c r="Z31" s="721"/>
      <c r="AA31" s="721"/>
      <c r="AB31" s="721"/>
      <c r="AC31" s="721"/>
      <c r="AD31" s="721"/>
      <c r="AI31" s="105"/>
      <c r="AJ31" s="105"/>
      <c r="AN31" s="105"/>
      <c r="AO31" s="105"/>
      <c r="AP31" s="105"/>
      <c r="AS31" s="105"/>
      <c r="AT31" s="721"/>
      <c r="AW31" s="105"/>
      <c r="AX31" s="721"/>
    </row>
    <row r="32" spans="1:50" outlineLevel="1">
      <c r="A32" s="545">
        <f>MAX($A$10:A31)+1</f>
        <v>23</v>
      </c>
      <c r="B32" s="731"/>
      <c r="C32" s="731"/>
      <c r="D32" s="732"/>
      <c r="E32" s="561"/>
      <c r="F32" s="103"/>
      <c r="G32" s="103"/>
      <c r="H32" s="103"/>
      <c r="I32" s="711"/>
      <c r="J32" s="103"/>
      <c r="K32" s="103"/>
      <c r="L32" s="103"/>
      <c r="M32"/>
      <c r="N32"/>
      <c r="O32" s="449"/>
      <c r="P32" s="449"/>
      <c r="Q32" s="449"/>
      <c r="R32" s="1266"/>
      <c r="S32" s="1266"/>
      <c r="T32" s="1266"/>
      <c r="U32" s="1266"/>
      <c r="V32" s="721"/>
      <c r="W32" s="721"/>
      <c r="X32" s="721"/>
      <c r="Y32" s="721"/>
      <c r="Z32" s="721"/>
      <c r="AA32" s="721"/>
      <c r="AB32" s="721"/>
      <c r="AC32" s="721"/>
      <c r="AD32" s="721"/>
      <c r="AI32" s="105"/>
      <c r="AJ32" s="105"/>
      <c r="AN32" s="105"/>
      <c r="AO32" s="105"/>
      <c r="AP32" s="105"/>
      <c r="AS32" s="105"/>
      <c r="AT32" s="721"/>
      <c r="AW32" s="105"/>
      <c r="AX32" s="721"/>
    </row>
    <row r="33" spans="1:51" outlineLevel="1">
      <c r="A33" s="545">
        <f>MAX($A$10:A32)+1</f>
        <v>24</v>
      </c>
      <c r="B33" s="716" t="s">
        <v>1752</v>
      </c>
      <c r="C33" s="105" t="s">
        <v>1796</v>
      </c>
      <c r="D33" s="105" t="s">
        <v>1797</v>
      </c>
      <c r="E33" s="559">
        <v>333</v>
      </c>
      <c r="G33" s="103"/>
      <c r="I33" s="1302" cm="1">
        <f t="array" ref="I33">+IF(SUM(VALUE(N33:Q33)*$N$7:$Q$7)=0,S33,U33)</f>
        <v>0</v>
      </c>
      <c r="J33" s="103">
        <f>+I33</f>
        <v>0</v>
      </c>
      <c r="K33" s="717">
        <v>45823</v>
      </c>
      <c r="M33"/>
      <c r="N33" s="1300">
        <v>1</v>
      </c>
      <c r="O33" s="1300">
        <v>0</v>
      </c>
      <c r="P33" s="1300">
        <v>0</v>
      </c>
      <c r="Q33" s="1300">
        <v>0</v>
      </c>
      <c r="R33" s="1266">
        <v>0</v>
      </c>
      <c r="S33" s="1266">
        <v>17454194.260000002</v>
      </c>
      <c r="T33" s="1266">
        <f>+IF($Q33=1,$G33,INDEX([1]Summary!$K$5:$K$110,MATCH($C33,[1]Summary!$D$5:$D134,0)))</f>
        <v>0</v>
      </c>
      <c r="U33" s="1266">
        <f>+IF($Q33=1,$J33,INDEX([1]Summary!$L$5:$L$110,MATCH($C33,[1]Summary!$D$5:$D134,0)))</f>
        <v>0</v>
      </c>
      <c r="V33" s="721"/>
      <c r="W33" s="721"/>
      <c r="X33" s="721"/>
      <c r="Y33" s="721"/>
      <c r="Z33" s="721"/>
      <c r="AA33" s="721"/>
      <c r="AB33" s="721"/>
      <c r="AC33" s="721"/>
      <c r="AD33" s="721"/>
      <c r="AF33" s="720"/>
      <c r="AI33" s="105"/>
      <c r="AJ33" s="105"/>
      <c r="AL33" s="2"/>
      <c r="AN33" s="105"/>
      <c r="AO33" s="105"/>
      <c r="AP33" s="105"/>
      <c r="AS33" s="105"/>
      <c r="AT33" s="721"/>
      <c r="AW33" s="105"/>
      <c r="AX33" s="721"/>
    </row>
    <row r="34" spans="1:51" outlineLevel="1">
      <c r="A34" s="545">
        <f>MAX($A$10:A33)+1</f>
        <v>25</v>
      </c>
      <c r="B34" s="729"/>
      <c r="C34" s="729"/>
      <c r="D34" s="730" t="s">
        <v>1798</v>
      </c>
      <c r="E34" s="560"/>
      <c r="F34" s="495">
        <f>F33</f>
        <v>0</v>
      </c>
      <c r="G34" s="495">
        <f>G33</f>
        <v>0</v>
      </c>
      <c r="H34" s="495"/>
      <c r="I34" s="713">
        <f>I33</f>
        <v>0</v>
      </c>
      <c r="J34" s="495">
        <f>J33</f>
        <v>0</v>
      </c>
      <c r="K34" s="495"/>
      <c r="L34" s="495">
        <f>L33</f>
        <v>0</v>
      </c>
      <c r="M34"/>
      <c r="N34"/>
      <c r="O34" s="449"/>
      <c r="P34" s="449"/>
      <c r="Q34" s="449"/>
      <c r="R34" s="1266"/>
      <c r="S34" s="1266"/>
      <c r="T34" s="1266"/>
      <c r="U34" s="1266"/>
      <c r="V34" s="721"/>
      <c r="W34" s="721"/>
      <c r="X34" s="721"/>
      <c r="Y34" s="721"/>
      <c r="Z34" s="721"/>
      <c r="AA34" s="721"/>
      <c r="AB34" s="721"/>
      <c r="AC34" s="721"/>
      <c r="AD34" s="721"/>
      <c r="AI34" s="105"/>
      <c r="AJ34" s="105"/>
      <c r="AN34" s="105"/>
      <c r="AO34" s="105"/>
      <c r="AP34" s="105"/>
      <c r="AS34" s="105"/>
      <c r="AT34" s="721"/>
      <c r="AW34" s="105"/>
      <c r="AX34" s="721"/>
    </row>
    <row r="35" spans="1:51" outlineLevel="1">
      <c r="A35" s="545">
        <f>MAX($A$10:A34)+1</f>
        <v>26</v>
      </c>
      <c r="B35" s="731"/>
      <c r="C35" s="731"/>
      <c r="D35" s="731"/>
      <c r="E35" s="561"/>
      <c r="F35" s="103"/>
      <c r="G35" s="103"/>
      <c r="H35" s="103"/>
      <c r="I35" s="733"/>
      <c r="J35" s="103"/>
      <c r="K35" s="103"/>
      <c r="L35" s="103"/>
      <c r="M35"/>
      <c r="N35"/>
      <c r="O35" s="449"/>
      <c r="P35" s="449"/>
      <c r="Q35" s="449"/>
      <c r="R35" s="1266"/>
      <c r="S35" s="1266"/>
      <c r="T35" s="1266"/>
      <c r="U35" s="1266"/>
      <c r="V35" s="721"/>
      <c r="W35" s="721"/>
      <c r="X35" s="721"/>
      <c r="Y35" s="721"/>
      <c r="Z35" s="721"/>
      <c r="AA35" s="721"/>
      <c r="AB35" s="721"/>
      <c r="AC35" s="721"/>
      <c r="AD35" s="721"/>
      <c r="AI35" s="105"/>
      <c r="AJ35" s="105"/>
      <c r="AN35" s="105"/>
      <c r="AO35" s="105"/>
      <c r="AP35" s="105"/>
      <c r="AS35" s="105"/>
      <c r="AT35" s="721"/>
      <c r="AW35" s="105"/>
      <c r="AX35" s="721"/>
    </row>
    <row r="36" spans="1:51" outlineLevel="1">
      <c r="A36" s="545">
        <f>MAX($A$10:A35)+1</f>
        <v>27</v>
      </c>
      <c r="B36" s="716" t="s">
        <v>1799</v>
      </c>
      <c r="C36" s="716" t="s">
        <v>1800</v>
      </c>
      <c r="D36" s="731" t="s">
        <v>1801</v>
      </c>
      <c r="E36" s="559">
        <v>378</v>
      </c>
      <c r="F36" s="1302" cm="1">
        <f t="array" ref="F36">+IF(SUM(VALUE(N36:Q36)*$N$7:$Q$7)=0,R36,T36)</f>
        <v>240662.24066667259</v>
      </c>
      <c r="G36" s="103">
        <f t="shared" ref="G36:G86" si="2">+F36</f>
        <v>240662.24066667259</v>
      </c>
      <c r="H36" s="575">
        <v>45657</v>
      </c>
      <c r="I36" s="1303" cm="1">
        <f t="array" ref="I36">+IF(SUM(VALUE(N36:Q36)*$N$7:$Q$7)=0,S36,U36)</f>
        <v>267234.101809524</v>
      </c>
      <c r="J36" s="103">
        <f t="shared" ref="J36:J41" si="3">+I36</f>
        <v>267234.101809524</v>
      </c>
      <c r="K36" s="575">
        <v>46022</v>
      </c>
      <c r="M36"/>
      <c r="N36" s="1300">
        <v>0</v>
      </c>
      <c r="O36" s="1300">
        <v>0</v>
      </c>
      <c r="P36" s="1300">
        <v>1</v>
      </c>
      <c r="Q36" s="1300">
        <v>0</v>
      </c>
      <c r="R36" s="1266">
        <v>242320</v>
      </c>
      <c r="S36" s="1266">
        <v>725580</v>
      </c>
      <c r="T36" s="1266">
        <f>+IF($Q36=1,$G36,INDEX([1]Summary!$K$5:$K$110,MATCH($C36,[1]Summary!$D$5:$D137,0)))</f>
        <v>240662.24066667259</v>
      </c>
      <c r="U36" s="1266">
        <f>+IF($Q36=1,$J36,INDEX([1]Summary!$L$5:$L$110,MATCH($C36,[1]Summary!$D$5:$D137,0)))</f>
        <v>267234.101809524</v>
      </c>
      <c r="V36" s="721"/>
      <c r="W36" s="721"/>
      <c r="X36" s="721"/>
      <c r="Y36" s="721"/>
      <c r="Z36" s="721"/>
      <c r="AA36" s="721"/>
      <c r="AB36" s="721"/>
      <c r="AC36" s="721"/>
      <c r="AD36" s="721"/>
      <c r="AI36" s="105"/>
      <c r="AJ36" s="105"/>
      <c r="AN36" s="105"/>
      <c r="AO36" s="105"/>
      <c r="AP36" s="105"/>
      <c r="AS36" s="105"/>
      <c r="AT36" s="721"/>
      <c r="AW36" s="105"/>
      <c r="AX36" s="721"/>
    </row>
    <row r="37" spans="1:51" outlineLevel="1">
      <c r="A37" s="545">
        <f>MAX($A$10:A36)+1</f>
        <v>28</v>
      </c>
      <c r="B37" s="716" t="s">
        <v>1799</v>
      </c>
      <c r="C37" s="716" t="s">
        <v>1802</v>
      </c>
      <c r="D37" s="731" t="s">
        <v>1803</v>
      </c>
      <c r="E37" s="559">
        <v>378</v>
      </c>
      <c r="F37" s="1302" cm="1">
        <f t="array" ref="F37">+IF(SUM(VALUE(N37:Q37)*$N$7:$Q$7)=0,R37,T37)</f>
        <v>406860.71</v>
      </c>
      <c r="G37" s="103">
        <f t="shared" si="2"/>
        <v>406860.71</v>
      </c>
      <c r="H37" s="575">
        <v>45657</v>
      </c>
      <c r="I37" s="1303" cm="1">
        <f t="array" ref="I37">+IF(SUM(VALUE(N37:Q37)*$N$7:$Q$7)=0,S37,U37)</f>
        <v>406860.71</v>
      </c>
      <c r="J37" s="103">
        <f t="shared" si="3"/>
        <v>406860.71</v>
      </c>
      <c r="K37" s="575">
        <v>46022</v>
      </c>
      <c r="M37"/>
      <c r="N37" s="1300">
        <v>0</v>
      </c>
      <c r="O37" s="1300">
        <v>0</v>
      </c>
      <c r="P37" s="1300">
        <v>1</v>
      </c>
      <c r="Q37" s="1300">
        <v>0</v>
      </c>
      <c r="R37" s="1266">
        <v>498617.42</v>
      </c>
      <c r="S37" s="1266">
        <v>460976.94</v>
      </c>
      <c r="T37" s="1266">
        <f>+IF($Q37=1,$G37,INDEX([1]Summary!$K$5:$K$110,MATCH($C37,[1]Summary!$D$5:$D138,0)))</f>
        <v>406860.71</v>
      </c>
      <c r="U37" s="1266">
        <f>+IF($Q37=1,$J37,INDEX([1]Summary!$L$5:$L$110,MATCH($C37,[1]Summary!$D$5:$D138,0)))</f>
        <v>406860.71</v>
      </c>
      <c r="V37" s="721"/>
      <c r="W37" s="721"/>
      <c r="X37" s="721"/>
      <c r="Y37" s="721"/>
      <c r="Z37" s="721"/>
      <c r="AA37" s="721"/>
      <c r="AB37" s="721"/>
      <c r="AC37" s="721"/>
      <c r="AD37" s="721"/>
      <c r="AF37" s="720"/>
      <c r="AI37" s="105"/>
      <c r="AJ37" s="105"/>
      <c r="AN37" s="105"/>
      <c r="AO37" s="105"/>
      <c r="AP37" s="105"/>
      <c r="AS37" s="105"/>
      <c r="AT37" s="721"/>
      <c r="AW37" s="105"/>
      <c r="AX37" s="721"/>
    </row>
    <row r="38" spans="1:51" outlineLevel="1">
      <c r="A38" s="545">
        <f>MAX($A$10:A37)+1</f>
        <v>29</v>
      </c>
      <c r="B38" s="716" t="s">
        <v>1799</v>
      </c>
      <c r="C38" s="716" t="s">
        <v>1804</v>
      </c>
      <c r="D38" s="716" t="s">
        <v>1805</v>
      </c>
      <c r="E38" s="559">
        <v>381</v>
      </c>
      <c r="F38" s="1302" cm="1">
        <f t="array" ref="F38">+IF(SUM(VALUE(N38:Q38)*$N$7:$Q$7)=0,R38,T38)</f>
        <v>3195561.9529540865</v>
      </c>
      <c r="G38" s="103">
        <f t="shared" si="2"/>
        <v>3195561.9529540865</v>
      </c>
      <c r="H38" s="575">
        <v>45657</v>
      </c>
      <c r="I38" s="1303" cm="1">
        <f t="array" ref="I38">+IF(SUM(VALUE(N38:Q38)*$N$7:$Q$7)=0,S38,U38)</f>
        <v>4750341.8353332281</v>
      </c>
      <c r="J38" s="103">
        <f t="shared" si="3"/>
        <v>4750341.8353332281</v>
      </c>
      <c r="K38" s="575">
        <v>46022</v>
      </c>
      <c r="M38"/>
      <c r="N38" s="1300">
        <v>0</v>
      </c>
      <c r="O38" s="1300">
        <v>0</v>
      </c>
      <c r="P38" s="1300">
        <v>1</v>
      </c>
      <c r="Q38" s="1300">
        <v>0</v>
      </c>
      <c r="R38" s="1266">
        <v>5937987.0246250005</v>
      </c>
      <c r="S38" s="1266">
        <v>6106833.2000000002</v>
      </c>
      <c r="T38" s="1266">
        <f>+IF($Q38=1,$G38,INDEX([1]Summary!$K$5:$K$110,MATCH($C38,[1]Summary!$D$5:$D139,0)))</f>
        <v>3195561.9529540865</v>
      </c>
      <c r="U38" s="1266">
        <f>+IF($Q38=1,$J38,INDEX([1]Summary!$L$5:$L$110,MATCH($C38,[1]Summary!$D$5:$D139,0)))</f>
        <v>4750341.8353332281</v>
      </c>
      <c r="V38" s="721"/>
      <c r="W38" s="721"/>
      <c r="X38" s="721"/>
      <c r="Y38" s="721"/>
      <c r="Z38" s="721"/>
      <c r="AA38" s="721"/>
      <c r="AB38" s="721"/>
      <c r="AC38" s="721"/>
      <c r="AD38" s="721"/>
      <c r="AF38" s="720"/>
      <c r="AI38" s="105"/>
      <c r="AJ38" s="105"/>
      <c r="AN38" s="105"/>
      <c r="AO38" s="105"/>
      <c r="AP38" s="105"/>
    </row>
    <row r="39" spans="1:51" outlineLevel="1">
      <c r="A39" s="545">
        <f>MAX($A$10:A38)+1</f>
        <v>30</v>
      </c>
      <c r="B39" s="716" t="s">
        <v>1799</v>
      </c>
      <c r="C39" s="716" t="s">
        <v>1806</v>
      </c>
      <c r="D39" s="716" t="s">
        <v>1807</v>
      </c>
      <c r="E39" s="559">
        <v>383</v>
      </c>
      <c r="F39" s="1302" cm="1">
        <f t="array" ref="F39">+IF(SUM(VALUE(N39:Q39)*$N$7:$Q$7)=0,R39,T39)</f>
        <v>533478.22499999998</v>
      </c>
      <c r="G39" s="103">
        <f t="shared" si="2"/>
        <v>533478.22499999998</v>
      </c>
      <c r="H39" s="575">
        <v>45657</v>
      </c>
      <c r="I39" s="1303" cm="1">
        <f t="array" ref="I39">+IF(SUM(VALUE(N39:Q39)*$N$7:$Q$7)=0,S39,U39)</f>
        <v>533478.22499999998</v>
      </c>
      <c r="J39" s="103">
        <f t="shared" si="3"/>
        <v>533478.22499999998</v>
      </c>
      <c r="K39" s="575">
        <v>46022</v>
      </c>
      <c r="M39"/>
      <c r="N39" s="1300">
        <v>0</v>
      </c>
      <c r="O39" s="1300">
        <v>0</v>
      </c>
      <c r="P39" s="1300">
        <v>1</v>
      </c>
      <c r="Q39" s="1300">
        <v>0</v>
      </c>
      <c r="R39" s="1266">
        <v>547264.69999999995</v>
      </c>
      <c r="S39" s="1266">
        <v>562922.22</v>
      </c>
      <c r="T39" s="1266">
        <f>+IF($Q39=1,$G39,INDEX([1]Summary!$K$5:$K$110,MATCH($C39,[1]Summary!$D$5:$D140,0)))</f>
        <v>533478.22499999998</v>
      </c>
      <c r="U39" s="1266">
        <f>+IF($Q39=1,$J39,INDEX([1]Summary!$L$5:$L$110,MATCH($C39,[1]Summary!$D$5:$D140,0)))</f>
        <v>533478.22499999998</v>
      </c>
      <c r="V39" s="721"/>
      <c r="W39" s="721"/>
      <c r="X39" s="721"/>
      <c r="Y39" s="721"/>
      <c r="Z39" s="721"/>
      <c r="AA39" s="721"/>
      <c r="AB39" s="721"/>
      <c r="AC39" s="721"/>
      <c r="AD39" s="721"/>
      <c r="AE39" s="716"/>
      <c r="AF39" s="720"/>
      <c r="AI39" s="105"/>
      <c r="AJ39" s="105"/>
      <c r="AN39" s="105"/>
      <c r="AO39" s="105"/>
      <c r="AP39" s="105"/>
      <c r="AS39" s="105"/>
      <c r="AU39" s="106"/>
      <c r="AW39" s="105"/>
      <c r="AY39" s="106"/>
    </row>
    <row r="40" spans="1:51" outlineLevel="1">
      <c r="A40" s="545">
        <f>MAX($A$10:A39)+1</f>
        <v>31</v>
      </c>
      <c r="B40" s="716" t="s">
        <v>1799</v>
      </c>
      <c r="C40" s="716" t="s">
        <v>1808</v>
      </c>
      <c r="D40" s="716" t="s">
        <v>1809</v>
      </c>
      <c r="E40" s="559">
        <v>376.1</v>
      </c>
      <c r="F40" s="1302" cm="1">
        <f t="array" ref="F40">+IF(SUM(VALUE(N40:Q40)*$N$7:$Q$7)=0,R40,T40)</f>
        <v>296728.8033333334</v>
      </c>
      <c r="G40" s="103">
        <f t="shared" si="2"/>
        <v>296728.8033333334</v>
      </c>
      <c r="H40" s="575">
        <v>45657</v>
      </c>
      <c r="I40" s="1303" cm="1">
        <f t="array" ref="I40">+IF(SUM(VALUE(N40:Q40)*$N$7:$Q$7)=0,S40,U40)</f>
        <v>296728.8033333334</v>
      </c>
      <c r="J40" s="103">
        <f t="shared" si="3"/>
        <v>296728.8033333334</v>
      </c>
      <c r="K40" s="575">
        <v>46022</v>
      </c>
      <c r="M40"/>
      <c r="N40" s="1300">
        <v>0</v>
      </c>
      <c r="O40" s="1300">
        <v>0</v>
      </c>
      <c r="P40" s="1300">
        <v>1</v>
      </c>
      <c r="Q40" s="1300">
        <v>0</v>
      </c>
      <c r="R40" s="1266">
        <v>602782.14</v>
      </c>
      <c r="S40" s="1266">
        <v>576860.29</v>
      </c>
      <c r="T40" s="1266">
        <f>+IF($Q40=1,$G40,INDEX([1]Summary!$K$5:$K$110,MATCH($C40,[1]Summary!$D$5:$D141,0)))</f>
        <v>296728.8033333334</v>
      </c>
      <c r="U40" s="1266">
        <f>+IF($Q40=1,$J40,INDEX([1]Summary!$L$5:$L$110,MATCH($C40,[1]Summary!$D$5:$D141,0)))</f>
        <v>296728.8033333334</v>
      </c>
      <c r="V40" s="721"/>
      <c r="W40" s="721"/>
      <c r="X40" s="721"/>
      <c r="Y40" s="721"/>
      <c r="Z40" s="721"/>
      <c r="AA40" s="721"/>
      <c r="AB40" s="721"/>
      <c r="AC40" s="721"/>
      <c r="AD40" s="721"/>
      <c r="AF40" s="720"/>
      <c r="AI40" s="105"/>
      <c r="AJ40" s="105"/>
      <c r="AK40" s="105"/>
      <c r="AN40" s="105"/>
      <c r="AO40" s="105"/>
      <c r="AP40" s="105"/>
      <c r="AW40" s="105"/>
      <c r="AY40" s="106"/>
    </row>
    <row r="41" spans="1:51" outlineLevel="1">
      <c r="A41" s="545">
        <f>MAX($A$10:A40)+1</f>
        <v>32</v>
      </c>
      <c r="B41" s="716" t="s">
        <v>1799</v>
      </c>
      <c r="C41" s="716" t="s">
        <v>1810</v>
      </c>
      <c r="D41" s="716" t="s">
        <v>1811</v>
      </c>
      <c r="E41" s="559">
        <v>376.2</v>
      </c>
      <c r="F41" s="1302" cm="1">
        <f t="array" ref="F41">+IF(SUM(VALUE(N41:Q41)*$N$7:$Q$7)=0,R41,T41)</f>
        <v>0</v>
      </c>
      <c r="G41" s="103">
        <f t="shared" si="2"/>
        <v>0</v>
      </c>
      <c r="I41" s="1303" cm="1">
        <f t="array" ref="I41">+IF(SUM(VALUE(N41:Q41)*$N$7:$Q$7)=0,S41,U41)</f>
        <v>0</v>
      </c>
      <c r="J41" s="103">
        <f t="shared" si="3"/>
        <v>0</v>
      </c>
      <c r="K41" s="717">
        <v>45961</v>
      </c>
      <c r="M41"/>
      <c r="N41" s="1300">
        <v>0</v>
      </c>
      <c r="O41" s="1300">
        <v>1</v>
      </c>
      <c r="P41" s="1300">
        <v>0</v>
      </c>
      <c r="Q41" s="1300">
        <v>0</v>
      </c>
      <c r="R41" s="1266">
        <v>0</v>
      </c>
      <c r="S41" s="1266">
        <v>5827349.1699999999</v>
      </c>
      <c r="T41" s="1266">
        <f>+IF($Q41=1,$G41,INDEX([1]Summary!$K$5:$K$110,MATCH($C41,[1]Summary!$D$5:$D142,0)))</f>
        <v>0</v>
      </c>
      <c r="U41" s="1266">
        <f>+IF($Q41=1,$J41,INDEX([1]Summary!$L$5:$L$110,MATCH($C41,[1]Summary!$D$5:$D142,0)))</f>
        <v>0</v>
      </c>
      <c r="V41" s="721"/>
      <c r="W41" s="721"/>
      <c r="X41" s="721"/>
      <c r="Y41" s="721"/>
      <c r="Z41" s="721"/>
      <c r="AA41" s="721"/>
      <c r="AB41" s="721"/>
      <c r="AC41" s="721"/>
      <c r="AD41" s="721"/>
      <c r="AF41" s="720"/>
      <c r="AI41" s="105"/>
      <c r="AJ41" s="105"/>
      <c r="AK41" s="105"/>
      <c r="AN41" s="105"/>
      <c r="AO41" s="105"/>
      <c r="AP41" s="105"/>
      <c r="AW41" s="105"/>
      <c r="AY41" s="106"/>
    </row>
    <row r="42" spans="1:51" outlineLevel="1">
      <c r="A42" s="545">
        <f>MAX($A$10:A41)+1</f>
        <v>33</v>
      </c>
      <c r="B42" s="716" t="s">
        <v>1799</v>
      </c>
      <c r="C42" s="716" t="s">
        <v>1812</v>
      </c>
      <c r="D42" s="716" t="s">
        <v>1813</v>
      </c>
      <c r="E42" s="559">
        <v>376.2</v>
      </c>
      <c r="F42" s="1302" cm="1">
        <f t="array" ref="F42">+IF(SUM(VALUE(N42:Q42)*$N$7:$Q$7)=0,R42,T42)</f>
        <v>2430742.7749890001</v>
      </c>
      <c r="G42" s="103">
        <f t="shared" si="2"/>
        <v>2430742.7749890001</v>
      </c>
      <c r="H42" s="575">
        <v>45342</v>
      </c>
      <c r="I42" s="1303" cm="1">
        <f t="array" ref="I42">+IF(SUM(VALUE(N42:Q42)*$N$7:$Q$7)=0,S42,U42)</f>
        <v>0</v>
      </c>
      <c r="J42" s="103"/>
      <c r="K42" s="717"/>
      <c r="M42"/>
      <c r="N42" s="1300">
        <v>0</v>
      </c>
      <c r="O42" s="1300">
        <v>1</v>
      </c>
      <c r="P42" s="1300">
        <v>0</v>
      </c>
      <c r="Q42" s="1300">
        <v>0</v>
      </c>
      <c r="R42" s="1266">
        <v>2430742.7749890001</v>
      </c>
      <c r="S42" s="1266">
        <v>0</v>
      </c>
      <c r="T42" s="1266">
        <f>+IF($Q42=1,$G42,INDEX([1]Summary!$K$5:$K$110,MATCH($C42,[1]Summary!$D$5:$D143,0)))</f>
        <v>2430742.7749890001</v>
      </c>
      <c r="U42" s="1266">
        <f>+IF($Q42=1,$J42,INDEX([1]Summary!$L$5:$L$110,MATCH($C42,[1]Summary!$D$5:$D143,0)))</f>
        <v>0</v>
      </c>
      <c r="V42" s="721"/>
      <c r="W42" s="721"/>
      <c r="X42" s="721"/>
      <c r="Y42" s="721"/>
      <c r="Z42" s="721"/>
      <c r="AA42" s="721"/>
      <c r="AB42" s="721"/>
      <c r="AC42" s="721"/>
      <c r="AD42" s="721"/>
      <c r="AF42" s="720"/>
      <c r="AI42" s="105"/>
      <c r="AJ42" s="105"/>
      <c r="AK42" s="105"/>
      <c r="AN42" s="105"/>
      <c r="AO42" s="105"/>
      <c r="AP42" s="105"/>
      <c r="AW42" s="105"/>
      <c r="AY42" s="106"/>
    </row>
    <row r="43" spans="1:51" outlineLevel="1">
      <c r="A43" s="545">
        <f>MAX($A$10:A42)+1</f>
        <v>34</v>
      </c>
      <c r="B43" s="716" t="s">
        <v>1799</v>
      </c>
      <c r="C43" s="716" t="s">
        <v>1814</v>
      </c>
      <c r="D43" s="716" t="s">
        <v>1815</v>
      </c>
      <c r="E43" s="559">
        <v>376.2</v>
      </c>
      <c r="F43" s="1302" cm="1">
        <f t="array" ref="F43">+IF(SUM(VALUE(N43:Q43)*$N$7:$Q$7)=0,R43,T43)</f>
        <v>427000</v>
      </c>
      <c r="G43" s="103">
        <f t="shared" si="2"/>
        <v>427000</v>
      </c>
      <c r="H43" s="575">
        <v>45443</v>
      </c>
      <c r="I43" s="1303" cm="1">
        <f t="array" ref="I43">+IF(SUM(VALUE(N43:Q43)*$N$7:$Q$7)=0,S43,U43)</f>
        <v>0</v>
      </c>
      <c r="J43" s="103"/>
      <c r="K43" s="717"/>
      <c r="M43"/>
      <c r="N43" s="1300">
        <v>0</v>
      </c>
      <c r="O43" s="1300">
        <v>0</v>
      </c>
      <c r="P43" s="1300">
        <v>0</v>
      </c>
      <c r="Q43" s="1300">
        <v>1</v>
      </c>
      <c r="R43" s="1266">
        <v>427000</v>
      </c>
      <c r="S43" s="1266">
        <v>0</v>
      </c>
      <c r="T43" s="1266">
        <f>+IF($Q43=1,$G43,INDEX([1]Summary!$K$5:$K$110,MATCH($C43,[1]Summary!$D$5:$D144,0)))</f>
        <v>427000</v>
      </c>
      <c r="U43" s="1266">
        <f>+IF($Q43=1,$J43,INDEX([1]Summary!$L$5:$L$110,MATCH($C43,[1]Summary!$D$5:$D144,0)))</f>
        <v>0</v>
      </c>
      <c r="V43" s="721"/>
      <c r="W43" s="721"/>
      <c r="X43" s="721"/>
      <c r="Y43" s="721"/>
      <c r="Z43" s="721"/>
      <c r="AA43" s="721"/>
      <c r="AB43" s="721"/>
      <c r="AC43" s="721"/>
      <c r="AD43" s="721"/>
      <c r="AF43" s="720"/>
      <c r="AI43" s="105"/>
      <c r="AJ43" s="105"/>
      <c r="AK43" s="105"/>
      <c r="AN43" s="105"/>
      <c r="AO43" s="105"/>
      <c r="AP43" s="105"/>
      <c r="AW43" s="105"/>
      <c r="AY43" s="106"/>
    </row>
    <row r="44" spans="1:51" outlineLevel="1">
      <c r="A44" s="545">
        <f>MAX($A$10:A43)+1</f>
        <v>35</v>
      </c>
      <c r="B44" s="716" t="s">
        <v>1799</v>
      </c>
      <c r="C44" s="716" t="s">
        <v>1816</v>
      </c>
      <c r="D44" s="716" t="s">
        <v>1817</v>
      </c>
      <c r="E44" s="559">
        <v>376.2</v>
      </c>
      <c r="F44" s="1302" cm="1">
        <f t="array" ref="F44">+IF(SUM(VALUE(N44:Q44)*$N$7:$Q$7)=0,R44,T44)</f>
        <v>0</v>
      </c>
      <c r="G44" s="103">
        <f t="shared" si="2"/>
        <v>0</v>
      </c>
      <c r="H44" s="717">
        <v>0</v>
      </c>
      <c r="I44" s="1303" cm="1">
        <f t="array" ref="I44">+IF(SUM(VALUE(N44:Q44)*$N$7:$Q$7)=0,S44,U44)</f>
        <v>0</v>
      </c>
      <c r="J44" s="103">
        <f>+I44</f>
        <v>0</v>
      </c>
      <c r="K44" s="575">
        <v>45961</v>
      </c>
      <c r="M44"/>
      <c r="N44" s="1300">
        <v>0</v>
      </c>
      <c r="O44" s="1300">
        <v>1</v>
      </c>
      <c r="P44" s="1300">
        <v>0</v>
      </c>
      <c r="Q44" s="1300">
        <v>0</v>
      </c>
      <c r="R44" s="1266">
        <v>0</v>
      </c>
      <c r="S44" s="1266">
        <v>1191031.1399999999</v>
      </c>
      <c r="T44" s="1266">
        <f>+IF($Q44=1,$G44,INDEX([1]Summary!$K$5:$K$110,MATCH($C44,[1]Summary!$D$5:$D145,0)))</f>
        <v>0</v>
      </c>
      <c r="U44" s="1266">
        <f>+IF($Q44=1,$J44,INDEX([1]Summary!$L$5:$L$110,MATCH($C44,[1]Summary!$D$5:$D145,0)))</f>
        <v>0</v>
      </c>
      <c r="V44" s="721"/>
      <c r="W44" s="721"/>
      <c r="X44" s="721"/>
      <c r="Y44" s="721"/>
      <c r="Z44" s="721"/>
      <c r="AA44" s="721"/>
      <c r="AB44" s="721"/>
      <c r="AC44" s="721"/>
      <c r="AD44" s="721"/>
      <c r="AF44" s="720"/>
      <c r="AI44" s="105"/>
      <c r="AJ44" s="105"/>
      <c r="AN44" s="105"/>
      <c r="AO44" s="105"/>
      <c r="AP44" s="105"/>
    </row>
    <row r="45" spans="1:51" outlineLevel="1">
      <c r="A45" s="545">
        <f>MAX($A$10:A44)+1</f>
        <v>36</v>
      </c>
      <c r="B45" s="716" t="s">
        <v>1799</v>
      </c>
      <c r="C45" s="716" t="s">
        <v>1818</v>
      </c>
      <c r="D45" s="716" t="s">
        <v>1819</v>
      </c>
      <c r="E45" s="559">
        <v>376.2</v>
      </c>
      <c r="F45" s="1302" cm="1">
        <f t="array" ref="F45">+IF(SUM(VALUE(N45:Q45)*$N$7:$Q$7)=0,R45,T45)</f>
        <v>3037182.6</v>
      </c>
      <c r="G45" s="103">
        <f t="shared" si="2"/>
        <v>3037182.6</v>
      </c>
      <c r="H45" s="717">
        <v>45566</v>
      </c>
      <c r="I45" s="1303" cm="1">
        <f t="array" ref="I45">+IF(SUM(VALUE(N45:Q45)*$N$7:$Q$7)=0,S45,U45)</f>
        <v>0</v>
      </c>
      <c r="J45" s="103">
        <f>+I45</f>
        <v>0</v>
      </c>
      <c r="K45" s="103"/>
      <c r="M45"/>
      <c r="N45" s="1300">
        <v>0</v>
      </c>
      <c r="O45" s="1300">
        <v>1</v>
      </c>
      <c r="P45" s="1300">
        <v>0</v>
      </c>
      <c r="Q45" s="1300">
        <v>0</v>
      </c>
      <c r="R45" s="1266">
        <v>3037182.6</v>
      </c>
      <c r="S45" s="1266">
        <v>0</v>
      </c>
      <c r="T45" s="1266">
        <f>+IF($Q45=1,$G45,INDEX([1]Summary!$K$5:$K$110,MATCH($C45,[1]Summary!$D$5:$D146,0)))</f>
        <v>3037182.6</v>
      </c>
      <c r="U45" s="1266">
        <f>+IF($Q45=1,$J45,INDEX([1]Summary!$L$5:$L$110,MATCH($C45,[1]Summary!$D$5:$D146,0)))</f>
        <v>0</v>
      </c>
      <c r="V45" s="721"/>
      <c r="W45" s="721"/>
      <c r="X45" s="721"/>
      <c r="Y45" s="721"/>
      <c r="Z45" s="721"/>
      <c r="AA45" s="721"/>
      <c r="AB45" s="721"/>
      <c r="AC45" s="721"/>
      <c r="AD45" s="721"/>
      <c r="AF45" s="720"/>
      <c r="AI45" s="105"/>
      <c r="AJ45" s="105"/>
      <c r="AN45" s="105"/>
      <c r="AO45" s="105"/>
      <c r="AP45" s="105"/>
    </row>
    <row r="46" spans="1:51" outlineLevel="1">
      <c r="A46" s="545">
        <f>MAX($A$10:A45)+1</f>
        <v>37</v>
      </c>
      <c r="B46" s="716" t="s">
        <v>1799</v>
      </c>
      <c r="C46" s="716" t="s">
        <v>1820</v>
      </c>
      <c r="D46" s="716" t="s">
        <v>1821</v>
      </c>
      <c r="E46" s="559">
        <v>376.2</v>
      </c>
      <c r="F46" s="1302" cm="1">
        <f t="array" ref="F46">+IF(SUM(VALUE(N46:Q46)*$N$7:$Q$7)=0,R46,T46)</f>
        <v>750000</v>
      </c>
      <c r="G46" s="103">
        <f t="shared" si="2"/>
        <v>750000</v>
      </c>
      <c r="H46" s="717">
        <v>45535</v>
      </c>
      <c r="I46" s="1303" cm="1">
        <f t="array" ref="I46">+IF(SUM(VALUE(N46:Q46)*$N$7:$Q$7)=0,S46,U46)</f>
        <v>0</v>
      </c>
      <c r="J46" s="103"/>
      <c r="K46" s="103"/>
      <c r="M46"/>
      <c r="N46" s="1300">
        <v>0</v>
      </c>
      <c r="O46" s="1300">
        <v>0</v>
      </c>
      <c r="P46" s="1300">
        <v>0</v>
      </c>
      <c r="Q46" s="1300">
        <v>1</v>
      </c>
      <c r="R46" s="1266">
        <v>750000</v>
      </c>
      <c r="S46" s="1266">
        <v>0</v>
      </c>
      <c r="T46" s="1266">
        <f>+IF($Q46=1,$G46,INDEX([1]Summary!$K$5:$K$110,MATCH($C46,[1]Summary!$D$5:$D147,0)))</f>
        <v>750000</v>
      </c>
      <c r="U46" s="1266">
        <f>+IF($Q46=1,$J46,INDEX([1]Summary!$L$5:$L$110,MATCH($C46,[1]Summary!$D$5:$D147,0)))</f>
        <v>0</v>
      </c>
      <c r="V46" s="721"/>
      <c r="W46" s="721"/>
      <c r="X46" s="721"/>
      <c r="Y46" s="721"/>
      <c r="Z46" s="721"/>
      <c r="AA46" s="721"/>
      <c r="AB46" s="721"/>
      <c r="AC46" s="721"/>
      <c r="AD46" s="721"/>
      <c r="AF46" s="720"/>
      <c r="AI46" s="105"/>
      <c r="AJ46" s="105"/>
      <c r="AN46" s="105"/>
      <c r="AO46" s="105"/>
      <c r="AP46" s="105"/>
    </row>
    <row r="47" spans="1:51" outlineLevel="1">
      <c r="A47" s="545">
        <f>MAX($A$10:A46)+1</f>
        <v>38</v>
      </c>
      <c r="B47" s="716" t="s">
        <v>1799</v>
      </c>
      <c r="C47" s="716" t="s">
        <v>1822</v>
      </c>
      <c r="D47" s="716" t="s">
        <v>1823</v>
      </c>
      <c r="E47" s="559">
        <v>376.3</v>
      </c>
      <c r="F47" s="1302" cm="1">
        <f t="array" ref="F47">+IF(SUM(VALUE(N47:Q47)*$N$7:$Q$7)=0,R47,T47)</f>
        <v>143661.82750000001</v>
      </c>
      <c r="G47" s="103">
        <f t="shared" si="2"/>
        <v>143661.82750000001</v>
      </c>
      <c r="H47" s="575">
        <v>45657</v>
      </c>
      <c r="I47" s="1303" cm="1">
        <f t="array" ref="I47">+IF(SUM(VALUE(N47:Q47)*$N$7:$Q$7)=0,S47,U47)</f>
        <v>143661.82750000001</v>
      </c>
      <c r="J47" s="103">
        <f t="shared" ref="J47:J85" si="4">+I47</f>
        <v>143661.82750000001</v>
      </c>
      <c r="K47" s="575">
        <v>46022</v>
      </c>
      <c r="M47"/>
      <c r="N47" s="1300">
        <v>0</v>
      </c>
      <c r="O47" s="1300">
        <v>0</v>
      </c>
      <c r="P47" s="1300">
        <v>1</v>
      </c>
      <c r="Q47" s="1300">
        <v>0</v>
      </c>
      <c r="R47" s="1266">
        <v>87598.680000000008</v>
      </c>
      <c r="S47" s="1266">
        <v>90059.04</v>
      </c>
      <c r="T47" s="1266">
        <f>+IF($Q47=1,$G47,INDEX([1]Summary!$K$5:$K$110,MATCH($C47,[1]Summary!$D$5:$D148,0)))</f>
        <v>143661.82750000001</v>
      </c>
      <c r="U47" s="1266">
        <f>+IF($Q47=1,$J47,INDEX([1]Summary!$L$5:$L$110,MATCH($C47,[1]Summary!$D$5:$D148,0)))</f>
        <v>143661.82750000001</v>
      </c>
      <c r="V47" s="721"/>
      <c r="W47" s="721"/>
      <c r="X47" s="721"/>
      <c r="Y47" s="721"/>
      <c r="Z47" s="721"/>
      <c r="AA47" s="721"/>
      <c r="AB47" s="721"/>
      <c r="AC47" s="721"/>
      <c r="AD47" s="721"/>
      <c r="AF47" s="720"/>
      <c r="AI47" s="105"/>
      <c r="AJ47" s="105"/>
      <c r="AN47" s="105"/>
      <c r="AO47" s="105"/>
      <c r="AP47" s="105"/>
      <c r="AS47" s="105"/>
    </row>
    <row r="48" spans="1:51" outlineLevel="1">
      <c r="A48" s="545">
        <f>MAX($A$10:A47)+1</f>
        <v>39</v>
      </c>
      <c r="B48" s="716" t="s">
        <v>1799</v>
      </c>
      <c r="C48" s="716" t="s">
        <v>1824</v>
      </c>
      <c r="D48" s="716" t="s">
        <v>1825</v>
      </c>
      <c r="E48" s="559">
        <v>376.3</v>
      </c>
      <c r="F48" s="1302" cm="1">
        <f t="array" ref="F48">+IF(SUM(VALUE(N48:Q48)*$N$7:$Q$7)=0,R48,T48)</f>
        <v>84544.570000000298</v>
      </c>
      <c r="G48" s="103">
        <f t="shared" si="2"/>
        <v>84544.570000000298</v>
      </c>
      <c r="H48" s="575">
        <v>45657</v>
      </c>
      <c r="I48" s="1303" cm="1">
        <f t="array" ref="I48">+IF(SUM(VALUE(N48:Q48)*$N$7:$Q$7)=0,S48,U48)</f>
        <v>69125.594999998808</v>
      </c>
      <c r="J48" s="103">
        <f t="shared" si="4"/>
        <v>69125.594999998808</v>
      </c>
      <c r="K48" s="575">
        <v>46022</v>
      </c>
      <c r="M48"/>
      <c r="N48" s="1300">
        <v>0</v>
      </c>
      <c r="O48" s="1300">
        <v>0</v>
      </c>
      <c r="P48" s="1300">
        <v>1</v>
      </c>
      <c r="Q48" s="1300">
        <v>0</v>
      </c>
      <c r="R48" s="1266">
        <v>260834.37784400009</v>
      </c>
      <c r="S48" s="1266">
        <v>224689.91446899995</v>
      </c>
      <c r="T48" s="1266">
        <f>+IF($Q48=1,$G48,INDEX([1]Summary!$K$5:$K$110,MATCH($C48,[1]Summary!$D$5:$D149,0)))</f>
        <v>84544.570000000298</v>
      </c>
      <c r="U48" s="1266">
        <f>+IF($Q48=1,$J48,INDEX([1]Summary!$L$5:$L$110,MATCH($C48,[1]Summary!$D$5:$D149,0)))</f>
        <v>69125.594999998808</v>
      </c>
      <c r="V48" s="721"/>
      <c r="W48" s="721"/>
      <c r="X48" s="721"/>
      <c r="Y48" s="721"/>
      <c r="Z48" s="721"/>
      <c r="AA48" s="721"/>
      <c r="AB48" s="721"/>
      <c r="AC48" s="721"/>
      <c r="AD48" s="721"/>
      <c r="AF48" s="720"/>
      <c r="AI48" s="105"/>
      <c r="AJ48" s="105"/>
      <c r="AN48" s="105"/>
      <c r="AO48" s="105"/>
      <c r="AP48" s="105"/>
      <c r="AS48" s="105"/>
    </row>
    <row r="49" spans="1:45" outlineLevel="1">
      <c r="A49" s="545">
        <f>MAX($A$10:A48)+1</f>
        <v>40</v>
      </c>
      <c r="B49" s="716" t="s">
        <v>1799</v>
      </c>
      <c r="C49" s="716" t="s">
        <v>1826</v>
      </c>
      <c r="D49" s="716" t="s">
        <v>1827</v>
      </c>
      <c r="E49" s="559">
        <v>380.3</v>
      </c>
      <c r="F49" s="1302" cm="1">
        <f t="array" ref="F49">+IF(SUM(VALUE(N49:Q49)*$N$7:$Q$7)=0,R49,T49)</f>
        <v>421666.68799999997</v>
      </c>
      <c r="G49" s="103">
        <f t="shared" si="2"/>
        <v>421666.68799999997</v>
      </c>
      <c r="H49" s="575">
        <v>45657</v>
      </c>
      <c r="I49" s="1303" cm="1">
        <f t="array" ref="I49">+IF(SUM(VALUE(N49:Q49)*$N$7:$Q$7)=0,S49,U49)</f>
        <v>421666.68799999997</v>
      </c>
      <c r="J49" s="103">
        <f t="shared" si="4"/>
        <v>421666.68799999997</v>
      </c>
      <c r="K49" s="575">
        <v>46022</v>
      </c>
      <c r="M49"/>
      <c r="N49" s="1300">
        <v>0</v>
      </c>
      <c r="O49" s="1300">
        <v>0</v>
      </c>
      <c r="P49" s="1300">
        <v>1</v>
      </c>
      <c r="Q49" s="1300">
        <v>0</v>
      </c>
      <c r="R49" s="1266">
        <v>432802.92000000016</v>
      </c>
      <c r="S49" s="1266">
        <v>444940.08000000013</v>
      </c>
      <c r="T49" s="1266">
        <f>+IF($Q49=1,$G49,INDEX([1]Summary!$K$5:$K$110,MATCH($C49,[1]Summary!$D$5:$D150,0)))</f>
        <v>421666.68799999997</v>
      </c>
      <c r="U49" s="1266">
        <f>+IF($Q49=1,$J49,INDEX([1]Summary!$L$5:$L$110,MATCH($C49,[1]Summary!$D$5:$D150,0)))</f>
        <v>421666.68799999997</v>
      </c>
      <c r="V49" s="721"/>
      <c r="W49" s="721"/>
      <c r="X49" s="721"/>
      <c r="Y49" s="721"/>
      <c r="Z49" s="721"/>
      <c r="AA49" s="721"/>
      <c r="AB49" s="721"/>
      <c r="AC49" s="721"/>
      <c r="AD49" s="721"/>
      <c r="AF49" s="720"/>
      <c r="AI49" s="105"/>
      <c r="AJ49" s="105"/>
      <c r="AK49" s="105"/>
      <c r="AN49" s="105"/>
      <c r="AO49" s="105"/>
      <c r="AP49" s="105"/>
      <c r="AS49" s="105"/>
    </row>
    <row r="50" spans="1:45" outlineLevel="1">
      <c r="A50" s="545">
        <f>MAX($A$10:A49)+1</f>
        <v>41</v>
      </c>
      <c r="B50" s="716" t="s">
        <v>1799</v>
      </c>
      <c r="C50" s="716" t="s">
        <v>1828</v>
      </c>
      <c r="D50" s="716" t="s">
        <v>1829</v>
      </c>
      <c r="E50" s="559">
        <v>380.3</v>
      </c>
      <c r="F50" s="1302" cm="1">
        <f t="array" ref="F50">+IF(SUM(VALUE(N50:Q50)*$N$7:$Q$7)=0,R50,T50)</f>
        <v>184523.08750000002</v>
      </c>
      <c r="G50" s="103">
        <f t="shared" si="2"/>
        <v>184523.08750000002</v>
      </c>
      <c r="H50" s="575">
        <v>45657</v>
      </c>
      <c r="I50" s="1303" cm="1">
        <f t="array" ref="I50">+IF(SUM(VALUE(N50:Q50)*$N$7:$Q$7)=0,S50,U50)</f>
        <v>184523.08750000002</v>
      </c>
      <c r="J50" s="103">
        <f t="shared" si="4"/>
        <v>184523.08750000002</v>
      </c>
      <c r="K50" s="575">
        <v>46022</v>
      </c>
      <c r="M50"/>
      <c r="N50" s="1300">
        <v>0</v>
      </c>
      <c r="O50" s="1300">
        <v>0</v>
      </c>
      <c r="P50" s="1300">
        <v>1</v>
      </c>
      <c r="Q50" s="1300">
        <v>0</v>
      </c>
      <c r="R50" s="1266">
        <v>230492.44047400006</v>
      </c>
      <c r="S50" s="1266">
        <v>178839.24196299998</v>
      </c>
      <c r="T50" s="1266">
        <f>+IF($Q50=1,$G50,INDEX([1]Summary!$K$5:$K$110,MATCH($C50,[1]Summary!$D$5:$D151,0)))</f>
        <v>184523.08750000002</v>
      </c>
      <c r="U50" s="1266">
        <f>+IF($Q50=1,$J50,INDEX([1]Summary!$L$5:$L$110,MATCH($C50,[1]Summary!$D$5:$D151,0)))</f>
        <v>184523.08750000002</v>
      </c>
      <c r="V50" s="721"/>
      <c r="W50" s="721"/>
      <c r="X50" s="721"/>
      <c r="Y50" s="721"/>
      <c r="Z50" s="721"/>
      <c r="AA50" s="721"/>
      <c r="AB50" s="721"/>
      <c r="AC50" s="721"/>
      <c r="AD50" s="721"/>
      <c r="AF50" s="720"/>
      <c r="AI50" s="105"/>
      <c r="AJ50" s="105"/>
      <c r="AN50" s="105"/>
      <c r="AO50" s="105"/>
      <c r="AP50" s="105"/>
      <c r="AS50" s="105"/>
    </row>
    <row r="51" spans="1:45" outlineLevel="1">
      <c r="A51" s="545">
        <f>MAX($A$10:A50)+1</f>
        <v>42</v>
      </c>
      <c r="B51" s="716" t="s">
        <v>1799</v>
      </c>
      <c r="C51" s="716" t="s">
        <v>1830</v>
      </c>
      <c r="D51" s="716" t="s">
        <v>1831</v>
      </c>
      <c r="E51" s="559">
        <v>376.3</v>
      </c>
      <c r="F51" s="1302" cm="1">
        <f t="array" ref="F51">+IF(SUM(VALUE(N51:Q51)*$N$7:$Q$7)=0,R51,T51)</f>
        <v>4725.4375</v>
      </c>
      <c r="G51" s="103">
        <f t="shared" si="2"/>
        <v>4725.4375</v>
      </c>
      <c r="H51" s="575">
        <v>45657</v>
      </c>
      <c r="I51" s="1303" cm="1">
        <f t="array" ref="I51">+IF(SUM(VALUE(N51:Q51)*$N$7:$Q$7)=0,S51,U51)</f>
        <v>4725.4375</v>
      </c>
      <c r="J51" s="103">
        <f t="shared" si="4"/>
        <v>4725.4375</v>
      </c>
      <c r="K51" s="575">
        <v>46022</v>
      </c>
      <c r="M51"/>
      <c r="N51" s="1300">
        <v>0</v>
      </c>
      <c r="O51" s="1300">
        <v>0</v>
      </c>
      <c r="P51" s="1300">
        <v>1</v>
      </c>
      <c r="Q51" s="1300">
        <v>0</v>
      </c>
      <c r="R51" s="1266">
        <v>14539.2</v>
      </c>
      <c r="S51" s="1266">
        <v>14511.600000000002</v>
      </c>
      <c r="T51" s="1266">
        <f>+IF($Q51=1,$G51,INDEX([1]Summary!$K$5:$K$110,MATCH($C51,[1]Summary!$D$5:$D152,0)))</f>
        <v>4725.4375</v>
      </c>
      <c r="U51" s="1266">
        <f>+IF($Q51=1,$J51,INDEX([1]Summary!$L$5:$L$110,MATCH($C51,[1]Summary!$D$5:$D152,0)))</f>
        <v>4725.4375</v>
      </c>
      <c r="V51" s="721"/>
      <c r="W51" s="721"/>
      <c r="X51" s="721"/>
      <c r="Y51" s="721"/>
      <c r="Z51" s="721"/>
      <c r="AA51" s="721"/>
      <c r="AB51" s="721"/>
      <c r="AC51" s="721"/>
      <c r="AD51" s="721"/>
      <c r="AF51" s="720"/>
      <c r="AI51" s="105"/>
      <c r="AJ51" s="105"/>
      <c r="AN51" s="105"/>
      <c r="AO51" s="105"/>
      <c r="AP51" s="105"/>
      <c r="AS51" s="105"/>
    </row>
    <row r="52" spans="1:45" outlineLevel="1">
      <c r="A52" s="545">
        <f>MAX($A$10:A51)+1</f>
        <v>43</v>
      </c>
      <c r="B52" s="716" t="s">
        <v>1799</v>
      </c>
      <c r="C52" s="716" t="s">
        <v>1832</v>
      </c>
      <c r="D52" s="716" t="s">
        <v>1833</v>
      </c>
      <c r="E52" s="559">
        <v>376.3</v>
      </c>
      <c r="F52" s="1302" cm="1">
        <f t="array" ref="F52">+IF(SUM(VALUE(N52:Q52)*$N$7:$Q$7)=0,R52,T52)</f>
        <v>13623.474999999999</v>
      </c>
      <c r="G52" s="103">
        <f t="shared" si="2"/>
        <v>13623.474999999999</v>
      </c>
      <c r="H52" s="575">
        <v>45657</v>
      </c>
      <c r="I52" s="1303" cm="1">
        <f t="array" ref="I52">+IF(SUM(VALUE(N52:Q52)*$N$7:$Q$7)=0,S52,U52)</f>
        <v>13623.474999999999</v>
      </c>
      <c r="J52" s="103">
        <f t="shared" si="4"/>
        <v>13623.474999999999</v>
      </c>
      <c r="K52" s="575">
        <v>46022</v>
      </c>
      <c r="M52"/>
      <c r="N52" s="1300">
        <v>0</v>
      </c>
      <c r="O52" s="1300">
        <v>0</v>
      </c>
      <c r="P52" s="1300">
        <v>1</v>
      </c>
      <c r="Q52" s="1300">
        <v>0</v>
      </c>
      <c r="R52" s="1266">
        <v>19699.351382000001</v>
      </c>
      <c r="S52" s="1266">
        <v>18350.622632999999</v>
      </c>
      <c r="T52" s="1266">
        <f>+IF($Q52=1,$G52,INDEX([1]Summary!$K$5:$K$110,MATCH($C52,[1]Summary!$D$5:$D153,0)))</f>
        <v>13623.474999999999</v>
      </c>
      <c r="U52" s="1266">
        <f>+IF($Q52=1,$J52,INDEX([1]Summary!$L$5:$L$110,MATCH($C52,[1]Summary!$D$5:$D153,0)))</f>
        <v>13623.474999999999</v>
      </c>
      <c r="V52" s="721"/>
      <c r="W52" s="721"/>
      <c r="X52" s="721"/>
      <c r="Y52" s="721"/>
      <c r="Z52" s="721"/>
      <c r="AA52" s="721"/>
      <c r="AB52" s="721"/>
      <c r="AC52" s="721"/>
      <c r="AD52" s="721"/>
      <c r="AF52" s="720"/>
      <c r="AI52" s="105"/>
      <c r="AJ52" s="105"/>
      <c r="AN52" s="105"/>
      <c r="AO52" s="105"/>
      <c r="AP52" s="105"/>
      <c r="AS52" s="105"/>
    </row>
    <row r="53" spans="1:45" outlineLevel="1">
      <c r="A53" s="545">
        <f>MAX($A$10:A52)+1</f>
        <v>44</v>
      </c>
      <c r="B53" s="716" t="s">
        <v>1799</v>
      </c>
      <c r="C53" s="716" t="s">
        <v>1834</v>
      </c>
      <c r="D53" s="716" t="s">
        <v>1835</v>
      </c>
      <c r="E53" s="559">
        <v>380.3</v>
      </c>
      <c r="F53" s="1302" cm="1">
        <f t="array" ref="F53">+IF(SUM(VALUE(N53:Q53)*$N$7:$Q$7)=0,R53,T53)</f>
        <v>106420.70333333332</v>
      </c>
      <c r="G53" s="103">
        <f t="shared" si="2"/>
        <v>106420.70333333332</v>
      </c>
      <c r="H53" s="575">
        <v>45657</v>
      </c>
      <c r="I53" s="1303" cm="1">
        <f t="array" ref="I53">+IF(SUM(VALUE(N53:Q53)*$N$7:$Q$7)=0,S53,U53)</f>
        <v>106420.70333333332</v>
      </c>
      <c r="J53" s="103">
        <f t="shared" si="4"/>
        <v>106420.70333333332</v>
      </c>
      <c r="K53" s="575">
        <v>46022</v>
      </c>
      <c r="M53"/>
      <c r="N53" s="1300">
        <v>0</v>
      </c>
      <c r="O53" s="1300">
        <v>0</v>
      </c>
      <c r="P53" s="1300">
        <v>1</v>
      </c>
      <c r="Q53" s="1300">
        <v>0</v>
      </c>
      <c r="R53" s="1266">
        <v>54194.889999999992</v>
      </c>
      <c r="S53" s="1266">
        <v>58743</v>
      </c>
      <c r="T53" s="1266">
        <f>+IF($Q53=1,$G53,INDEX([1]Summary!$K$5:$K$110,MATCH($C53,[1]Summary!$D$5:$D154,0)))</f>
        <v>106420.70333333332</v>
      </c>
      <c r="U53" s="1266">
        <f>+IF($Q53=1,$J53,INDEX([1]Summary!$L$5:$L$110,MATCH($C53,[1]Summary!$D$5:$D154,0)))</f>
        <v>106420.70333333332</v>
      </c>
      <c r="V53" s="721"/>
      <c r="W53" s="721"/>
      <c r="X53" s="721"/>
      <c r="Y53" s="721"/>
      <c r="Z53" s="721"/>
      <c r="AA53" s="721"/>
      <c r="AB53" s="721"/>
      <c r="AC53" s="721"/>
      <c r="AD53" s="721"/>
      <c r="AF53" s="720"/>
      <c r="AI53" s="105"/>
      <c r="AJ53" s="105"/>
      <c r="AN53" s="105"/>
      <c r="AO53" s="105"/>
      <c r="AP53" s="105"/>
      <c r="AS53" s="105"/>
    </row>
    <row r="54" spans="1:45" outlineLevel="1">
      <c r="A54" s="545">
        <f>MAX($A$10:A53)+1</f>
        <v>45</v>
      </c>
      <c r="B54" s="716" t="s">
        <v>1799</v>
      </c>
      <c r="C54" s="716" t="s">
        <v>1836</v>
      </c>
      <c r="D54" s="716" t="s">
        <v>1837</v>
      </c>
      <c r="E54" s="559">
        <v>380.3</v>
      </c>
      <c r="F54" s="1302" cm="1">
        <f t="array" ref="F54">+IF(SUM(VALUE(N54:Q54)*$N$7:$Q$7)=0,R54,T54)</f>
        <v>1010.115</v>
      </c>
      <c r="G54" s="103">
        <f t="shared" si="2"/>
        <v>1010.115</v>
      </c>
      <c r="H54" s="575">
        <v>45657</v>
      </c>
      <c r="I54" s="1303" cm="1">
        <f t="array" ref="I54">+IF(SUM(VALUE(N54:Q54)*$N$7:$Q$7)=0,S54,U54)</f>
        <v>1010.115</v>
      </c>
      <c r="J54" s="103">
        <f t="shared" si="4"/>
        <v>1010.115</v>
      </c>
      <c r="K54" s="575">
        <v>46022</v>
      </c>
      <c r="M54"/>
      <c r="N54" s="1300">
        <v>0</v>
      </c>
      <c r="O54" s="1300">
        <v>0</v>
      </c>
      <c r="P54" s="1300">
        <v>1</v>
      </c>
      <c r="Q54" s="1300">
        <v>0</v>
      </c>
      <c r="R54" s="1266">
        <v>64673.637801999997</v>
      </c>
      <c r="S54" s="1266">
        <v>52841.280960999982</v>
      </c>
      <c r="T54" s="1266">
        <f>+IF($Q54=1,$G54,INDEX([1]Summary!$K$5:$K$110,MATCH($C54,[1]Summary!$D$5:$D155,0)))</f>
        <v>1010.115</v>
      </c>
      <c r="U54" s="1266">
        <f>+IF($Q54=1,$J54,INDEX([1]Summary!$L$5:$L$110,MATCH($C54,[1]Summary!$D$5:$D155,0)))</f>
        <v>1010.115</v>
      </c>
      <c r="V54" s="721"/>
      <c r="W54" s="721"/>
      <c r="X54" s="721"/>
      <c r="Y54" s="721"/>
      <c r="Z54" s="721"/>
      <c r="AA54" s="721"/>
      <c r="AB54" s="721"/>
      <c r="AC54" s="721"/>
      <c r="AD54" s="721"/>
      <c r="AF54" s="720"/>
      <c r="AI54" s="105"/>
      <c r="AJ54" s="105"/>
      <c r="AN54" s="105"/>
      <c r="AO54" s="105"/>
      <c r="AP54" s="105"/>
      <c r="AS54" s="105"/>
    </row>
    <row r="55" spans="1:45" outlineLevel="1">
      <c r="A55" s="545">
        <f>MAX($A$10:A54)+1</f>
        <v>46</v>
      </c>
      <c r="B55" s="716" t="s">
        <v>1799</v>
      </c>
      <c r="C55" s="716" t="s">
        <v>1838</v>
      </c>
      <c r="D55" s="716" t="s">
        <v>1839</v>
      </c>
      <c r="E55" s="559">
        <v>376.3</v>
      </c>
      <c r="F55" s="1302" cm="1">
        <f t="array" ref="F55">+IF(SUM(VALUE(N55:Q55)*$N$7:$Q$7)=0,R55,T55)</f>
        <v>247300.73250000001</v>
      </c>
      <c r="G55" s="103">
        <f t="shared" si="2"/>
        <v>247300.73250000001</v>
      </c>
      <c r="H55" s="575">
        <v>45657</v>
      </c>
      <c r="I55" s="1303" cm="1">
        <f t="array" ref="I55">+IF(SUM(VALUE(N55:Q55)*$N$7:$Q$7)=0,S55,U55)</f>
        <v>247300.73250000001</v>
      </c>
      <c r="J55" s="103">
        <f t="shared" si="4"/>
        <v>247300.73250000001</v>
      </c>
      <c r="K55" s="575">
        <v>46022</v>
      </c>
      <c r="M55"/>
      <c r="N55" s="1300">
        <v>0</v>
      </c>
      <c r="O55" s="1300">
        <v>0</v>
      </c>
      <c r="P55" s="1300">
        <v>1</v>
      </c>
      <c r="Q55" s="1300">
        <v>0</v>
      </c>
      <c r="R55" s="1266">
        <v>102137.88000000002</v>
      </c>
      <c r="S55" s="1266">
        <v>104991.36</v>
      </c>
      <c r="T55" s="1266">
        <f>+IF($Q55=1,$G55,INDEX([1]Summary!$K$5:$K$110,MATCH($C55,[1]Summary!$D$5:$D156,0)))</f>
        <v>247300.73250000001</v>
      </c>
      <c r="U55" s="1266">
        <f>+IF($Q55=1,$J55,INDEX([1]Summary!$L$5:$L$110,MATCH($C55,[1]Summary!$D$5:$D156,0)))</f>
        <v>247300.73250000001</v>
      </c>
      <c r="V55" s="721"/>
      <c r="W55" s="721"/>
      <c r="X55" s="721"/>
      <c r="Y55" s="721"/>
      <c r="Z55" s="721"/>
      <c r="AA55" s="721"/>
      <c r="AB55" s="721"/>
      <c r="AC55" s="721"/>
      <c r="AD55" s="721"/>
      <c r="AF55" s="720"/>
      <c r="AI55" s="105"/>
      <c r="AJ55" s="105"/>
      <c r="AN55" s="105"/>
      <c r="AO55" s="105"/>
      <c r="AP55" s="105"/>
      <c r="AS55" s="105"/>
    </row>
    <row r="56" spans="1:45" outlineLevel="1">
      <c r="A56" s="545">
        <f>MAX($A$10:A55)+1</f>
        <v>47</v>
      </c>
      <c r="B56" s="716" t="s">
        <v>1799</v>
      </c>
      <c r="C56" s="716" t="s">
        <v>1840</v>
      </c>
      <c r="D56" s="716" t="s">
        <v>1841</v>
      </c>
      <c r="E56" s="559">
        <v>376.3</v>
      </c>
      <c r="F56" s="1302" cm="1">
        <f t="array" ref="F56">+IF(SUM(VALUE(N56:Q56)*$N$7:$Q$7)=0,R56,T56)</f>
        <v>201854.49000000209</v>
      </c>
      <c r="G56" s="103">
        <f t="shared" si="2"/>
        <v>201854.49000000209</v>
      </c>
      <c r="H56" s="575">
        <v>45657</v>
      </c>
      <c r="I56" s="1303" cm="1">
        <f t="array" ref="I56">+IF(SUM(VALUE(N56:Q56)*$N$7:$Q$7)=0,S56,U56)</f>
        <v>224484.68599999696</v>
      </c>
      <c r="J56" s="103">
        <f t="shared" si="4"/>
        <v>224484.68599999696</v>
      </c>
      <c r="K56" s="575">
        <v>46022</v>
      </c>
      <c r="M56"/>
      <c r="N56" s="1300">
        <v>0</v>
      </c>
      <c r="O56" s="1300">
        <v>0</v>
      </c>
      <c r="P56" s="1300">
        <v>1</v>
      </c>
      <c r="Q56" s="1300">
        <v>0</v>
      </c>
      <c r="R56" s="1266">
        <v>183118.15119299997</v>
      </c>
      <c r="S56" s="1266">
        <v>188332.45476299999</v>
      </c>
      <c r="T56" s="1266">
        <f>+IF($Q56=1,$G56,INDEX([1]Summary!$K$5:$K$110,MATCH($C56,[1]Summary!$D$5:$D157,0)))</f>
        <v>201854.49000000209</v>
      </c>
      <c r="U56" s="1266">
        <f>+IF($Q56=1,$J56,INDEX([1]Summary!$L$5:$L$110,MATCH($C56,[1]Summary!$D$5:$D157,0)))</f>
        <v>224484.68599999696</v>
      </c>
      <c r="V56" s="721"/>
      <c r="W56" s="721"/>
      <c r="X56" s="721"/>
      <c r="Y56" s="721"/>
      <c r="Z56" s="721"/>
      <c r="AA56" s="721"/>
      <c r="AB56" s="721"/>
      <c r="AC56" s="721"/>
      <c r="AD56" s="721"/>
      <c r="AF56" s="720"/>
      <c r="AI56" s="105"/>
      <c r="AJ56" s="105"/>
      <c r="AN56" s="105"/>
      <c r="AO56" s="105"/>
      <c r="AP56" s="105"/>
      <c r="AS56" s="105"/>
    </row>
    <row r="57" spans="1:45" outlineLevel="1">
      <c r="A57" s="545">
        <f>MAX($A$10:A56)+1</f>
        <v>48</v>
      </c>
      <c r="B57" s="716" t="s">
        <v>1799</v>
      </c>
      <c r="C57" s="716" t="s">
        <v>1842</v>
      </c>
      <c r="D57" s="716" t="s">
        <v>1843</v>
      </c>
      <c r="E57" s="559">
        <v>380.3</v>
      </c>
      <c r="F57" s="1302" cm="1">
        <f t="array" ref="F57">+IF(SUM(VALUE(N57:Q57)*$N$7:$Q$7)=0,R57,T57)</f>
        <v>481502.20266669989</v>
      </c>
      <c r="G57" s="103">
        <f t="shared" si="2"/>
        <v>481502.20266669989</v>
      </c>
      <c r="H57" s="575">
        <v>45657</v>
      </c>
      <c r="I57" s="1303" cm="1">
        <f t="array" ref="I57">+IF(SUM(VALUE(N57:Q57)*$N$7:$Q$7)=0,S57,U57)</f>
        <v>327047.00009524822</v>
      </c>
      <c r="J57" s="103">
        <f t="shared" si="4"/>
        <v>327047.00009524822</v>
      </c>
      <c r="K57" s="575">
        <v>46022</v>
      </c>
      <c r="M57"/>
      <c r="N57" s="1300">
        <v>0</v>
      </c>
      <c r="O57" s="1300">
        <v>0</v>
      </c>
      <c r="P57" s="1300">
        <v>1</v>
      </c>
      <c r="Q57" s="1300">
        <v>0</v>
      </c>
      <c r="R57" s="1266">
        <v>674851.56</v>
      </c>
      <c r="S57" s="1266">
        <v>693785.04</v>
      </c>
      <c r="T57" s="1266">
        <f>+IF($Q57=1,$G57,INDEX([1]Summary!$K$5:$K$110,MATCH($C57,[1]Summary!$D$5:$D158,0)))</f>
        <v>481502.20266669989</v>
      </c>
      <c r="U57" s="1266">
        <f>+IF($Q57=1,$J57,INDEX([1]Summary!$L$5:$L$110,MATCH($C57,[1]Summary!$D$5:$D158,0)))</f>
        <v>327047.00009524822</v>
      </c>
      <c r="V57" s="721"/>
      <c r="W57" s="721"/>
      <c r="X57" s="721"/>
      <c r="Y57" s="721"/>
      <c r="Z57" s="721"/>
      <c r="AA57" s="721"/>
      <c r="AB57" s="721"/>
      <c r="AC57" s="721"/>
      <c r="AD57" s="721"/>
      <c r="AF57" s="720"/>
      <c r="AI57" s="105"/>
      <c r="AJ57" s="105"/>
      <c r="AN57" s="105"/>
      <c r="AO57" s="105"/>
      <c r="AP57" s="105"/>
      <c r="AS57" s="105"/>
    </row>
    <row r="58" spans="1:45" outlineLevel="1">
      <c r="A58" s="545">
        <f>MAX($A$10:A57)+1</f>
        <v>49</v>
      </c>
      <c r="B58" s="716" t="s">
        <v>1799</v>
      </c>
      <c r="C58" s="716" t="s">
        <v>1844</v>
      </c>
      <c r="D58" s="716" t="s">
        <v>1845</v>
      </c>
      <c r="E58" s="559">
        <v>380.3</v>
      </c>
      <c r="F58" s="1302" cm="1">
        <f t="array" ref="F58">+IF(SUM(VALUE(N58:Q58)*$N$7:$Q$7)=0,R58,T58)</f>
        <v>91630.605000000447</v>
      </c>
      <c r="G58" s="103">
        <f t="shared" si="2"/>
        <v>91630.605000000447</v>
      </c>
      <c r="H58" s="575">
        <v>45657</v>
      </c>
      <c r="I58" s="1303" cm="1">
        <f t="array" ref="I58">+IF(SUM(VALUE(N58:Q58)*$N$7:$Q$7)=0,S58,U58)</f>
        <v>105890.96400000155</v>
      </c>
      <c r="J58" s="103">
        <f t="shared" si="4"/>
        <v>105890.96400000155</v>
      </c>
      <c r="K58" s="575">
        <v>46022</v>
      </c>
      <c r="M58"/>
      <c r="N58" s="1300">
        <v>0</v>
      </c>
      <c r="O58" s="1300">
        <v>0</v>
      </c>
      <c r="P58" s="1300">
        <v>1</v>
      </c>
      <c r="Q58" s="1300">
        <v>0</v>
      </c>
      <c r="R58" s="1266">
        <v>315682.85518500005</v>
      </c>
      <c r="S58" s="1266">
        <v>293445.8054769999</v>
      </c>
      <c r="T58" s="1266">
        <f>+IF($Q58=1,$G58,INDEX([1]Summary!$K$5:$K$110,MATCH($C58,[1]Summary!$D$5:$D159,0)))</f>
        <v>91630.605000000447</v>
      </c>
      <c r="U58" s="1266">
        <f>+IF($Q58=1,$J58,INDEX([1]Summary!$L$5:$L$110,MATCH($C58,[1]Summary!$D$5:$D159,0)))</f>
        <v>105890.96400000155</v>
      </c>
      <c r="V58" s="721"/>
      <c r="W58" s="721"/>
      <c r="X58" s="721"/>
      <c r="Y58" s="721"/>
      <c r="Z58" s="721"/>
      <c r="AA58" s="721"/>
      <c r="AB58" s="721"/>
      <c r="AC58" s="721"/>
      <c r="AD58" s="721"/>
      <c r="AF58" s="720"/>
      <c r="AI58" s="105"/>
      <c r="AJ58" s="105"/>
      <c r="AN58" s="105"/>
      <c r="AO58" s="105"/>
      <c r="AP58" s="105"/>
      <c r="AS58" s="105"/>
    </row>
    <row r="59" spans="1:45" outlineLevel="1">
      <c r="A59" s="545">
        <f>MAX($A$10:A58)+1</f>
        <v>50</v>
      </c>
      <c r="B59" s="716" t="s">
        <v>1799</v>
      </c>
      <c r="C59" s="716" t="s">
        <v>1846</v>
      </c>
      <c r="D59" s="716" t="s">
        <v>1847</v>
      </c>
      <c r="E59" s="559">
        <v>376.3</v>
      </c>
      <c r="F59" s="1302" cm="1">
        <f t="array" ref="F59">+IF(SUM(VALUE(N59:Q59)*$N$7:$Q$7)=0,R59,T59)</f>
        <v>103605.74499999732</v>
      </c>
      <c r="G59" s="103">
        <f t="shared" si="2"/>
        <v>103605.74499999732</v>
      </c>
      <c r="H59" s="575">
        <v>45657</v>
      </c>
      <c r="I59" s="1303" cm="1">
        <f t="array" ref="I59">+IF(SUM(VALUE(N59:Q59)*$N$7:$Q$7)=0,S59,U59)</f>
        <v>125973.51999999583</v>
      </c>
      <c r="J59" s="103">
        <f t="shared" si="4"/>
        <v>125973.51999999583</v>
      </c>
      <c r="K59" s="575">
        <v>46022</v>
      </c>
      <c r="M59"/>
      <c r="N59" s="1300">
        <v>0</v>
      </c>
      <c r="O59" s="1300">
        <v>0</v>
      </c>
      <c r="P59" s="1300">
        <v>1</v>
      </c>
      <c r="Q59" s="1300">
        <v>0</v>
      </c>
      <c r="R59" s="1266">
        <v>167040.84000000005</v>
      </c>
      <c r="S59" s="1266">
        <v>171725.36000000002</v>
      </c>
      <c r="T59" s="1266">
        <f>+IF($Q59=1,$G59,INDEX([1]Summary!$K$5:$K$110,MATCH($C59,[1]Summary!$D$5:$D160,0)))</f>
        <v>103605.74499999732</v>
      </c>
      <c r="U59" s="1266">
        <f>+IF($Q59=1,$J59,INDEX([1]Summary!$L$5:$L$110,MATCH($C59,[1]Summary!$D$5:$D160,0)))</f>
        <v>125973.51999999583</v>
      </c>
      <c r="V59" s="721"/>
      <c r="W59" s="721"/>
      <c r="X59" s="721"/>
      <c r="Y59" s="721"/>
      <c r="Z59" s="721"/>
      <c r="AA59" s="721"/>
      <c r="AB59" s="721"/>
      <c r="AC59" s="721"/>
      <c r="AD59" s="721"/>
      <c r="AF59" s="720"/>
      <c r="AI59" s="105"/>
      <c r="AJ59" s="105"/>
      <c r="AN59" s="105"/>
      <c r="AO59" s="105"/>
      <c r="AP59" s="105"/>
      <c r="AS59" s="105"/>
    </row>
    <row r="60" spans="1:45" outlineLevel="1">
      <c r="A60" s="545">
        <f>MAX($A$10:A59)+1</f>
        <v>51</v>
      </c>
      <c r="B60" s="716" t="s">
        <v>1799</v>
      </c>
      <c r="C60" s="716" t="s">
        <v>1848</v>
      </c>
      <c r="D60" s="1" t="s">
        <v>1849</v>
      </c>
      <c r="E60" s="559">
        <v>376.3</v>
      </c>
      <c r="F60" s="1302" cm="1">
        <f t="array" ref="F60">+IF(SUM(VALUE(N60:Q60)*$N$7:$Q$7)=0,R60,T60)</f>
        <v>88272.780000001192</v>
      </c>
      <c r="G60" s="103">
        <f t="shared" si="2"/>
        <v>88272.780000001192</v>
      </c>
      <c r="H60" s="575">
        <v>45657</v>
      </c>
      <c r="I60" s="1303" cm="1">
        <f t="array" ref="I60">+IF(SUM(VALUE(N60:Q60)*$N$7:$Q$7)=0,S60,U60)</f>
        <v>120934.13000000268</v>
      </c>
      <c r="J60" s="103">
        <f t="shared" si="4"/>
        <v>120934.13000000268</v>
      </c>
      <c r="K60" s="575">
        <v>46022</v>
      </c>
      <c r="M60"/>
      <c r="N60" s="1300">
        <v>0</v>
      </c>
      <c r="O60" s="1300">
        <v>0</v>
      </c>
      <c r="P60" s="1300">
        <v>1</v>
      </c>
      <c r="Q60" s="1300">
        <v>0</v>
      </c>
      <c r="R60" s="1266">
        <v>53179.953616999999</v>
      </c>
      <c r="S60" s="1266">
        <v>51291.966120000005</v>
      </c>
      <c r="T60" s="1266">
        <f>+IF($Q60=1,$G60,INDEX([1]Summary!$K$5:$K$110,MATCH($C60,[1]Summary!$D$5:$D161,0)))</f>
        <v>88272.780000001192</v>
      </c>
      <c r="U60" s="1266">
        <f>+IF($Q60=1,$J60,INDEX([1]Summary!$L$5:$L$110,MATCH($C60,[1]Summary!$D$5:$D161,0)))</f>
        <v>120934.13000000268</v>
      </c>
      <c r="V60" s="721"/>
      <c r="W60" s="721"/>
      <c r="X60" s="721"/>
      <c r="Y60" s="721"/>
      <c r="Z60" s="721"/>
      <c r="AA60" s="721"/>
      <c r="AB60" s="721"/>
      <c r="AC60" s="721"/>
      <c r="AD60" s="721"/>
      <c r="AF60" s="720"/>
      <c r="AI60" s="105"/>
      <c r="AJ60" s="105"/>
      <c r="AN60" s="105"/>
      <c r="AO60" s="105"/>
      <c r="AP60" s="105"/>
      <c r="AS60" s="105"/>
    </row>
    <row r="61" spans="1:45" outlineLevel="1">
      <c r="A61" s="545">
        <f>MAX($A$10:A60)+1</f>
        <v>52</v>
      </c>
      <c r="B61" s="716" t="s">
        <v>1799</v>
      </c>
      <c r="C61" s="716" t="s">
        <v>1850</v>
      </c>
      <c r="D61" s="1" t="s">
        <v>1851</v>
      </c>
      <c r="E61" s="734">
        <v>380.3</v>
      </c>
      <c r="F61" s="1302" cm="1">
        <f t="array" ref="F61">+IF(SUM(VALUE(N61:Q61)*$N$7:$Q$7)=0,R61,T61)</f>
        <v>122716.02933332324</v>
      </c>
      <c r="G61" s="103">
        <f t="shared" si="2"/>
        <v>122716.02933332324</v>
      </c>
      <c r="H61" s="575">
        <v>45657</v>
      </c>
      <c r="I61" s="1303" cm="1">
        <f t="array" ref="I61">+IF(SUM(VALUE(N61:Q61)*$N$7:$Q$7)=0,S61,U61)</f>
        <v>66874.709619045258</v>
      </c>
      <c r="J61" s="103">
        <f t="shared" si="4"/>
        <v>66874.709619045258</v>
      </c>
      <c r="K61" s="575">
        <v>46022</v>
      </c>
      <c r="M61"/>
      <c r="N61" s="1300">
        <v>0</v>
      </c>
      <c r="O61" s="1300">
        <v>0</v>
      </c>
      <c r="P61" s="1300">
        <v>1</v>
      </c>
      <c r="Q61" s="1300">
        <v>0</v>
      </c>
      <c r="R61" s="1266">
        <v>266465.95999999996</v>
      </c>
      <c r="S61" s="1266">
        <v>273939.12000000005</v>
      </c>
      <c r="T61" s="1266">
        <f>+IF($Q61=1,$G61,INDEX([1]Summary!$K$5:$K$110,MATCH($C61,[1]Summary!$D$5:$D162,0)))</f>
        <v>122716.02933332324</v>
      </c>
      <c r="U61" s="1266">
        <f>+IF($Q61=1,$J61,INDEX([1]Summary!$L$5:$L$110,MATCH($C61,[1]Summary!$D$5:$D162,0)))</f>
        <v>66874.709619045258</v>
      </c>
      <c r="V61" s="721"/>
      <c r="W61" s="721"/>
      <c r="X61" s="721"/>
      <c r="Y61" s="721"/>
      <c r="Z61" s="721"/>
      <c r="AA61" s="721"/>
      <c r="AB61" s="721"/>
      <c r="AC61" s="721"/>
      <c r="AD61" s="721"/>
      <c r="AF61" s="720"/>
      <c r="AI61" s="105"/>
      <c r="AJ61" s="105"/>
      <c r="AN61" s="105"/>
      <c r="AO61" s="105"/>
      <c r="AP61" s="105"/>
      <c r="AS61" s="105"/>
    </row>
    <row r="62" spans="1:45" outlineLevel="1">
      <c r="A62" s="545">
        <f>MAX($A$10:A61)+1</f>
        <v>53</v>
      </c>
      <c r="B62" s="716" t="s">
        <v>1799</v>
      </c>
      <c r="C62" s="716" t="s">
        <v>1852</v>
      </c>
      <c r="D62" s="716" t="s">
        <v>1853</v>
      </c>
      <c r="E62" s="559">
        <v>380.3</v>
      </c>
      <c r="F62" s="1302" cm="1">
        <f t="array" ref="F62">+IF(SUM(VALUE(N62:Q62)*$N$7:$Q$7)=0,R62,T62)</f>
        <v>90396.394999999553</v>
      </c>
      <c r="G62" s="103">
        <f t="shared" si="2"/>
        <v>90396.394999999553</v>
      </c>
      <c r="H62" s="575">
        <v>45657</v>
      </c>
      <c r="I62" s="1303" cm="1">
        <f t="array" ref="I62">+IF(SUM(VALUE(N62:Q62)*$N$7:$Q$7)=0,S62,U62)</f>
        <v>106121.63399999961</v>
      </c>
      <c r="J62" s="103">
        <f t="shared" si="4"/>
        <v>106121.63399999961</v>
      </c>
      <c r="K62" s="575">
        <v>46022</v>
      </c>
      <c r="M62"/>
      <c r="N62" s="1300">
        <v>0</v>
      </c>
      <c r="O62" s="1300">
        <v>0</v>
      </c>
      <c r="P62" s="1300">
        <v>1</v>
      </c>
      <c r="Q62" s="1300">
        <v>0</v>
      </c>
      <c r="R62" s="1266">
        <v>282029.444426</v>
      </c>
      <c r="S62" s="1266">
        <v>265057.40761200001</v>
      </c>
      <c r="T62" s="1266">
        <f>+IF($Q62=1,$G62,INDEX([1]Summary!$K$5:$K$110,MATCH($C62,[1]Summary!$D$5:$D163,0)))</f>
        <v>90396.394999999553</v>
      </c>
      <c r="U62" s="1266">
        <f>+IF($Q62=1,$J62,INDEX([1]Summary!$L$5:$L$110,MATCH($C62,[1]Summary!$D$5:$D163,0)))</f>
        <v>106121.63399999961</v>
      </c>
      <c r="V62" s="721"/>
      <c r="W62" s="721"/>
      <c r="X62" s="721"/>
      <c r="Y62" s="721"/>
      <c r="Z62" s="721"/>
      <c r="AA62" s="721"/>
      <c r="AB62" s="721"/>
      <c r="AC62" s="721"/>
      <c r="AD62" s="721"/>
      <c r="AF62" s="720"/>
      <c r="AI62" s="105"/>
      <c r="AJ62" s="105"/>
      <c r="AN62" s="105"/>
      <c r="AO62" s="105"/>
      <c r="AP62" s="105"/>
      <c r="AS62" s="105"/>
    </row>
    <row r="63" spans="1:45" outlineLevel="1">
      <c r="A63" s="545">
        <f>MAX($A$10:A62)+1</f>
        <v>54</v>
      </c>
      <c r="B63" s="716" t="s">
        <v>1799</v>
      </c>
      <c r="C63" s="716" t="s">
        <v>1854</v>
      </c>
      <c r="D63" s="716" t="s">
        <v>1855</v>
      </c>
      <c r="E63" s="559">
        <v>376.3</v>
      </c>
      <c r="F63" s="1302" cm="1">
        <f t="array" ref="F63">+IF(SUM(VALUE(N63:Q63)*$N$7:$Q$7)=0,R63,T63)</f>
        <v>312546.42500000447</v>
      </c>
      <c r="G63" s="103">
        <f t="shared" si="2"/>
        <v>312546.42500000447</v>
      </c>
      <c r="H63" s="575">
        <v>45657</v>
      </c>
      <c r="I63" s="1303" cm="1">
        <f t="array" ref="I63">+IF(SUM(VALUE(N63:Q63)*$N$7:$Q$7)=0,S63,U63)</f>
        <v>285193.96500000358</v>
      </c>
      <c r="J63" s="103">
        <f t="shared" si="4"/>
        <v>285193.96500000358</v>
      </c>
      <c r="K63" s="575">
        <v>46022</v>
      </c>
      <c r="M63"/>
      <c r="N63" s="1300">
        <v>0</v>
      </c>
      <c r="O63" s="1300">
        <v>0</v>
      </c>
      <c r="P63" s="1300">
        <v>1</v>
      </c>
      <c r="Q63" s="1300">
        <v>0</v>
      </c>
      <c r="R63" s="1266">
        <v>808875.54000000015</v>
      </c>
      <c r="S63" s="1266">
        <v>802352.47</v>
      </c>
      <c r="T63" s="1266">
        <f>+IF($Q63=1,$G63,INDEX([1]Summary!$K$5:$K$110,MATCH($C63,[1]Summary!$D$5:$D164,0)))</f>
        <v>312546.42500000447</v>
      </c>
      <c r="U63" s="1266">
        <f>+IF($Q63=1,$J63,INDEX([1]Summary!$L$5:$L$110,MATCH($C63,[1]Summary!$D$5:$D164,0)))</f>
        <v>285193.96500000358</v>
      </c>
      <c r="V63" s="721"/>
      <c r="W63" s="721"/>
      <c r="X63" s="721"/>
      <c r="Y63" s="721"/>
      <c r="Z63" s="721"/>
      <c r="AA63" s="721"/>
      <c r="AB63" s="721"/>
      <c r="AC63" s="721"/>
      <c r="AD63" s="721"/>
      <c r="AF63" s="720"/>
      <c r="AI63" s="105"/>
      <c r="AJ63" s="105"/>
      <c r="AN63" s="105"/>
      <c r="AO63" s="105"/>
      <c r="AP63" s="105"/>
      <c r="AS63" s="105"/>
    </row>
    <row r="64" spans="1:45" outlineLevel="1">
      <c r="A64" s="545">
        <f>MAX($A$10:A63)+1</f>
        <v>55</v>
      </c>
      <c r="B64" s="716" t="s">
        <v>1799</v>
      </c>
      <c r="C64" s="716" t="s">
        <v>1856</v>
      </c>
      <c r="D64" s="716" t="s">
        <v>1857</v>
      </c>
      <c r="E64" s="559">
        <v>376.3</v>
      </c>
      <c r="F64" s="1302" cm="1">
        <f t="array" ref="F64">+IF(SUM(VALUE(N64:Q64)*$N$7:$Q$7)=0,R64,T64)</f>
        <v>268742.82999999914</v>
      </c>
      <c r="G64" s="103">
        <f t="shared" si="2"/>
        <v>268742.82999999914</v>
      </c>
      <c r="H64" s="575">
        <v>45657</v>
      </c>
      <c r="I64" s="1303" cm="1">
        <f t="array" ref="I64">+IF(SUM(VALUE(N64:Q64)*$N$7:$Q$7)=0,S64,U64)</f>
        <v>271558.39899999928</v>
      </c>
      <c r="J64" s="103">
        <f t="shared" si="4"/>
        <v>271558.39899999928</v>
      </c>
      <c r="K64" s="575">
        <v>46022</v>
      </c>
      <c r="M64"/>
      <c r="N64" s="1300">
        <v>0</v>
      </c>
      <c r="O64" s="1300">
        <v>0</v>
      </c>
      <c r="P64" s="1300">
        <v>1</v>
      </c>
      <c r="Q64" s="1300">
        <v>0</v>
      </c>
      <c r="R64" s="1266">
        <v>386986.508164</v>
      </c>
      <c r="S64" s="1266">
        <v>332380.73159999988</v>
      </c>
      <c r="T64" s="1266">
        <f>+IF($Q64=1,$G64,INDEX([1]Summary!$K$5:$K$110,MATCH($C64,[1]Summary!$D$5:$D165,0)))</f>
        <v>268742.82999999914</v>
      </c>
      <c r="U64" s="1266">
        <f>+IF($Q64=1,$J64,INDEX([1]Summary!$L$5:$L$110,MATCH($C64,[1]Summary!$D$5:$D165,0)))</f>
        <v>271558.39899999928</v>
      </c>
      <c r="V64" s="721"/>
      <c r="W64" s="721"/>
      <c r="X64" s="721"/>
      <c r="Y64" s="721"/>
      <c r="Z64" s="721"/>
      <c r="AA64" s="721"/>
      <c r="AB64" s="721"/>
      <c r="AC64" s="721"/>
      <c r="AD64" s="721"/>
      <c r="AF64" s="720"/>
      <c r="AI64" s="105"/>
      <c r="AJ64" s="105"/>
      <c r="AN64" s="105"/>
      <c r="AO64" s="105"/>
      <c r="AP64" s="105"/>
      <c r="AS64" s="105"/>
    </row>
    <row r="65" spans="1:45" outlineLevel="1">
      <c r="A65" s="545">
        <f>MAX($A$10:A64)+1</f>
        <v>56</v>
      </c>
      <c r="B65" s="716" t="s">
        <v>1799</v>
      </c>
      <c r="C65" s="716" t="s">
        <v>1858</v>
      </c>
      <c r="D65" s="716" t="s">
        <v>1859</v>
      </c>
      <c r="E65" s="559">
        <v>380.3</v>
      </c>
      <c r="F65" s="1302" cm="1">
        <f t="array" ref="F65">+IF(SUM(VALUE(N65:Q65)*$N$7:$Q$7)=0,R65,T65)</f>
        <v>690700.33266669512</v>
      </c>
      <c r="G65" s="103">
        <f t="shared" si="2"/>
        <v>690700.33266669512</v>
      </c>
      <c r="H65" s="575">
        <v>45657</v>
      </c>
      <c r="I65" s="1303" cm="1">
        <f t="array" ref="I65">+IF(SUM(VALUE(N65:Q65)*$N$7:$Q$7)=0,S65,U65)</f>
        <v>504010.32866668701</v>
      </c>
      <c r="J65" s="103">
        <f t="shared" si="4"/>
        <v>504010.32866668701</v>
      </c>
      <c r="K65" s="575">
        <v>46022</v>
      </c>
      <c r="M65"/>
      <c r="N65" s="1300">
        <v>0</v>
      </c>
      <c r="O65" s="1300">
        <v>0</v>
      </c>
      <c r="P65" s="1300">
        <v>1</v>
      </c>
      <c r="Q65" s="1300">
        <v>0</v>
      </c>
      <c r="R65" s="1266">
        <v>1278711.4899999998</v>
      </c>
      <c r="S65" s="1266">
        <v>1314530.92</v>
      </c>
      <c r="T65" s="1266">
        <f>+IF($Q65=1,$G65,INDEX([1]Summary!$K$5:$K$110,MATCH($C65,[1]Summary!$D$5:$D166,0)))</f>
        <v>690700.33266669512</v>
      </c>
      <c r="U65" s="1266">
        <f>+IF($Q65=1,$J65,INDEX([1]Summary!$L$5:$L$110,MATCH($C65,[1]Summary!$D$5:$D166,0)))</f>
        <v>504010.32866668701</v>
      </c>
      <c r="V65" s="721"/>
      <c r="W65" s="721"/>
      <c r="X65" s="721"/>
      <c r="Y65" s="721"/>
      <c r="Z65" s="721"/>
      <c r="AA65" s="721"/>
      <c r="AB65" s="721"/>
      <c r="AC65" s="721"/>
      <c r="AD65" s="721"/>
      <c r="AF65" s="720"/>
      <c r="AI65" s="105"/>
      <c r="AJ65" s="105"/>
      <c r="AN65" s="105"/>
      <c r="AO65" s="105"/>
      <c r="AP65" s="105"/>
      <c r="AS65" s="105"/>
    </row>
    <row r="66" spans="1:45" outlineLevel="1">
      <c r="A66" s="545">
        <f>MAX($A$10:A65)+1</f>
        <v>57</v>
      </c>
      <c r="B66" s="716" t="s">
        <v>1799</v>
      </c>
      <c r="C66" s="716" t="s">
        <v>1860</v>
      </c>
      <c r="D66" s="716" t="s">
        <v>1861</v>
      </c>
      <c r="E66" s="559">
        <v>380.3</v>
      </c>
      <c r="F66" s="1302" cm="1">
        <f t="array" ref="F66">+IF(SUM(VALUE(N66:Q66)*$N$7:$Q$7)=0,R66,T66)</f>
        <v>122634.6400000006</v>
      </c>
      <c r="G66" s="103">
        <f t="shared" si="2"/>
        <v>122634.6400000006</v>
      </c>
      <c r="H66" s="575">
        <v>45657</v>
      </c>
      <c r="I66" s="1303" cm="1">
        <f t="array" ref="I66">+IF(SUM(VALUE(N66:Q66)*$N$7:$Q$7)=0,S66,U66)</f>
        <v>130637.57599999942</v>
      </c>
      <c r="J66" s="103">
        <f t="shared" si="4"/>
        <v>130637.57599999942</v>
      </c>
      <c r="K66" s="575">
        <v>46022</v>
      </c>
      <c r="M66"/>
      <c r="N66" s="1300">
        <v>0</v>
      </c>
      <c r="O66" s="1300">
        <v>0</v>
      </c>
      <c r="P66" s="1300">
        <v>1</v>
      </c>
      <c r="Q66" s="1300">
        <v>0</v>
      </c>
      <c r="R66" s="1266">
        <v>338345.28705900005</v>
      </c>
      <c r="S66" s="1266">
        <v>253990.75584</v>
      </c>
      <c r="T66" s="1266">
        <f>+IF($Q66=1,$G66,INDEX([1]Summary!$K$5:$K$110,MATCH($C66,[1]Summary!$D$5:$D167,0)))</f>
        <v>122634.6400000006</v>
      </c>
      <c r="U66" s="1266">
        <f>+IF($Q66=1,$J66,INDEX([1]Summary!$L$5:$L$110,MATCH($C66,[1]Summary!$D$5:$D167,0)))</f>
        <v>130637.57599999942</v>
      </c>
      <c r="V66" s="721"/>
      <c r="W66" s="721"/>
      <c r="X66" s="721"/>
      <c r="Y66" s="721"/>
      <c r="Z66" s="721"/>
      <c r="AA66" s="721"/>
      <c r="AB66" s="721"/>
      <c r="AC66" s="721"/>
      <c r="AD66" s="721"/>
      <c r="AF66" s="720"/>
      <c r="AI66" s="105"/>
      <c r="AJ66" s="105"/>
      <c r="AN66" s="105"/>
      <c r="AO66" s="105"/>
      <c r="AP66" s="105"/>
      <c r="AS66" s="105"/>
    </row>
    <row r="67" spans="1:45" outlineLevel="1">
      <c r="A67" s="545">
        <f>MAX($A$10:A66)+1</f>
        <v>58</v>
      </c>
      <c r="B67" s="716" t="s">
        <v>1799</v>
      </c>
      <c r="C67" s="716" t="s">
        <v>1862</v>
      </c>
      <c r="D67" s="1" t="s">
        <v>1863</v>
      </c>
      <c r="E67" s="559">
        <v>376.3</v>
      </c>
      <c r="F67" s="1302" cm="1">
        <f t="array" ref="F67">+IF(SUM(VALUE(N67:Q67)*$N$7:$Q$7)=0,R67,T67)</f>
        <v>379746.03999999911</v>
      </c>
      <c r="G67" s="103">
        <f t="shared" si="2"/>
        <v>379746.03999999911</v>
      </c>
      <c r="H67" s="575">
        <v>45657</v>
      </c>
      <c r="I67" s="1303" cm="1">
        <f t="array" ref="I67">+IF(SUM(VALUE(N67:Q67)*$N$7:$Q$7)=0,S67,U67)</f>
        <v>399297.27099999785</v>
      </c>
      <c r="J67" s="103">
        <f t="shared" si="4"/>
        <v>399297.27099999785</v>
      </c>
      <c r="K67" s="575">
        <v>46022</v>
      </c>
      <c r="M67"/>
      <c r="N67" s="1300">
        <v>0</v>
      </c>
      <c r="O67" s="1300">
        <v>0</v>
      </c>
      <c r="P67" s="1300">
        <v>1</v>
      </c>
      <c r="Q67" s="1300">
        <v>0</v>
      </c>
      <c r="R67" s="1266">
        <v>910308.31000000029</v>
      </c>
      <c r="S67" s="1266">
        <v>989922.18000000017</v>
      </c>
      <c r="T67" s="1266">
        <f>+IF($Q67=1,$G67,INDEX([1]Summary!$K$5:$K$110,MATCH($C67,[1]Summary!$D$5:$D168,0)))</f>
        <v>379746.03999999911</v>
      </c>
      <c r="U67" s="1266">
        <f>+IF($Q67=1,$J67,INDEX([1]Summary!$L$5:$L$110,MATCH($C67,[1]Summary!$D$5:$D168,0)))</f>
        <v>399297.27099999785</v>
      </c>
      <c r="V67" s="721"/>
      <c r="W67" s="721"/>
      <c r="X67" s="721"/>
      <c r="Y67" s="721"/>
      <c r="Z67" s="721"/>
      <c r="AA67" s="721"/>
      <c r="AB67" s="721"/>
      <c r="AC67" s="721"/>
      <c r="AD67" s="721"/>
      <c r="AI67" s="105"/>
      <c r="AJ67" s="105"/>
      <c r="AN67" s="105"/>
      <c r="AO67" s="105"/>
      <c r="AP67" s="105"/>
      <c r="AS67" s="105"/>
    </row>
    <row r="68" spans="1:45" outlineLevel="1">
      <c r="A68" s="545">
        <f>MAX($A$10:A67)+1</f>
        <v>59</v>
      </c>
      <c r="B68" s="716" t="s">
        <v>1799</v>
      </c>
      <c r="C68" s="716" t="s">
        <v>1864</v>
      </c>
      <c r="D68" s="716" t="s">
        <v>1865</v>
      </c>
      <c r="E68" s="559">
        <v>376.3</v>
      </c>
      <c r="F68" s="1302" cm="1">
        <f t="array" ref="F68">+IF(SUM(VALUE(N68:Q68)*$N$7:$Q$7)=0,R68,T68)</f>
        <v>100617.66500000004</v>
      </c>
      <c r="G68" s="103">
        <f t="shared" si="2"/>
        <v>100617.66500000004</v>
      </c>
      <c r="H68" s="575">
        <v>45657</v>
      </c>
      <c r="I68" s="1303" cm="1">
        <f t="array" ref="I68">+IF(SUM(VALUE(N68:Q68)*$N$7:$Q$7)=0,S68,U68)</f>
        <v>103594.5</v>
      </c>
      <c r="J68" s="103">
        <f t="shared" si="4"/>
        <v>103594.5</v>
      </c>
      <c r="K68" s="575">
        <v>46022</v>
      </c>
      <c r="M68"/>
      <c r="N68" s="1300">
        <v>0</v>
      </c>
      <c r="O68" s="1300">
        <v>0</v>
      </c>
      <c r="P68" s="1300">
        <v>1</v>
      </c>
      <c r="Q68" s="1300">
        <v>0</v>
      </c>
      <c r="R68" s="1266">
        <v>209100.09783299998</v>
      </c>
      <c r="S68" s="1266">
        <v>191980.12066799999</v>
      </c>
      <c r="T68" s="1266">
        <f>+IF($Q68=1,$G68,INDEX([1]Summary!$K$5:$K$110,MATCH($C68,[1]Summary!$D$5:$D169,0)))</f>
        <v>100617.66500000004</v>
      </c>
      <c r="U68" s="1266">
        <f>+IF($Q68=1,$J68,INDEX([1]Summary!$L$5:$L$110,MATCH($C68,[1]Summary!$D$5:$D169,0)))</f>
        <v>103594.5</v>
      </c>
      <c r="V68" s="721"/>
      <c r="W68" s="721"/>
      <c r="X68" s="721"/>
      <c r="Y68" s="721"/>
      <c r="Z68" s="721"/>
      <c r="AA68" s="721"/>
      <c r="AB68" s="721"/>
      <c r="AC68" s="721"/>
      <c r="AD68" s="721"/>
      <c r="AF68" s="105"/>
      <c r="AI68" s="105"/>
      <c r="AJ68" s="105"/>
      <c r="AN68" s="105"/>
      <c r="AO68" s="105"/>
      <c r="AP68" s="105"/>
      <c r="AS68" s="105"/>
    </row>
    <row r="69" spans="1:45" outlineLevel="1">
      <c r="A69" s="545">
        <f>MAX($A$10:A68)+1</f>
        <v>60</v>
      </c>
      <c r="B69" s="716" t="s">
        <v>1799</v>
      </c>
      <c r="C69" s="716" t="s">
        <v>1866</v>
      </c>
      <c r="D69" s="716" t="s">
        <v>1867</v>
      </c>
      <c r="E69" s="559">
        <v>380.3</v>
      </c>
      <c r="F69" s="1302" cm="1">
        <f t="array" ref="F69">+IF(SUM(VALUE(N69:Q69)*$N$7:$Q$7)=0,R69,T69)</f>
        <v>878460.73133337498</v>
      </c>
      <c r="G69" s="103">
        <f t="shared" si="2"/>
        <v>878460.73133337498</v>
      </c>
      <c r="H69" s="575">
        <v>45657</v>
      </c>
      <c r="I69" s="1303" cm="1">
        <f t="array" ref="I69">+IF(SUM(VALUE(N69:Q69)*$N$7:$Q$7)=0,S69,U69)</f>
        <v>528919.24504756927</v>
      </c>
      <c r="J69" s="103">
        <f t="shared" si="4"/>
        <v>528919.24504756927</v>
      </c>
      <c r="K69" s="575">
        <v>46022</v>
      </c>
      <c r="M69"/>
      <c r="N69" s="1300">
        <v>0</v>
      </c>
      <c r="O69" s="1300">
        <v>0</v>
      </c>
      <c r="P69" s="1300">
        <v>1</v>
      </c>
      <c r="Q69" s="1300">
        <v>0</v>
      </c>
      <c r="R69" s="1266">
        <v>1179967.52</v>
      </c>
      <c r="S69" s="1266">
        <v>1213059.6800000004</v>
      </c>
      <c r="T69" s="1266">
        <f>+IF($Q69=1,$G69,INDEX([1]Summary!$K$5:$K$110,MATCH($C69,[1]Summary!$D$5:$D170,0)))</f>
        <v>878460.73133337498</v>
      </c>
      <c r="U69" s="1266">
        <f>+IF($Q69=1,$J69,INDEX([1]Summary!$L$5:$L$110,MATCH($C69,[1]Summary!$D$5:$D170,0)))</f>
        <v>528919.24504756927</v>
      </c>
      <c r="V69" s="721"/>
      <c r="W69" s="721"/>
      <c r="X69" s="721"/>
      <c r="Y69" s="721"/>
      <c r="Z69" s="721"/>
      <c r="AA69" s="721"/>
      <c r="AB69" s="721"/>
      <c r="AC69" s="721"/>
      <c r="AD69" s="721"/>
      <c r="AI69" s="105"/>
      <c r="AJ69" s="105"/>
      <c r="AN69" s="105"/>
      <c r="AO69" s="105"/>
      <c r="AP69" s="105"/>
      <c r="AS69" s="105"/>
    </row>
    <row r="70" spans="1:45" outlineLevel="1">
      <c r="A70" s="545">
        <f>MAX($A$10:A69)+1</f>
        <v>61</v>
      </c>
      <c r="B70" s="716" t="s">
        <v>1799</v>
      </c>
      <c r="C70" s="716" t="s">
        <v>1868</v>
      </c>
      <c r="D70" s="716" t="s">
        <v>1869</v>
      </c>
      <c r="E70" s="559">
        <v>380.3</v>
      </c>
      <c r="F70" s="1302" cm="1">
        <f t="array" ref="F70">+IF(SUM(VALUE(N70:Q70)*$N$7:$Q$7)=0,R70,T70)</f>
        <v>30673.550000000745</v>
      </c>
      <c r="G70" s="103">
        <f t="shared" si="2"/>
        <v>30673.550000000745</v>
      </c>
      <c r="H70" s="575">
        <v>45657</v>
      </c>
      <c r="I70" s="1303" cm="1">
        <f t="array" ref="I70">+IF(SUM(VALUE(N70:Q70)*$N$7:$Q$7)=0,S70,U70)</f>
        <v>36571.064999999478</v>
      </c>
      <c r="J70" s="103">
        <f t="shared" si="4"/>
        <v>36571.064999999478</v>
      </c>
      <c r="K70" s="575">
        <v>46022</v>
      </c>
      <c r="M70"/>
      <c r="N70" s="1300">
        <v>0</v>
      </c>
      <c r="O70" s="1300">
        <v>0</v>
      </c>
      <c r="P70" s="1300">
        <v>1</v>
      </c>
      <c r="Q70" s="1300">
        <v>0</v>
      </c>
      <c r="R70" s="1266">
        <v>127046.58327200002</v>
      </c>
      <c r="S70" s="1266">
        <v>94866.156276000023</v>
      </c>
      <c r="T70" s="1266">
        <f>+IF($Q70=1,$G70,INDEX([1]Summary!$K$5:$K$110,MATCH($C70,[1]Summary!$D$5:$D171,0)))</f>
        <v>30673.550000000745</v>
      </c>
      <c r="U70" s="1266">
        <f>+IF($Q70=1,$J70,INDEX([1]Summary!$L$5:$L$110,MATCH($C70,[1]Summary!$D$5:$D171,0)))</f>
        <v>36571.064999999478</v>
      </c>
      <c r="V70" s="721"/>
      <c r="W70" s="721"/>
      <c r="X70" s="721"/>
      <c r="Y70" s="721"/>
      <c r="Z70" s="721"/>
      <c r="AA70" s="721"/>
      <c r="AB70" s="721"/>
      <c r="AC70" s="721"/>
      <c r="AD70" s="721"/>
      <c r="AI70" s="105"/>
      <c r="AJ70" s="105"/>
      <c r="AN70" s="105"/>
      <c r="AO70" s="105"/>
      <c r="AP70" s="105"/>
      <c r="AS70" s="105"/>
    </row>
    <row r="71" spans="1:45" outlineLevel="1">
      <c r="A71" s="545">
        <f>MAX($A$10:A70)+1</f>
        <v>62</v>
      </c>
      <c r="B71" s="716" t="s">
        <v>1799</v>
      </c>
      <c r="C71" s="716" t="s">
        <v>1870</v>
      </c>
      <c r="D71" s="716" t="s">
        <v>1871</v>
      </c>
      <c r="E71" s="559">
        <v>376.3</v>
      </c>
      <c r="F71" s="1302" cm="1">
        <f t="array" ref="F71">+IF(SUM(VALUE(N71:Q71)*$N$7:$Q$7)=0,R71,T71)</f>
        <v>43225.069999992847</v>
      </c>
      <c r="G71" s="103">
        <f t="shared" si="2"/>
        <v>43225.069999992847</v>
      </c>
      <c r="H71" s="575">
        <v>45657</v>
      </c>
      <c r="I71" s="1303" cm="1">
        <f t="array" ref="I71">+IF(SUM(VALUE(N71:Q71)*$N$7:$Q$7)=0,S71,U71)</f>
        <v>1510.777999997139</v>
      </c>
      <c r="J71" s="103">
        <f t="shared" si="4"/>
        <v>1510.777999997139</v>
      </c>
      <c r="K71" s="575">
        <v>46022</v>
      </c>
      <c r="M71"/>
      <c r="N71" s="1300">
        <v>0</v>
      </c>
      <c r="O71" s="1300">
        <v>0</v>
      </c>
      <c r="P71" s="1300">
        <v>1</v>
      </c>
      <c r="Q71" s="1300">
        <v>0</v>
      </c>
      <c r="R71" s="1266">
        <v>6249.8099999999995</v>
      </c>
      <c r="S71" s="1266">
        <v>20139.649999999994</v>
      </c>
      <c r="T71" s="1266">
        <f>+IF($Q71=1,$G71,INDEX([1]Summary!$K$5:$K$110,MATCH($C71,[1]Summary!$D$5:$D172,0)))</f>
        <v>43225.069999992847</v>
      </c>
      <c r="U71" s="1266">
        <f>+IF($Q71=1,$J71,INDEX([1]Summary!$L$5:$L$110,MATCH($C71,[1]Summary!$D$5:$D172,0)))</f>
        <v>1510.777999997139</v>
      </c>
      <c r="V71" s="721"/>
      <c r="W71" s="721"/>
      <c r="X71" s="721"/>
      <c r="Y71" s="721"/>
      <c r="Z71" s="721"/>
      <c r="AA71" s="721"/>
      <c r="AB71" s="721"/>
      <c r="AC71" s="721"/>
      <c r="AD71" s="721"/>
      <c r="AI71" s="105"/>
      <c r="AJ71" s="105"/>
      <c r="AN71" s="105"/>
      <c r="AO71" s="105"/>
      <c r="AP71" s="105"/>
      <c r="AS71" s="105"/>
    </row>
    <row r="72" spans="1:45" outlineLevel="1">
      <c r="A72" s="545">
        <f>MAX($A$10:A71)+1</f>
        <v>63</v>
      </c>
      <c r="B72" s="716" t="s">
        <v>1799</v>
      </c>
      <c r="C72" s="716" t="s">
        <v>1872</v>
      </c>
      <c r="D72" s="716" t="s">
        <v>1873</v>
      </c>
      <c r="E72" s="559">
        <v>376.3</v>
      </c>
      <c r="F72" s="1302" cm="1">
        <f t="array" ref="F72">+IF(SUM(VALUE(N72:Q72)*$N$7:$Q$7)=0,R72,T72)</f>
        <v>340327.31000000238</v>
      </c>
      <c r="G72" s="103">
        <f t="shared" si="2"/>
        <v>340327.31000000238</v>
      </c>
      <c r="H72" s="575">
        <v>45657</v>
      </c>
      <c r="I72" s="1303" cm="1">
        <f t="array" ref="I72">+IF(SUM(VALUE(N72:Q72)*$N$7:$Q$7)=0,S72,U72)</f>
        <v>456767.68999999762</v>
      </c>
      <c r="J72" s="103">
        <f t="shared" si="4"/>
        <v>456767.68999999762</v>
      </c>
      <c r="K72" s="575">
        <v>46022</v>
      </c>
      <c r="M72"/>
      <c r="N72" s="1300">
        <v>0</v>
      </c>
      <c r="O72" s="1300">
        <v>0</v>
      </c>
      <c r="P72" s="1300">
        <v>1</v>
      </c>
      <c r="Q72" s="1300">
        <v>0</v>
      </c>
      <c r="R72" s="1266">
        <v>294068.29199999996</v>
      </c>
      <c r="S72" s="1266">
        <v>300913.47839999996</v>
      </c>
      <c r="T72" s="1266">
        <f>+IF($Q72=1,$G72,INDEX([1]Summary!$K$5:$K$110,MATCH($C72,[1]Summary!$D$5:$D173,0)))</f>
        <v>340327.31000000238</v>
      </c>
      <c r="U72" s="1266">
        <f>+IF($Q72=1,$J72,INDEX([1]Summary!$L$5:$L$110,MATCH($C72,[1]Summary!$D$5:$D173,0)))</f>
        <v>456767.68999999762</v>
      </c>
      <c r="V72" s="721"/>
      <c r="W72" s="721"/>
      <c r="X72" s="721"/>
      <c r="Y72" s="721"/>
      <c r="Z72" s="721"/>
      <c r="AA72" s="721"/>
      <c r="AB72" s="721"/>
      <c r="AC72" s="721"/>
      <c r="AD72" s="721"/>
      <c r="AI72" s="105"/>
      <c r="AJ72" s="105"/>
      <c r="AN72" s="105"/>
      <c r="AO72" s="105"/>
      <c r="AP72" s="105"/>
      <c r="AS72" s="105"/>
    </row>
    <row r="73" spans="1:45" outlineLevel="1">
      <c r="A73" s="545">
        <f>MAX($A$10:A72)+1</f>
        <v>64</v>
      </c>
      <c r="B73" s="716" t="s">
        <v>1799</v>
      </c>
      <c r="C73" s="716" t="s">
        <v>1874</v>
      </c>
      <c r="D73" s="716" t="s">
        <v>1875</v>
      </c>
      <c r="E73" s="559">
        <v>380.3</v>
      </c>
      <c r="F73" s="1302" cm="1">
        <f t="array" ref="F73">+IF(SUM(VALUE(N73:Q73)*$N$7:$Q$7)=0,R73,T73)</f>
        <v>196882.61866667867</v>
      </c>
      <c r="G73" s="103">
        <f t="shared" si="2"/>
        <v>196882.61866667867</v>
      </c>
      <c r="H73" s="575">
        <v>45657</v>
      </c>
      <c r="I73" s="1303" cm="1">
        <f t="array" ref="I73">+IF(SUM(VALUE(N73:Q73)*$N$7:$Q$7)=0,S73,U73)</f>
        <v>91313.063523828983</v>
      </c>
      <c r="J73" s="103">
        <f t="shared" si="4"/>
        <v>91313.063523828983</v>
      </c>
      <c r="K73" s="575">
        <v>46022</v>
      </c>
      <c r="M73"/>
      <c r="N73" s="1300">
        <v>0</v>
      </c>
      <c r="O73" s="1300">
        <v>0</v>
      </c>
      <c r="P73" s="1300">
        <v>1</v>
      </c>
      <c r="Q73" s="1300">
        <v>0</v>
      </c>
      <c r="R73" s="1266">
        <v>344511.1700000001</v>
      </c>
      <c r="S73" s="1266">
        <v>354172.51</v>
      </c>
      <c r="T73" s="1266">
        <f>+IF($Q73=1,$G73,INDEX([1]Summary!$K$5:$K$110,MATCH($C73,[1]Summary!$D$5:$D174,0)))</f>
        <v>196882.61866667867</v>
      </c>
      <c r="U73" s="1266">
        <f>+IF($Q73=1,$J73,INDEX([1]Summary!$L$5:$L$110,MATCH($C73,[1]Summary!$D$5:$D174,0)))</f>
        <v>91313.063523828983</v>
      </c>
      <c r="V73" s="721"/>
      <c r="W73" s="721"/>
      <c r="X73" s="721"/>
      <c r="Y73" s="721"/>
      <c r="Z73" s="721"/>
      <c r="AA73" s="721"/>
      <c r="AB73" s="721"/>
      <c r="AC73" s="721"/>
      <c r="AD73" s="721"/>
      <c r="AI73" s="105"/>
      <c r="AJ73" s="105"/>
      <c r="AN73" s="105"/>
      <c r="AO73" s="105"/>
      <c r="AP73" s="105"/>
      <c r="AS73" s="105"/>
    </row>
    <row r="74" spans="1:45" outlineLevel="1">
      <c r="A74" s="545">
        <f>MAX($A$10:A73)+1</f>
        <v>65</v>
      </c>
      <c r="B74" s="716" t="s">
        <v>1799</v>
      </c>
      <c r="C74" s="716" t="s">
        <v>1876</v>
      </c>
      <c r="D74" s="716" t="s">
        <v>1877</v>
      </c>
      <c r="E74" s="559">
        <v>380.3</v>
      </c>
      <c r="F74" s="1302" cm="1">
        <f t="array" ref="F74">+IF(SUM(VALUE(N74:Q74)*$N$7:$Q$7)=0,R74,T74)</f>
        <v>16580.8475</v>
      </c>
      <c r="G74" s="103">
        <f t="shared" si="2"/>
        <v>16580.8475</v>
      </c>
      <c r="H74" s="575">
        <v>45657</v>
      </c>
      <c r="I74" s="1303" cm="1">
        <f t="array" ref="I74">+IF(SUM(VALUE(N74:Q74)*$N$7:$Q$7)=0,S74,U74)</f>
        <v>16580.8475</v>
      </c>
      <c r="J74" s="103">
        <f t="shared" si="4"/>
        <v>16580.8475</v>
      </c>
      <c r="K74" s="575">
        <v>46022</v>
      </c>
      <c r="M74"/>
      <c r="N74" s="1300">
        <v>0</v>
      </c>
      <c r="O74" s="1300">
        <v>0</v>
      </c>
      <c r="P74" s="1300">
        <v>1</v>
      </c>
      <c r="Q74" s="1300">
        <v>0</v>
      </c>
      <c r="R74" s="1266">
        <v>100146.05000999998</v>
      </c>
      <c r="S74" s="1266">
        <v>94811.555040000021</v>
      </c>
      <c r="T74" s="1266">
        <f>+IF($Q74=1,$G74,INDEX([1]Summary!$K$5:$K$110,MATCH($C74,[1]Summary!$D$5:$D175,0)))</f>
        <v>16580.8475</v>
      </c>
      <c r="U74" s="1266">
        <f>+IF($Q74=1,$J74,INDEX([1]Summary!$L$5:$L$110,MATCH($C74,[1]Summary!$D$5:$D175,0)))</f>
        <v>16580.8475</v>
      </c>
      <c r="V74" s="721"/>
      <c r="W74" s="721"/>
      <c r="X74" s="721"/>
      <c r="Y74" s="721"/>
      <c r="Z74" s="721"/>
      <c r="AA74" s="721"/>
      <c r="AB74" s="721"/>
      <c r="AC74" s="721"/>
      <c r="AD74" s="721"/>
      <c r="AI74" s="105"/>
      <c r="AJ74" s="105"/>
      <c r="AN74" s="105"/>
      <c r="AO74" s="105"/>
      <c r="AP74" s="105"/>
      <c r="AS74" s="105"/>
    </row>
    <row r="75" spans="1:45" outlineLevel="1">
      <c r="A75" s="545">
        <f>MAX($A$10:A74)+1</f>
        <v>66</v>
      </c>
      <c r="B75" s="716" t="s">
        <v>1799</v>
      </c>
      <c r="C75" s="716" t="s">
        <v>1878</v>
      </c>
      <c r="D75" s="716" t="s">
        <v>1879</v>
      </c>
      <c r="E75" s="559">
        <v>376.3</v>
      </c>
      <c r="F75" s="1302" cm="1">
        <f t="array" ref="F75">+IF(SUM(VALUE(N75:Q75)*$N$7:$Q$7)=0,R75,T75)</f>
        <v>323725.55750000005</v>
      </c>
      <c r="G75" s="103">
        <f t="shared" si="2"/>
        <v>323725.55750000005</v>
      </c>
      <c r="H75" s="575">
        <v>45657</v>
      </c>
      <c r="I75" s="1303" cm="1">
        <f t="array" ref="I75">+IF(SUM(VALUE(N75:Q75)*$N$7:$Q$7)=0,S75,U75)</f>
        <v>323725.55750000005</v>
      </c>
      <c r="J75" s="103">
        <f t="shared" si="4"/>
        <v>323725.55750000005</v>
      </c>
      <c r="K75" s="575">
        <v>46022</v>
      </c>
      <c r="M75"/>
      <c r="N75" s="1300">
        <v>0</v>
      </c>
      <c r="O75" s="1300">
        <v>0</v>
      </c>
      <c r="P75" s="1300">
        <v>1</v>
      </c>
      <c r="Q75" s="1300">
        <v>0</v>
      </c>
      <c r="R75" s="1266">
        <v>502438.18999999989</v>
      </c>
      <c r="S75" s="1266">
        <v>574643.58999999985</v>
      </c>
      <c r="T75" s="1266">
        <f>+IF($Q75=1,$G75,INDEX([1]Summary!$K$5:$K$110,MATCH($C75,[1]Summary!$D$5:$D176,0)))</f>
        <v>323725.55750000005</v>
      </c>
      <c r="U75" s="1266">
        <f>+IF($Q75=1,$J75,INDEX([1]Summary!$L$5:$L$110,MATCH($C75,[1]Summary!$D$5:$D176,0)))</f>
        <v>323725.55750000005</v>
      </c>
      <c r="V75" s="721"/>
      <c r="W75" s="721"/>
      <c r="X75" s="721"/>
      <c r="Y75" s="721"/>
      <c r="Z75" s="721"/>
      <c r="AA75" s="721"/>
      <c r="AB75" s="721"/>
      <c r="AC75" s="721"/>
      <c r="AD75" s="721"/>
      <c r="AI75" s="105"/>
      <c r="AJ75" s="105"/>
      <c r="AN75" s="105"/>
      <c r="AO75" s="105"/>
      <c r="AP75" s="105"/>
      <c r="AS75" s="105"/>
    </row>
    <row r="76" spans="1:45" outlineLevel="1">
      <c r="A76" s="545">
        <f>MAX($A$10:A75)+1</f>
        <v>67</v>
      </c>
      <c r="B76" s="716" t="s">
        <v>1799</v>
      </c>
      <c r="C76" s="716" t="s">
        <v>1880</v>
      </c>
      <c r="D76" s="716" t="s">
        <v>1881</v>
      </c>
      <c r="E76" s="559">
        <v>376.3</v>
      </c>
      <c r="F76" s="1302" cm="1">
        <f t="array" ref="F76">+IF(SUM(VALUE(N76:Q76)*$N$7:$Q$7)=0,R76,T76)</f>
        <v>150820.62</v>
      </c>
      <c r="G76" s="103">
        <f t="shared" si="2"/>
        <v>150820.62</v>
      </c>
      <c r="H76" s="575">
        <v>45657</v>
      </c>
      <c r="I76" s="1303" cm="1">
        <f t="array" ref="I76">+IF(SUM(VALUE(N76:Q76)*$N$7:$Q$7)=0,S76,U76)</f>
        <v>150820.62</v>
      </c>
      <c r="J76" s="103">
        <f t="shared" si="4"/>
        <v>150820.62</v>
      </c>
      <c r="K76" s="575">
        <v>46022</v>
      </c>
      <c r="M76"/>
      <c r="N76" s="1300">
        <v>0</v>
      </c>
      <c r="O76" s="1300">
        <v>0</v>
      </c>
      <c r="P76" s="1300">
        <v>1</v>
      </c>
      <c r="Q76" s="1300">
        <v>0</v>
      </c>
      <c r="R76" s="1266">
        <v>270192.07960999996</v>
      </c>
      <c r="S76" s="1266">
        <v>199395.12877200003</v>
      </c>
      <c r="T76" s="1266">
        <f>+IF($Q76=1,$G76,INDEX([1]Summary!$K$5:$K$110,MATCH($C76,[1]Summary!$D$5:$D177,0)))</f>
        <v>150820.62</v>
      </c>
      <c r="U76" s="1266">
        <f>+IF($Q76=1,$J76,INDEX([1]Summary!$L$5:$L$110,MATCH($C76,[1]Summary!$D$5:$D177,0)))</f>
        <v>150820.62</v>
      </c>
      <c r="V76" s="721"/>
      <c r="W76" s="721"/>
      <c r="X76" s="721"/>
      <c r="Y76" s="721"/>
      <c r="Z76" s="721"/>
      <c r="AA76" s="721"/>
      <c r="AB76" s="721"/>
      <c r="AC76" s="721"/>
      <c r="AD76" s="721"/>
      <c r="AI76" s="105"/>
      <c r="AJ76" s="105"/>
      <c r="AN76" s="105"/>
      <c r="AO76" s="105"/>
      <c r="AP76" s="105"/>
      <c r="AS76" s="105"/>
    </row>
    <row r="77" spans="1:45" outlineLevel="1">
      <c r="A77" s="545">
        <f>MAX($A$10:A76)+1</f>
        <v>68</v>
      </c>
      <c r="B77" s="716" t="s">
        <v>1799</v>
      </c>
      <c r="C77" s="716" t="s">
        <v>1882</v>
      </c>
      <c r="D77" s="716" t="s">
        <v>1883</v>
      </c>
      <c r="E77" s="559">
        <v>380.3</v>
      </c>
      <c r="F77" s="1302" cm="1">
        <f t="array" ref="F77">+IF(SUM(VALUE(N77:Q77)*$N$7:$Q$7)=0,R77,T77)</f>
        <v>425175.603333354</v>
      </c>
      <c r="G77" s="103">
        <f t="shared" si="2"/>
        <v>425175.603333354</v>
      </c>
      <c r="H77" s="575">
        <v>45657</v>
      </c>
      <c r="I77" s="1303" cm="1">
        <f t="array" ref="I77">+IF(SUM(VALUE(N77:Q77)*$N$7:$Q$7)=0,S77,U77)</f>
        <v>196913.94190478325</v>
      </c>
      <c r="J77" s="103">
        <f t="shared" si="4"/>
        <v>196913.94190478325</v>
      </c>
      <c r="K77" s="575">
        <v>46022</v>
      </c>
      <c r="M77"/>
      <c r="N77" s="1300">
        <v>0</v>
      </c>
      <c r="O77" s="1300">
        <v>0</v>
      </c>
      <c r="P77" s="1300">
        <v>1</v>
      </c>
      <c r="Q77" s="1300">
        <v>0</v>
      </c>
      <c r="R77" s="1266">
        <v>1103684.1000000003</v>
      </c>
      <c r="S77" s="1266">
        <v>1123492.8500000001</v>
      </c>
      <c r="T77" s="1266">
        <f>+IF($Q77=1,$G77,INDEX([1]Summary!$K$5:$K$110,MATCH($C77,[1]Summary!$D$5:$D178,0)))</f>
        <v>425175.603333354</v>
      </c>
      <c r="U77" s="1266">
        <f>+IF($Q77=1,$J77,INDEX([1]Summary!$L$5:$L$110,MATCH($C77,[1]Summary!$D$5:$D178,0)))</f>
        <v>196913.94190478325</v>
      </c>
      <c r="V77" s="721"/>
      <c r="W77" s="721"/>
      <c r="X77" s="721"/>
      <c r="Y77" s="721"/>
      <c r="Z77" s="721"/>
      <c r="AA77" s="721"/>
      <c r="AB77" s="721"/>
      <c r="AC77" s="721"/>
      <c r="AD77" s="721"/>
      <c r="AI77" s="105"/>
      <c r="AJ77" s="105"/>
      <c r="AN77" s="105"/>
      <c r="AO77" s="105"/>
      <c r="AP77" s="105"/>
      <c r="AS77" s="105"/>
    </row>
    <row r="78" spans="1:45" outlineLevel="1">
      <c r="A78" s="545">
        <f>MAX($A$10:A77)+1</f>
        <v>69</v>
      </c>
      <c r="B78" s="716" t="s">
        <v>1799</v>
      </c>
      <c r="C78" s="716" t="s">
        <v>1884</v>
      </c>
      <c r="D78" s="716" t="s">
        <v>1885</v>
      </c>
      <c r="E78" s="559">
        <v>380.3</v>
      </c>
      <c r="F78" s="1302" cm="1">
        <f t="array" ref="F78">+IF(SUM(VALUE(N78:Q78)*$N$7:$Q$7)=0,R78,T78)</f>
        <v>120608.11749999999</v>
      </c>
      <c r="G78" s="103">
        <f t="shared" si="2"/>
        <v>120608.11749999999</v>
      </c>
      <c r="H78" s="575">
        <v>45657</v>
      </c>
      <c r="I78" s="1303" cm="1">
        <f t="array" ref="I78">+IF(SUM(VALUE(N78:Q78)*$N$7:$Q$7)=0,S78,U78)</f>
        <v>120608.11749999999</v>
      </c>
      <c r="J78" s="103">
        <f t="shared" si="4"/>
        <v>120608.11749999999</v>
      </c>
      <c r="K78" s="575">
        <v>46022</v>
      </c>
      <c r="M78"/>
      <c r="N78" s="1300">
        <v>0</v>
      </c>
      <c r="O78" s="1300">
        <v>0</v>
      </c>
      <c r="P78" s="1300">
        <v>1</v>
      </c>
      <c r="Q78" s="1300">
        <v>0</v>
      </c>
      <c r="R78" s="1266">
        <v>231192.58399599997</v>
      </c>
      <c r="S78" s="1266">
        <v>207994.88067599997</v>
      </c>
      <c r="T78" s="1266">
        <f>+IF($Q78=1,$G78,INDEX([1]Summary!$K$5:$K$110,MATCH($C78,[1]Summary!$D$5:$D179,0)))</f>
        <v>120608.11749999999</v>
      </c>
      <c r="U78" s="1266">
        <f>+IF($Q78=1,$J78,INDEX([1]Summary!$L$5:$L$110,MATCH($C78,[1]Summary!$D$5:$D179,0)))</f>
        <v>120608.11749999999</v>
      </c>
      <c r="V78" s="721"/>
      <c r="W78" s="721"/>
      <c r="X78" s="721"/>
      <c r="Y78" s="721"/>
      <c r="Z78" s="721"/>
      <c r="AA78" s="721"/>
      <c r="AB78" s="721"/>
      <c r="AC78" s="721"/>
      <c r="AD78" s="721"/>
      <c r="AI78" s="105"/>
      <c r="AJ78" s="105"/>
      <c r="AN78" s="105"/>
      <c r="AO78" s="105"/>
      <c r="AP78" s="105"/>
      <c r="AS78" s="105"/>
    </row>
    <row r="79" spans="1:45" outlineLevel="1">
      <c r="A79" s="545">
        <f>MAX($A$10:A78)+1</f>
        <v>70</v>
      </c>
      <c r="B79" s="716" t="s">
        <v>1799</v>
      </c>
      <c r="C79" s="716" t="s">
        <v>1886</v>
      </c>
      <c r="D79" s="716" t="s">
        <v>1887</v>
      </c>
      <c r="E79" s="559">
        <v>376.3</v>
      </c>
      <c r="F79" s="1302" cm="1">
        <f t="array" ref="F79">+IF(SUM(VALUE(N79:Q79)*$N$7:$Q$7)=0,R79,T79)</f>
        <v>1127764.46</v>
      </c>
      <c r="G79" s="103">
        <f t="shared" si="2"/>
        <v>1127764.46</v>
      </c>
      <c r="H79" s="575">
        <v>45657</v>
      </c>
      <c r="I79" s="1303" cm="1">
        <f t="array" ref="I79">+IF(SUM(VALUE(N79:Q79)*$N$7:$Q$7)=0,S79,U79)</f>
        <v>1127764.46</v>
      </c>
      <c r="J79" s="103">
        <f t="shared" si="4"/>
        <v>1127764.46</v>
      </c>
      <c r="K79" s="575">
        <v>46022</v>
      </c>
      <c r="M79"/>
      <c r="N79" s="1300">
        <v>0</v>
      </c>
      <c r="O79" s="1300">
        <v>0</v>
      </c>
      <c r="P79" s="1300">
        <v>1</v>
      </c>
      <c r="Q79" s="1300">
        <v>0</v>
      </c>
      <c r="R79" s="1266">
        <v>1222711.99</v>
      </c>
      <c r="S79" s="1266">
        <v>1161647.57</v>
      </c>
      <c r="T79" s="1266">
        <f>+IF($Q79=1,$G79,INDEX([1]Summary!$K$5:$K$110,MATCH($C79,[1]Summary!$D$5:$D180,0)))</f>
        <v>1127764.46</v>
      </c>
      <c r="U79" s="1266">
        <f>+IF($Q79=1,$J79,INDEX([1]Summary!$L$5:$L$110,MATCH($C79,[1]Summary!$D$5:$D180,0)))</f>
        <v>1127764.46</v>
      </c>
      <c r="V79" s="721"/>
      <c r="W79" s="721"/>
      <c r="X79" s="721"/>
      <c r="Y79" s="721"/>
      <c r="Z79" s="721"/>
      <c r="AA79" s="721"/>
      <c r="AB79" s="721"/>
      <c r="AC79" s="721"/>
      <c r="AD79" s="721"/>
      <c r="AI79" s="105"/>
      <c r="AJ79" s="105"/>
      <c r="AN79" s="105"/>
      <c r="AO79" s="105"/>
      <c r="AP79" s="105"/>
      <c r="AS79" s="105"/>
    </row>
    <row r="80" spans="1:45" outlineLevel="1">
      <c r="A80" s="545">
        <f>MAX($A$10:A79)+1</f>
        <v>71</v>
      </c>
      <c r="B80" s="716" t="s">
        <v>1799</v>
      </c>
      <c r="C80" s="1" t="s">
        <v>1888</v>
      </c>
      <c r="D80" s="1" t="s">
        <v>1889</v>
      </c>
      <c r="E80" s="559">
        <v>376.3</v>
      </c>
      <c r="F80" s="1302" cm="1">
        <f t="array" ref="F80">+IF(SUM(VALUE(N80:Q80)*$N$7:$Q$7)=0,R80,T80)</f>
        <v>130715.46500000078</v>
      </c>
      <c r="G80" s="103">
        <f t="shared" si="2"/>
        <v>130715.46500000078</v>
      </c>
      <c r="H80" s="575">
        <v>45657</v>
      </c>
      <c r="I80" s="1303" cm="1">
        <f t="array" ref="I80">+IF(SUM(VALUE(N80:Q80)*$N$7:$Q$7)=0,S80,U80)</f>
        <v>134134.77600000054</v>
      </c>
      <c r="J80" s="103">
        <f t="shared" si="4"/>
        <v>134134.77600000054</v>
      </c>
      <c r="K80" s="575">
        <v>46022</v>
      </c>
      <c r="M80"/>
      <c r="N80" s="1300">
        <v>0</v>
      </c>
      <c r="O80" s="1300">
        <v>0</v>
      </c>
      <c r="P80" s="1300">
        <v>1</v>
      </c>
      <c r="Q80" s="1300">
        <v>0</v>
      </c>
      <c r="R80" s="1266">
        <v>121240.83308500001</v>
      </c>
      <c r="S80" s="1266">
        <v>124081.232498</v>
      </c>
      <c r="T80" s="1266">
        <f>+IF($Q80=1,$G80,INDEX([1]Summary!$K$5:$K$110,MATCH($C80,[1]Summary!$D$5:$D181,0)))</f>
        <v>130715.46500000078</v>
      </c>
      <c r="U80" s="1266">
        <f>+IF($Q80=1,$J80,INDEX([1]Summary!$L$5:$L$110,MATCH($C80,[1]Summary!$D$5:$D181,0)))</f>
        <v>134134.77600000054</v>
      </c>
      <c r="V80" s="721"/>
      <c r="W80" s="721"/>
      <c r="X80" s="721"/>
      <c r="Y80" s="721"/>
      <c r="Z80" s="721"/>
      <c r="AA80" s="721"/>
      <c r="AB80" s="721"/>
      <c r="AC80" s="721"/>
      <c r="AD80" s="721"/>
      <c r="AI80" s="105"/>
      <c r="AJ80" s="105"/>
      <c r="AN80" s="105"/>
      <c r="AO80" s="105"/>
      <c r="AP80" s="105"/>
    </row>
    <row r="81" spans="1:45" outlineLevel="1">
      <c r="A81" s="545">
        <f>MAX($A$10:A80)+1</f>
        <v>72</v>
      </c>
      <c r="B81" s="716" t="s">
        <v>1799</v>
      </c>
      <c r="C81" s="716" t="s">
        <v>1890</v>
      </c>
      <c r="D81" s="716" t="s">
        <v>1891</v>
      </c>
      <c r="E81" s="559">
        <v>380.3</v>
      </c>
      <c r="F81" s="1302" cm="1">
        <f t="array" ref="F81">+IF(SUM(VALUE(N81:Q81)*$N$7:$Q$7)=0,R81,T81)</f>
        <v>1058346.5406666994</v>
      </c>
      <c r="G81" s="103">
        <f t="shared" si="2"/>
        <v>1058346.5406666994</v>
      </c>
      <c r="H81" s="575">
        <v>45657</v>
      </c>
      <c r="I81" s="1303" cm="1">
        <f t="array" ref="I81">+IF(SUM(VALUE(N81:Q81)*$N$7:$Q$7)=0,S81,U81)</f>
        <v>707665.09752380848</v>
      </c>
      <c r="J81" s="103">
        <f t="shared" si="4"/>
        <v>707665.09752380848</v>
      </c>
      <c r="K81" s="575">
        <v>46022</v>
      </c>
      <c r="M81"/>
      <c r="N81" s="1300">
        <v>0</v>
      </c>
      <c r="O81" s="1300">
        <v>0</v>
      </c>
      <c r="P81" s="1300">
        <v>1</v>
      </c>
      <c r="Q81" s="1300">
        <v>0</v>
      </c>
      <c r="R81" s="1266">
        <v>1692514.2700000005</v>
      </c>
      <c r="S81" s="1266">
        <v>1739980.7999999996</v>
      </c>
      <c r="T81" s="1266">
        <f>+IF($Q81=1,$G81,INDEX([1]Summary!$K$5:$K$110,MATCH($C81,[1]Summary!$D$5:$D182,0)))</f>
        <v>1058346.5406666994</v>
      </c>
      <c r="U81" s="1266">
        <f>+IF($Q81=1,$J81,INDEX([1]Summary!$L$5:$L$110,MATCH($C81,[1]Summary!$D$5:$D182,0)))</f>
        <v>707665.09752380848</v>
      </c>
      <c r="V81" s="721"/>
      <c r="W81" s="721"/>
      <c r="X81" s="721"/>
      <c r="Y81" s="721"/>
      <c r="Z81" s="721"/>
      <c r="AA81" s="721"/>
      <c r="AB81" s="721"/>
      <c r="AC81" s="721"/>
      <c r="AD81" s="721"/>
      <c r="AI81" s="105"/>
      <c r="AJ81" s="105"/>
      <c r="AN81" s="105"/>
      <c r="AO81" s="105"/>
      <c r="AP81" s="105"/>
      <c r="AS81" s="105"/>
    </row>
    <row r="82" spans="1:45" outlineLevel="1">
      <c r="A82" s="545">
        <f>MAX($A$10:A81)+1</f>
        <v>73</v>
      </c>
      <c r="B82" s="716" t="s">
        <v>1799</v>
      </c>
      <c r="C82" s="716" t="s">
        <v>1892</v>
      </c>
      <c r="D82" s="716" t="s">
        <v>1893</v>
      </c>
      <c r="E82" s="559">
        <v>380.3</v>
      </c>
      <c r="F82" s="1302" cm="1">
        <f t="array" ref="F82">+IF(SUM(VALUE(N82:Q82)*$N$7:$Q$7)=0,R82,T82)</f>
        <v>88759.269398000004</v>
      </c>
      <c r="G82" s="103">
        <f t="shared" si="2"/>
        <v>88759.269398000004</v>
      </c>
      <c r="H82" s="575">
        <v>45657</v>
      </c>
      <c r="I82" s="1303" cm="1">
        <f t="array" ref="I82">+IF(SUM(VALUE(N82:Q82)*$N$7:$Q$7)=0,S82,U82)</f>
        <v>86246.944812000016</v>
      </c>
      <c r="J82" s="103">
        <f t="shared" si="4"/>
        <v>86246.944812000016</v>
      </c>
      <c r="K82" s="575">
        <v>46022</v>
      </c>
      <c r="M82"/>
      <c r="N82" s="1300">
        <v>0</v>
      </c>
      <c r="O82" s="1300">
        <v>0</v>
      </c>
      <c r="P82" s="1300">
        <v>0</v>
      </c>
      <c r="Q82" s="1300">
        <v>1</v>
      </c>
      <c r="R82" s="1266">
        <v>88759.269398000004</v>
      </c>
      <c r="S82" s="1266">
        <v>86246.944812000016</v>
      </c>
      <c r="T82" s="1266">
        <f>+IF($Q82=1,$G82,INDEX([1]Summary!$K$5:$K$110,MATCH($C82,[1]Summary!$D$5:$D183,0)))</f>
        <v>88759.269398000004</v>
      </c>
      <c r="U82" s="1266">
        <f>+IF($Q82=1,$J82,INDEX([1]Summary!$L$5:$L$110,MATCH($C82,[1]Summary!$D$5:$D183,0)))</f>
        <v>86246.944812000016</v>
      </c>
      <c r="V82" s="721"/>
      <c r="W82" s="721"/>
      <c r="X82" s="721"/>
      <c r="Y82" s="721"/>
      <c r="Z82" s="721"/>
      <c r="AA82" s="721"/>
      <c r="AB82" s="721"/>
      <c r="AC82" s="721"/>
      <c r="AD82" s="721"/>
      <c r="AI82" s="105"/>
      <c r="AJ82" s="105"/>
      <c r="AN82" s="105"/>
      <c r="AO82" s="105"/>
      <c r="AP82" s="105"/>
    </row>
    <row r="83" spans="1:45" outlineLevel="1">
      <c r="A83" s="545">
        <f>MAX($A$10:A82)+1</f>
        <v>74</v>
      </c>
      <c r="B83" s="716" t="s">
        <v>1799</v>
      </c>
      <c r="C83" s="716" t="s">
        <v>1894</v>
      </c>
      <c r="D83" s="716" t="s">
        <v>1895</v>
      </c>
      <c r="E83" s="559">
        <v>376.3</v>
      </c>
      <c r="F83" s="1302" cm="1">
        <f t="array" ref="F83">+IF(SUM(VALUE(N83:Q83)*$N$7:$Q$7)=0,R83,T83)</f>
        <v>120281.75666666665</v>
      </c>
      <c r="G83" s="103">
        <f t="shared" si="2"/>
        <v>120281.75666666665</v>
      </c>
      <c r="H83" s="575">
        <v>45657</v>
      </c>
      <c r="I83" s="1303" cm="1">
        <f t="array" ref="I83">+IF(SUM(VALUE(N83:Q83)*$N$7:$Q$7)=0,S83,U83)</f>
        <v>120281.75666666665</v>
      </c>
      <c r="J83" s="103">
        <f t="shared" si="4"/>
        <v>120281.75666666665</v>
      </c>
      <c r="K83" s="575">
        <v>46022</v>
      </c>
      <c r="M83"/>
      <c r="N83" s="1300">
        <v>0</v>
      </c>
      <c r="O83" s="1300">
        <v>0</v>
      </c>
      <c r="P83" s="1300">
        <v>1</v>
      </c>
      <c r="Q83" s="1300">
        <v>0</v>
      </c>
      <c r="R83" s="1266">
        <v>111603.304754</v>
      </c>
      <c r="S83" s="1266">
        <v>230710.25399999999</v>
      </c>
      <c r="T83" s="1266">
        <f>+IF($Q83=1,$G83,INDEX([1]Summary!$K$5:$K$110,MATCH($C83,[1]Summary!$D$5:$D184,0)))</f>
        <v>120281.75666666665</v>
      </c>
      <c r="U83" s="1266">
        <f>+IF($Q83=1,$J83,INDEX([1]Summary!$L$5:$L$110,MATCH($C83,[1]Summary!$D$5:$D184,0)))</f>
        <v>120281.75666666665</v>
      </c>
      <c r="V83" s="721"/>
      <c r="W83" s="721"/>
      <c r="X83" s="721"/>
      <c r="Y83" s="721"/>
      <c r="Z83" s="721"/>
      <c r="AA83" s="721"/>
      <c r="AB83" s="721"/>
      <c r="AC83" s="721"/>
      <c r="AD83" s="721"/>
      <c r="AF83" s="105"/>
      <c r="AI83" s="105"/>
      <c r="AJ83" s="105"/>
      <c r="AN83" s="105"/>
      <c r="AO83" s="105"/>
      <c r="AP83" s="105"/>
    </row>
    <row r="84" spans="1:45" outlineLevel="1">
      <c r="A84" s="545">
        <f>MAX($A$10:A83)+1</f>
        <v>75</v>
      </c>
      <c r="B84" s="716" t="s">
        <v>1799</v>
      </c>
      <c r="C84" s="716" t="s">
        <v>1896</v>
      </c>
      <c r="D84" s="716" t="s">
        <v>1897</v>
      </c>
      <c r="E84" s="559">
        <v>376.3</v>
      </c>
      <c r="F84" s="1302" cm="1">
        <f t="array" ref="F84">+IF(SUM(VALUE(N84:Q84)*$N$7:$Q$7)=0,R84,T84)</f>
        <v>3518348.4725000006</v>
      </c>
      <c r="G84" s="103">
        <f t="shared" si="2"/>
        <v>3518348.4725000006</v>
      </c>
      <c r="H84" s="575">
        <v>45657</v>
      </c>
      <c r="I84" s="1303" cm="1">
        <f t="array" ref="I84">+IF(SUM(VALUE(N84:Q84)*$N$7:$Q$7)=0,S84,U84)</f>
        <v>3518348.4725000006</v>
      </c>
      <c r="J84" s="103">
        <f t="shared" si="4"/>
        <v>3518348.4725000006</v>
      </c>
      <c r="K84" s="575">
        <v>46022</v>
      </c>
      <c r="M84"/>
      <c r="N84" s="1300">
        <v>0</v>
      </c>
      <c r="O84" s="1300">
        <v>0</v>
      </c>
      <c r="P84" s="1300">
        <v>1</v>
      </c>
      <c r="Q84" s="1300">
        <v>0</v>
      </c>
      <c r="R84" s="1266">
        <v>3504094.9597229999</v>
      </c>
      <c r="S84" s="1266">
        <v>3997962.8722509998</v>
      </c>
      <c r="T84" s="1266">
        <f>+IF($Q84=1,$G84,INDEX([1]Summary!$K$5:$K$110,MATCH($C84,[1]Summary!$D$5:$D185,0)))</f>
        <v>3518348.4725000006</v>
      </c>
      <c r="U84" s="1266">
        <f>+IF($Q84=1,$J84,INDEX([1]Summary!$L$5:$L$110,MATCH($C84,[1]Summary!$D$5:$D185,0)))</f>
        <v>3518348.4725000006</v>
      </c>
      <c r="V84" s="721"/>
      <c r="W84" s="721"/>
      <c r="X84" s="721"/>
      <c r="Y84" s="721"/>
      <c r="Z84" s="721"/>
      <c r="AA84" s="721"/>
      <c r="AB84" s="721"/>
      <c r="AC84" s="721"/>
      <c r="AD84" s="721"/>
      <c r="AE84" s="105"/>
      <c r="AI84" s="105"/>
      <c r="AJ84" s="105"/>
      <c r="AN84" s="105"/>
      <c r="AO84" s="105"/>
      <c r="AP84" s="105"/>
    </row>
    <row r="85" spans="1:45" outlineLevel="1">
      <c r="A85" s="545">
        <f>MAX($A$10:A84)+1</f>
        <v>76</v>
      </c>
      <c r="B85" s="716" t="s">
        <v>1799</v>
      </c>
      <c r="C85" s="716" t="s">
        <v>1898</v>
      </c>
      <c r="D85" s="716" t="s">
        <v>1899</v>
      </c>
      <c r="E85" s="559">
        <v>380.3</v>
      </c>
      <c r="F85" s="1302" cm="1">
        <f t="array" ref="F85">+IF(SUM(VALUE(N85:Q85)*$N$7:$Q$7)=0,R85,T85)</f>
        <v>926264.08999999613</v>
      </c>
      <c r="G85" s="103">
        <f t="shared" si="2"/>
        <v>926264.08999999613</v>
      </c>
      <c r="H85" s="575">
        <v>45657</v>
      </c>
      <c r="I85" s="1303" cm="1">
        <f t="array" ref="I85">+IF(SUM(VALUE(N85:Q85)*$N$7:$Q$7)=0,S85,U85)</f>
        <v>943597.51099999994</v>
      </c>
      <c r="J85" s="103">
        <f t="shared" si="4"/>
        <v>943597.51099999994</v>
      </c>
      <c r="K85" s="575">
        <v>46022</v>
      </c>
      <c r="M85"/>
      <c r="N85" s="1300">
        <v>0</v>
      </c>
      <c r="O85" s="1300">
        <v>0</v>
      </c>
      <c r="P85" s="1300">
        <v>1</v>
      </c>
      <c r="Q85" s="1300">
        <v>0</v>
      </c>
      <c r="R85" s="1266">
        <v>3511692.4775140001</v>
      </c>
      <c r="S85" s="1266">
        <v>3997962.8722509998</v>
      </c>
      <c r="T85" s="1266">
        <f>+IF($Q85=1,$G85,INDEX([1]Summary!$K$5:$K$110,MATCH($C85,[1]Summary!$D$5:$D186,0)))</f>
        <v>926264.08999999613</v>
      </c>
      <c r="U85" s="1266">
        <f>+IF($Q85=1,$J85,INDEX([1]Summary!$L$5:$L$110,MATCH($C85,[1]Summary!$D$5:$D186,0)))</f>
        <v>943597.51099999994</v>
      </c>
      <c r="V85" s="721"/>
      <c r="W85" s="721"/>
      <c r="X85" s="721"/>
      <c r="Y85" s="721"/>
      <c r="Z85" s="721"/>
      <c r="AA85" s="721"/>
      <c r="AB85" s="721"/>
      <c r="AC85" s="721"/>
      <c r="AD85" s="721"/>
      <c r="AE85" s="105"/>
      <c r="AI85" s="105"/>
      <c r="AJ85" s="105"/>
      <c r="AN85" s="105"/>
      <c r="AO85" s="105"/>
      <c r="AP85" s="105"/>
    </row>
    <row r="86" spans="1:45" outlineLevel="1">
      <c r="A86" s="545">
        <f>MAX($A$10:A85)+1</f>
        <v>77</v>
      </c>
      <c r="B86" s="716" t="s">
        <v>1799</v>
      </c>
      <c r="C86" s="716" t="s">
        <v>1900</v>
      </c>
      <c r="D86" s="716" t="s">
        <v>1901</v>
      </c>
      <c r="E86" s="559">
        <v>376.3</v>
      </c>
      <c r="F86" s="1302" cm="1">
        <f t="array" ref="F86">+IF(SUM(VALUE(N86:Q86)*$N$7:$Q$7)=0,R86,T86)</f>
        <v>0</v>
      </c>
      <c r="G86" s="103">
        <f t="shared" si="2"/>
        <v>0</v>
      </c>
      <c r="H86" s="575">
        <v>45626</v>
      </c>
      <c r="I86" s="1303" cm="1">
        <f t="array" ref="I86">+IF(SUM(VALUE(N86:Q86)*$N$7:$Q$7)=0,S86,U86)</f>
        <v>1403134.75</v>
      </c>
      <c r="J86" s="103"/>
      <c r="K86" s="575"/>
      <c r="M86"/>
      <c r="N86" s="1300">
        <v>0</v>
      </c>
      <c r="O86" s="1300">
        <v>1</v>
      </c>
      <c r="P86" s="1300">
        <v>0</v>
      </c>
      <c r="Q86" s="1300">
        <v>0</v>
      </c>
      <c r="R86" s="1266">
        <v>1403134.75</v>
      </c>
      <c r="S86" s="1266">
        <v>0</v>
      </c>
      <c r="T86" s="1266">
        <f>+IF($Q86=1,$G86,INDEX([1]Summary!$K$5:$K$110,MATCH($C86,[1]Summary!$D$5:$D187,0)))</f>
        <v>0</v>
      </c>
      <c r="U86" s="1266">
        <f>+IF($Q86=1,$J86,INDEX([1]Summary!$L$5:$L$110,MATCH($C86,[1]Summary!$D$5:$D187,0)))</f>
        <v>1403134.75</v>
      </c>
      <c r="V86" s="721"/>
      <c r="W86" s="721"/>
      <c r="X86" s="721"/>
      <c r="Y86" s="721"/>
      <c r="Z86" s="721"/>
      <c r="AA86" s="721"/>
      <c r="AB86" s="721"/>
      <c r="AC86" s="721"/>
      <c r="AD86" s="721"/>
      <c r="AE86" s="105"/>
      <c r="AI86" s="105"/>
      <c r="AJ86" s="105"/>
      <c r="AN86" s="105"/>
      <c r="AO86" s="105"/>
      <c r="AP86" s="105"/>
    </row>
    <row r="87" spans="1:45" outlineLevel="1">
      <c r="A87" s="545">
        <f>MAX($A$10:A86)+1</f>
        <v>78</v>
      </c>
      <c r="B87" s="716" t="s">
        <v>1799</v>
      </c>
      <c r="C87" s="720" t="s">
        <v>1902</v>
      </c>
      <c r="D87" s="720" t="s">
        <v>1903</v>
      </c>
      <c r="E87" s="559">
        <v>376.1</v>
      </c>
      <c r="F87" s="1302" cm="1">
        <f t="array" ref="F87">+IF(SUM(VALUE(N87:Q87)*$N$7:$Q$7)=0,R87,T87)</f>
        <v>0</v>
      </c>
      <c r="G87" s="103"/>
      <c r="I87" s="1303" cm="1">
        <f t="array" ref="I87">+IF(SUM(VALUE(N87:Q87)*$N$7:$Q$7)=0,S87,U87)</f>
        <v>57633.22</v>
      </c>
      <c r="J87" s="103">
        <f t="shared" ref="J87:J95" si="5">+I87</f>
        <v>57633.22</v>
      </c>
      <c r="K87" s="717">
        <v>45961</v>
      </c>
      <c r="M87"/>
      <c r="N87" s="1300">
        <v>0</v>
      </c>
      <c r="O87" s="1300">
        <v>0</v>
      </c>
      <c r="P87" s="1300">
        <v>0</v>
      </c>
      <c r="Q87" s="1300">
        <v>1</v>
      </c>
      <c r="R87" s="1266">
        <v>0</v>
      </c>
      <c r="S87" s="1266">
        <v>57633.22</v>
      </c>
      <c r="T87" s="1266">
        <f>+IF($Q87=1,$G87,INDEX([1]Summary!$K$5:$K$110,MATCH($C87,[1]Summary!$D$5:$D188,0)))</f>
        <v>0</v>
      </c>
      <c r="U87" s="1266">
        <f>+IF($Q87=1,$J87,INDEX([1]Summary!$L$5:$L$110,MATCH($C87,[1]Summary!$D$5:$D188,0)))</f>
        <v>57633.22</v>
      </c>
      <c r="V87" s="721"/>
      <c r="W87" s="721"/>
      <c r="X87" s="721"/>
      <c r="Y87" s="721"/>
      <c r="Z87" s="721"/>
      <c r="AA87" s="721"/>
      <c r="AB87" s="721"/>
      <c r="AC87" s="721"/>
      <c r="AD87" s="721"/>
      <c r="AE87" s="105"/>
      <c r="AI87" s="105"/>
      <c r="AJ87" s="105"/>
      <c r="AN87" s="105"/>
      <c r="AO87" s="105"/>
      <c r="AP87" s="105"/>
    </row>
    <row r="88" spans="1:45" outlineLevel="1">
      <c r="A88" s="545">
        <f>MAX($A$10:A87)+1</f>
        <v>79</v>
      </c>
      <c r="B88" s="716" t="s">
        <v>1799</v>
      </c>
      <c r="C88" s="716" t="s">
        <v>1904</v>
      </c>
      <c r="D88" s="716" t="s">
        <v>1905</v>
      </c>
      <c r="E88" s="559">
        <v>367.1</v>
      </c>
      <c r="F88" s="1302" cm="1">
        <f t="array" ref="F88">+IF(SUM(VALUE(N88:Q88)*$N$7:$Q$7)=0,R88,T88)</f>
        <v>533956.21821900003</v>
      </c>
      <c r="G88" s="103">
        <f>+F88</f>
        <v>533956.21821900003</v>
      </c>
      <c r="H88" s="717">
        <v>45534</v>
      </c>
      <c r="I88" s="1303" cm="1">
        <f t="array" ref="I88">+IF(SUM(VALUE(N88:Q88)*$N$7:$Q$7)=0,S88,U88)</f>
        <v>0</v>
      </c>
      <c r="J88" s="103">
        <f t="shared" si="5"/>
        <v>0</v>
      </c>
      <c r="K88" s="103"/>
      <c r="M88"/>
      <c r="N88" s="1300">
        <v>0</v>
      </c>
      <c r="O88" s="1300">
        <v>0</v>
      </c>
      <c r="P88" s="1300">
        <v>0</v>
      </c>
      <c r="Q88" s="1300">
        <v>1</v>
      </c>
      <c r="R88" s="1266">
        <v>533956.21821900003</v>
      </c>
      <c r="S88" s="1266">
        <v>0</v>
      </c>
      <c r="T88" s="1266">
        <f>+IF($Q88=1,$G88,INDEX([1]Summary!$K$5:$K$110,MATCH($C88,[1]Summary!$D$5:$D189,0)))</f>
        <v>533956.21821900003</v>
      </c>
      <c r="U88" s="1266">
        <f>+IF($Q88=1,$J88,INDEX([1]Summary!$L$5:$L$110,MATCH($C88,[1]Summary!$D$5:$D189,0)))</f>
        <v>0</v>
      </c>
      <c r="V88" s="721"/>
      <c r="W88" s="721"/>
      <c r="X88" s="721"/>
      <c r="Y88" s="721"/>
      <c r="Z88" s="721"/>
      <c r="AA88" s="721"/>
      <c r="AB88" s="721"/>
      <c r="AC88" s="721"/>
      <c r="AD88" s="721"/>
      <c r="AE88" s="105"/>
      <c r="AI88" s="105"/>
      <c r="AJ88" s="105"/>
      <c r="AN88" s="105"/>
      <c r="AO88" s="105"/>
      <c r="AP88" s="105"/>
    </row>
    <row r="89" spans="1:45" outlineLevel="1">
      <c r="A89" s="545">
        <f>MAX($A$10:A88)+1</f>
        <v>80</v>
      </c>
      <c r="B89" s="716" t="s">
        <v>1799</v>
      </c>
      <c r="C89" s="716" t="s">
        <v>1906</v>
      </c>
      <c r="D89" s="716" t="s">
        <v>1907</v>
      </c>
      <c r="E89" s="559">
        <v>378</v>
      </c>
      <c r="F89" s="1302" cm="1">
        <f t="array" ref="F89">+IF(SUM(VALUE(N89:Q89)*$N$7:$Q$7)=0,R89,T89)</f>
        <v>1901518.06</v>
      </c>
      <c r="G89" s="103">
        <f>+F89</f>
        <v>1901518.06</v>
      </c>
      <c r="H89" s="717">
        <v>45626</v>
      </c>
      <c r="I89" s="1303" cm="1">
        <f t="array" ref="I89">+IF(SUM(VALUE(N89:Q89)*$N$7:$Q$7)=0,S89,U89)</f>
        <v>0</v>
      </c>
      <c r="J89" s="103">
        <f t="shared" si="5"/>
        <v>0</v>
      </c>
      <c r="K89" s="103"/>
      <c r="M89"/>
      <c r="N89" s="1300">
        <v>0</v>
      </c>
      <c r="O89" s="1300">
        <v>1</v>
      </c>
      <c r="P89" s="1300">
        <v>0</v>
      </c>
      <c r="Q89" s="1300">
        <v>0</v>
      </c>
      <c r="R89" s="1266">
        <v>1901518.06</v>
      </c>
      <c r="S89" s="1266">
        <v>0</v>
      </c>
      <c r="T89" s="1266">
        <f>+IF($Q89=1,$G89,INDEX([1]Summary!$K$5:$K$110,MATCH($C89,[1]Summary!$D$5:$D190,0)))</f>
        <v>1901518.06</v>
      </c>
      <c r="U89" s="1266">
        <f>+IF($Q89=1,$J89,INDEX([1]Summary!$L$5:$L$110,MATCH($C89,[1]Summary!$D$5:$D190,0)))</f>
        <v>0</v>
      </c>
      <c r="V89" s="721"/>
      <c r="W89" s="721"/>
      <c r="X89" s="721"/>
      <c r="Y89" s="721"/>
      <c r="Z89" s="721"/>
      <c r="AA89" s="721"/>
      <c r="AB89" s="721"/>
      <c r="AC89" s="721"/>
      <c r="AD89" s="721"/>
      <c r="AE89" s="105"/>
      <c r="AI89" s="105"/>
      <c r="AJ89" s="105"/>
      <c r="AN89" s="105"/>
      <c r="AO89" s="105"/>
      <c r="AP89" s="105"/>
    </row>
    <row r="90" spans="1:45" outlineLevel="1">
      <c r="A90" s="545">
        <f>MAX($A$10:A89)+1</f>
        <v>81</v>
      </c>
      <c r="B90" s="716" t="s">
        <v>1799</v>
      </c>
      <c r="C90" s="716" t="s">
        <v>1908</v>
      </c>
      <c r="D90" s="716" t="s">
        <v>1909</v>
      </c>
      <c r="E90" s="559">
        <v>376.3</v>
      </c>
      <c r="F90" s="1302" cm="1">
        <f t="array" ref="F90">+IF(SUM(VALUE(N90:Q90)*$N$7:$Q$7)=0,R90,T90)</f>
        <v>0</v>
      </c>
      <c r="G90" s="103">
        <f>+F90</f>
        <v>0</v>
      </c>
      <c r="H90" s="717">
        <v>45566</v>
      </c>
      <c r="I90" s="1303" cm="1">
        <f t="array" ref="I90">+IF(SUM(VALUE(N90:Q90)*$N$7:$Q$7)=0,S90,U90)</f>
        <v>2258569</v>
      </c>
      <c r="J90" s="103">
        <f t="shared" si="5"/>
        <v>2258569</v>
      </c>
      <c r="K90" s="103"/>
      <c r="M90"/>
      <c r="N90" s="1300">
        <v>0</v>
      </c>
      <c r="O90" s="1300">
        <v>1</v>
      </c>
      <c r="P90" s="1300">
        <v>0</v>
      </c>
      <c r="Q90" s="1300">
        <v>0</v>
      </c>
      <c r="R90" s="1266">
        <v>2258569</v>
      </c>
      <c r="S90" s="1266">
        <v>0</v>
      </c>
      <c r="T90" s="1266">
        <f>+IF($Q90=1,$G90,INDEX([1]Summary!$K$5:$K$110,MATCH($C90,[1]Summary!$D$5:$D191,0)))</f>
        <v>0</v>
      </c>
      <c r="U90" s="1266">
        <f>+IF($Q90=1,$J90,INDEX([1]Summary!$L$5:$L$110,MATCH($C90,[1]Summary!$D$5:$D191,0)))</f>
        <v>2258569</v>
      </c>
      <c r="V90" s="721"/>
      <c r="W90" s="721"/>
      <c r="X90" s="721"/>
      <c r="Y90" s="721"/>
      <c r="Z90" s="721"/>
      <c r="AA90" s="721"/>
      <c r="AB90" s="721"/>
      <c r="AC90" s="721"/>
      <c r="AD90" s="721"/>
      <c r="AE90" s="105"/>
      <c r="AI90" s="105"/>
      <c r="AJ90" s="105"/>
      <c r="AN90" s="105"/>
      <c r="AO90" s="105"/>
      <c r="AP90" s="105"/>
    </row>
    <row r="91" spans="1:45" outlineLevel="1">
      <c r="A91" s="545">
        <f>MAX($A$10:A90)+1</f>
        <v>82</v>
      </c>
      <c r="B91" s="716" t="s">
        <v>1799</v>
      </c>
      <c r="C91" s="720" t="s">
        <v>1910</v>
      </c>
      <c r="D91" s="720" t="s">
        <v>1911</v>
      </c>
      <c r="E91" s="559">
        <v>376.2</v>
      </c>
      <c r="F91" s="1302" cm="1">
        <f t="array" ref="F91">+IF(SUM(VALUE(N91:Q91)*$N$7:$Q$7)=0,R91,T91)</f>
        <v>0</v>
      </c>
      <c r="G91" s="103"/>
      <c r="I91" s="1303" cm="1">
        <f t="array" ref="I91">+IF(SUM(VALUE(N91:Q91)*$N$7:$Q$7)=0,S91,U91)</f>
        <v>543633.23800999997</v>
      </c>
      <c r="J91" s="103">
        <f t="shared" si="5"/>
        <v>543633.23800999997</v>
      </c>
      <c r="K91" s="717">
        <v>45991</v>
      </c>
      <c r="M91"/>
      <c r="N91" s="1300">
        <v>0</v>
      </c>
      <c r="O91" s="1300">
        <v>0</v>
      </c>
      <c r="P91" s="1300">
        <v>0</v>
      </c>
      <c r="Q91" s="1300">
        <v>1</v>
      </c>
      <c r="R91" s="1266">
        <v>0</v>
      </c>
      <c r="S91" s="1266">
        <v>543633.23800999997</v>
      </c>
      <c r="T91" s="1266">
        <f>+IF($Q91=1,$G91,INDEX([1]Summary!$K$5:$K$110,MATCH($C91,[1]Summary!$D$5:$D192,0)))</f>
        <v>0</v>
      </c>
      <c r="U91" s="1266">
        <f>+IF($Q91=1,$J91,INDEX([1]Summary!$L$5:$L$110,MATCH($C91,[1]Summary!$D$5:$D192,0)))</f>
        <v>543633.23800999997</v>
      </c>
      <c r="V91" s="721"/>
      <c r="W91" s="721"/>
      <c r="X91" s="721"/>
      <c r="Y91" s="721"/>
      <c r="Z91" s="721"/>
      <c r="AA91" s="721"/>
      <c r="AB91" s="721"/>
      <c r="AC91" s="721"/>
      <c r="AD91" s="721"/>
      <c r="AE91" s="105"/>
      <c r="AI91" s="105"/>
      <c r="AJ91" s="105"/>
      <c r="AN91" s="105"/>
      <c r="AO91" s="105"/>
      <c r="AP91" s="105"/>
    </row>
    <row r="92" spans="1:45" outlineLevel="1">
      <c r="A92" s="545">
        <f>MAX($A$10:A91)+1</f>
        <v>83</v>
      </c>
      <c r="B92" s="716" t="s">
        <v>1799</v>
      </c>
      <c r="C92" s="720" t="s">
        <v>1912</v>
      </c>
      <c r="D92" s="720" t="s">
        <v>1913</v>
      </c>
      <c r="E92" s="559">
        <v>378</v>
      </c>
      <c r="F92" s="1302" cm="1">
        <f t="array" ref="F92">+IF(SUM(VALUE(N92:Q92)*$N$7:$Q$7)=0,R92,T92)</f>
        <v>0</v>
      </c>
      <c r="G92" s="103"/>
      <c r="I92" s="1303" cm="1">
        <f t="array" ref="I92">+IF(SUM(VALUE(N92:Q92)*$N$7:$Q$7)=0,S92,U92)</f>
        <v>377211.26529000001</v>
      </c>
      <c r="J92" s="103">
        <f t="shared" si="5"/>
        <v>377211.26529000001</v>
      </c>
      <c r="K92" s="717">
        <v>45960</v>
      </c>
      <c r="M92"/>
      <c r="N92" s="1300">
        <v>0</v>
      </c>
      <c r="O92" s="1300">
        <v>0</v>
      </c>
      <c r="P92" s="1300">
        <v>0</v>
      </c>
      <c r="Q92" s="1300">
        <v>1</v>
      </c>
      <c r="R92" s="1266">
        <v>0</v>
      </c>
      <c r="S92" s="1266">
        <v>377211.26529000001</v>
      </c>
      <c r="T92" s="1266">
        <f>+IF($Q92=1,$G92,INDEX([1]Summary!$K$5:$K$110,MATCH($C92,[1]Summary!$D$5:$D193,0)))</f>
        <v>0</v>
      </c>
      <c r="U92" s="1266">
        <f>+IF($Q92=1,$J92,INDEX([1]Summary!$L$5:$L$110,MATCH($C92,[1]Summary!$D$5:$D193,0)))</f>
        <v>377211.26529000001</v>
      </c>
      <c r="V92" s="721"/>
      <c r="W92" s="721"/>
      <c r="X92" s="721"/>
      <c r="Y92" s="721"/>
      <c r="Z92" s="721"/>
      <c r="AA92" s="721"/>
      <c r="AB92" s="721"/>
      <c r="AC92" s="721"/>
      <c r="AD92" s="721"/>
      <c r="AE92" s="105"/>
      <c r="AI92" s="105"/>
      <c r="AJ92" s="105"/>
      <c r="AN92" s="105"/>
      <c r="AO92" s="105"/>
      <c r="AP92" s="105"/>
    </row>
    <row r="93" spans="1:45" outlineLevel="1">
      <c r="A93" s="545">
        <f>MAX($A$10:A92)+1</f>
        <v>84</v>
      </c>
      <c r="B93" s="716" t="s">
        <v>1799</v>
      </c>
      <c r="C93" s="716" t="s">
        <v>1914</v>
      </c>
      <c r="D93" s="716" t="s">
        <v>1915</v>
      </c>
      <c r="E93" s="559">
        <v>376.3</v>
      </c>
      <c r="F93" s="1302" cm="1">
        <f t="array" ref="F93">+IF(SUM(VALUE(N93:Q93)*$N$7:$Q$7)=0,R93,T93)</f>
        <v>153338.53499999997</v>
      </c>
      <c r="G93" s="103">
        <f t="shared" ref="G93:G99" si="6">+F93</f>
        <v>153338.53499999997</v>
      </c>
      <c r="H93" s="575">
        <v>45657</v>
      </c>
      <c r="I93" s="1303" cm="1">
        <f t="array" ref="I93">+IF(SUM(VALUE(N93:Q93)*$N$7:$Q$7)=0,S93,U93)</f>
        <v>153338.53499999997</v>
      </c>
      <c r="J93" s="103">
        <f t="shared" si="5"/>
        <v>153338.53499999997</v>
      </c>
      <c r="K93" s="575">
        <v>46022</v>
      </c>
      <c r="M93"/>
      <c r="N93" s="1300">
        <v>0</v>
      </c>
      <c r="O93" s="1300">
        <v>0</v>
      </c>
      <c r="P93" s="1300">
        <v>1</v>
      </c>
      <c r="Q93" s="1300">
        <v>0</v>
      </c>
      <c r="R93" s="1266">
        <v>3610320.72</v>
      </c>
      <c r="S93" s="1266">
        <v>5910841.3118439987</v>
      </c>
      <c r="T93" s="1266">
        <f>+IF($Q93=1,$G93,INDEX([1]Summary!$K$5:$K$110,MATCH($C93,[1]Summary!$D$5:$D194,0)))</f>
        <v>153338.53499999997</v>
      </c>
      <c r="U93" s="1266">
        <f>+IF($Q93=1,$J93,INDEX([1]Summary!$L$5:$L$110,MATCH($C93,[1]Summary!$D$5:$D194,0)))</f>
        <v>153338.53499999997</v>
      </c>
      <c r="V93" s="721"/>
      <c r="W93" s="721"/>
      <c r="X93" s="721"/>
      <c r="Y93" s="721"/>
      <c r="Z93" s="721"/>
      <c r="AA93" s="721"/>
      <c r="AB93" s="721"/>
      <c r="AC93" s="721"/>
      <c r="AD93" s="721"/>
      <c r="AE93" s="105"/>
      <c r="AI93" s="105"/>
      <c r="AJ93" s="105"/>
      <c r="AN93" s="105"/>
      <c r="AO93" s="105"/>
      <c r="AP93" s="105"/>
    </row>
    <row r="94" spans="1:45" outlineLevel="1">
      <c r="A94" s="545">
        <f>MAX($A$10:A93)+1</f>
        <v>85</v>
      </c>
      <c r="B94" s="716" t="s">
        <v>1799</v>
      </c>
      <c r="C94" s="716" t="s">
        <v>1916</v>
      </c>
      <c r="D94" s="716" t="s">
        <v>1917</v>
      </c>
      <c r="E94" s="559">
        <v>380.3</v>
      </c>
      <c r="F94" s="1302" cm="1">
        <f t="array" ref="F94">+IF(SUM(VALUE(N94:Q94)*$N$7:$Q$7)=0,R94,T94)</f>
        <v>128877.07666666668</v>
      </c>
      <c r="G94" s="103">
        <f t="shared" si="6"/>
        <v>128877.07666666668</v>
      </c>
      <c r="H94" s="575">
        <v>45657</v>
      </c>
      <c r="I94" s="1303" cm="1">
        <f t="array" ref="I94">+IF(SUM(VALUE(N94:Q94)*$N$7:$Q$7)=0,S94,U94)</f>
        <v>128877.07666666668</v>
      </c>
      <c r="J94" s="103">
        <f t="shared" si="5"/>
        <v>128877.07666666668</v>
      </c>
      <c r="K94" s="575">
        <v>46022</v>
      </c>
      <c r="M94"/>
      <c r="N94" s="1300">
        <v>0</v>
      </c>
      <c r="O94" s="1300">
        <v>0</v>
      </c>
      <c r="P94" s="1300">
        <v>1</v>
      </c>
      <c r="Q94" s="1300">
        <v>0</v>
      </c>
      <c r="R94" s="1266">
        <v>375340.57199999999</v>
      </c>
      <c r="S94" s="1266">
        <v>912858.45250000001</v>
      </c>
      <c r="T94" s="1266">
        <f>+IF($Q94=1,$G94,INDEX([1]Summary!$K$5:$K$110,MATCH($C94,[1]Summary!$D$5:$D195,0)))</f>
        <v>128877.07666666668</v>
      </c>
      <c r="U94" s="1266">
        <f>+IF($Q94=1,$J94,INDEX([1]Summary!$L$5:$L$110,MATCH($C94,[1]Summary!$D$5:$D195,0)))</f>
        <v>128877.07666666668</v>
      </c>
      <c r="V94" s="721"/>
      <c r="W94" s="721"/>
      <c r="X94" s="721"/>
      <c r="Y94" s="721"/>
      <c r="Z94" s="721"/>
      <c r="AA94" s="721"/>
      <c r="AB94" s="721"/>
      <c r="AC94" s="721"/>
      <c r="AD94" s="721"/>
      <c r="AE94" s="105"/>
      <c r="AI94" s="105"/>
      <c r="AJ94" s="105"/>
      <c r="AN94" s="105"/>
      <c r="AO94" s="105"/>
      <c r="AP94" s="105"/>
    </row>
    <row r="95" spans="1:45" outlineLevel="1">
      <c r="A95" s="545">
        <f>MAX($A$10:A94)+1</f>
        <v>86</v>
      </c>
      <c r="B95" s="716" t="s">
        <v>1799</v>
      </c>
      <c r="C95" s="720" t="s">
        <v>1918</v>
      </c>
      <c r="D95" s="720" t="s">
        <v>1919</v>
      </c>
      <c r="E95" s="559">
        <v>376.2</v>
      </c>
      <c r="F95" s="1302" cm="1">
        <f t="array" ref="F95">+IF(SUM(VALUE(N95:Q95)*$N$7:$Q$7)=0,R95,T95)</f>
        <v>0</v>
      </c>
      <c r="G95" s="103">
        <f t="shared" si="6"/>
        <v>0</v>
      </c>
      <c r="H95" s="103"/>
      <c r="I95" s="1303" cm="1">
        <f t="array" ref="I95">+IF(SUM(VALUE(N95:Q95)*$N$7:$Q$7)=0,S95,U95)</f>
        <v>1796668.1126259998</v>
      </c>
      <c r="J95" s="103">
        <f t="shared" si="5"/>
        <v>1796668.1126259998</v>
      </c>
      <c r="K95" s="717">
        <v>45961</v>
      </c>
      <c r="M95"/>
      <c r="N95" s="1300">
        <v>0</v>
      </c>
      <c r="O95" s="1300">
        <v>1</v>
      </c>
      <c r="P95" s="1300">
        <v>0</v>
      </c>
      <c r="Q95" s="1300">
        <v>0</v>
      </c>
      <c r="R95" s="1266">
        <v>0</v>
      </c>
      <c r="S95" s="1266">
        <v>1796668.1126259998</v>
      </c>
      <c r="T95" s="1266">
        <f>+IF($Q95=1,$G95,INDEX([1]Summary!$K$5:$K$110,MATCH($C95,[1]Summary!$D$5:$D196,0)))</f>
        <v>0</v>
      </c>
      <c r="U95" s="1266">
        <f>+IF($Q95=1,$J95,INDEX([1]Summary!$L$5:$L$110,MATCH($C95,[1]Summary!$D$5:$D196,0)))</f>
        <v>1796668.1126259998</v>
      </c>
      <c r="V95" s="721"/>
      <c r="W95" s="721"/>
      <c r="X95" s="721"/>
      <c r="Y95" s="721"/>
      <c r="Z95" s="721"/>
      <c r="AA95" s="721"/>
      <c r="AB95" s="721"/>
      <c r="AC95" s="721"/>
      <c r="AD95" s="721"/>
      <c r="AE95" s="105"/>
      <c r="AI95" s="105"/>
      <c r="AJ95" s="105"/>
      <c r="AN95" s="105"/>
      <c r="AO95" s="105"/>
      <c r="AP95" s="105"/>
    </row>
    <row r="96" spans="1:45" outlineLevel="1">
      <c r="A96" s="545">
        <f>MAX($A$10:A95)+1</f>
        <v>87</v>
      </c>
      <c r="B96" s="716" t="s">
        <v>1799</v>
      </c>
      <c r="C96" s="720" t="s">
        <v>1920</v>
      </c>
      <c r="D96" s="720" t="s">
        <v>1921</v>
      </c>
      <c r="E96" s="559">
        <v>376.2</v>
      </c>
      <c r="F96" s="1302" cm="1">
        <f t="array" ref="F96">+IF(SUM(VALUE(N96:Q96)*$N$7:$Q$7)=0,R96,T96)</f>
        <v>0</v>
      </c>
      <c r="G96" s="103">
        <f t="shared" si="6"/>
        <v>0</v>
      </c>
      <c r="H96" s="575">
        <v>45412</v>
      </c>
      <c r="I96" s="1303" cm="1">
        <f t="array" ref="I96">+IF(SUM(VALUE(N96:Q96)*$N$7:$Q$7)=0,S96,U96)</f>
        <v>1069397.6499999999</v>
      </c>
      <c r="J96" s="103"/>
      <c r="K96" s="717"/>
      <c r="M96"/>
      <c r="N96" s="1300">
        <v>0</v>
      </c>
      <c r="O96" s="1300">
        <v>1</v>
      </c>
      <c r="P96" s="1300">
        <v>0</v>
      </c>
      <c r="Q96" s="1300">
        <v>0</v>
      </c>
      <c r="R96" s="1266">
        <v>1069397.6499999999</v>
      </c>
      <c r="S96" s="1266">
        <v>0</v>
      </c>
      <c r="T96" s="1266">
        <f>+IF($Q96=1,$G96,INDEX([1]Summary!$K$5:$K$110,MATCH($C96,[1]Summary!$D$5:$D197,0)))</f>
        <v>0</v>
      </c>
      <c r="U96" s="1266">
        <f>+IF($Q96=1,$J96,INDEX([1]Summary!$L$5:$L$110,MATCH($C96,[1]Summary!$D$5:$D197,0)))</f>
        <v>1069397.6499999999</v>
      </c>
      <c r="V96" s="721"/>
      <c r="W96" s="721"/>
      <c r="X96" s="721"/>
      <c r="Y96" s="721"/>
      <c r="Z96" s="721"/>
      <c r="AA96" s="721"/>
      <c r="AB96" s="721"/>
      <c r="AC96" s="721"/>
      <c r="AD96" s="721"/>
      <c r="AE96" s="105"/>
      <c r="AI96" s="105"/>
      <c r="AJ96" s="105"/>
      <c r="AN96" s="105"/>
      <c r="AO96" s="105"/>
      <c r="AP96" s="105"/>
    </row>
    <row r="97" spans="1:42" outlineLevel="1">
      <c r="A97" s="545">
        <f>MAX($A$10:A96)+1</f>
        <v>88</v>
      </c>
      <c r="B97" s="716" t="s">
        <v>1799</v>
      </c>
      <c r="C97" s="716" t="s">
        <v>1922</v>
      </c>
      <c r="D97" s="716" t="s">
        <v>1923</v>
      </c>
      <c r="E97" s="559">
        <v>376.2</v>
      </c>
      <c r="F97" s="1302" cm="1">
        <f t="array" ref="F97">+IF(SUM(VALUE(N97:Q97)*$N$7:$Q$7)=0,R97,T97)</f>
        <v>930867.84602499998</v>
      </c>
      <c r="G97" s="103">
        <f t="shared" si="6"/>
        <v>930867.84602499998</v>
      </c>
      <c r="H97" s="575">
        <v>45412</v>
      </c>
      <c r="I97" s="1303" cm="1">
        <f t="array" ref="I97">+IF(SUM(VALUE(N97:Q97)*$N$7:$Q$7)=0,S97,U97)</f>
        <v>0</v>
      </c>
      <c r="J97" s="103">
        <f>+I97</f>
        <v>0</v>
      </c>
      <c r="K97" s="103"/>
      <c r="M97"/>
      <c r="N97" s="1300">
        <v>0</v>
      </c>
      <c r="O97" s="1300">
        <v>0</v>
      </c>
      <c r="P97" s="1300">
        <v>0</v>
      </c>
      <c r="Q97" s="1300">
        <v>1</v>
      </c>
      <c r="R97" s="1266">
        <v>930867.84602499998</v>
      </c>
      <c r="S97" s="1266">
        <v>0</v>
      </c>
      <c r="T97" s="1266">
        <f>+IF($Q97=1,$G97,INDEX([1]Summary!$K$5:$K$110,MATCH($C97,[1]Summary!$D$5:$D198,0)))</f>
        <v>930867.84602499998</v>
      </c>
      <c r="U97" s="1266">
        <f>+IF($Q97=1,$J97,INDEX([1]Summary!$L$5:$L$110,MATCH($C97,[1]Summary!$D$5:$D198,0)))</f>
        <v>0</v>
      </c>
      <c r="V97" s="721"/>
      <c r="W97" s="721"/>
      <c r="X97" s="721"/>
      <c r="Y97" s="721"/>
      <c r="Z97" s="721"/>
      <c r="AA97" s="721"/>
      <c r="AB97" s="721"/>
      <c r="AC97" s="721"/>
      <c r="AD97" s="721"/>
      <c r="AE97" s="105"/>
      <c r="AI97" s="105"/>
      <c r="AJ97" s="105"/>
      <c r="AN97" s="105"/>
      <c r="AO97" s="105"/>
      <c r="AP97" s="105"/>
    </row>
    <row r="98" spans="1:42" outlineLevel="1">
      <c r="A98" s="545">
        <f>MAX($A$10:A97)+1</f>
        <v>89</v>
      </c>
      <c r="B98" s="716" t="s">
        <v>1799</v>
      </c>
      <c r="C98" s="716" t="s">
        <v>1924</v>
      </c>
      <c r="D98" s="520" t="s">
        <v>1925</v>
      </c>
      <c r="E98" s="559">
        <v>376.2</v>
      </c>
      <c r="F98" s="1302" cm="1">
        <f t="array" ref="F98">+IF(SUM(VALUE(N98:Q98)*$N$7:$Q$7)=0,R98,T98)</f>
        <v>0</v>
      </c>
      <c r="G98" s="103">
        <f t="shared" si="6"/>
        <v>0</v>
      </c>
      <c r="H98" s="575">
        <v>45597</v>
      </c>
      <c r="I98" s="1303" cm="1">
        <f t="array" ref="I98">+IF(SUM(VALUE(N98:Q98)*$N$7:$Q$7)=0,S98,U98)</f>
        <v>1829249.22</v>
      </c>
      <c r="J98" s="103"/>
      <c r="K98" s="103"/>
      <c r="M98"/>
      <c r="N98" s="1300">
        <v>0</v>
      </c>
      <c r="O98" s="1300">
        <v>1</v>
      </c>
      <c r="P98" s="1300">
        <v>0</v>
      </c>
      <c r="Q98" s="1300">
        <v>0</v>
      </c>
      <c r="R98" s="1266">
        <v>1829249.22</v>
      </c>
      <c r="S98" s="1266">
        <v>0</v>
      </c>
      <c r="T98" s="1266">
        <f>+IF($Q98=1,$G98,INDEX([1]Summary!$K$5:$K$110,MATCH($C98,[1]Summary!$D$5:$D199,0)))</f>
        <v>0</v>
      </c>
      <c r="U98" s="1266">
        <f>+IF($Q98=1,$J98,INDEX([1]Summary!$L$5:$L$110,MATCH($C98,[1]Summary!$D$5:$D199,0)))</f>
        <v>1829249.22</v>
      </c>
      <c r="V98" s="721"/>
      <c r="W98" s="721"/>
      <c r="X98" s="721"/>
      <c r="Y98" s="721"/>
      <c r="Z98" s="721"/>
      <c r="AA98" s="721"/>
      <c r="AB98" s="721"/>
      <c r="AC98" s="721"/>
      <c r="AD98" s="721"/>
      <c r="AE98" s="105"/>
      <c r="AI98" s="105"/>
      <c r="AJ98" s="105"/>
      <c r="AN98" s="105"/>
      <c r="AO98" s="105"/>
      <c r="AP98" s="105"/>
    </row>
    <row r="99" spans="1:42" outlineLevel="1">
      <c r="A99" s="545">
        <f>MAX($A$10:A98)+1</f>
        <v>90</v>
      </c>
      <c r="B99" s="716" t="s">
        <v>1799</v>
      </c>
      <c r="C99" s="716" t="s">
        <v>1926</v>
      </c>
      <c r="D99" s="716" t="s">
        <v>1927</v>
      </c>
      <c r="E99" s="559">
        <v>378</v>
      </c>
      <c r="F99" s="1302" cm="1">
        <f t="array" ref="F99">+IF(SUM(VALUE(N99:Q99)*$N$7:$Q$7)=0,R99,T99)</f>
        <v>240690.43</v>
      </c>
      <c r="G99" s="103">
        <f t="shared" si="6"/>
        <v>240690.43</v>
      </c>
      <c r="H99" s="575">
        <v>45626</v>
      </c>
      <c r="I99" s="1303" cm="1">
        <f t="array" ref="I99">+IF(SUM(VALUE(N99:Q99)*$N$7:$Q$7)=0,S99,U99)</f>
        <v>0</v>
      </c>
      <c r="J99" s="103">
        <f>+I99</f>
        <v>0</v>
      </c>
      <c r="K99" s="103"/>
      <c r="M99"/>
      <c r="N99" s="1300">
        <v>0</v>
      </c>
      <c r="O99" s="1300">
        <v>0</v>
      </c>
      <c r="P99" s="1300">
        <v>0</v>
      </c>
      <c r="Q99" s="1300">
        <v>1</v>
      </c>
      <c r="R99" s="1266">
        <v>240690.43</v>
      </c>
      <c r="S99" s="1266">
        <v>0</v>
      </c>
      <c r="T99" s="1266">
        <f>+IF($Q99=1,$G99,INDEX([1]Summary!$K$5:$K$110,MATCH($C99,[1]Summary!$D$5:$D200,0)))</f>
        <v>240690.43</v>
      </c>
      <c r="U99" s="1266">
        <f>+IF($Q99=1,$J99,INDEX([1]Summary!$L$5:$L$110,MATCH($C99,[1]Summary!$D$5:$D200,0)))</f>
        <v>0</v>
      </c>
      <c r="V99" s="721"/>
      <c r="W99" s="721"/>
      <c r="X99" s="721"/>
      <c r="Y99" s="721"/>
      <c r="Z99" s="721"/>
      <c r="AA99" s="721"/>
      <c r="AB99" s="721"/>
      <c r="AC99" s="721"/>
      <c r="AD99" s="721"/>
      <c r="AE99" s="105"/>
      <c r="AI99" s="105"/>
      <c r="AJ99" s="105"/>
      <c r="AN99" s="105"/>
      <c r="AO99" s="105"/>
      <c r="AP99" s="105"/>
    </row>
    <row r="100" spans="1:42" outlineLevel="1">
      <c r="A100" s="545">
        <f>MAX($A$10:A99)+1</f>
        <v>91</v>
      </c>
      <c r="B100" s="716" t="s">
        <v>1799</v>
      </c>
      <c r="C100" s="720" t="s">
        <v>1928</v>
      </c>
      <c r="D100" s="720" t="s">
        <v>1929</v>
      </c>
      <c r="E100" s="559">
        <v>379</v>
      </c>
      <c r="F100" s="1302" cm="1">
        <f t="array" ref="F100">+IF(SUM(VALUE(N100:Q100)*$N$7:$Q$7)=0,R100,T100)</f>
        <v>0</v>
      </c>
      <c r="G100" s="103"/>
      <c r="I100" s="1303" cm="1">
        <f t="array" ref="I100">+IF(SUM(VALUE(N100:Q100)*$N$7:$Q$7)=0,S100,U100)</f>
        <v>2531049.7000000002</v>
      </c>
      <c r="J100" s="103">
        <f>+I100</f>
        <v>2531049.7000000002</v>
      </c>
      <c r="K100" s="717">
        <v>45991</v>
      </c>
      <c r="M100"/>
      <c r="N100" s="1300">
        <v>0</v>
      </c>
      <c r="O100" s="1300">
        <v>1</v>
      </c>
      <c r="P100" s="1300">
        <v>0</v>
      </c>
      <c r="Q100" s="1300">
        <v>0</v>
      </c>
      <c r="R100" s="1266">
        <v>0</v>
      </c>
      <c r="S100" s="1266">
        <v>2531049.7000000002</v>
      </c>
      <c r="T100" s="1266">
        <f>+IF($Q100=1,$G100,INDEX([1]Summary!$K$5:$K$110,MATCH($C100,[1]Summary!$D$5:$D201,0)))</f>
        <v>0</v>
      </c>
      <c r="U100" s="1266">
        <f>+IF($Q100=1,$J100,INDEX([1]Summary!$L$5:$L$110,MATCH($C100,[1]Summary!$D$5:$D201,0)))</f>
        <v>2531049.7000000002</v>
      </c>
      <c r="V100" s="721"/>
      <c r="W100" s="721"/>
      <c r="X100" s="721"/>
      <c r="Y100" s="721"/>
      <c r="Z100" s="721"/>
      <c r="AA100" s="721"/>
      <c r="AB100" s="721"/>
      <c r="AC100" s="721"/>
      <c r="AD100" s="721"/>
      <c r="AE100" s="105"/>
      <c r="AI100" s="105"/>
      <c r="AJ100" s="105"/>
      <c r="AN100" s="105"/>
      <c r="AO100" s="105"/>
      <c r="AP100" s="105"/>
    </row>
    <row r="101" spans="1:42" outlineLevel="1">
      <c r="A101" s="545">
        <f>MAX($A$10:A100)+1</f>
        <v>92</v>
      </c>
      <c r="B101" s="716" t="s">
        <v>1799</v>
      </c>
      <c r="C101" s="720" t="s">
        <v>1930</v>
      </c>
      <c r="D101" s="720" t="s">
        <v>1931</v>
      </c>
      <c r="E101" s="559">
        <v>376.2</v>
      </c>
      <c r="F101" s="1302" cm="1">
        <f t="array" ref="F101">+IF(SUM(VALUE(N101:Q101)*$N$7:$Q$7)=0,R101,T101)</f>
        <v>0</v>
      </c>
      <c r="G101" s="103"/>
      <c r="I101" s="1303" cm="1">
        <f t="array" ref="I101">+IF(SUM(VALUE(N101:Q101)*$N$7:$Q$7)=0,S101,U101)</f>
        <v>0</v>
      </c>
      <c r="J101" s="103">
        <f>+I101</f>
        <v>0</v>
      </c>
      <c r="K101" s="717">
        <v>45991</v>
      </c>
      <c r="M101"/>
      <c r="N101" s="1300">
        <v>0</v>
      </c>
      <c r="O101" s="1300">
        <v>1</v>
      </c>
      <c r="P101" s="1300">
        <v>0</v>
      </c>
      <c r="Q101" s="1300">
        <v>0</v>
      </c>
      <c r="R101" s="1266">
        <v>0</v>
      </c>
      <c r="S101" s="1266">
        <v>8810449.4399999995</v>
      </c>
      <c r="T101" s="1266">
        <f>+IF($Q101=1,$G101,INDEX([1]Summary!$K$5:$K$110,MATCH($C101,[1]Summary!$D$5:$D202,0)))</f>
        <v>0</v>
      </c>
      <c r="U101" s="1266">
        <f>+IF($Q101=1,$J101,INDEX([1]Summary!$L$5:$L$110,MATCH($C101,[1]Summary!$D$5:$D202,0)))</f>
        <v>0</v>
      </c>
      <c r="V101" s="721"/>
      <c r="W101" s="721"/>
      <c r="X101" s="721"/>
      <c r="Y101" s="721"/>
      <c r="Z101" s="721"/>
      <c r="AA101" s="721"/>
      <c r="AB101" s="721"/>
      <c r="AC101" s="721"/>
      <c r="AD101" s="721"/>
      <c r="AE101" s="105"/>
      <c r="AI101" s="105"/>
      <c r="AJ101" s="105"/>
      <c r="AN101" s="105"/>
      <c r="AO101" s="105"/>
      <c r="AP101" s="105"/>
    </row>
    <row r="102" spans="1:42" outlineLevel="1">
      <c r="A102" s="545">
        <f>MAX($A$10:A101)+1</f>
        <v>93</v>
      </c>
      <c r="B102" s="716" t="s">
        <v>1799</v>
      </c>
      <c r="C102" s="716" t="s">
        <v>1932</v>
      </c>
      <c r="D102" s="716" t="s">
        <v>1933</v>
      </c>
      <c r="E102" s="559">
        <v>385</v>
      </c>
      <c r="F102" s="1302" cm="1">
        <f t="array" ref="F102">+IF(SUM(VALUE(N102:Q102)*$N$7:$Q$7)=0,R102,T102)</f>
        <v>63609</v>
      </c>
      <c r="G102" s="103">
        <f t="shared" ref="G102:G148" si="7">+F102</f>
        <v>63609</v>
      </c>
      <c r="H102" s="575">
        <v>45657</v>
      </c>
      <c r="I102" s="1303" cm="1">
        <f t="array" ref="I102">+IF(SUM(VALUE(N102:Q102)*$N$7:$Q$7)=0,S102,U102)</f>
        <v>63488.280000000021</v>
      </c>
      <c r="J102" s="103">
        <f>+I102</f>
        <v>63488.280000000021</v>
      </c>
      <c r="K102" s="575">
        <v>46022</v>
      </c>
      <c r="M102"/>
      <c r="N102" s="1300">
        <v>0</v>
      </c>
      <c r="O102" s="1300">
        <v>0</v>
      </c>
      <c r="P102" s="1300">
        <v>0</v>
      </c>
      <c r="Q102" s="1300">
        <v>1</v>
      </c>
      <c r="R102" s="1266">
        <v>63609</v>
      </c>
      <c r="S102" s="1266">
        <v>63488.280000000021</v>
      </c>
      <c r="T102" s="1266">
        <f>+IF($Q102=1,$G102,INDEX([1]Summary!$K$5:$K$110,MATCH($C102,[1]Summary!$D$5:$D203,0)))</f>
        <v>63609</v>
      </c>
      <c r="U102" s="1266">
        <f>+IF($Q102=1,$J102,INDEX([1]Summary!$L$5:$L$110,MATCH($C102,[1]Summary!$D$5:$D203,0)))</f>
        <v>63488.280000000021</v>
      </c>
      <c r="V102" s="721"/>
      <c r="W102" s="721"/>
      <c r="X102" s="721"/>
      <c r="Y102" s="721"/>
      <c r="Z102" s="721"/>
      <c r="AA102" s="721"/>
      <c r="AB102" s="721"/>
      <c r="AC102" s="721"/>
      <c r="AD102" s="721"/>
      <c r="AE102" s="105"/>
      <c r="AI102" s="105"/>
      <c r="AJ102" s="105"/>
      <c r="AN102" s="105"/>
      <c r="AO102" s="105"/>
      <c r="AP102" s="105"/>
    </row>
    <row r="103" spans="1:42" outlineLevel="1">
      <c r="A103" s="545">
        <f>MAX($A$10:A102)+1</f>
        <v>94</v>
      </c>
      <c r="B103" s="716" t="s">
        <v>1799</v>
      </c>
      <c r="C103" s="716" t="s">
        <v>1934</v>
      </c>
      <c r="D103" s="716" t="s">
        <v>1935</v>
      </c>
      <c r="E103" s="559">
        <v>385</v>
      </c>
      <c r="F103" s="1302" cm="1">
        <f t="array" ref="F103">+IF(SUM(VALUE(N103:Q103)*$N$7:$Q$7)=0,R103,T103)</f>
        <v>60676.625099999997</v>
      </c>
      <c r="G103" s="103">
        <f t="shared" si="7"/>
        <v>60676.625099999997</v>
      </c>
      <c r="H103" s="575">
        <v>45657</v>
      </c>
      <c r="I103" s="1303" cm="1">
        <f t="array" ref="I103">+IF(SUM(VALUE(N103:Q103)*$N$7:$Q$7)=0,S103,U103)</f>
        <v>60561.47029200002</v>
      </c>
      <c r="J103" s="103">
        <f>+I103</f>
        <v>60561.47029200002</v>
      </c>
      <c r="K103" s="575">
        <v>46022</v>
      </c>
      <c r="M103"/>
      <c r="N103" s="1300">
        <v>0</v>
      </c>
      <c r="O103" s="1300">
        <v>0</v>
      </c>
      <c r="P103" s="1300">
        <v>0</v>
      </c>
      <c r="Q103" s="1300">
        <v>1</v>
      </c>
      <c r="R103" s="1266">
        <v>60676.625099999997</v>
      </c>
      <c r="S103" s="1266">
        <v>60561.47029200002</v>
      </c>
      <c r="T103" s="1266">
        <f>+IF($Q103=1,$G103,INDEX([1]Summary!$K$5:$K$110,MATCH($C103,[1]Summary!$D$5:$D204,0)))</f>
        <v>60676.625099999997</v>
      </c>
      <c r="U103" s="1266">
        <f>+IF($Q103=1,$J103,INDEX([1]Summary!$L$5:$L$110,MATCH($C103,[1]Summary!$D$5:$D204,0)))</f>
        <v>60561.47029200002</v>
      </c>
      <c r="V103" s="721"/>
      <c r="W103" s="721"/>
      <c r="X103" s="721"/>
      <c r="Y103" s="721"/>
      <c r="Z103" s="721"/>
      <c r="AA103" s="721"/>
      <c r="AB103" s="721"/>
      <c r="AC103" s="721"/>
      <c r="AD103" s="721"/>
      <c r="AE103" s="105"/>
      <c r="AI103" s="105"/>
      <c r="AJ103" s="105"/>
      <c r="AN103" s="105"/>
      <c r="AO103" s="105"/>
      <c r="AP103" s="105"/>
    </row>
    <row r="104" spans="1:42" outlineLevel="1">
      <c r="A104" s="545">
        <f>MAX($A$10:A103)+1</f>
        <v>95</v>
      </c>
      <c r="B104" s="716" t="s">
        <v>1799</v>
      </c>
      <c r="C104" s="716" t="s">
        <v>1936</v>
      </c>
      <c r="D104" s="716" t="s">
        <v>1937</v>
      </c>
      <c r="E104" s="559">
        <v>376.2</v>
      </c>
      <c r="F104" s="1302" cm="1">
        <f t="array" ref="F104">+IF(SUM(VALUE(N104:Q104)*$N$7:$Q$7)=0,R104,T104)</f>
        <v>16645248.84</v>
      </c>
      <c r="G104" s="103">
        <f t="shared" si="7"/>
        <v>16645248.84</v>
      </c>
      <c r="H104" s="575">
        <v>45450</v>
      </c>
      <c r="I104" s="1303" cm="1">
        <f t="array" ref="I104">+IF(SUM(VALUE(N104:Q104)*$N$7:$Q$7)=0,S104,U104)</f>
        <v>0</v>
      </c>
      <c r="J104" s="103"/>
      <c r="K104" s="575"/>
      <c r="M104"/>
      <c r="N104" s="1300">
        <v>0</v>
      </c>
      <c r="O104" s="1300">
        <v>1</v>
      </c>
      <c r="P104" s="1300">
        <v>0</v>
      </c>
      <c r="Q104" s="1300">
        <v>0</v>
      </c>
      <c r="R104" s="1266">
        <v>16645248.84</v>
      </c>
      <c r="S104" s="1266">
        <v>0</v>
      </c>
      <c r="T104" s="1266">
        <f>+IF($Q104=1,$G104,INDEX([1]Summary!$K$5:$K$110,MATCH($C104,[1]Summary!$D$5:$D205,0)))</f>
        <v>16645248.84</v>
      </c>
      <c r="U104" s="1266">
        <f>+IF($Q104=1,$J104,INDEX([1]Summary!$L$5:$L$110,MATCH($C104,[1]Summary!$D$5:$D205,0)))</f>
        <v>0</v>
      </c>
      <c r="V104" s="721"/>
      <c r="W104" s="721"/>
      <c r="X104" s="721"/>
      <c r="Y104" s="721"/>
      <c r="Z104" s="721"/>
      <c r="AA104" s="721"/>
      <c r="AB104" s="721"/>
      <c r="AC104" s="721"/>
      <c r="AD104" s="721"/>
      <c r="AE104" s="105"/>
      <c r="AI104" s="105"/>
      <c r="AJ104" s="105"/>
      <c r="AN104" s="105"/>
      <c r="AO104" s="105"/>
      <c r="AP104" s="105"/>
    </row>
    <row r="105" spans="1:42" outlineLevel="1">
      <c r="A105" s="545">
        <f>MAX($A$10:A104)+1</f>
        <v>96</v>
      </c>
      <c r="B105" s="716" t="s">
        <v>1799</v>
      </c>
      <c r="C105" s="716" t="s">
        <v>1938</v>
      </c>
      <c r="D105" s="716" t="s">
        <v>1939</v>
      </c>
      <c r="E105" s="559">
        <v>376.2</v>
      </c>
      <c r="F105" s="1302" cm="1">
        <f t="array" ref="F105">+IF(SUM(VALUE(N105:Q105)*$N$7:$Q$7)=0,R105,T105)</f>
        <v>1111422.1399999999</v>
      </c>
      <c r="G105" s="103">
        <f t="shared" si="7"/>
        <v>1111422.1399999999</v>
      </c>
      <c r="H105" s="575">
        <v>45303</v>
      </c>
      <c r="I105" s="1303" cm="1">
        <f t="array" ref="I105">+IF(SUM(VALUE(N105:Q105)*$N$7:$Q$7)=0,S105,U105)</f>
        <v>0</v>
      </c>
      <c r="J105" s="103"/>
      <c r="K105" s="575"/>
      <c r="M105"/>
      <c r="N105" s="1300">
        <v>0</v>
      </c>
      <c r="O105" s="1300">
        <v>1</v>
      </c>
      <c r="P105" s="1300">
        <v>0</v>
      </c>
      <c r="Q105" s="1300">
        <v>0</v>
      </c>
      <c r="R105" s="1266">
        <v>1111422.1399999999</v>
      </c>
      <c r="S105" s="1266">
        <v>0</v>
      </c>
      <c r="T105" s="1266">
        <f>+IF($Q105=1,$G105,INDEX([1]Summary!$K$5:$K$110,MATCH($C105,[1]Summary!$D$5:$D206,0)))</f>
        <v>1111422.1399999999</v>
      </c>
      <c r="U105" s="1266">
        <f>+IF($Q105=1,$J105,INDEX([1]Summary!$L$5:$L$110,MATCH($C105,[1]Summary!$D$5:$D206,0)))</f>
        <v>0</v>
      </c>
      <c r="V105" s="721"/>
      <c r="W105" s="721"/>
      <c r="X105" s="721"/>
      <c r="Y105" s="721"/>
      <c r="Z105" s="721"/>
      <c r="AA105" s="721"/>
      <c r="AB105" s="721"/>
      <c r="AC105" s="721"/>
      <c r="AD105" s="721"/>
      <c r="AE105" s="105"/>
      <c r="AI105" s="105"/>
      <c r="AJ105" s="105"/>
      <c r="AN105" s="105"/>
      <c r="AO105" s="105"/>
      <c r="AP105" s="105"/>
    </row>
    <row r="106" spans="1:42" outlineLevel="1">
      <c r="A106" s="545">
        <f>MAX($A$10:A105)+1</f>
        <v>97</v>
      </c>
      <c r="B106" s="716" t="s">
        <v>1799</v>
      </c>
      <c r="C106" s="720" t="s">
        <v>1940</v>
      </c>
      <c r="D106" s="720" t="s">
        <v>1941</v>
      </c>
      <c r="E106" s="559">
        <v>376.2</v>
      </c>
      <c r="F106" s="1302" cm="1">
        <f t="array" ref="F106">+IF(SUM(VALUE(N106:Q106)*$N$7:$Q$7)=0,R106,T106)</f>
        <v>0</v>
      </c>
      <c r="G106" s="103">
        <f t="shared" si="7"/>
        <v>0</v>
      </c>
      <c r="I106" s="1303" cm="1">
        <f t="array" ref="I106">+IF(SUM(VALUE(N106:Q106)*$N$7:$Q$7)=0,S106,U106)</f>
        <v>0</v>
      </c>
      <c r="J106" s="103">
        <f>+I106</f>
        <v>0</v>
      </c>
      <c r="K106" s="717">
        <v>45960</v>
      </c>
      <c r="M106"/>
      <c r="N106" s="1300">
        <v>0</v>
      </c>
      <c r="O106" s="1300">
        <v>1</v>
      </c>
      <c r="P106" s="1300">
        <v>0</v>
      </c>
      <c r="Q106" s="1300">
        <v>0</v>
      </c>
      <c r="R106" s="1266">
        <v>0</v>
      </c>
      <c r="S106" s="1266">
        <v>5365866.16</v>
      </c>
      <c r="T106" s="1266">
        <f>+IF($Q106=1,$G106,INDEX([1]Summary!$K$5:$K$110,MATCH($C106,[1]Summary!$D$5:$D207,0)))</f>
        <v>0</v>
      </c>
      <c r="U106" s="1266">
        <f>+IF($Q106=1,$J106,INDEX([1]Summary!$L$5:$L$110,MATCH($C106,[1]Summary!$D$5:$D207,0)))</f>
        <v>0</v>
      </c>
      <c r="V106" s="721"/>
      <c r="W106" s="721"/>
      <c r="X106" s="721"/>
      <c r="Y106" s="721"/>
      <c r="Z106" s="721"/>
      <c r="AA106" s="721"/>
      <c r="AB106" s="721"/>
      <c r="AC106" s="721"/>
      <c r="AD106" s="721"/>
      <c r="AE106" s="105"/>
      <c r="AI106" s="105"/>
      <c r="AJ106" s="105"/>
      <c r="AN106" s="105"/>
      <c r="AO106" s="105"/>
      <c r="AP106" s="105"/>
    </row>
    <row r="107" spans="1:42" outlineLevel="1">
      <c r="A107" s="545">
        <f>MAX($A$10:A106)+1</f>
        <v>98</v>
      </c>
      <c r="B107" s="716" t="s">
        <v>1799</v>
      </c>
      <c r="C107" s="720" t="s">
        <v>1942</v>
      </c>
      <c r="D107" s="720" t="s">
        <v>1943</v>
      </c>
      <c r="E107" s="559">
        <v>376.1</v>
      </c>
      <c r="F107" s="1302" cm="1">
        <f t="array" ref="F107">+IF(SUM(VALUE(N107:Q107)*$N$7:$Q$7)=0,R107,T107)</f>
        <v>166245.634766</v>
      </c>
      <c r="G107" s="103">
        <f t="shared" si="7"/>
        <v>166245.634766</v>
      </c>
      <c r="H107" s="721">
        <v>45381</v>
      </c>
      <c r="I107" s="1303" cm="1">
        <f t="array" ref="I107">+IF(SUM(VALUE(N107:Q107)*$N$7:$Q$7)=0,S107,U107)</f>
        <v>0</v>
      </c>
      <c r="J107" s="103"/>
      <c r="K107" s="717"/>
      <c r="M107"/>
      <c r="N107" s="1300">
        <v>0</v>
      </c>
      <c r="O107" s="1300">
        <v>0</v>
      </c>
      <c r="P107" s="1300">
        <v>0</v>
      </c>
      <c r="Q107" s="1300">
        <v>1</v>
      </c>
      <c r="R107" s="1266">
        <v>166245.634766</v>
      </c>
      <c r="S107" s="1266">
        <v>0</v>
      </c>
      <c r="T107" s="1266">
        <f>+IF($Q107=1,$G107,INDEX([1]Summary!$K$5:$K$110,MATCH($C107,[1]Summary!$D$5:$D208,0)))</f>
        <v>166245.634766</v>
      </c>
      <c r="U107" s="1266">
        <f>+IF($Q107=1,$J107,INDEX([1]Summary!$L$5:$L$110,MATCH($C107,[1]Summary!$D$5:$D208,0)))</f>
        <v>0</v>
      </c>
      <c r="V107" s="721"/>
      <c r="W107" s="721"/>
      <c r="X107" s="721"/>
      <c r="Y107" s="721"/>
      <c r="Z107" s="721"/>
      <c r="AA107" s="721"/>
      <c r="AB107" s="721"/>
      <c r="AC107" s="721"/>
      <c r="AD107" s="721"/>
      <c r="AE107" s="105"/>
      <c r="AI107" s="105"/>
      <c r="AJ107" s="105"/>
      <c r="AN107" s="105"/>
      <c r="AO107" s="105"/>
      <c r="AP107" s="105"/>
    </row>
    <row r="108" spans="1:42" outlineLevel="1">
      <c r="A108" s="545">
        <f>MAX($A$10:A107)+1</f>
        <v>99</v>
      </c>
      <c r="B108" s="716" t="s">
        <v>1799</v>
      </c>
      <c r="C108" s="720" t="s">
        <v>1944</v>
      </c>
      <c r="D108" s="720" t="s">
        <v>1945</v>
      </c>
      <c r="E108" s="559">
        <v>376.3</v>
      </c>
      <c r="F108" s="1302" cm="1">
        <f t="array" ref="F108">+IF(SUM(VALUE(N108:Q108)*$N$7:$Q$7)=0,R108,T108)</f>
        <v>31306.04</v>
      </c>
      <c r="G108" s="103">
        <f t="shared" si="7"/>
        <v>31306.04</v>
      </c>
      <c r="H108" s="721">
        <v>45397</v>
      </c>
      <c r="I108" s="1303" cm="1">
        <f t="array" ref="I108">+IF(SUM(VALUE(N108:Q108)*$N$7:$Q$7)=0,S108,U108)</f>
        <v>0</v>
      </c>
      <c r="J108" s="103"/>
      <c r="K108" s="717"/>
      <c r="M108"/>
      <c r="N108" s="1300">
        <v>0</v>
      </c>
      <c r="O108" s="1300">
        <v>0</v>
      </c>
      <c r="P108" s="1300">
        <v>0</v>
      </c>
      <c r="Q108" s="1300">
        <v>1</v>
      </c>
      <c r="R108" s="1266">
        <v>31306.04</v>
      </c>
      <c r="S108" s="1266">
        <v>0</v>
      </c>
      <c r="T108" s="1266">
        <f>+IF($Q108=1,$G108,INDEX([1]Summary!$K$5:$K$110,MATCH($C108,[1]Summary!$D$5:$D209,0)))</f>
        <v>31306.04</v>
      </c>
      <c r="U108" s="1266">
        <f>+IF($Q108=1,$J108,INDEX([1]Summary!$L$5:$L$110,MATCH($C108,[1]Summary!$D$5:$D209,0)))</f>
        <v>0</v>
      </c>
      <c r="V108" s="721"/>
      <c r="W108" s="721"/>
      <c r="X108" s="721"/>
      <c r="Y108" s="721"/>
      <c r="Z108" s="721"/>
      <c r="AA108" s="721"/>
      <c r="AB108" s="721"/>
      <c r="AC108" s="721"/>
      <c r="AD108" s="721"/>
      <c r="AE108" s="105"/>
      <c r="AI108" s="105"/>
      <c r="AJ108" s="105"/>
      <c r="AN108" s="105"/>
      <c r="AO108" s="105"/>
      <c r="AP108" s="105"/>
    </row>
    <row r="109" spans="1:42" outlineLevel="1">
      <c r="A109" s="545">
        <f>MAX($A$10:A108)+1</f>
        <v>100</v>
      </c>
      <c r="B109" s="716" t="s">
        <v>1799</v>
      </c>
      <c r="C109" s="716" t="s">
        <v>1946</v>
      </c>
      <c r="D109" s="716" t="s">
        <v>1947</v>
      </c>
      <c r="E109" s="559">
        <v>376.2</v>
      </c>
      <c r="F109" s="1302" cm="1">
        <f t="array" ref="F109">+IF(SUM(VALUE(N109:Q109)*$N$7:$Q$7)=0,R109,T109)</f>
        <v>0</v>
      </c>
      <c r="G109" s="103">
        <f t="shared" si="7"/>
        <v>0</v>
      </c>
      <c r="H109" s="717">
        <v>45565</v>
      </c>
      <c r="I109" s="1303" cm="1">
        <f t="array" ref="I109">+IF(SUM(VALUE(N109:Q109)*$N$7:$Q$7)=0,S109,U109)</f>
        <v>0</v>
      </c>
      <c r="J109" s="103">
        <f>+I109</f>
        <v>0</v>
      </c>
      <c r="K109" s="103"/>
      <c r="M109"/>
      <c r="N109" s="1300">
        <v>0</v>
      </c>
      <c r="O109" s="1300">
        <v>1</v>
      </c>
      <c r="P109" s="1300">
        <v>0</v>
      </c>
      <c r="Q109" s="1300">
        <v>0</v>
      </c>
      <c r="R109" s="1266">
        <v>3973423.27</v>
      </c>
      <c r="S109" s="1266">
        <v>0</v>
      </c>
      <c r="T109" s="1266">
        <f>+IF($Q109=1,$G109,INDEX([1]Summary!$K$5:$K$110,MATCH($C109,[1]Summary!$D$5:$D210,0)))</f>
        <v>0</v>
      </c>
      <c r="U109" s="1266">
        <f>+IF($Q109=1,$J109,INDEX([1]Summary!$L$5:$L$110,MATCH($C109,[1]Summary!$D$5:$D210,0)))</f>
        <v>0</v>
      </c>
      <c r="V109" s="721"/>
      <c r="W109" s="721"/>
      <c r="X109" s="721"/>
      <c r="Y109" s="721"/>
      <c r="Z109" s="721"/>
      <c r="AA109" s="721"/>
      <c r="AB109" s="721"/>
      <c r="AC109" s="721"/>
      <c r="AD109" s="721"/>
      <c r="AE109" s="105"/>
      <c r="AI109" s="105"/>
      <c r="AJ109" s="105"/>
      <c r="AN109" s="105"/>
      <c r="AO109" s="105"/>
      <c r="AP109" s="105"/>
    </row>
    <row r="110" spans="1:42" outlineLevel="1">
      <c r="A110" s="545">
        <f>MAX($A$10:A109)+1</f>
        <v>101</v>
      </c>
      <c r="B110" s="716" t="s">
        <v>1799</v>
      </c>
      <c r="C110" s="716" t="s">
        <v>1948</v>
      </c>
      <c r="D110" s="716" t="s">
        <v>1949</v>
      </c>
      <c r="E110" s="559">
        <v>376.3</v>
      </c>
      <c r="F110" s="1302" cm="1">
        <f t="array" ref="F110">+IF(SUM(VALUE(N110:Q110)*$N$7:$Q$7)=0,R110,T110)</f>
        <v>20447.11</v>
      </c>
      <c r="G110" s="103">
        <f t="shared" si="7"/>
        <v>20447.11</v>
      </c>
      <c r="H110" s="717">
        <v>38001</v>
      </c>
      <c r="I110" s="1303" cm="1">
        <f t="array" ref="I110">+IF(SUM(VALUE(N110:Q110)*$N$7:$Q$7)=0,S110,U110)</f>
        <v>0</v>
      </c>
      <c r="J110" s="103"/>
      <c r="K110" s="103"/>
      <c r="M110"/>
      <c r="N110" s="1300">
        <v>0</v>
      </c>
      <c r="O110" s="1300">
        <v>0</v>
      </c>
      <c r="P110" s="1300">
        <v>0</v>
      </c>
      <c r="Q110" s="1300">
        <v>1</v>
      </c>
      <c r="R110" s="1266">
        <v>20447.11</v>
      </c>
      <c r="S110" s="1266">
        <v>0</v>
      </c>
      <c r="T110" s="1266">
        <f>+IF($Q110=1,$G110,INDEX([1]Summary!$K$5:$K$110,MATCH($C110,[1]Summary!$D$5:$D211,0)))</f>
        <v>20447.11</v>
      </c>
      <c r="U110" s="1266">
        <f>+IF($Q110=1,$J110,INDEX([1]Summary!$L$5:$L$110,MATCH($C110,[1]Summary!$D$5:$D211,0)))</f>
        <v>0</v>
      </c>
      <c r="V110" s="721"/>
      <c r="W110" s="721"/>
      <c r="X110" s="721"/>
      <c r="Y110" s="721"/>
      <c r="Z110" s="721"/>
      <c r="AA110" s="721"/>
      <c r="AB110" s="721"/>
      <c r="AC110" s="721"/>
      <c r="AD110" s="721"/>
      <c r="AE110" s="105"/>
      <c r="AI110" s="105"/>
      <c r="AJ110" s="105"/>
      <c r="AN110" s="105"/>
      <c r="AO110" s="105"/>
      <c r="AP110" s="105"/>
    </row>
    <row r="111" spans="1:42" outlineLevel="1">
      <c r="A111" s="545">
        <f>MAX($A$10:A110)+1</f>
        <v>102</v>
      </c>
      <c r="B111" s="716" t="s">
        <v>1799</v>
      </c>
      <c r="C111" s="716" t="s">
        <v>1950</v>
      </c>
      <c r="D111" s="716" t="s">
        <v>1951</v>
      </c>
      <c r="E111" s="559">
        <v>376.2</v>
      </c>
      <c r="F111" s="1302" cm="1">
        <f t="array" ref="F111">+IF(SUM(VALUE(N111:Q111)*$N$7:$Q$7)=0,R111,T111)</f>
        <v>340437.40915599995</v>
      </c>
      <c r="G111" s="103">
        <f t="shared" si="7"/>
        <v>340437.40915599995</v>
      </c>
      <c r="H111" s="717">
        <v>45595</v>
      </c>
      <c r="I111" s="1303" cm="1">
        <f t="array" ref="I111">+IF(SUM(VALUE(N111:Q111)*$N$7:$Q$7)=0,S111,U111)</f>
        <v>0</v>
      </c>
      <c r="J111" s="103">
        <f>+I111</f>
        <v>0</v>
      </c>
      <c r="K111" s="103"/>
      <c r="M111"/>
      <c r="N111" s="1300">
        <v>0</v>
      </c>
      <c r="O111" s="1300">
        <v>0</v>
      </c>
      <c r="P111" s="1300">
        <v>0</v>
      </c>
      <c r="Q111" s="1300">
        <v>1</v>
      </c>
      <c r="R111" s="1266">
        <v>340437.40915599995</v>
      </c>
      <c r="S111" s="1266">
        <v>0</v>
      </c>
      <c r="T111" s="1266">
        <f>+IF($Q111=1,$G111,INDEX([1]Summary!$K$5:$K$110,MATCH($C111,[1]Summary!$D$5:$D212,0)))</f>
        <v>340437.40915599995</v>
      </c>
      <c r="U111" s="1266">
        <f>+IF($Q111=1,$J111,INDEX([1]Summary!$L$5:$L$110,MATCH($C111,[1]Summary!$D$5:$D212,0)))</f>
        <v>0</v>
      </c>
      <c r="V111" s="721"/>
      <c r="W111" s="721"/>
      <c r="X111" s="721"/>
      <c r="Y111" s="721"/>
      <c r="Z111" s="721"/>
      <c r="AA111" s="721"/>
      <c r="AB111" s="721"/>
      <c r="AC111" s="721"/>
      <c r="AD111" s="721"/>
      <c r="AE111" s="105"/>
      <c r="AI111" s="105"/>
      <c r="AJ111" s="105"/>
      <c r="AN111" s="105"/>
      <c r="AO111" s="105"/>
      <c r="AP111" s="105"/>
    </row>
    <row r="112" spans="1:42" outlineLevel="1">
      <c r="A112" s="545">
        <f>MAX($A$10:A111)+1</f>
        <v>103</v>
      </c>
      <c r="B112" s="716" t="s">
        <v>1799</v>
      </c>
      <c r="C112" s="716" t="s">
        <v>1952</v>
      </c>
      <c r="D112" s="716" t="s">
        <v>1953</v>
      </c>
      <c r="E112" s="559">
        <v>376.3</v>
      </c>
      <c r="F112" s="1302" cm="1">
        <f t="array" ref="F112">+IF(SUM(VALUE(N112:Q112)*$N$7:$Q$7)=0,R112,T112)</f>
        <v>377277.10000000003</v>
      </c>
      <c r="G112" s="103">
        <f t="shared" si="7"/>
        <v>377277.10000000003</v>
      </c>
      <c r="H112" s="717">
        <v>45536</v>
      </c>
      <c r="I112" s="1303" cm="1">
        <f t="array" ref="I112">+IF(SUM(VALUE(N112:Q112)*$N$7:$Q$7)=0,S112,U112)</f>
        <v>0</v>
      </c>
      <c r="J112" s="103">
        <f>+I112</f>
        <v>0</v>
      </c>
      <c r="K112" s="103"/>
      <c r="M112"/>
      <c r="N112" s="1300">
        <v>0</v>
      </c>
      <c r="O112" s="1300">
        <v>0</v>
      </c>
      <c r="P112" s="1300">
        <v>0</v>
      </c>
      <c r="Q112" s="1300">
        <v>1</v>
      </c>
      <c r="R112" s="1266">
        <v>377277.10000000003</v>
      </c>
      <c r="S112" s="1266">
        <v>0</v>
      </c>
      <c r="T112" s="1266">
        <f>+IF($Q112=1,$G112,INDEX([1]Summary!$K$5:$K$110,MATCH($C112,[1]Summary!$D$5:$D213,0)))</f>
        <v>377277.10000000003</v>
      </c>
      <c r="U112" s="1266">
        <f>+IF($Q112=1,$J112,INDEX([1]Summary!$L$5:$L$110,MATCH($C112,[1]Summary!$D$5:$D213,0)))</f>
        <v>0</v>
      </c>
      <c r="V112" s="721"/>
      <c r="W112" s="721"/>
      <c r="X112" s="721"/>
      <c r="Y112" s="721"/>
      <c r="Z112" s="721"/>
      <c r="AA112" s="721"/>
      <c r="AB112" s="721"/>
      <c r="AC112" s="721"/>
      <c r="AD112" s="721"/>
      <c r="AE112" s="105"/>
      <c r="AI112" s="105"/>
      <c r="AJ112" s="105"/>
      <c r="AN112" s="105"/>
      <c r="AO112" s="105"/>
      <c r="AP112" s="105"/>
    </row>
    <row r="113" spans="1:42" outlineLevel="1">
      <c r="A113" s="545">
        <f>MAX($A$10:A112)+1</f>
        <v>104</v>
      </c>
      <c r="B113" s="716" t="s">
        <v>1799</v>
      </c>
      <c r="C113" s="716" t="s">
        <v>1954</v>
      </c>
      <c r="D113" s="716" t="s">
        <v>1955</v>
      </c>
      <c r="E113" s="559">
        <v>378</v>
      </c>
      <c r="F113" s="1302" cm="1">
        <f t="array" ref="F113">+IF(SUM(VALUE(N113:Q113)*$N$7:$Q$7)=0,R113,T113)</f>
        <v>103522.560301</v>
      </c>
      <c r="G113" s="103">
        <f t="shared" si="7"/>
        <v>103522.560301</v>
      </c>
      <c r="H113" s="717">
        <v>45412</v>
      </c>
      <c r="I113" s="1303" cm="1">
        <f t="array" ref="I113">+IF(SUM(VALUE(N113:Q113)*$N$7:$Q$7)=0,S113,U113)</f>
        <v>0</v>
      </c>
      <c r="J113" s="103">
        <f>+I113</f>
        <v>0</v>
      </c>
      <c r="K113" s="103"/>
      <c r="M113"/>
      <c r="N113" s="1300">
        <v>0</v>
      </c>
      <c r="O113" s="1300">
        <v>0</v>
      </c>
      <c r="P113" s="1300">
        <v>0</v>
      </c>
      <c r="Q113" s="1300">
        <v>1</v>
      </c>
      <c r="R113" s="1266">
        <v>103522.560301</v>
      </c>
      <c r="S113" s="1266">
        <v>0</v>
      </c>
      <c r="T113" s="1266">
        <f>+IF($Q113=1,$G113,INDEX([1]Summary!$K$5:$K$110,MATCH($C113,[1]Summary!$D$5:$D214,0)))</f>
        <v>103522.560301</v>
      </c>
      <c r="U113" s="1266">
        <f>+IF($Q113=1,$J113,INDEX([1]Summary!$L$5:$L$110,MATCH($C113,[1]Summary!$D$5:$D214,0)))</f>
        <v>0</v>
      </c>
      <c r="V113" s="721"/>
      <c r="W113" s="721"/>
      <c r="X113" s="721"/>
      <c r="Y113" s="721"/>
      <c r="Z113" s="721"/>
      <c r="AA113" s="721"/>
      <c r="AB113" s="721"/>
      <c r="AC113" s="721"/>
      <c r="AD113" s="721"/>
      <c r="AE113" s="105"/>
      <c r="AI113" s="105"/>
      <c r="AJ113" s="105"/>
      <c r="AN113" s="105"/>
      <c r="AO113" s="105"/>
      <c r="AP113" s="105"/>
    </row>
    <row r="114" spans="1:42" outlineLevel="1">
      <c r="A114" s="545">
        <f>MAX($A$10:A113)+1</f>
        <v>105</v>
      </c>
      <c r="B114" s="716" t="s">
        <v>1799</v>
      </c>
      <c r="C114" s="716" t="s">
        <v>1956</v>
      </c>
      <c r="D114" s="716" t="s">
        <v>1957</v>
      </c>
      <c r="E114" s="559">
        <v>378</v>
      </c>
      <c r="F114" s="1302" cm="1">
        <f t="array" ref="F114">+IF(SUM(VALUE(N114:Q114)*$N$7:$Q$7)=0,R114,T114)</f>
        <v>200464.85</v>
      </c>
      <c r="G114" s="103">
        <f t="shared" si="7"/>
        <v>200464.85</v>
      </c>
      <c r="H114" s="717">
        <v>45412</v>
      </c>
      <c r="I114" s="1303" cm="1">
        <f t="array" ref="I114">+IF(SUM(VALUE(N114:Q114)*$N$7:$Q$7)=0,S114,U114)</f>
        <v>0</v>
      </c>
      <c r="J114" s="103">
        <f>+I114</f>
        <v>0</v>
      </c>
      <c r="K114" s="103"/>
      <c r="M114"/>
      <c r="N114" s="1300">
        <v>0</v>
      </c>
      <c r="O114" s="1300">
        <v>0</v>
      </c>
      <c r="P114" s="1300">
        <v>0</v>
      </c>
      <c r="Q114" s="1300">
        <v>1</v>
      </c>
      <c r="R114" s="1266">
        <v>200464.85</v>
      </c>
      <c r="S114" s="1266">
        <v>0</v>
      </c>
      <c r="T114" s="1266">
        <f>+IF($Q114=1,$G114,INDEX([1]Summary!$K$5:$K$110,MATCH($C114,[1]Summary!$D$5:$D215,0)))</f>
        <v>200464.85</v>
      </c>
      <c r="U114" s="1266">
        <f>+IF($Q114=1,$J114,INDEX([1]Summary!$L$5:$L$110,MATCH($C114,[1]Summary!$D$5:$D215,0)))</f>
        <v>0</v>
      </c>
      <c r="V114" s="721"/>
      <c r="W114" s="721"/>
      <c r="X114" s="721"/>
      <c r="Y114" s="721"/>
      <c r="Z114" s="721"/>
      <c r="AA114" s="721"/>
      <c r="AB114" s="721"/>
      <c r="AC114" s="721"/>
      <c r="AD114" s="721"/>
      <c r="AE114" s="105"/>
      <c r="AI114" s="105"/>
      <c r="AJ114" s="105"/>
      <c r="AN114" s="105"/>
      <c r="AO114" s="105"/>
      <c r="AP114" s="105"/>
    </row>
    <row r="115" spans="1:42" outlineLevel="1">
      <c r="A115" s="545">
        <f>MAX($A$10:A114)+1</f>
        <v>106</v>
      </c>
      <c r="B115" s="716" t="s">
        <v>1799</v>
      </c>
      <c r="C115" s="720" t="s">
        <v>1958</v>
      </c>
      <c r="D115" s="720" t="s">
        <v>1959</v>
      </c>
      <c r="E115" s="559">
        <v>376.2</v>
      </c>
      <c r="F115" s="1302" cm="1">
        <f t="array" ref="F115">+IF(SUM(VALUE(N115:Q115)*$N$7:$Q$7)=0,R115,T115)</f>
        <v>0</v>
      </c>
      <c r="G115" s="103">
        <f t="shared" si="7"/>
        <v>0</v>
      </c>
      <c r="I115" s="1303" cm="1">
        <f t="array" ref="I115">+IF(SUM(VALUE(N115:Q115)*$N$7:$Q$7)=0,S115,U115)</f>
        <v>0</v>
      </c>
      <c r="J115" s="103">
        <f>+I115</f>
        <v>0</v>
      </c>
      <c r="K115" s="717">
        <v>45992</v>
      </c>
      <c r="M115"/>
      <c r="N115" s="1300">
        <v>0</v>
      </c>
      <c r="O115" s="1300">
        <v>1</v>
      </c>
      <c r="P115" s="1300">
        <v>0</v>
      </c>
      <c r="Q115" s="1300">
        <v>0</v>
      </c>
      <c r="R115" s="1266">
        <v>0</v>
      </c>
      <c r="S115" s="1266">
        <v>5604681.3499999996</v>
      </c>
      <c r="T115" s="1266">
        <f>+IF($Q115=1,$G115,INDEX([1]Summary!$K$5:$K$110,MATCH($C115,[1]Summary!$D$5:$D216,0)))</f>
        <v>0</v>
      </c>
      <c r="U115" s="1266">
        <f>+IF($Q115=1,$J115,INDEX([1]Summary!$L$5:$L$110,MATCH($C115,[1]Summary!$D$5:$D216,0)))</f>
        <v>0</v>
      </c>
      <c r="V115" s="721"/>
      <c r="W115" s="721"/>
      <c r="X115" s="721"/>
      <c r="Y115" s="721"/>
      <c r="Z115" s="721"/>
      <c r="AA115" s="721"/>
      <c r="AB115" s="721"/>
      <c r="AC115" s="721"/>
      <c r="AD115" s="721"/>
      <c r="AE115" s="105"/>
      <c r="AI115" s="105"/>
      <c r="AJ115" s="105"/>
      <c r="AN115" s="105"/>
      <c r="AO115" s="105"/>
      <c r="AP115" s="105"/>
    </row>
    <row r="116" spans="1:42" outlineLevel="1">
      <c r="A116" s="545">
        <f>MAX($A$10:A115)+1</f>
        <v>107</v>
      </c>
      <c r="B116" s="716" t="s">
        <v>1799</v>
      </c>
      <c r="C116" s="720" t="s">
        <v>1960</v>
      </c>
      <c r="D116" s="720" t="s">
        <v>1961</v>
      </c>
      <c r="E116" s="559">
        <v>376.2</v>
      </c>
      <c r="F116" s="1302" cm="1">
        <f t="array" ref="F116">+IF(SUM(VALUE(N116:Q116)*$N$7:$Q$7)=0,R116,T116)</f>
        <v>212141.98</v>
      </c>
      <c r="G116" s="103">
        <f t="shared" si="7"/>
        <v>212141.98</v>
      </c>
      <c r="H116" s="721">
        <v>45534</v>
      </c>
      <c r="I116" s="1303" cm="1">
        <f t="array" ref="I116">+IF(SUM(VALUE(N116:Q116)*$N$7:$Q$7)=0,S116,U116)</f>
        <v>0</v>
      </c>
      <c r="J116" s="103"/>
      <c r="K116" s="717"/>
      <c r="M116"/>
      <c r="N116" s="1300">
        <v>0</v>
      </c>
      <c r="O116" s="1300">
        <v>0</v>
      </c>
      <c r="P116" s="1300">
        <v>0</v>
      </c>
      <c r="Q116" s="1300">
        <v>1</v>
      </c>
      <c r="R116" s="1266">
        <v>212141.98</v>
      </c>
      <c r="S116" s="1266">
        <v>0</v>
      </c>
      <c r="T116" s="1266">
        <f>+IF($Q116=1,$G116,INDEX([1]Summary!$K$5:$K$110,MATCH($C116,[1]Summary!$D$5:$D217,0)))</f>
        <v>212141.98</v>
      </c>
      <c r="U116" s="1266">
        <f>+IF($Q116=1,$J116,INDEX([1]Summary!$L$5:$L$110,MATCH($C116,[1]Summary!$D$5:$D217,0)))</f>
        <v>0</v>
      </c>
      <c r="V116" s="721"/>
      <c r="W116" s="721"/>
      <c r="X116" s="721"/>
      <c r="Y116" s="721"/>
      <c r="Z116" s="721"/>
      <c r="AA116" s="721"/>
      <c r="AB116" s="721"/>
      <c r="AC116" s="721"/>
      <c r="AD116" s="721"/>
      <c r="AE116" s="105"/>
      <c r="AI116" s="105"/>
      <c r="AJ116" s="105"/>
      <c r="AN116" s="105"/>
      <c r="AO116" s="105"/>
      <c r="AP116" s="105"/>
    </row>
    <row r="117" spans="1:42" outlineLevel="1">
      <c r="A117" s="545">
        <f>MAX($A$10:A116)+1</f>
        <v>108</v>
      </c>
      <c r="B117" s="716" t="s">
        <v>1799</v>
      </c>
      <c r="C117" s="720" t="s">
        <v>1962</v>
      </c>
      <c r="D117" s="720" t="s">
        <v>1963</v>
      </c>
      <c r="E117" s="559">
        <v>376.2</v>
      </c>
      <c r="F117" s="1302" cm="1">
        <f t="array" ref="F117">+IF(SUM(VALUE(N117:Q117)*$N$7:$Q$7)=0,R117,T117)</f>
        <v>0</v>
      </c>
      <c r="G117" s="103">
        <f t="shared" si="7"/>
        <v>0</v>
      </c>
      <c r="I117" s="1303" cm="1">
        <f t="array" ref="I117">+IF(SUM(VALUE(N117:Q117)*$N$7:$Q$7)=0,S117,U117)</f>
        <v>1220755.99</v>
      </c>
      <c r="J117" s="103">
        <f>+I117</f>
        <v>1220755.99</v>
      </c>
      <c r="K117" s="717">
        <v>46022</v>
      </c>
      <c r="M117"/>
      <c r="N117" s="1300">
        <v>0</v>
      </c>
      <c r="O117" s="1300">
        <v>1</v>
      </c>
      <c r="P117" s="1300">
        <v>0</v>
      </c>
      <c r="Q117" s="1300">
        <v>0</v>
      </c>
      <c r="R117" s="1266">
        <v>0</v>
      </c>
      <c r="S117" s="1266">
        <v>1220755.99</v>
      </c>
      <c r="T117" s="1266">
        <f>+IF($Q117=1,$G117,INDEX([1]Summary!$K$5:$K$110,MATCH($C117,[1]Summary!$D$5:$D218,0)))</f>
        <v>0</v>
      </c>
      <c r="U117" s="1266">
        <f>+IF($Q117=1,$J117,INDEX([1]Summary!$L$5:$L$110,MATCH($C117,[1]Summary!$D$5:$D218,0)))</f>
        <v>1220755.99</v>
      </c>
      <c r="V117" s="721"/>
      <c r="W117" s="721"/>
      <c r="X117" s="721"/>
      <c r="Y117" s="721"/>
      <c r="Z117" s="721"/>
      <c r="AA117" s="721"/>
      <c r="AB117" s="721"/>
      <c r="AC117" s="721"/>
      <c r="AD117" s="721"/>
      <c r="AE117" s="105"/>
      <c r="AI117" s="105"/>
      <c r="AJ117" s="105"/>
      <c r="AN117" s="105"/>
      <c r="AO117" s="105"/>
      <c r="AP117" s="105"/>
    </row>
    <row r="118" spans="1:42" outlineLevel="1">
      <c r="A118" s="545">
        <f>MAX($A$10:A117)+1</f>
        <v>109</v>
      </c>
      <c r="B118" s="716" t="s">
        <v>1799</v>
      </c>
      <c r="C118" s="720" t="s">
        <v>1964</v>
      </c>
      <c r="D118" s="720" t="s">
        <v>1965</v>
      </c>
      <c r="E118" s="559">
        <v>378</v>
      </c>
      <c r="F118" s="1302" cm="1">
        <f t="array" ref="F118">+IF(SUM(VALUE(N118:Q118)*$N$7:$Q$7)=0,R118,T118)</f>
        <v>0</v>
      </c>
      <c r="G118" s="103">
        <f t="shared" si="7"/>
        <v>0</v>
      </c>
      <c r="I118" s="1303" cm="1">
        <f t="array" ref="I118">+IF(SUM(VALUE(N118:Q118)*$N$7:$Q$7)=0,S118,U118)</f>
        <v>249531.79</v>
      </c>
      <c r="J118" s="103">
        <f>+I118</f>
        <v>249531.79</v>
      </c>
      <c r="K118" s="717">
        <v>45899</v>
      </c>
      <c r="M118"/>
      <c r="N118" s="1300">
        <v>0</v>
      </c>
      <c r="O118" s="1300">
        <v>0</v>
      </c>
      <c r="P118" s="1300">
        <v>0</v>
      </c>
      <c r="Q118" s="1300">
        <v>1</v>
      </c>
      <c r="R118" s="1266">
        <v>0</v>
      </c>
      <c r="S118" s="1266">
        <v>249531.79</v>
      </c>
      <c r="T118" s="1266">
        <f>+IF($Q118=1,$G118,INDEX([1]Summary!$K$5:$K$110,MATCH($C118,[1]Summary!$D$5:$D219,0)))</f>
        <v>0</v>
      </c>
      <c r="U118" s="1266">
        <f>+IF($Q118=1,$J118,INDEX([1]Summary!$L$5:$L$110,MATCH($C118,[1]Summary!$D$5:$D219,0)))</f>
        <v>249531.79</v>
      </c>
      <c r="V118" s="721"/>
      <c r="W118" s="721"/>
      <c r="X118" s="721"/>
      <c r="Y118" s="721"/>
      <c r="Z118" s="721"/>
      <c r="AA118" s="721"/>
      <c r="AB118" s="721"/>
      <c r="AC118" s="721"/>
      <c r="AD118" s="721"/>
      <c r="AE118" s="105"/>
      <c r="AI118" s="105"/>
      <c r="AJ118" s="105"/>
      <c r="AN118" s="105"/>
      <c r="AO118" s="105"/>
      <c r="AP118" s="105"/>
    </row>
    <row r="119" spans="1:42" outlineLevel="1">
      <c r="A119" s="545">
        <f>MAX($A$10:A118)+1</f>
        <v>110</v>
      </c>
      <c r="B119" s="716" t="s">
        <v>1799</v>
      </c>
      <c r="C119" s="716" t="s">
        <v>1966</v>
      </c>
      <c r="D119" s="716" t="s">
        <v>1967</v>
      </c>
      <c r="E119" s="559">
        <v>376.2</v>
      </c>
      <c r="F119" s="1302" cm="1">
        <f t="array" ref="F119">+IF(SUM(VALUE(N119:Q119)*$N$7:$Q$7)=0,R119,T119)</f>
        <v>0</v>
      </c>
      <c r="G119" s="103">
        <f t="shared" si="7"/>
        <v>0</v>
      </c>
      <c r="H119" s="717">
        <v>45595</v>
      </c>
      <c r="I119" s="1303" cm="1">
        <f t="array" ref="I119">+IF(SUM(VALUE(N119:Q119)*$N$7:$Q$7)=0,S119,U119)</f>
        <v>0</v>
      </c>
      <c r="J119" s="103">
        <f>+I119</f>
        <v>0</v>
      </c>
      <c r="K119" s="103"/>
      <c r="M119"/>
      <c r="N119" s="1300">
        <v>0</v>
      </c>
      <c r="O119" s="1300">
        <v>1</v>
      </c>
      <c r="P119" s="1300">
        <v>0</v>
      </c>
      <c r="Q119" s="1300">
        <v>0</v>
      </c>
      <c r="R119" s="1266">
        <v>29040773.440000001</v>
      </c>
      <c r="S119" s="1266">
        <v>0</v>
      </c>
      <c r="T119" s="1266">
        <f>+IF($Q119=1,$G119,INDEX([1]Summary!$K$5:$K$110,MATCH($C119,[1]Summary!$D$5:$D220,0)))</f>
        <v>0</v>
      </c>
      <c r="U119" s="1266">
        <f>+IF($Q119=1,$J119,INDEX([1]Summary!$L$5:$L$110,MATCH($C119,[1]Summary!$D$5:$D220,0)))</f>
        <v>0</v>
      </c>
      <c r="V119" s="721"/>
      <c r="W119" s="721"/>
      <c r="X119" s="721"/>
      <c r="Y119" s="721"/>
      <c r="Z119" s="721"/>
      <c r="AA119" s="721"/>
      <c r="AB119" s="721"/>
      <c r="AC119" s="721"/>
      <c r="AD119" s="721"/>
      <c r="AE119" s="105"/>
      <c r="AI119" s="105"/>
      <c r="AJ119" s="105"/>
      <c r="AN119" s="105"/>
      <c r="AO119" s="105"/>
      <c r="AP119" s="105"/>
    </row>
    <row r="120" spans="1:42" outlineLevel="1">
      <c r="A120" s="545">
        <f>MAX($A$10:A119)+1</f>
        <v>111</v>
      </c>
      <c r="B120" s="716" t="s">
        <v>1799</v>
      </c>
      <c r="C120" s="716" t="s">
        <v>1968</v>
      </c>
      <c r="D120" s="716" t="s">
        <v>1969</v>
      </c>
      <c r="E120" s="559">
        <v>374.1</v>
      </c>
      <c r="F120" s="1302" cm="1">
        <f t="array" ref="F120">+IF(SUM(VALUE(N120:Q120)*$N$7:$Q$7)=0,R120,T120)</f>
        <v>119146.94</v>
      </c>
      <c r="G120" s="103">
        <f t="shared" si="7"/>
        <v>119146.94</v>
      </c>
      <c r="H120" s="717">
        <v>45321</v>
      </c>
      <c r="I120" s="1303" cm="1">
        <f t="array" ref="I120">+IF(SUM(VALUE(N120:Q120)*$N$7:$Q$7)=0,S120,U120)</f>
        <v>0</v>
      </c>
      <c r="J120" s="103"/>
      <c r="K120" s="103"/>
      <c r="M120"/>
      <c r="N120" s="1300">
        <v>0</v>
      </c>
      <c r="O120" s="1300">
        <v>0</v>
      </c>
      <c r="P120" s="1300">
        <v>0</v>
      </c>
      <c r="Q120" s="1300">
        <v>1</v>
      </c>
      <c r="R120" s="1266">
        <v>119146.94</v>
      </c>
      <c r="S120" s="1266">
        <v>0</v>
      </c>
      <c r="T120" s="1266">
        <f>+IF($Q120=1,$G120,INDEX([1]Summary!$K$5:$K$110,MATCH($C120,[1]Summary!$D$5:$D221,0)))</f>
        <v>119146.94</v>
      </c>
      <c r="U120" s="1266">
        <f>+IF($Q120=1,$J120,INDEX([1]Summary!$L$5:$L$110,MATCH($C120,[1]Summary!$D$5:$D221,0)))</f>
        <v>0</v>
      </c>
      <c r="V120" s="721"/>
      <c r="W120" s="721"/>
      <c r="X120" s="721"/>
      <c r="Y120" s="721"/>
      <c r="Z120" s="721"/>
      <c r="AA120" s="721"/>
      <c r="AB120" s="721"/>
      <c r="AC120" s="721"/>
      <c r="AD120" s="721"/>
      <c r="AE120" s="105"/>
      <c r="AI120" s="105"/>
      <c r="AJ120" s="105"/>
      <c r="AN120" s="105"/>
      <c r="AO120" s="105"/>
      <c r="AP120" s="105"/>
    </row>
    <row r="121" spans="1:42" outlineLevel="1">
      <c r="A121" s="545">
        <f>MAX($A$10:A120)+1</f>
        <v>112</v>
      </c>
      <c r="B121" s="716" t="s">
        <v>1799</v>
      </c>
      <c r="C121" s="716" t="s">
        <v>1970</v>
      </c>
      <c r="D121" s="716" t="s">
        <v>1971</v>
      </c>
      <c r="E121" s="559">
        <v>378</v>
      </c>
      <c r="F121" s="1302" cm="1">
        <f t="array" ref="F121">+IF(SUM(VALUE(N121:Q121)*$N$7:$Q$7)=0,R121,T121)</f>
        <v>498151.91</v>
      </c>
      <c r="G121" s="103">
        <f t="shared" si="7"/>
        <v>498151.91</v>
      </c>
      <c r="H121" s="717">
        <v>45595</v>
      </c>
      <c r="I121" s="1303" cm="1">
        <f t="array" ref="I121">+IF(SUM(VALUE(N121:Q121)*$N$7:$Q$7)=0,S121,U121)</f>
        <v>0</v>
      </c>
      <c r="J121" s="103">
        <f>+I121</f>
        <v>0</v>
      </c>
      <c r="K121" s="103"/>
      <c r="M121"/>
      <c r="N121" s="1300">
        <v>0</v>
      </c>
      <c r="O121" s="1300">
        <v>0</v>
      </c>
      <c r="P121" s="1300">
        <v>0</v>
      </c>
      <c r="Q121" s="1300">
        <v>1</v>
      </c>
      <c r="R121" s="1266">
        <v>498151.91</v>
      </c>
      <c r="S121" s="1266">
        <v>0</v>
      </c>
      <c r="T121" s="1266">
        <f>+IF($Q121=1,$G121,INDEX([1]Summary!$K$5:$K$110,MATCH($C121,[1]Summary!$D$5:$D222,0)))</f>
        <v>498151.91</v>
      </c>
      <c r="U121" s="1266">
        <f>+IF($Q121=1,$J121,INDEX([1]Summary!$L$5:$L$110,MATCH($C121,[1]Summary!$D$5:$D222,0)))</f>
        <v>0</v>
      </c>
      <c r="V121" s="721"/>
      <c r="W121" s="721"/>
      <c r="X121" s="721"/>
      <c r="Y121" s="721"/>
      <c r="Z121" s="721"/>
      <c r="AA121" s="721"/>
      <c r="AB121" s="721"/>
      <c r="AC121" s="721"/>
      <c r="AD121" s="721"/>
      <c r="AE121" s="105"/>
      <c r="AI121" s="105"/>
      <c r="AJ121" s="105"/>
      <c r="AN121" s="105"/>
      <c r="AO121" s="105"/>
      <c r="AP121" s="105"/>
    </row>
    <row r="122" spans="1:42" outlineLevel="1">
      <c r="A122" s="545">
        <f>MAX($A$10:A121)+1</f>
        <v>113</v>
      </c>
      <c r="B122" s="716" t="s">
        <v>1799</v>
      </c>
      <c r="C122" s="716" t="s">
        <v>1972</v>
      </c>
      <c r="D122" s="716" t="s">
        <v>1973</v>
      </c>
      <c r="E122" s="559">
        <v>378</v>
      </c>
      <c r="F122" s="1302" cm="1">
        <f t="array" ref="F122">+IF(SUM(VALUE(N122:Q122)*$N$7:$Q$7)=0,R122,T122)</f>
        <v>67326.149999999994</v>
      </c>
      <c r="G122" s="103">
        <f t="shared" si="7"/>
        <v>67326.149999999994</v>
      </c>
      <c r="H122" s="717">
        <v>45458</v>
      </c>
      <c r="I122" s="1303" cm="1">
        <f t="array" ref="I122">+IF(SUM(VALUE(N122:Q122)*$N$7:$Q$7)=0,S122,U122)</f>
        <v>0</v>
      </c>
      <c r="J122" s="103"/>
      <c r="K122" s="103"/>
      <c r="M122"/>
      <c r="N122" s="1300">
        <v>0</v>
      </c>
      <c r="O122" s="1300">
        <v>0</v>
      </c>
      <c r="P122" s="1300">
        <v>0</v>
      </c>
      <c r="Q122" s="1300">
        <v>1</v>
      </c>
      <c r="R122" s="1266">
        <v>67326.149999999994</v>
      </c>
      <c r="S122" s="1266">
        <v>0</v>
      </c>
      <c r="T122" s="1266">
        <f>+IF($Q122=1,$G122,INDEX([1]Summary!$K$5:$K$110,MATCH($C122,[1]Summary!$D$5:$D223,0)))</f>
        <v>67326.149999999994</v>
      </c>
      <c r="U122" s="1266">
        <f>+IF($Q122=1,$J122,INDEX([1]Summary!$L$5:$L$110,MATCH($C122,[1]Summary!$D$5:$D223,0)))</f>
        <v>0</v>
      </c>
      <c r="V122" s="721"/>
      <c r="W122" s="721"/>
      <c r="X122" s="721"/>
      <c r="Y122" s="721"/>
      <c r="Z122" s="721"/>
      <c r="AA122" s="721"/>
      <c r="AB122" s="721"/>
      <c r="AC122" s="721"/>
      <c r="AD122" s="721"/>
      <c r="AE122" s="105"/>
      <c r="AI122" s="105"/>
      <c r="AJ122" s="105"/>
      <c r="AN122" s="105"/>
      <c r="AO122" s="105"/>
      <c r="AP122" s="105"/>
    </row>
    <row r="123" spans="1:42" outlineLevel="1">
      <c r="A123" s="545">
        <f>MAX($A$10:A122)+1</f>
        <v>114</v>
      </c>
      <c r="B123" s="716" t="s">
        <v>1799</v>
      </c>
      <c r="C123" s="716" t="s">
        <v>1974</v>
      </c>
      <c r="D123" s="716" t="s">
        <v>1975</v>
      </c>
      <c r="E123" s="559">
        <v>376.1</v>
      </c>
      <c r="F123" s="1302" cm="1">
        <f t="array" ref="F123">+IF(SUM(VALUE(N123:Q123)*$N$7:$Q$7)=0,R123,T123)</f>
        <v>344834.96</v>
      </c>
      <c r="G123" s="103">
        <f t="shared" si="7"/>
        <v>344834.96</v>
      </c>
      <c r="H123" s="575">
        <v>45657</v>
      </c>
      <c r="I123" s="1303" cm="1">
        <f t="array" ref="I123">+IF(SUM(VALUE(N123:Q123)*$N$7:$Q$7)=0,S123,U123)</f>
        <v>515149.42</v>
      </c>
      <c r="J123" s="103">
        <f t="shared" ref="J123:J128" si="8">+I123</f>
        <v>515149.42</v>
      </c>
      <c r="K123" s="717">
        <v>46022</v>
      </c>
      <c r="M123"/>
      <c r="N123" s="1300">
        <v>0</v>
      </c>
      <c r="O123" s="1300">
        <v>0</v>
      </c>
      <c r="P123" s="1300">
        <v>0</v>
      </c>
      <c r="Q123" s="1300">
        <v>1</v>
      </c>
      <c r="R123" s="1266">
        <v>344834.96</v>
      </c>
      <c r="S123" s="1266">
        <v>515149.42</v>
      </c>
      <c r="T123" s="1266">
        <f>+IF($Q123=1,$G123,INDEX([1]Summary!$K$5:$K$110,MATCH($C123,[1]Summary!$D$5:$D224,0)))</f>
        <v>344834.96</v>
      </c>
      <c r="U123" s="1266">
        <f>+IF($Q123=1,$J123,INDEX([1]Summary!$L$5:$L$110,MATCH($C123,[1]Summary!$D$5:$D224,0)))</f>
        <v>515149.42</v>
      </c>
      <c r="V123" s="721"/>
      <c r="W123" s="721"/>
      <c r="X123" s="721"/>
      <c r="Y123" s="721"/>
      <c r="Z123" s="721"/>
      <c r="AA123" s="721"/>
      <c r="AB123" s="721"/>
      <c r="AC123" s="721"/>
      <c r="AD123" s="721"/>
      <c r="AE123" s="105"/>
      <c r="AI123" s="105"/>
      <c r="AJ123" s="105"/>
      <c r="AN123" s="105"/>
      <c r="AO123" s="105"/>
      <c r="AP123" s="105"/>
    </row>
    <row r="124" spans="1:42" outlineLevel="1">
      <c r="A124" s="545">
        <f>MAX($A$10:A123)+1</f>
        <v>115</v>
      </c>
      <c r="B124" s="716" t="s">
        <v>1799</v>
      </c>
      <c r="C124" s="716" t="s">
        <v>1976</v>
      </c>
      <c r="D124" s="716" t="s">
        <v>1977</v>
      </c>
      <c r="E124" s="559">
        <v>376.2</v>
      </c>
      <c r="F124" s="1302" cm="1">
        <f t="array" ref="F124">+IF(SUM(VALUE(N124:Q124)*$N$7:$Q$7)=0,R124,T124)</f>
        <v>0</v>
      </c>
      <c r="G124" s="103">
        <f t="shared" si="7"/>
        <v>0</v>
      </c>
      <c r="H124" s="717">
        <v>45624</v>
      </c>
      <c r="I124" s="1303" cm="1">
        <f t="array" ref="I124">+IF(SUM(VALUE(N124:Q124)*$N$7:$Q$7)=0,S124,U124)</f>
        <v>0</v>
      </c>
      <c r="J124" s="103">
        <f t="shared" si="8"/>
        <v>0</v>
      </c>
      <c r="K124" s="103"/>
      <c r="M124"/>
      <c r="N124" s="1300">
        <v>1</v>
      </c>
      <c r="O124" s="1300">
        <v>0</v>
      </c>
      <c r="P124" s="1300">
        <v>0</v>
      </c>
      <c r="Q124" s="1300">
        <v>0</v>
      </c>
      <c r="R124" s="1266">
        <v>237521.69</v>
      </c>
      <c r="S124" s="1266">
        <v>0</v>
      </c>
      <c r="T124" s="1266">
        <f>+IF($Q124=1,$G124,INDEX([1]Summary!$K$5:$K$110,MATCH($C124,[1]Summary!$D$5:$D225,0)))</f>
        <v>0</v>
      </c>
      <c r="U124" s="1266">
        <f>+IF($Q124=1,$J124,INDEX([1]Summary!$L$5:$L$110,MATCH($C124,[1]Summary!$D$5:$D225,0)))</f>
        <v>0</v>
      </c>
      <c r="V124" s="721"/>
      <c r="W124" s="721"/>
      <c r="X124" s="721"/>
      <c r="Y124" s="721"/>
      <c r="Z124" s="721"/>
      <c r="AA124" s="721"/>
      <c r="AB124" s="721"/>
      <c r="AC124" s="721"/>
      <c r="AD124" s="721"/>
      <c r="AE124" s="105"/>
      <c r="AI124" s="105"/>
      <c r="AJ124" s="105"/>
      <c r="AN124" s="105"/>
      <c r="AO124" s="105"/>
      <c r="AP124" s="105"/>
    </row>
    <row r="125" spans="1:42" outlineLevel="1">
      <c r="A125" s="545">
        <f>MAX($A$10:A124)+1</f>
        <v>116</v>
      </c>
      <c r="B125" s="716" t="s">
        <v>1799</v>
      </c>
      <c r="C125" s="716" t="s">
        <v>1978</v>
      </c>
      <c r="D125" s="716" t="s">
        <v>1979</v>
      </c>
      <c r="E125" s="559">
        <v>378</v>
      </c>
      <c r="F125" s="1302" cm="1">
        <f t="array" ref="F125">+IF(SUM(VALUE(N125:Q125)*$N$7:$Q$7)=0,R125,T125)</f>
        <v>0</v>
      </c>
      <c r="G125" s="103">
        <f t="shared" si="7"/>
        <v>0</v>
      </c>
      <c r="H125" s="717">
        <v>45624</v>
      </c>
      <c r="I125" s="1303" cm="1">
        <f t="array" ref="I125">+IF(SUM(VALUE(N125:Q125)*$N$7:$Q$7)=0,S125,U125)</f>
        <v>0</v>
      </c>
      <c r="J125" s="103">
        <f t="shared" si="8"/>
        <v>0</v>
      </c>
      <c r="K125" s="103"/>
      <c r="M125"/>
      <c r="N125" s="1300">
        <v>1</v>
      </c>
      <c r="O125" s="1300">
        <v>0</v>
      </c>
      <c r="P125" s="1300">
        <v>0</v>
      </c>
      <c r="Q125" s="1300">
        <v>0</v>
      </c>
      <c r="R125" s="1266">
        <v>582324.92000000004</v>
      </c>
      <c r="S125" s="1266">
        <v>0</v>
      </c>
      <c r="T125" s="1266">
        <f>+IF($Q125=1,$G125,INDEX([1]Summary!$K$5:$K$110,MATCH($C125,[1]Summary!$D$5:$D226,0)))</f>
        <v>0</v>
      </c>
      <c r="U125" s="1266">
        <f>+IF($Q125=1,$J125,INDEX([1]Summary!$L$5:$L$110,MATCH($C125,[1]Summary!$D$5:$D226,0)))</f>
        <v>0</v>
      </c>
      <c r="V125" s="721"/>
      <c r="W125" s="721"/>
      <c r="X125" s="721"/>
      <c r="Y125" s="721"/>
      <c r="Z125" s="721"/>
      <c r="AA125" s="721"/>
      <c r="AB125" s="721"/>
      <c r="AC125" s="721"/>
      <c r="AD125" s="721"/>
      <c r="AE125" s="105"/>
      <c r="AI125" s="105"/>
      <c r="AJ125" s="105"/>
      <c r="AN125" s="105"/>
      <c r="AO125" s="105"/>
      <c r="AP125" s="105"/>
    </row>
    <row r="126" spans="1:42" outlineLevel="1">
      <c r="A126" s="545">
        <f>MAX($A$10:A125)+1</f>
        <v>117</v>
      </c>
      <c r="B126" s="716" t="s">
        <v>1799</v>
      </c>
      <c r="C126" s="716" t="s">
        <v>1980</v>
      </c>
      <c r="D126" s="716" t="s">
        <v>1981</v>
      </c>
      <c r="E126" s="559">
        <v>378</v>
      </c>
      <c r="F126" s="1302" cm="1">
        <f t="array" ref="F126">+IF(SUM(VALUE(N126:Q126)*$N$7:$Q$7)=0,R126,T126)</f>
        <v>0</v>
      </c>
      <c r="G126" s="103">
        <f t="shared" si="7"/>
        <v>0</v>
      </c>
      <c r="H126" s="717">
        <v>45624</v>
      </c>
      <c r="I126" s="1303" cm="1">
        <f t="array" ref="I126">+IF(SUM(VALUE(N126:Q126)*$N$7:$Q$7)=0,S126,U126)</f>
        <v>0</v>
      </c>
      <c r="J126" s="103">
        <f t="shared" si="8"/>
        <v>0</v>
      </c>
      <c r="K126" s="103"/>
      <c r="M126"/>
      <c r="N126" s="1300">
        <v>1</v>
      </c>
      <c r="O126" s="1300">
        <v>0</v>
      </c>
      <c r="P126" s="1300">
        <v>0</v>
      </c>
      <c r="Q126" s="1300">
        <v>0</v>
      </c>
      <c r="R126" s="1266">
        <v>1181773.33</v>
      </c>
      <c r="S126" s="1266">
        <v>0</v>
      </c>
      <c r="T126" s="1266">
        <f>+IF($Q126=1,$G126,INDEX([1]Summary!$K$5:$K$110,MATCH($C126,[1]Summary!$D$5:$D227,0)))</f>
        <v>0</v>
      </c>
      <c r="U126" s="1266">
        <f>+IF($Q126=1,$J126,INDEX([1]Summary!$L$5:$L$110,MATCH($C126,[1]Summary!$D$5:$D227,0)))</f>
        <v>0</v>
      </c>
      <c r="V126" s="721"/>
      <c r="W126" s="721"/>
      <c r="X126" s="721"/>
      <c r="Y126" s="721"/>
      <c r="Z126" s="721"/>
      <c r="AA126" s="721"/>
      <c r="AB126" s="721"/>
      <c r="AC126" s="721"/>
      <c r="AD126" s="721"/>
      <c r="AE126" s="105"/>
      <c r="AI126" s="105"/>
      <c r="AJ126" s="105"/>
      <c r="AN126" s="105"/>
      <c r="AO126" s="105"/>
      <c r="AP126" s="105"/>
    </row>
    <row r="127" spans="1:42" outlineLevel="1">
      <c r="A127" s="545">
        <f>MAX($A$10:A126)+1</f>
        <v>118</v>
      </c>
      <c r="B127" s="716" t="s">
        <v>1799</v>
      </c>
      <c r="C127" s="716" t="s">
        <v>1982</v>
      </c>
      <c r="D127" s="716" t="s">
        <v>1983</v>
      </c>
      <c r="E127" s="559">
        <v>385</v>
      </c>
      <c r="F127" s="1302" cm="1">
        <f t="array" ref="F127">+IF(SUM(VALUE(N127:Q127)*$N$7:$Q$7)=0,R127,T127)</f>
        <v>0</v>
      </c>
      <c r="G127" s="103">
        <f t="shared" si="7"/>
        <v>0</v>
      </c>
      <c r="H127" s="717">
        <v>45624</v>
      </c>
      <c r="I127" s="1303" cm="1">
        <f t="array" ref="I127">+IF(SUM(VALUE(N127:Q127)*$N$7:$Q$7)=0,S127,U127)</f>
        <v>0</v>
      </c>
      <c r="J127" s="103">
        <f t="shared" si="8"/>
        <v>0</v>
      </c>
      <c r="K127" s="103"/>
      <c r="M127"/>
      <c r="N127" s="1300">
        <v>1</v>
      </c>
      <c r="O127" s="1300">
        <v>0</v>
      </c>
      <c r="P127" s="1300">
        <v>0</v>
      </c>
      <c r="Q127" s="1300">
        <v>0</v>
      </c>
      <c r="R127" s="1266">
        <v>97718.88</v>
      </c>
      <c r="S127" s="1266">
        <v>0</v>
      </c>
      <c r="T127" s="1266">
        <f>+IF($Q127=1,$G127,INDEX([1]Summary!$K$5:$K$110,MATCH($C127,[1]Summary!$D$5:$D228,0)))</f>
        <v>0</v>
      </c>
      <c r="U127" s="1266">
        <f>+IF($Q127=1,$J127,INDEX([1]Summary!$L$5:$L$110,MATCH($C127,[1]Summary!$D$5:$D228,0)))</f>
        <v>0</v>
      </c>
      <c r="V127" s="721"/>
      <c r="W127" s="721"/>
      <c r="X127" s="721"/>
      <c r="Y127" s="721"/>
      <c r="Z127" s="721"/>
      <c r="AA127" s="721"/>
      <c r="AB127" s="721"/>
      <c r="AC127" s="721"/>
      <c r="AD127" s="721"/>
      <c r="AE127" s="105"/>
      <c r="AI127" s="105"/>
      <c r="AJ127" s="105"/>
      <c r="AN127" s="105"/>
      <c r="AO127" s="105"/>
      <c r="AP127" s="105"/>
    </row>
    <row r="128" spans="1:42" outlineLevel="1">
      <c r="A128" s="545">
        <f>MAX($A$10:A127)+1</f>
        <v>119</v>
      </c>
      <c r="B128" s="716" t="s">
        <v>1799</v>
      </c>
      <c r="C128" s="716" t="s">
        <v>1984</v>
      </c>
      <c r="D128" s="716" t="s">
        <v>1985</v>
      </c>
      <c r="E128" s="559">
        <v>378</v>
      </c>
      <c r="F128" s="1302" cm="1">
        <f t="array" ref="F128">+IF(SUM(VALUE(N128:Q128)*$N$7:$Q$7)=0,R128,T128)</f>
        <v>0</v>
      </c>
      <c r="G128" s="103">
        <f t="shared" si="7"/>
        <v>0</v>
      </c>
      <c r="H128" s="717">
        <v>45327</v>
      </c>
      <c r="I128" s="1303" cm="1">
        <f t="array" ref="I128">+IF(SUM(VALUE(N128:Q128)*$N$7:$Q$7)=0,S128,U128)</f>
        <v>0</v>
      </c>
      <c r="J128" s="103">
        <f t="shared" si="8"/>
        <v>0</v>
      </c>
      <c r="K128" s="103"/>
      <c r="M128"/>
      <c r="N128" s="1300">
        <v>1</v>
      </c>
      <c r="O128" s="1300">
        <v>0</v>
      </c>
      <c r="P128" s="1300">
        <v>0</v>
      </c>
      <c r="Q128" s="1300">
        <v>0</v>
      </c>
      <c r="R128" s="1266">
        <v>1117240.8899999999</v>
      </c>
      <c r="S128" s="1266">
        <v>0</v>
      </c>
      <c r="T128" s="1266">
        <f>+IF($Q128=1,$G128,INDEX([1]Summary!$K$5:$K$110,MATCH($C128,[1]Summary!$D$5:$D229,0)))</f>
        <v>0</v>
      </c>
      <c r="U128" s="1266">
        <f>+IF($Q128=1,$J128,INDEX([1]Summary!$L$5:$L$110,MATCH($C128,[1]Summary!$D$5:$D229,0)))</f>
        <v>0</v>
      </c>
      <c r="V128" s="721"/>
      <c r="W128" s="721"/>
      <c r="X128" s="721"/>
      <c r="Y128" s="721"/>
      <c r="Z128" s="721"/>
      <c r="AA128" s="721"/>
      <c r="AB128" s="721"/>
      <c r="AC128" s="721"/>
      <c r="AD128" s="721"/>
      <c r="AE128" s="105"/>
      <c r="AI128" s="105"/>
      <c r="AJ128" s="105"/>
      <c r="AN128" s="105"/>
      <c r="AO128" s="105"/>
      <c r="AP128" s="105"/>
    </row>
    <row r="129" spans="1:42" outlineLevel="1">
      <c r="A129" s="545">
        <f>MAX($A$10:A128)+1</f>
        <v>120</v>
      </c>
      <c r="B129" s="716" t="s">
        <v>1799</v>
      </c>
      <c r="C129" s="716" t="s">
        <v>1986</v>
      </c>
      <c r="D129" s="716" t="s">
        <v>1987</v>
      </c>
      <c r="E129" s="559">
        <v>378</v>
      </c>
      <c r="F129" s="1302" cm="1">
        <f t="array" ref="F129">+IF(SUM(VALUE(N129:Q129)*$N$7:$Q$7)=0,R129,T129)</f>
        <v>0</v>
      </c>
      <c r="G129" s="103">
        <f t="shared" si="7"/>
        <v>0</v>
      </c>
      <c r="H129" s="717">
        <v>45327</v>
      </c>
      <c r="I129" s="1303" cm="1">
        <f t="array" ref="I129">+IF(SUM(VALUE(N129:Q129)*$N$7:$Q$7)=0,S129,U129)</f>
        <v>0</v>
      </c>
      <c r="J129" s="103"/>
      <c r="K129" s="103"/>
      <c r="M129"/>
      <c r="N129" s="1300">
        <v>1</v>
      </c>
      <c r="O129" s="1300">
        <v>0</v>
      </c>
      <c r="P129" s="1300">
        <v>0</v>
      </c>
      <c r="Q129" s="1300">
        <v>0</v>
      </c>
      <c r="R129" s="1266">
        <v>365957.98</v>
      </c>
      <c r="S129" s="1266">
        <v>0</v>
      </c>
      <c r="T129" s="1266">
        <f>+IF($Q129=1,$G129,INDEX([1]Summary!$K$5:$K$110,MATCH($C129,[1]Summary!$D$5:$D230,0)))</f>
        <v>0</v>
      </c>
      <c r="U129" s="1266">
        <f>+IF($Q129=1,$J129,INDEX([1]Summary!$L$5:$L$110,MATCH($C129,[1]Summary!$D$5:$D230,0)))</f>
        <v>0</v>
      </c>
      <c r="V129" s="721"/>
      <c r="W129" s="721"/>
      <c r="X129" s="721"/>
      <c r="Y129" s="721"/>
      <c r="Z129" s="721"/>
      <c r="AA129" s="721"/>
      <c r="AB129" s="721"/>
      <c r="AC129" s="721"/>
      <c r="AD129" s="721"/>
      <c r="AE129" s="105"/>
      <c r="AI129" s="105"/>
      <c r="AJ129" s="105"/>
      <c r="AN129" s="105"/>
      <c r="AO129" s="105"/>
      <c r="AP129" s="105"/>
    </row>
    <row r="130" spans="1:42" outlineLevel="1">
      <c r="A130" s="545">
        <f>MAX($A$10:A129)+1</f>
        <v>121</v>
      </c>
      <c r="B130" s="716" t="s">
        <v>1799</v>
      </c>
      <c r="C130" s="716" t="s">
        <v>1988</v>
      </c>
      <c r="D130" s="716" t="s">
        <v>1989</v>
      </c>
      <c r="E130" s="559">
        <v>385</v>
      </c>
      <c r="F130" s="1302" cm="1">
        <f t="array" ref="F130">+IF(SUM(VALUE(N130:Q130)*$N$7:$Q$7)=0,R130,T130)</f>
        <v>0</v>
      </c>
      <c r="G130" s="103">
        <f t="shared" si="7"/>
        <v>0</v>
      </c>
      <c r="H130" s="717">
        <v>45327</v>
      </c>
      <c r="I130" s="1303" cm="1">
        <f t="array" ref="I130">+IF(SUM(VALUE(N130:Q130)*$N$7:$Q$7)=0,S130,U130)</f>
        <v>0</v>
      </c>
      <c r="J130" s="103"/>
      <c r="K130" s="103"/>
      <c r="M130"/>
      <c r="N130" s="1300">
        <v>1</v>
      </c>
      <c r="O130" s="1300">
        <v>0</v>
      </c>
      <c r="P130" s="1300">
        <v>0</v>
      </c>
      <c r="Q130" s="1300">
        <v>0</v>
      </c>
      <c r="R130" s="1266">
        <v>43012.79</v>
      </c>
      <c r="S130" s="1266">
        <v>0</v>
      </c>
      <c r="T130" s="1266">
        <f>+IF($Q130=1,$G130,INDEX([1]Summary!$K$5:$K$110,MATCH($C130,[1]Summary!$D$5:$D231,0)))</f>
        <v>0</v>
      </c>
      <c r="U130" s="1266">
        <f>+IF($Q130=1,$J130,INDEX([1]Summary!$L$5:$L$110,MATCH($C130,[1]Summary!$D$5:$D231,0)))</f>
        <v>0</v>
      </c>
      <c r="V130" s="721"/>
      <c r="W130" s="721"/>
      <c r="X130" s="721"/>
      <c r="Y130" s="721"/>
      <c r="Z130" s="721"/>
      <c r="AA130" s="721"/>
      <c r="AB130" s="721"/>
      <c r="AC130" s="721"/>
      <c r="AD130" s="721"/>
      <c r="AE130" s="105"/>
      <c r="AI130" s="105"/>
      <c r="AJ130" s="105"/>
      <c r="AN130" s="105"/>
      <c r="AO130" s="105"/>
      <c r="AP130" s="105"/>
    </row>
    <row r="131" spans="1:42" outlineLevel="1">
      <c r="A131" s="545">
        <f>MAX($A$10:A130)+1</f>
        <v>122</v>
      </c>
      <c r="B131" s="716" t="s">
        <v>1799</v>
      </c>
      <c r="C131" s="716" t="s">
        <v>1990</v>
      </c>
      <c r="D131" s="716" t="s">
        <v>1991</v>
      </c>
      <c r="E131" s="559">
        <v>385</v>
      </c>
      <c r="F131" s="1302" cm="1">
        <f t="array" ref="F131">+IF(SUM(VALUE(N131:Q131)*$N$7:$Q$7)=0,R131,T131)</f>
        <v>0</v>
      </c>
      <c r="G131" s="103">
        <f t="shared" si="7"/>
        <v>0</v>
      </c>
      <c r="H131" s="717">
        <v>45327</v>
      </c>
      <c r="I131" s="1303" cm="1">
        <f t="array" ref="I131">+IF(SUM(VALUE(N131:Q131)*$N$7:$Q$7)=0,S131,U131)</f>
        <v>0</v>
      </c>
      <c r="J131" s="103"/>
      <c r="K131" s="103"/>
      <c r="M131"/>
      <c r="N131" s="1300">
        <v>1</v>
      </c>
      <c r="O131" s="1300">
        <v>0</v>
      </c>
      <c r="P131" s="1300">
        <v>0</v>
      </c>
      <c r="Q131" s="1300">
        <v>0</v>
      </c>
      <c r="R131" s="1266">
        <v>56595.090000000004</v>
      </c>
      <c r="S131" s="1266">
        <v>0</v>
      </c>
      <c r="T131" s="1266">
        <f>+IF($Q131=1,$G131,INDEX([1]Summary!$K$5:$K$110,MATCH($C131,[1]Summary!$D$5:$D232,0)))</f>
        <v>0</v>
      </c>
      <c r="U131" s="1266">
        <f>+IF($Q131=1,$J131,INDEX([1]Summary!$L$5:$L$110,MATCH($C131,[1]Summary!$D$5:$D232,0)))</f>
        <v>0</v>
      </c>
      <c r="V131" s="721"/>
      <c r="W131" s="721"/>
      <c r="X131" s="721"/>
      <c r="Y131" s="721"/>
      <c r="Z131" s="721"/>
      <c r="AA131" s="721"/>
      <c r="AB131" s="721"/>
      <c r="AC131" s="721"/>
      <c r="AD131" s="721"/>
      <c r="AE131" s="105"/>
      <c r="AI131" s="105"/>
      <c r="AJ131" s="105"/>
      <c r="AN131" s="105"/>
      <c r="AO131" s="105"/>
      <c r="AP131" s="105"/>
    </row>
    <row r="132" spans="1:42" outlineLevel="1">
      <c r="A132" s="545">
        <f>MAX($A$10:A131)+1</f>
        <v>123</v>
      </c>
      <c r="B132" s="716" t="s">
        <v>1799</v>
      </c>
      <c r="C132" s="716" t="s">
        <v>1992</v>
      </c>
      <c r="D132" s="716" t="s">
        <v>1993</v>
      </c>
      <c r="E132" s="559">
        <v>378</v>
      </c>
      <c r="F132" s="1302" cm="1">
        <f t="array" ref="F132">+IF(SUM(VALUE(N132:Q132)*$N$7:$Q$7)=0,R132,T132)</f>
        <v>0</v>
      </c>
      <c r="G132" s="103">
        <f t="shared" si="7"/>
        <v>0</v>
      </c>
      <c r="H132" s="717">
        <v>45327</v>
      </c>
      <c r="I132" s="1303" cm="1">
        <f t="array" ref="I132">+IF(SUM(VALUE(N132:Q132)*$N$7:$Q$7)=0,S132,U132)</f>
        <v>0</v>
      </c>
      <c r="J132" s="103"/>
      <c r="K132" s="103"/>
      <c r="M132"/>
      <c r="N132" s="1300">
        <v>1</v>
      </c>
      <c r="O132" s="1300">
        <v>0</v>
      </c>
      <c r="P132" s="1300">
        <v>0</v>
      </c>
      <c r="Q132" s="1300">
        <v>0</v>
      </c>
      <c r="R132" s="1266">
        <v>1117315.6200000001</v>
      </c>
      <c r="S132" s="1266">
        <v>0</v>
      </c>
      <c r="T132" s="1266">
        <f>+IF($Q132=1,$G132,INDEX([1]Summary!$K$5:$K$110,MATCH($C132,[1]Summary!$D$5:$D233,0)))</f>
        <v>0</v>
      </c>
      <c r="U132" s="1266">
        <f>+IF($Q132=1,$J132,INDEX([1]Summary!$L$5:$L$110,MATCH($C132,[1]Summary!$D$5:$D233,0)))</f>
        <v>0</v>
      </c>
      <c r="V132" s="721"/>
      <c r="W132" s="721"/>
      <c r="X132" s="721"/>
      <c r="Y132" s="721"/>
      <c r="Z132" s="721"/>
      <c r="AA132" s="721"/>
      <c r="AB132" s="721"/>
      <c r="AC132" s="721"/>
      <c r="AD132" s="721"/>
      <c r="AE132" s="105"/>
      <c r="AI132" s="105"/>
      <c r="AJ132" s="105"/>
      <c r="AN132" s="105"/>
      <c r="AO132" s="105"/>
      <c r="AP132" s="105"/>
    </row>
    <row r="133" spans="1:42" outlineLevel="1">
      <c r="A133" s="545">
        <f>MAX($A$10:A132)+1</f>
        <v>124</v>
      </c>
      <c r="B133" s="716" t="s">
        <v>1799</v>
      </c>
      <c r="C133" s="716" t="s">
        <v>1994</v>
      </c>
      <c r="D133" s="716" t="s">
        <v>1995</v>
      </c>
      <c r="E133" s="559">
        <v>378</v>
      </c>
      <c r="F133" s="1302" cm="1">
        <f t="array" ref="F133">+IF(SUM(VALUE(N133:Q133)*$N$7:$Q$7)=0,R133,T133)</f>
        <v>0</v>
      </c>
      <c r="G133" s="103">
        <f t="shared" si="7"/>
        <v>0</v>
      </c>
      <c r="H133" s="717">
        <v>45327</v>
      </c>
      <c r="I133" s="1303" cm="1">
        <f t="array" ref="I133">+IF(SUM(VALUE(N133:Q133)*$N$7:$Q$7)=0,S133,U133)</f>
        <v>0</v>
      </c>
      <c r="J133" s="103"/>
      <c r="K133" s="103"/>
      <c r="M133"/>
      <c r="N133" s="1300">
        <v>1</v>
      </c>
      <c r="O133" s="1300">
        <v>0</v>
      </c>
      <c r="P133" s="1300">
        <v>0</v>
      </c>
      <c r="Q133" s="1300">
        <v>0</v>
      </c>
      <c r="R133" s="1266">
        <v>540060.30000000005</v>
      </c>
      <c r="S133" s="1266">
        <v>0</v>
      </c>
      <c r="T133" s="1266">
        <f>+IF($Q133=1,$G133,INDEX([1]Summary!$K$5:$K$110,MATCH($C133,[1]Summary!$D$5:$D234,0)))</f>
        <v>0</v>
      </c>
      <c r="U133" s="1266">
        <f>+IF($Q133=1,$J133,INDEX([1]Summary!$L$5:$L$110,MATCH($C133,[1]Summary!$D$5:$D234,0)))</f>
        <v>0</v>
      </c>
      <c r="V133" s="721"/>
      <c r="W133" s="721"/>
      <c r="X133" s="721"/>
      <c r="Y133" s="721"/>
      <c r="Z133" s="721"/>
      <c r="AA133" s="721"/>
      <c r="AB133" s="721"/>
      <c r="AC133" s="721"/>
      <c r="AD133" s="721"/>
      <c r="AE133" s="105"/>
      <c r="AI133" s="105"/>
      <c r="AJ133" s="105"/>
      <c r="AN133" s="105"/>
      <c r="AO133" s="105"/>
      <c r="AP133" s="105"/>
    </row>
    <row r="134" spans="1:42" outlineLevel="1">
      <c r="A134" s="545">
        <f>MAX($A$10:A133)+1</f>
        <v>125</v>
      </c>
      <c r="B134" s="716" t="s">
        <v>1799</v>
      </c>
      <c r="C134" s="716" t="s">
        <v>1996</v>
      </c>
      <c r="D134" s="716" t="s">
        <v>1997</v>
      </c>
      <c r="E134" s="559">
        <v>376.3</v>
      </c>
      <c r="F134" s="1302" cm="1">
        <f t="array" ref="F134">+IF(SUM(VALUE(N134:Q134)*$N$7:$Q$7)=0,R134,T134)</f>
        <v>131189.38</v>
      </c>
      <c r="G134" s="103">
        <f t="shared" si="7"/>
        <v>131189.38</v>
      </c>
      <c r="H134" s="717">
        <v>45352</v>
      </c>
      <c r="I134" s="1303" cm="1">
        <f t="array" ref="I134">+IF(SUM(VALUE(N134:Q134)*$N$7:$Q$7)=0,S134,U134)</f>
        <v>0</v>
      </c>
      <c r="J134" s="103"/>
      <c r="K134" s="103"/>
      <c r="M134"/>
      <c r="N134" s="1300">
        <v>0</v>
      </c>
      <c r="O134" s="1300">
        <v>0</v>
      </c>
      <c r="P134" s="1300">
        <v>0</v>
      </c>
      <c r="Q134" s="1300">
        <v>1</v>
      </c>
      <c r="R134" s="1266">
        <v>131189.38</v>
      </c>
      <c r="S134" s="1266">
        <v>0</v>
      </c>
      <c r="T134" s="1266">
        <f>+IF($Q134=1,$G134,INDEX([1]Summary!$K$5:$K$110,MATCH($C134,[1]Summary!$D$5:$D235,0)))</f>
        <v>131189.38</v>
      </c>
      <c r="U134" s="1266">
        <f>+IF($Q134=1,$J134,INDEX([1]Summary!$L$5:$L$110,MATCH($C134,[1]Summary!$D$5:$D235,0)))</f>
        <v>0</v>
      </c>
      <c r="V134" s="721"/>
      <c r="W134" s="721"/>
      <c r="X134" s="721"/>
      <c r="Y134" s="721"/>
      <c r="Z134" s="721"/>
      <c r="AA134" s="721"/>
      <c r="AB134" s="721"/>
      <c r="AC134" s="721"/>
      <c r="AD134" s="721"/>
      <c r="AE134" s="105"/>
      <c r="AI134" s="105"/>
      <c r="AJ134" s="105"/>
      <c r="AN134" s="105"/>
      <c r="AO134" s="105"/>
      <c r="AP134" s="105"/>
    </row>
    <row r="135" spans="1:42" outlineLevel="1">
      <c r="A135" s="545">
        <f>MAX($A$10:A134)+1</f>
        <v>126</v>
      </c>
      <c r="B135" s="716" t="s">
        <v>1799</v>
      </c>
      <c r="C135" s="716" t="s">
        <v>1998</v>
      </c>
      <c r="D135" s="716" t="s">
        <v>1999</v>
      </c>
      <c r="E135" s="559">
        <v>376.3</v>
      </c>
      <c r="F135" s="1302" cm="1">
        <f t="array" ref="F135">+IF(SUM(VALUE(N135:Q135)*$N$7:$Q$7)=0,R135,T135)</f>
        <v>343875.48</v>
      </c>
      <c r="G135" s="103">
        <f t="shared" si="7"/>
        <v>343875.48</v>
      </c>
      <c r="H135" s="717">
        <v>45536</v>
      </c>
      <c r="I135" s="1303" cm="1">
        <f t="array" ref="I135">+IF(SUM(VALUE(N135:Q135)*$N$7:$Q$7)=0,S135,U135)</f>
        <v>0</v>
      </c>
      <c r="J135" s="103">
        <f>+I135</f>
        <v>0</v>
      </c>
      <c r="K135" s="103"/>
      <c r="M135"/>
      <c r="N135" s="1300">
        <v>0</v>
      </c>
      <c r="O135" s="1300">
        <v>0</v>
      </c>
      <c r="P135" s="1300">
        <v>0</v>
      </c>
      <c r="Q135" s="1300">
        <v>1</v>
      </c>
      <c r="R135" s="1266">
        <v>343875.48</v>
      </c>
      <c r="S135" s="1266">
        <v>0</v>
      </c>
      <c r="T135" s="1266">
        <f>+IF($Q135=1,$G135,INDEX([1]Summary!$K$5:$K$110,MATCH($C135,[1]Summary!$D$5:$D236,0)))</f>
        <v>343875.48</v>
      </c>
      <c r="U135" s="1266">
        <f>+IF($Q135=1,$J135,INDEX([1]Summary!$L$5:$L$110,MATCH($C135,[1]Summary!$D$5:$D236,0)))</f>
        <v>0</v>
      </c>
      <c r="V135" s="721"/>
      <c r="W135" s="721"/>
      <c r="X135" s="721"/>
      <c r="Y135" s="721"/>
      <c r="Z135" s="721"/>
      <c r="AA135" s="721"/>
      <c r="AB135" s="721"/>
      <c r="AC135" s="721"/>
      <c r="AD135" s="721"/>
      <c r="AE135" s="105"/>
      <c r="AI135" s="105"/>
      <c r="AJ135" s="105"/>
      <c r="AN135" s="105"/>
      <c r="AO135" s="105"/>
      <c r="AP135" s="105"/>
    </row>
    <row r="136" spans="1:42" outlineLevel="1">
      <c r="A136" s="545">
        <f>MAX($A$10:A135)+1</f>
        <v>127</v>
      </c>
      <c r="B136" s="716" t="s">
        <v>1799</v>
      </c>
      <c r="C136" s="716" t="s">
        <v>2000</v>
      </c>
      <c r="D136" s="716" t="s">
        <v>2001</v>
      </c>
      <c r="E136" s="559">
        <v>376.2</v>
      </c>
      <c r="F136" s="1302" cm="1">
        <f t="array" ref="F136">+IF(SUM(VALUE(N136:Q136)*$N$7:$Q$7)=0,R136,T136)</f>
        <v>63627.04733899999</v>
      </c>
      <c r="G136" s="103">
        <f t="shared" si="7"/>
        <v>63627.04733899999</v>
      </c>
      <c r="H136" s="717">
        <v>45534</v>
      </c>
      <c r="I136" s="1303" cm="1">
        <f t="array" ref="I136">+IF(SUM(VALUE(N136:Q136)*$N$7:$Q$7)=0,S136,U136)</f>
        <v>0</v>
      </c>
      <c r="J136" s="103"/>
      <c r="K136" s="103"/>
      <c r="M136"/>
      <c r="N136" s="1300">
        <v>0</v>
      </c>
      <c r="O136" s="1300">
        <v>0</v>
      </c>
      <c r="P136" s="1300">
        <v>0</v>
      </c>
      <c r="Q136" s="1300">
        <v>1</v>
      </c>
      <c r="R136" s="1266">
        <v>63627.04733899999</v>
      </c>
      <c r="S136" s="1266">
        <v>0</v>
      </c>
      <c r="T136" s="1266">
        <f>+IF($Q136=1,$G136,INDEX([1]Summary!$K$5:$K$110,MATCH($C136,[1]Summary!$D$5:$D237,0)))</f>
        <v>63627.04733899999</v>
      </c>
      <c r="U136" s="1266">
        <f>+IF($Q136=1,$J136,INDEX([1]Summary!$L$5:$L$110,MATCH($C136,[1]Summary!$D$5:$D237,0)))</f>
        <v>0</v>
      </c>
      <c r="V136" s="721"/>
      <c r="W136" s="721"/>
      <c r="X136" s="721"/>
      <c r="Y136" s="721"/>
      <c r="Z136" s="721"/>
      <c r="AA136" s="721"/>
      <c r="AB136" s="721"/>
      <c r="AC136" s="721"/>
      <c r="AD136" s="721"/>
      <c r="AE136" s="105"/>
      <c r="AI136" s="105"/>
      <c r="AJ136" s="105"/>
      <c r="AN136" s="105"/>
      <c r="AO136" s="105"/>
      <c r="AP136" s="105"/>
    </row>
    <row r="137" spans="1:42" outlineLevel="1">
      <c r="A137" s="545">
        <f>MAX($A$10:A136)+1</f>
        <v>128</v>
      </c>
      <c r="B137" s="716" t="s">
        <v>1799</v>
      </c>
      <c r="C137" s="716" t="s">
        <v>2002</v>
      </c>
      <c r="D137" s="716" t="s">
        <v>2003</v>
      </c>
      <c r="E137" s="559">
        <v>378</v>
      </c>
      <c r="F137" s="1302" cm="1">
        <f t="array" ref="F137">+IF(SUM(VALUE(N137:Q137)*$N$7:$Q$7)=0,R137,T137)</f>
        <v>206332.31882699998</v>
      </c>
      <c r="G137" s="103">
        <f t="shared" si="7"/>
        <v>206332.31882699998</v>
      </c>
      <c r="H137" s="717">
        <v>45596</v>
      </c>
      <c r="I137" s="1303" cm="1">
        <f t="array" ref="I137">+IF(SUM(VALUE(N137:Q137)*$N$7:$Q$7)=0,S137,U137)</f>
        <v>0</v>
      </c>
      <c r="J137" s="103"/>
      <c r="K137" s="103"/>
      <c r="M137"/>
      <c r="N137" s="1300">
        <v>0</v>
      </c>
      <c r="O137" s="1300">
        <v>0</v>
      </c>
      <c r="P137" s="1300">
        <v>0</v>
      </c>
      <c r="Q137" s="1300">
        <v>1</v>
      </c>
      <c r="R137" s="1266">
        <v>206332.31882699998</v>
      </c>
      <c r="S137" s="1266">
        <v>0</v>
      </c>
      <c r="T137" s="1266">
        <f>+IF($Q137=1,$G137,INDEX([1]Summary!$K$5:$K$110,MATCH($C137,[1]Summary!$D$5:$D238,0)))</f>
        <v>206332.31882699998</v>
      </c>
      <c r="U137" s="1266">
        <f>+IF($Q137=1,$J137,INDEX([1]Summary!$L$5:$L$110,MATCH($C137,[1]Summary!$D$5:$D238,0)))</f>
        <v>0</v>
      </c>
      <c r="V137" s="721"/>
      <c r="W137" s="721"/>
      <c r="X137" s="721"/>
      <c r="Y137" s="721"/>
      <c r="Z137" s="721"/>
      <c r="AA137" s="721"/>
      <c r="AB137" s="721"/>
      <c r="AC137" s="721"/>
      <c r="AD137" s="721"/>
      <c r="AE137" s="105"/>
      <c r="AI137" s="105"/>
      <c r="AJ137" s="105"/>
      <c r="AN137" s="105"/>
      <c r="AO137" s="105"/>
      <c r="AP137" s="105"/>
    </row>
    <row r="138" spans="1:42" outlineLevel="1">
      <c r="A138" s="545">
        <f>MAX($A$10:A137)+1</f>
        <v>129</v>
      </c>
      <c r="B138" s="716" t="s">
        <v>1799</v>
      </c>
      <c r="C138" s="716" t="s">
        <v>2004</v>
      </c>
      <c r="D138" s="716" t="s">
        <v>2005</v>
      </c>
      <c r="E138" s="559">
        <v>377</v>
      </c>
      <c r="F138" s="1302" cm="1">
        <f t="array" ref="F138">+IF(SUM(VALUE(N138:Q138)*$N$7:$Q$7)=0,R138,T138)</f>
        <v>147143.04999999999</v>
      </c>
      <c r="G138" s="103">
        <f t="shared" si="7"/>
        <v>147143.04999999999</v>
      </c>
      <c r="H138" s="717">
        <v>45565</v>
      </c>
      <c r="I138" s="1303" cm="1">
        <f t="array" ref="I138">+IF(SUM(VALUE(N138:Q138)*$N$7:$Q$7)=0,S138,U138)</f>
        <v>0</v>
      </c>
      <c r="J138" s="103">
        <f>+I138</f>
        <v>0</v>
      </c>
      <c r="K138" s="103"/>
      <c r="M138"/>
      <c r="N138" s="1300">
        <v>0</v>
      </c>
      <c r="O138" s="1300">
        <v>0</v>
      </c>
      <c r="P138" s="1300">
        <v>0</v>
      </c>
      <c r="Q138" s="1300">
        <v>1</v>
      </c>
      <c r="R138" s="1266">
        <v>147143.04999999999</v>
      </c>
      <c r="S138" s="1266">
        <v>0</v>
      </c>
      <c r="T138" s="1266">
        <f>+IF($Q138=1,$G138,INDEX([1]Summary!$K$5:$K$110,MATCH($C138,[1]Summary!$D$5:$D239,0)))</f>
        <v>147143.04999999999</v>
      </c>
      <c r="U138" s="1266">
        <f>+IF($Q138=1,$J138,INDEX([1]Summary!$L$5:$L$110,MATCH($C138,[1]Summary!$D$5:$D239,0)))</f>
        <v>0</v>
      </c>
      <c r="V138" s="721"/>
      <c r="W138" s="721"/>
      <c r="X138" s="721"/>
      <c r="Y138" s="721"/>
      <c r="Z138" s="721"/>
      <c r="AA138" s="721"/>
      <c r="AB138" s="721"/>
      <c r="AC138" s="721"/>
      <c r="AD138" s="721"/>
      <c r="AE138" s="105"/>
      <c r="AI138" s="105"/>
      <c r="AJ138" s="105"/>
      <c r="AN138" s="105"/>
      <c r="AO138" s="105"/>
      <c r="AP138" s="105"/>
    </row>
    <row r="139" spans="1:42" outlineLevel="1">
      <c r="A139" s="545">
        <f>MAX($A$10:A138)+1</f>
        <v>130</v>
      </c>
      <c r="B139" s="716" t="s">
        <v>1799</v>
      </c>
      <c r="C139" s="716" t="s">
        <v>2006</v>
      </c>
      <c r="D139" s="716" t="s">
        <v>2007</v>
      </c>
      <c r="E139" s="559">
        <v>385</v>
      </c>
      <c r="F139" s="1302" cm="1">
        <f t="array" ref="F139">+IF(SUM(VALUE(N139:Q139)*$N$7:$Q$7)=0,R139,T139)</f>
        <v>0</v>
      </c>
      <c r="G139" s="103">
        <f t="shared" si="7"/>
        <v>0</v>
      </c>
      <c r="H139" s="717">
        <v>45595</v>
      </c>
      <c r="I139" s="1303" cm="1">
        <f t="array" ref="I139">+IF(SUM(VALUE(N139:Q139)*$N$7:$Q$7)=0,S139,U139)</f>
        <v>0</v>
      </c>
      <c r="J139" s="103">
        <f>+I139</f>
        <v>0</v>
      </c>
      <c r="K139" s="103"/>
      <c r="M139"/>
      <c r="N139" s="1300">
        <v>1</v>
      </c>
      <c r="O139" s="1300">
        <v>0</v>
      </c>
      <c r="P139" s="1300">
        <v>0</v>
      </c>
      <c r="Q139" s="1300">
        <v>0</v>
      </c>
      <c r="R139" s="1266">
        <v>200050.77</v>
      </c>
      <c r="S139" s="1266">
        <v>0</v>
      </c>
      <c r="T139" s="1266">
        <f>+IF($Q139=1,$G139,INDEX([1]Summary!$K$5:$K$110,MATCH($C139,[1]Summary!$D$5:$D240,0)))</f>
        <v>0</v>
      </c>
      <c r="U139" s="1266">
        <f>+IF($Q139=1,$J139,INDEX([1]Summary!$L$5:$L$110,MATCH($C139,[1]Summary!$D$5:$D240,0)))</f>
        <v>0</v>
      </c>
      <c r="V139" s="721"/>
      <c r="W139" s="721"/>
      <c r="X139" s="721"/>
      <c r="Y139" s="721"/>
      <c r="Z139" s="721"/>
      <c r="AA139" s="721"/>
      <c r="AB139" s="721"/>
      <c r="AC139" s="721"/>
      <c r="AD139" s="721"/>
      <c r="AE139" s="105"/>
      <c r="AI139" s="105"/>
      <c r="AJ139" s="105"/>
      <c r="AN139" s="105"/>
      <c r="AO139" s="105"/>
      <c r="AP139" s="105"/>
    </row>
    <row r="140" spans="1:42" outlineLevel="1">
      <c r="A140" s="545">
        <f>MAX($A$10:A139)+1</f>
        <v>131</v>
      </c>
      <c r="B140" s="716" t="s">
        <v>1799</v>
      </c>
      <c r="C140" s="716" t="s">
        <v>2008</v>
      </c>
      <c r="D140" s="716" t="s">
        <v>2009</v>
      </c>
      <c r="E140" s="559">
        <v>377</v>
      </c>
      <c r="F140" s="1302" cm="1">
        <f t="array" ref="F140">+IF(SUM(VALUE(N140:Q140)*$N$7:$Q$7)=0,R140,T140)</f>
        <v>18881.810000000001</v>
      </c>
      <c r="G140" s="103">
        <f t="shared" si="7"/>
        <v>18881.810000000001</v>
      </c>
      <c r="H140" s="717">
        <v>45350</v>
      </c>
      <c r="I140" s="1303" cm="1">
        <f t="array" ref="I140">+IF(SUM(VALUE(N140:Q140)*$N$7:$Q$7)=0,S140,U140)</f>
        <v>0</v>
      </c>
      <c r="J140" s="103"/>
      <c r="K140" s="103"/>
      <c r="M140"/>
      <c r="N140" s="1300">
        <v>0</v>
      </c>
      <c r="O140" s="1300">
        <v>0</v>
      </c>
      <c r="P140" s="1300">
        <v>0</v>
      </c>
      <c r="Q140" s="1300">
        <v>1</v>
      </c>
      <c r="R140" s="1266">
        <v>18881.810000000001</v>
      </c>
      <c r="S140" s="1266">
        <v>0</v>
      </c>
      <c r="T140" s="1266">
        <f>+IF($Q140=1,$G140,INDEX([1]Summary!$K$5:$K$110,MATCH($C140,[1]Summary!$D$5:$D241,0)))</f>
        <v>18881.810000000001</v>
      </c>
      <c r="U140" s="1266">
        <f>+IF($Q140=1,$J140,INDEX([1]Summary!$L$5:$L$110,MATCH($C140,[1]Summary!$D$5:$D241,0)))</f>
        <v>0</v>
      </c>
      <c r="V140" s="721"/>
      <c r="W140" s="721"/>
      <c r="X140" s="721"/>
      <c r="Y140" s="721"/>
      <c r="Z140" s="721"/>
      <c r="AA140" s="721"/>
      <c r="AB140" s="721"/>
      <c r="AC140" s="721"/>
      <c r="AD140" s="721"/>
      <c r="AE140" s="105"/>
      <c r="AI140" s="105"/>
      <c r="AJ140" s="105"/>
      <c r="AN140" s="105"/>
      <c r="AO140" s="105"/>
      <c r="AP140" s="105"/>
    </row>
    <row r="141" spans="1:42" outlineLevel="1">
      <c r="A141" s="545">
        <f>MAX($A$10:A140)+1</f>
        <v>132</v>
      </c>
      <c r="B141" s="716" t="s">
        <v>1799</v>
      </c>
      <c r="C141" s="716" t="s">
        <v>2010</v>
      </c>
      <c r="D141" s="716" t="s">
        <v>2011</v>
      </c>
      <c r="E141" s="559">
        <v>378</v>
      </c>
      <c r="F141" s="1302" cm="1">
        <f t="array" ref="F141">+IF(SUM(VALUE(N141:Q141)*$N$7:$Q$7)=0,R141,T141)</f>
        <v>55851.398262000002</v>
      </c>
      <c r="G141" s="103">
        <f t="shared" si="7"/>
        <v>55851.398262000002</v>
      </c>
      <c r="H141" s="717">
        <v>45350</v>
      </c>
      <c r="I141" s="1303" cm="1">
        <f t="array" ref="I141">+IF(SUM(VALUE(N141:Q141)*$N$7:$Q$7)=0,S141,U141)</f>
        <v>0</v>
      </c>
      <c r="J141" s="103"/>
      <c r="K141" s="103"/>
      <c r="M141"/>
      <c r="N141" s="1300">
        <v>0</v>
      </c>
      <c r="O141" s="1300">
        <v>0</v>
      </c>
      <c r="P141" s="1300">
        <v>0</v>
      </c>
      <c r="Q141" s="1300">
        <v>1</v>
      </c>
      <c r="R141" s="1266">
        <v>55851.398262000002</v>
      </c>
      <c r="S141" s="1266">
        <v>0</v>
      </c>
      <c r="T141" s="1266">
        <f>+IF($Q141=1,$G141,INDEX([1]Summary!$K$5:$K$110,MATCH($C141,[1]Summary!$D$5:$D242,0)))</f>
        <v>55851.398262000002</v>
      </c>
      <c r="U141" s="1266">
        <f>+IF($Q141=1,$J141,INDEX([1]Summary!$L$5:$L$110,MATCH($C141,[1]Summary!$D$5:$D242,0)))</f>
        <v>0</v>
      </c>
      <c r="V141" s="721"/>
      <c r="W141" s="721"/>
      <c r="X141" s="721"/>
      <c r="Y141" s="721"/>
      <c r="Z141" s="721"/>
      <c r="AA141" s="721"/>
      <c r="AB141" s="721"/>
      <c r="AC141" s="721"/>
      <c r="AD141" s="721"/>
      <c r="AE141" s="105"/>
      <c r="AI141" s="105"/>
      <c r="AJ141" s="105"/>
      <c r="AN141" s="105"/>
      <c r="AO141" s="105"/>
      <c r="AP141" s="105"/>
    </row>
    <row r="142" spans="1:42" outlineLevel="1">
      <c r="A142" s="545">
        <f>MAX($A$10:A141)+1</f>
        <v>133</v>
      </c>
      <c r="B142" s="716" t="s">
        <v>1799</v>
      </c>
      <c r="C142" s="716" t="s">
        <v>2012</v>
      </c>
      <c r="D142" s="716" t="s">
        <v>2013</v>
      </c>
      <c r="E142" s="559">
        <v>376.2</v>
      </c>
      <c r="F142" s="1302" cm="1">
        <f t="array" ref="F142">+IF(SUM(VALUE(N142:Q142)*$N$7:$Q$7)=0,R142,T142)</f>
        <v>0</v>
      </c>
      <c r="G142" s="103">
        <f t="shared" si="7"/>
        <v>0</v>
      </c>
      <c r="H142" s="717">
        <v>45595</v>
      </c>
      <c r="I142" s="1303" cm="1">
        <f t="array" ref="I142">+IF(SUM(VALUE(N142:Q142)*$N$7:$Q$7)=0,S142,U142)</f>
        <v>0</v>
      </c>
      <c r="J142" s="103">
        <f t="shared" ref="J142:J149" si="9">+I142</f>
        <v>0</v>
      </c>
      <c r="K142" s="103"/>
      <c r="M142"/>
      <c r="N142" s="1300">
        <v>1</v>
      </c>
      <c r="O142" s="1300">
        <v>0</v>
      </c>
      <c r="P142" s="1300">
        <v>0</v>
      </c>
      <c r="Q142" s="1300">
        <v>0</v>
      </c>
      <c r="R142" s="1266">
        <v>1934355.9500000002</v>
      </c>
      <c r="S142" s="1266">
        <v>0</v>
      </c>
      <c r="T142" s="1266">
        <f>+IF($Q142=1,$G142,INDEX([1]Summary!$K$5:$K$110,MATCH($C142,[1]Summary!$D$5:$D243,0)))</f>
        <v>0</v>
      </c>
      <c r="U142" s="1266">
        <f>+IF($Q142=1,$J142,INDEX([1]Summary!$L$5:$L$110,MATCH($C142,[1]Summary!$D$5:$D243,0)))</f>
        <v>0</v>
      </c>
      <c r="V142" s="721"/>
      <c r="W142" s="721"/>
      <c r="X142" s="721"/>
      <c r="Y142" s="721"/>
      <c r="Z142" s="721"/>
      <c r="AA142" s="721"/>
      <c r="AB142" s="721"/>
      <c r="AC142" s="721"/>
      <c r="AD142" s="721"/>
      <c r="AE142" s="105"/>
      <c r="AI142" s="105"/>
      <c r="AJ142" s="105"/>
      <c r="AN142" s="105"/>
      <c r="AO142" s="105"/>
      <c r="AP142" s="105"/>
    </row>
    <row r="143" spans="1:42" outlineLevel="1">
      <c r="A143" s="545">
        <f>MAX($A$10:A142)+1</f>
        <v>134</v>
      </c>
      <c r="B143" s="716" t="s">
        <v>1799</v>
      </c>
      <c r="C143" s="720" t="s">
        <v>2014</v>
      </c>
      <c r="D143" s="720" t="s">
        <v>2015</v>
      </c>
      <c r="E143" s="559">
        <v>378</v>
      </c>
      <c r="F143" s="1302" cm="1">
        <f t="array" ref="F143">+IF(SUM(VALUE(N143:Q143)*$N$7:$Q$7)=0,R143,T143)</f>
        <v>0</v>
      </c>
      <c r="G143" s="103">
        <f t="shared" si="7"/>
        <v>0</v>
      </c>
      <c r="H143" s="721"/>
      <c r="I143" s="1303" cm="1">
        <f t="array" ref="I143">+IF(SUM(VALUE(N143:Q143)*$N$7:$Q$7)=0,S143,U143)</f>
        <v>0</v>
      </c>
      <c r="J143" s="103">
        <f t="shared" si="9"/>
        <v>0</v>
      </c>
      <c r="K143" s="717">
        <v>45667</v>
      </c>
      <c r="M143"/>
      <c r="N143" s="1300">
        <v>1</v>
      </c>
      <c r="O143" s="1300">
        <v>0</v>
      </c>
      <c r="P143" s="1300">
        <v>0</v>
      </c>
      <c r="Q143" s="1300">
        <v>0</v>
      </c>
      <c r="R143" s="1266">
        <v>0</v>
      </c>
      <c r="S143" s="1266">
        <v>886934.01</v>
      </c>
      <c r="T143" s="1266">
        <f>+IF($Q143=1,$G143,INDEX([1]Summary!$K$5:$K$110,MATCH($C143,[1]Summary!$D$5:$D244,0)))</f>
        <v>0</v>
      </c>
      <c r="U143" s="1266">
        <f>+IF($Q143=1,$J143,INDEX([1]Summary!$L$5:$L$110,MATCH($C143,[1]Summary!$D$5:$D244,0)))</f>
        <v>0</v>
      </c>
      <c r="V143" s="721"/>
      <c r="W143" s="721"/>
      <c r="X143" s="721"/>
      <c r="Y143" s="721"/>
      <c r="Z143" s="721"/>
      <c r="AA143" s="721"/>
      <c r="AB143" s="721"/>
      <c r="AC143" s="721"/>
      <c r="AD143" s="721"/>
      <c r="AE143" s="105"/>
      <c r="AI143" s="105"/>
      <c r="AJ143" s="105"/>
      <c r="AN143" s="105"/>
      <c r="AO143" s="105"/>
      <c r="AP143" s="105"/>
    </row>
    <row r="144" spans="1:42" outlineLevel="1">
      <c r="A144" s="545">
        <f>MAX($A$10:A143)+1</f>
        <v>135</v>
      </c>
      <c r="B144" s="716" t="s">
        <v>1799</v>
      </c>
      <c r="C144" s="716" t="s">
        <v>2016</v>
      </c>
      <c r="D144" s="716" t="s">
        <v>2017</v>
      </c>
      <c r="E144" s="559">
        <v>378</v>
      </c>
      <c r="F144" s="1302" cm="1">
        <f t="array" ref="F144">+IF(SUM(VALUE(N144:Q144)*$N$7:$Q$7)=0,R144,T144)</f>
        <v>0</v>
      </c>
      <c r="G144" s="103">
        <f t="shared" si="7"/>
        <v>0</v>
      </c>
      <c r="H144" s="717">
        <v>45641</v>
      </c>
      <c r="I144" s="1303" cm="1">
        <f t="array" ref="I144">+IF(SUM(VALUE(N144:Q144)*$N$7:$Q$7)=0,S144,U144)</f>
        <v>0</v>
      </c>
      <c r="J144" s="103">
        <f t="shared" si="9"/>
        <v>0</v>
      </c>
      <c r="K144" s="103"/>
      <c r="M144"/>
      <c r="N144" s="1300">
        <v>1</v>
      </c>
      <c r="O144" s="1300">
        <v>0</v>
      </c>
      <c r="P144" s="1300">
        <v>0</v>
      </c>
      <c r="Q144" s="1300">
        <v>0</v>
      </c>
      <c r="R144" s="1266">
        <v>789230.02</v>
      </c>
      <c r="S144" s="1266">
        <v>0</v>
      </c>
      <c r="T144" s="1266">
        <f>+IF($Q144=1,$G144,INDEX([1]Summary!$K$5:$K$110,MATCH($C144,[1]Summary!$D$5:$D245,0)))</f>
        <v>0</v>
      </c>
      <c r="U144" s="1266">
        <f>+IF($Q144=1,$J144,INDEX([1]Summary!$L$5:$L$110,MATCH($C144,[1]Summary!$D$5:$D245,0)))</f>
        <v>0</v>
      </c>
      <c r="V144" s="721"/>
      <c r="W144" s="721"/>
      <c r="X144" s="721"/>
      <c r="Y144" s="721"/>
      <c r="Z144" s="721"/>
      <c r="AA144" s="721"/>
      <c r="AB144" s="721"/>
      <c r="AC144" s="721"/>
      <c r="AD144" s="721"/>
      <c r="AE144" s="105"/>
      <c r="AI144" s="105"/>
      <c r="AJ144" s="105"/>
      <c r="AN144" s="105"/>
      <c r="AO144" s="105"/>
      <c r="AP144" s="105"/>
    </row>
    <row r="145" spans="1:42" outlineLevel="1">
      <c r="A145" s="545">
        <f>MAX($A$10:A144)+1</f>
        <v>136</v>
      </c>
      <c r="B145" s="716" t="s">
        <v>1799</v>
      </c>
      <c r="C145" s="716" t="s">
        <v>2018</v>
      </c>
      <c r="D145" s="716" t="s">
        <v>2019</v>
      </c>
      <c r="E145" s="559">
        <v>376.2</v>
      </c>
      <c r="F145" s="1302" cm="1">
        <f t="array" ref="F145">+IF(SUM(VALUE(N145:Q145)*$N$7:$Q$7)=0,R145,T145)</f>
        <v>306877.8</v>
      </c>
      <c r="G145" s="103">
        <f t="shared" si="7"/>
        <v>306877.8</v>
      </c>
      <c r="H145" s="717">
        <v>45444</v>
      </c>
      <c r="I145" s="1303" cm="1">
        <f t="array" ref="I145">+IF(SUM(VALUE(N145:Q145)*$N$7:$Q$7)=0,S145,U145)</f>
        <v>0</v>
      </c>
      <c r="J145" s="103">
        <f t="shared" si="9"/>
        <v>0</v>
      </c>
      <c r="K145" s="103"/>
      <c r="M145"/>
      <c r="N145" s="1300">
        <v>0</v>
      </c>
      <c r="O145" s="1300">
        <v>0</v>
      </c>
      <c r="P145" s="1300">
        <v>0</v>
      </c>
      <c r="Q145" s="1300">
        <v>1</v>
      </c>
      <c r="R145" s="1266">
        <v>306877.8</v>
      </c>
      <c r="S145" s="1266">
        <v>0</v>
      </c>
      <c r="T145" s="1266">
        <f>+IF($Q145=1,$G145,INDEX([1]Summary!$K$5:$K$110,MATCH($C145,[1]Summary!$D$5:$D246,0)))</f>
        <v>306877.8</v>
      </c>
      <c r="U145" s="1266">
        <f>+IF($Q145=1,$J145,INDEX([1]Summary!$L$5:$L$110,MATCH($C145,[1]Summary!$D$5:$D246,0)))</f>
        <v>0</v>
      </c>
      <c r="V145" s="721"/>
      <c r="W145" s="721"/>
      <c r="X145" s="721"/>
      <c r="Y145" s="721"/>
      <c r="Z145" s="721"/>
      <c r="AA145" s="721"/>
      <c r="AB145" s="721"/>
      <c r="AC145" s="721"/>
      <c r="AD145" s="721"/>
      <c r="AE145" s="105"/>
      <c r="AI145" s="105"/>
      <c r="AJ145" s="105"/>
      <c r="AN145" s="105"/>
      <c r="AO145" s="105"/>
      <c r="AP145" s="105"/>
    </row>
    <row r="146" spans="1:42" outlineLevel="1">
      <c r="A146" s="545">
        <f>MAX($A$10:A145)+1</f>
        <v>137</v>
      </c>
      <c r="B146" s="716" t="s">
        <v>1799</v>
      </c>
      <c r="C146" s="720" t="s">
        <v>2020</v>
      </c>
      <c r="D146" s="720" t="s">
        <v>2021</v>
      </c>
      <c r="E146" s="559">
        <v>376.3</v>
      </c>
      <c r="F146" s="1302" cm="1">
        <f t="array" ref="F146">+IF(SUM(VALUE(N146:Q146)*$N$7:$Q$7)=0,R146,T146)</f>
        <v>0</v>
      </c>
      <c r="G146" s="103">
        <f t="shared" si="7"/>
        <v>0</v>
      </c>
      <c r="I146" s="1303" cm="1">
        <f t="array" ref="I146">+IF(SUM(VALUE(N146:Q146)*$N$7:$Q$7)=0,S146,U146)</f>
        <v>175206.26</v>
      </c>
      <c r="J146" s="103">
        <f t="shared" si="9"/>
        <v>175206.26</v>
      </c>
      <c r="K146" s="717">
        <v>45853</v>
      </c>
      <c r="M146"/>
      <c r="N146" s="1300">
        <v>0</v>
      </c>
      <c r="O146" s="1300">
        <v>0</v>
      </c>
      <c r="P146" s="1300">
        <v>0</v>
      </c>
      <c r="Q146" s="1300">
        <v>1</v>
      </c>
      <c r="R146" s="1266">
        <v>0</v>
      </c>
      <c r="S146" s="1266">
        <v>175206.26</v>
      </c>
      <c r="T146" s="1266">
        <f>+IF($Q146=1,$G146,INDEX([1]Summary!$K$5:$K$110,MATCH($C146,[1]Summary!$D$5:$D247,0)))</f>
        <v>0</v>
      </c>
      <c r="U146" s="1266">
        <f>+IF($Q146=1,$J146,INDEX([1]Summary!$L$5:$L$110,MATCH($C146,[1]Summary!$D$5:$D247,0)))</f>
        <v>175206.26</v>
      </c>
      <c r="V146" s="721"/>
      <c r="W146" s="721"/>
      <c r="X146" s="721"/>
      <c r="Y146" s="721"/>
      <c r="Z146" s="721"/>
      <c r="AA146" s="721"/>
      <c r="AB146" s="721"/>
      <c r="AC146" s="721"/>
      <c r="AD146" s="721"/>
      <c r="AE146" s="105"/>
      <c r="AI146" s="105"/>
      <c r="AJ146" s="105"/>
      <c r="AN146" s="105"/>
      <c r="AO146" s="105"/>
      <c r="AP146" s="105"/>
    </row>
    <row r="147" spans="1:42" outlineLevel="1">
      <c r="A147" s="545">
        <f>MAX($A$10:A146)+1</f>
        <v>138</v>
      </c>
      <c r="B147" s="716" t="s">
        <v>1799</v>
      </c>
      <c r="C147" s="716" t="s">
        <v>2022</v>
      </c>
      <c r="D147" s="716" t="s">
        <v>2023</v>
      </c>
      <c r="E147" s="559">
        <v>378</v>
      </c>
      <c r="F147" s="1302" cm="1">
        <f t="array" ref="F147">+IF(SUM(VALUE(N147:Q147)*$N$7:$Q$7)=0,R147,T147)</f>
        <v>292793.3</v>
      </c>
      <c r="G147" s="103">
        <f t="shared" si="7"/>
        <v>292793.3</v>
      </c>
      <c r="H147" s="717">
        <v>45458</v>
      </c>
      <c r="I147" s="1303" cm="1">
        <f t="array" ref="I147">+IF(SUM(VALUE(N147:Q147)*$N$7:$Q$7)=0,S147,U147)</f>
        <v>0</v>
      </c>
      <c r="J147" s="103">
        <f t="shared" si="9"/>
        <v>0</v>
      </c>
      <c r="K147" s="103"/>
      <c r="M147"/>
      <c r="N147" s="1300">
        <v>0</v>
      </c>
      <c r="O147" s="1300">
        <v>0</v>
      </c>
      <c r="P147" s="1300">
        <v>0</v>
      </c>
      <c r="Q147" s="1300">
        <v>1</v>
      </c>
      <c r="R147" s="1266">
        <v>292793.3</v>
      </c>
      <c r="S147" s="1266">
        <v>0</v>
      </c>
      <c r="T147" s="1266">
        <f>+IF($Q147=1,$G147,INDEX([1]Summary!$K$5:$K$110,MATCH($C147,[1]Summary!$D$5:$D248,0)))</f>
        <v>292793.3</v>
      </c>
      <c r="U147" s="1266">
        <f>+IF($Q147=1,$J147,INDEX([1]Summary!$L$5:$L$110,MATCH($C147,[1]Summary!$D$5:$D248,0)))</f>
        <v>0</v>
      </c>
      <c r="V147" s="721"/>
      <c r="W147" s="721"/>
      <c r="X147" s="721"/>
      <c r="Y147" s="721"/>
      <c r="Z147" s="721"/>
      <c r="AA147" s="721"/>
      <c r="AB147" s="721"/>
      <c r="AC147" s="721"/>
      <c r="AD147" s="721"/>
      <c r="AE147" s="105"/>
      <c r="AI147" s="105"/>
      <c r="AJ147" s="105"/>
      <c r="AN147" s="105"/>
      <c r="AO147" s="105"/>
      <c r="AP147" s="105"/>
    </row>
    <row r="148" spans="1:42" outlineLevel="1">
      <c r="A148" s="545">
        <f>MAX($A$10:A147)+1</f>
        <v>139</v>
      </c>
      <c r="B148" s="716" t="s">
        <v>1799</v>
      </c>
      <c r="C148" s="716" t="s">
        <v>2024</v>
      </c>
      <c r="D148" s="716" t="s">
        <v>2025</v>
      </c>
      <c r="E148" s="559">
        <v>367.1</v>
      </c>
      <c r="F148" s="1302" cm="1">
        <f t="array" ref="F148">+IF(SUM(VALUE(N148:Q148)*$N$7:$Q$7)=0,R148,T148)</f>
        <v>0</v>
      </c>
      <c r="G148" s="103">
        <f t="shared" si="7"/>
        <v>0</v>
      </c>
      <c r="H148" s="717">
        <v>45626</v>
      </c>
      <c r="I148" s="1303" cm="1">
        <f t="array" ref="I148">+IF(SUM(VALUE(N148:Q148)*$N$7:$Q$7)=0,S148,U148)</f>
        <v>2632121.5699999998</v>
      </c>
      <c r="J148" s="103">
        <f t="shared" si="9"/>
        <v>2632121.5699999998</v>
      </c>
      <c r="K148" s="103"/>
      <c r="M148"/>
      <c r="N148" s="1300">
        <v>0</v>
      </c>
      <c r="O148" s="1300">
        <v>1</v>
      </c>
      <c r="P148" s="1300">
        <v>0</v>
      </c>
      <c r="Q148" s="1300">
        <v>0</v>
      </c>
      <c r="R148" s="1266">
        <v>2632121.5699999998</v>
      </c>
      <c r="S148" s="1266">
        <v>0</v>
      </c>
      <c r="T148" s="1266">
        <f>+IF($Q148=1,$G148,INDEX([1]Summary!$K$5:$K$110,MATCH($C148,[1]Summary!$D$5:$D249,0)))</f>
        <v>0</v>
      </c>
      <c r="U148" s="1266">
        <f>+IF($Q148=1,$J148,INDEX([1]Summary!$L$5:$L$110,MATCH($C148,[1]Summary!$D$5:$D249,0)))</f>
        <v>2632121.5699999998</v>
      </c>
      <c r="V148" s="721"/>
      <c r="W148" s="721"/>
      <c r="X148" s="721"/>
      <c r="Y148" s="721"/>
      <c r="Z148" s="721"/>
      <c r="AA148" s="721"/>
      <c r="AB148" s="721"/>
      <c r="AC148" s="721"/>
      <c r="AD148" s="721"/>
      <c r="AE148" s="105"/>
      <c r="AI148" s="105"/>
      <c r="AJ148" s="105"/>
      <c r="AN148" s="105"/>
      <c r="AO148" s="105"/>
      <c r="AP148" s="105"/>
    </row>
    <row r="149" spans="1:42" outlineLevel="1">
      <c r="A149" s="545">
        <f>MAX($A$10:A148)+1</f>
        <v>140</v>
      </c>
      <c r="B149" s="716" t="s">
        <v>1799</v>
      </c>
      <c r="C149" s="720" t="s">
        <v>2026</v>
      </c>
      <c r="D149" s="720" t="s">
        <v>2027</v>
      </c>
      <c r="E149" s="559">
        <v>378</v>
      </c>
      <c r="F149" s="1302" cm="1">
        <f t="array" ref="F149">+IF(SUM(VALUE(N149:Q149)*$N$7:$Q$7)=0,R149,T149)</f>
        <v>0</v>
      </c>
      <c r="G149" s="103"/>
      <c r="I149" s="1303" cm="1">
        <f t="array" ref="I149">+IF(SUM(VALUE(N149:Q149)*$N$7:$Q$7)=0,S149,U149)</f>
        <v>187404.35</v>
      </c>
      <c r="J149" s="103">
        <f t="shared" si="9"/>
        <v>187404.35</v>
      </c>
      <c r="K149" s="717">
        <v>45976</v>
      </c>
      <c r="M149"/>
      <c r="N149" s="1300">
        <v>0</v>
      </c>
      <c r="O149" s="1300">
        <v>0</v>
      </c>
      <c r="P149" s="1300">
        <v>0</v>
      </c>
      <c r="Q149" s="1300">
        <v>1</v>
      </c>
      <c r="R149" s="1266">
        <v>0</v>
      </c>
      <c r="S149" s="1266">
        <v>187404.35</v>
      </c>
      <c r="T149" s="1266">
        <f>+IF($Q149=1,$G149,INDEX([1]Summary!$K$5:$K$110,MATCH($C149,[1]Summary!$D$5:$D250,0)))</f>
        <v>0</v>
      </c>
      <c r="U149" s="1266">
        <f>+IF($Q149=1,$J149,INDEX([1]Summary!$L$5:$L$110,MATCH($C149,[1]Summary!$D$5:$D250,0)))</f>
        <v>187404.35</v>
      </c>
      <c r="V149" s="721"/>
      <c r="W149" s="721"/>
      <c r="X149" s="721"/>
      <c r="Y149" s="721"/>
      <c r="Z149" s="721"/>
      <c r="AA149" s="721"/>
      <c r="AB149" s="721"/>
      <c r="AC149" s="721"/>
      <c r="AD149" s="721"/>
      <c r="AE149" s="105"/>
      <c r="AI149" s="105"/>
      <c r="AJ149" s="105"/>
      <c r="AN149" s="105"/>
      <c r="AO149" s="105"/>
      <c r="AP149" s="105"/>
    </row>
    <row r="150" spans="1:42" outlineLevel="1">
      <c r="A150" s="545">
        <f>MAX($A$10:A149)+1</f>
        <v>141</v>
      </c>
      <c r="B150" s="716" t="s">
        <v>1799</v>
      </c>
      <c r="C150" s="720" t="s">
        <v>2028</v>
      </c>
      <c r="D150" s="720" t="s">
        <v>2029</v>
      </c>
      <c r="E150" s="559">
        <v>376.1</v>
      </c>
      <c r="F150" s="1302" cm="1">
        <f t="array" ref="F150">+IF(SUM(VALUE(N150:Q150)*$N$7:$Q$7)=0,R150,T150)</f>
        <v>72206.34</v>
      </c>
      <c r="G150" s="103">
        <f t="shared" ref="G150:G182" si="10">+F150</f>
        <v>72206.34</v>
      </c>
      <c r="H150" s="721">
        <v>45321</v>
      </c>
      <c r="I150" s="1303" cm="1">
        <f t="array" ref="I150">+IF(SUM(VALUE(N150:Q150)*$N$7:$Q$7)=0,S150,U150)</f>
        <v>0</v>
      </c>
      <c r="J150" s="103"/>
      <c r="K150" s="717"/>
      <c r="M150"/>
      <c r="N150" s="1300">
        <v>0</v>
      </c>
      <c r="O150" s="1300">
        <v>0</v>
      </c>
      <c r="P150" s="1300">
        <v>0</v>
      </c>
      <c r="Q150" s="1300">
        <v>1</v>
      </c>
      <c r="R150" s="1266">
        <v>72206.34</v>
      </c>
      <c r="S150" s="1266">
        <v>0</v>
      </c>
      <c r="T150" s="1266">
        <f>+IF($Q150=1,$G150,INDEX([1]Summary!$K$5:$K$110,MATCH($C150,[1]Summary!$D$5:$D251,0)))</f>
        <v>72206.34</v>
      </c>
      <c r="U150" s="1266">
        <f>+IF($Q150=1,$J150,INDEX([1]Summary!$L$5:$L$110,MATCH($C150,[1]Summary!$D$5:$D251,0)))</f>
        <v>0</v>
      </c>
      <c r="V150" s="721"/>
      <c r="W150" s="721"/>
      <c r="X150" s="721"/>
      <c r="Y150" s="721"/>
      <c r="Z150" s="721"/>
      <c r="AA150" s="721"/>
      <c r="AB150" s="721"/>
      <c r="AC150" s="721"/>
      <c r="AD150" s="721"/>
      <c r="AE150" s="105"/>
      <c r="AI150" s="105"/>
      <c r="AJ150" s="105"/>
      <c r="AN150" s="105"/>
      <c r="AO150" s="105"/>
      <c r="AP150" s="105"/>
    </row>
    <row r="151" spans="1:42" outlineLevel="1">
      <c r="A151" s="545">
        <f>MAX($A$10:A150)+1</f>
        <v>142</v>
      </c>
      <c r="B151" s="716" t="s">
        <v>1799</v>
      </c>
      <c r="C151" s="716" t="s">
        <v>2030</v>
      </c>
      <c r="D151" s="716" t="s">
        <v>2031</v>
      </c>
      <c r="E151" s="559">
        <v>376.3</v>
      </c>
      <c r="F151" s="1302" cm="1">
        <f t="array" ref="F151">+IF(SUM(VALUE(N151:Q151)*$N$7:$Q$7)=0,R151,T151)</f>
        <v>193815.11</v>
      </c>
      <c r="G151" s="103">
        <f t="shared" si="10"/>
        <v>193815.11</v>
      </c>
      <c r="H151" s="717">
        <v>45412</v>
      </c>
      <c r="I151" s="1303" cm="1">
        <f t="array" ref="I151">+IF(SUM(VALUE(N151:Q151)*$N$7:$Q$7)=0,S151,U151)</f>
        <v>0</v>
      </c>
      <c r="J151" s="103">
        <f t="shared" ref="J151:J156" si="11">+I151</f>
        <v>0</v>
      </c>
      <c r="K151" s="103"/>
      <c r="M151"/>
      <c r="N151" s="1300">
        <v>0</v>
      </c>
      <c r="O151" s="1300">
        <v>0</v>
      </c>
      <c r="P151" s="1300">
        <v>0</v>
      </c>
      <c r="Q151" s="1300">
        <v>1</v>
      </c>
      <c r="R151" s="1266">
        <v>193815.11</v>
      </c>
      <c r="S151" s="1266">
        <v>0</v>
      </c>
      <c r="T151" s="1266">
        <f>+IF($Q151=1,$G151,INDEX([1]Summary!$K$5:$K$110,MATCH($C151,[1]Summary!$D$5:$D252,0)))</f>
        <v>193815.11</v>
      </c>
      <c r="U151" s="1266">
        <f>+IF($Q151=1,$J151,INDEX([1]Summary!$L$5:$L$110,MATCH($C151,[1]Summary!$D$5:$D252,0)))</f>
        <v>0</v>
      </c>
      <c r="V151" s="721"/>
      <c r="W151" s="721"/>
      <c r="X151" s="721"/>
      <c r="Y151" s="721"/>
      <c r="Z151" s="721"/>
      <c r="AA151" s="721"/>
      <c r="AB151" s="721"/>
      <c r="AC151" s="721"/>
      <c r="AD151" s="721"/>
      <c r="AE151" s="105"/>
      <c r="AI151" s="105"/>
      <c r="AJ151" s="105"/>
      <c r="AN151" s="105"/>
      <c r="AO151" s="105"/>
      <c r="AP151" s="105"/>
    </row>
    <row r="152" spans="1:42" outlineLevel="1">
      <c r="A152" s="545">
        <f>MAX($A$10:A151)+1</f>
        <v>143</v>
      </c>
      <c r="B152" s="716" t="s">
        <v>1799</v>
      </c>
      <c r="C152" s="716" t="s">
        <v>2032</v>
      </c>
      <c r="D152" s="716" t="s">
        <v>2033</v>
      </c>
      <c r="E152" s="559">
        <v>377</v>
      </c>
      <c r="F152" s="1302" cm="1">
        <f t="array" ref="F152">+IF(SUM(VALUE(N152:Q152)*$N$7:$Q$7)=0,R152,T152)</f>
        <v>18174</v>
      </c>
      <c r="G152" s="103">
        <f t="shared" si="10"/>
        <v>18174</v>
      </c>
      <c r="H152" s="717">
        <v>45458</v>
      </c>
      <c r="I152" s="1303" cm="1">
        <f t="array" ref="I152">+IF(SUM(VALUE(N152:Q152)*$N$7:$Q$7)=0,S152,U152)</f>
        <v>0</v>
      </c>
      <c r="J152" s="103">
        <f t="shared" si="11"/>
        <v>0</v>
      </c>
      <c r="K152" s="103"/>
      <c r="M152"/>
      <c r="N152" s="1300">
        <v>0</v>
      </c>
      <c r="O152" s="1300">
        <v>0</v>
      </c>
      <c r="P152" s="1300">
        <v>0</v>
      </c>
      <c r="Q152" s="1300">
        <v>1</v>
      </c>
      <c r="R152" s="1266">
        <v>18174</v>
      </c>
      <c r="S152" s="1266">
        <v>0</v>
      </c>
      <c r="T152" s="1266">
        <f>+IF($Q152=1,$G152,INDEX([1]Summary!$K$5:$K$110,MATCH($C152,[1]Summary!$D$5:$D253,0)))</f>
        <v>18174</v>
      </c>
      <c r="U152" s="1266">
        <f>+IF($Q152=1,$J152,INDEX([1]Summary!$L$5:$L$110,MATCH($C152,[1]Summary!$D$5:$D253,0)))</f>
        <v>0</v>
      </c>
      <c r="V152" s="721"/>
      <c r="W152" s="721"/>
      <c r="X152" s="721"/>
      <c r="Y152" s="721"/>
      <c r="Z152" s="721"/>
      <c r="AA152" s="721"/>
      <c r="AB152" s="721"/>
      <c r="AC152" s="721"/>
      <c r="AD152" s="721"/>
      <c r="AE152" s="105"/>
      <c r="AI152" s="105"/>
      <c r="AJ152" s="105"/>
      <c r="AN152" s="105"/>
      <c r="AO152" s="105"/>
      <c r="AP152" s="105"/>
    </row>
    <row r="153" spans="1:42" outlineLevel="1">
      <c r="A153" s="545">
        <f>MAX($A$10:A152)+1</f>
        <v>144</v>
      </c>
      <c r="B153" s="716" t="s">
        <v>1799</v>
      </c>
      <c r="C153" s="716" t="s">
        <v>2034</v>
      </c>
      <c r="D153" s="716" t="s">
        <v>2035</v>
      </c>
      <c r="E153" s="559">
        <v>377</v>
      </c>
      <c r="F153" s="1302" cm="1">
        <f t="array" ref="F153">+IF(SUM(VALUE(N153:Q153)*$N$7:$Q$7)=0,R153,T153)</f>
        <v>21808.799999999999</v>
      </c>
      <c r="G153" s="103">
        <f t="shared" si="10"/>
        <v>21808.799999999999</v>
      </c>
      <c r="H153" s="717">
        <v>45458</v>
      </c>
      <c r="I153" s="1303" cm="1">
        <f t="array" ref="I153">+IF(SUM(VALUE(N153:Q153)*$N$7:$Q$7)=0,S153,U153)</f>
        <v>0</v>
      </c>
      <c r="J153" s="103">
        <f t="shared" si="11"/>
        <v>0</v>
      </c>
      <c r="K153" s="103"/>
      <c r="M153"/>
      <c r="N153" s="1300">
        <v>0</v>
      </c>
      <c r="O153" s="1300">
        <v>0</v>
      </c>
      <c r="P153" s="1300">
        <v>0</v>
      </c>
      <c r="Q153" s="1300">
        <v>1</v>
      </c>
      <c r="R153" s="1266">
        <v>21808.799999999999</v>
      </c>
      <c r="S153" s="1266">
        <v>0</v>
      </c>
      <c r="T153" s="1266">
        <f>+IF($Q153=1,$G153,INDEX([1]Summary!$K$5:$K$110,MATCH($C153,[1]Summary!$D$5:$D254,0)))</f>
        <v>21808.799999999999</v>
      </c>
      <c r="U153" s="1266">
        <f>+IF($Q153=1,$J153,INDEX([1]Summary!$L$5:$L$110,MATCH($C153,[1]Summary!$D$5:$D254,0)))</f>
        <v>0</v>
      </c>
      <c r="V153" s="721"/>
      <c r="W153" s="721"/>
      <c r="X153" s="721"/>
      <c r="Y153" s="721"/>
      <c r="Z153" s="721"/>
      <c r="AA153" s="721"/>
      <c r="AB153" s="721"/>
      <c r="AC153" s="721"/>
      <c r="AD153" s="721"/>
      <c r="AE153" s="105"/>
      <c r="AI153" s="105"/>
      <c r="AJ153" s="105"/>
      <c r="AN153" s="105"/>
      <c r="AO153" s="105"/>
      <c r="AP153" s="105"/>
    </row>
    <row r="154" spans="1:42" outlineLevel="1">
      <c r="A154" s="545">
        <f>MAX($A$10:A153)+1</f>
        <v>145</v>
      </c>
      <c r="B154" s="716" t="s">
        <v>1799</v>
      </c>
      <c r="C154" s="716" t="s">
        <v>2036</v>
      </c>
      <c r="D154" s="716" t="s">
        <v>2037</v>
      </c>
      <c r="E154" s="559">
        <v>376.3</v>
      </c>
      <c r="F154" s="1302" cm="1">
        <f t="array" ref="F154">+IF(SUM(VALUE(N154:Q154)*$N$7:$Q$7)=0,R154,T154)</f>
        <v>343625.52</v>
      </c>
      <c r="G154" s="103">
        <f t="shared" si="10"/>
        <v>343625.52</v>
      </c>
      <c r="H154" s="717">
        <v>45458</v>
      </c>
      <c r="I154" s="1303" cm="1">
        <f t="array" ref="I154">+IF(SUM(VALUE(N154:Q154)*$N$7:$Q$7)=0,S154,U154)</f>
        <v>0</v>
      </c>
      <c r="J154" s="103">
        <f t="shared" si="11"/>
        <v>0</v>
      </c>
      <c r="K154" s="103"/>
      <c r="M154"/>
      <c r="N154" s="1300">
        <v>0</v>
      </c>
      <c r="O154" s="1300">
        <v>0</v>
      </c>
      <c r="P154" s="1300">
        <v>0</v>
      </c>
      <c r="Q154" s="1300">
        <v>1</v>
      </c>
      <c r="R154" s="1266">
        <v>343625.52</v>
      </c>
      <c r="S154" s="1266">
        <v>0</v>
      </c>
      <c r="T154" s="1266">
        <f>+IF($Q154=1,$G154,INDEX([1]Summary!$K$5:$K$110,MATCH($C154,[1]Summary!$D$5:$D255,0)))</f>
        <v>343625.52</v>
      </c>
      <c r="U154" s="1266">
        <f>+IF($Q154=1,$J154,INDEX([1]Summary!$L$5:$L$110,MATCH($C154,[1]Summary!$D$5:$D255,0)))</f>
        <v>0</v>
      </c>
      <c r="V154" s="721"/>
      <c r="W154" s="721"/>
      <c r="X154" s="721"/>
      <c r="Y154" s="721"/>
      <c r="Z154" s="721"/>
      <c r="AA154" s="721"/>
      <c r="AB154" s="721"/>
      <c r="AC154" s="721"/>
      <c r="AD154" s="721"/>
      <c r="AE154" s="105"/>
      <c r="AI154" s="105"/>
      <c r="AJ154" s="105"/>
      <c r="AN154" s="105"/>
      <c r="AO154" s="105"/>
      <c r="AP154" s="105"/>
    </row>
    <row r="155" spans="1:42" outlineLevel="1">
      <c r="A155" s="545">
        <f>MAX($A$10:A154)+1</f>
        <v>146</v>
      </c>
      <c r="B155" s="716" t="s">
        <v>1799</v>
      </c>
      <c r="C155" s="716" t="s">
        <v>2038</v>
      </c>
      <c r="D155" s="716" t="s">
        <v>2039</v>
      </c>
      <c r="E155" s="559">
        <v>376.2</v>
      </c>
      <c r="F155" s="1302" cm="1">
        <f t="array" ref="F155">+IF(SUM(VALUE(N155:Q155)*$N$7:$Q$7)=0,R155,T155)</f>
        <v>0</v>
      </c>
      <c r="G155" s="103">
        <f t="shared" si="10"/>
        <v>0</v>
      </c>
      <c r="H155" s="717">
        <v>45626</v>
      </c>
      <c r="I155" s="1303" cm="1">
        <f t="array" ref="I155">+IF(SUM(VALUE(N155:Q155)*$N$7:$Q$7)=0,S155,U155)</f>
        <v>1634772.28</v>
      </c>
      <c r="J155" s="103">
        <f t="shared" si="11"/>
        <v>1634772.28</v>
      </c>
      <c r="K155" s="103"/>
      <c r="M155"/>
      <c r="N155" s="1300">
        <v>0</v>
      </c>
      <c r="O155" s="1300">
        <v>1</v>
      </c>
      <c r="P155" s="1300">
        <v>0</v>
      </c>
      <c r="Q155" s="1300">
        <v>0</v>
      </c>
      <c r="R155" s="1266">
        <v>1634772.28</v>
      </c>
      <c r="S155" s="1266">
        <v>0</v>
      </c>
      <c r="T155" s="1266">
        <f>+IF($Q155=1,$G155,INDEX([1]Summary!$K$5:$K$110,MATCH($C155,[1]Summary!$D$5:$D256,0)))</f>
        <v>0</v>
      </c>
      <c r="U155" s="1266">
        <f>+IF($Q155=1,$J155,INDEX([1]Summary!$L$5:$L$110,MATCH($C155,[1]Summary!$D$5:$D256,0)))</f>
        <v>1634772.28</v>
      </c>
      <c r="V155" s="721"/>
      <c r="W155" s="721"/>
      <c r="X155" s="721"/>
      <c r="Y155" s="721"/>
      <c r="Z155" s="721"/>
      <c r="AA155" s="721"/>
      <c r="AB155" s="721"/>
      <c r="AC155" s="721"/>
      <c r="AD155" s="721"/>
      <c r="AE155" s="105"/>
      <c r="AI155" s="105"/>
      <c r="AJ155" s="105"/>
      <c r="AN155" s="105"/>
      <c r="AO155" s="105"/>
      <c r="AP155" s="105"/>
    </row>
    <row r="156" spans="1:42" outlineLevel="1">
      <c r="A156" s="545">
        <f>MAX($A$10:A155)+1</f>
        <v>147</v>
      </c>
      <c r="B156" s="716" t="s">
        <v>1799</v>
      </c>
      <c r="C156" s="716" t="s">
        <v>2040</v>
      </c>
      <c r="D156" s="716" t="s">
        <v>2041</v>
      </c>
      <c r="E156" s="559">
        <v>377</v>
      </c>
      <c r="F156" s="1302" cm="1">
        <f t="array" ref="F156">+IF(SUM(VALUE(N156:Q156)*$N$7:$Q$7)=0,R156,T156)</f>
        <v>30290</v>
      </c>
      <c r="G156" s="103">
        <f t="shared" si="10"/>
        <v>30290</v>
      </c>
      <c r="H156" s="717" t="s">
        <v>2042</v>
      </c>
      <c r="I156" s="1303" cm="1">
        <f t="array" ref="I156">+IF(SUM(VALUE(N156:Q156)*$N$7:$Q$7)=0,S156,U156)</f>
        <v>0</v>
      </c>
      <c r="J156" s="103">
        <f t="shared" si="11"/>
        <v>0</v>
      </c>
      <c r="K156" s="103"/>
      <c r="M156"/>
      <c r="N156" s="1300">
        <v>0</v>
      </c>
      <c r="O156" s="1300">
        <v>0</v>
      </c>
      <c r="P156" s="1300">
        <v>0</v>
      </c>
      <c r="Q156" s="1300">
        <v>1</v>
      </c>
      <c r="R156" s="1266">
        <v>30290</v>
      </c>
      <c r="S156" s="1266">
        <v>0</v>
      </c>
      <c r="T156" s="1266">
        <f>+IF($Q156=1,$G156,INDEX([1]Summary!$K$5:$K$110,MATCH($C156,[1]Summary!$D$5:$D257,0)))</f>
        <v>30290</v>
      </c>
      <c r="U156" s="1266">
        <f>+IF($Q156=1,$J156,INDEX([1]Summary!$L$5:$L$110,MATCH($C156,[1]Summary!$D$5:$D257,0)))</f>
        <v>0</v>
      </c>
      <c r="V156" s="721"/>
      <c r="W156" s="721"/>
      <c r="X156" s="721"/>
      <c r="Y156" s="721"/>
      <c r="Z156" s="721"/>
      <c r="AA156" s="721"/>
      <c r="AB156" s="721"/>
      <c r="AC156" s="721"/>
      <c r="AD156" s="721"/>
      <c r="AE156" s="105"/>
      <c r="AI156" s="105"/>
      <c r="AJ156" s="105"/>
      <c r="AN156" s="105"/>
      <c r="AO156" s="105"/>
      <c r="AP156" s="105"/>
    </row>
    <row r="157" spans="1:42" outlineLevel="1">
      <c r="A157" s="545">
        <f>MAX($A$10:A156)+1</f>
        <v>148</v>
      </c>
      <c r="B157" s="716" t="s">
        <v>1799</v>
      </c>
      <c r="C157" s="716" t="s">
        <v>2043</v>
      </c>
      <c r="D157" s="716" t="s">
        <v>2044</v>
      </c>
      <c r="E157" s="559">
        <v>376.2</v>
      </c>
      <c r="F157" s="1302" cm="1">
        <f t="array" ref="F157">+IF(SUM(VALUE(N157:Q157)*$N$7:$Q$7)=0,R157,T157)</f>
        <v>512719.18</v>
      </c>
      <c r="G157" s="103">
        <f t="shared" si="10"/>
        <v>512719.18</v>
      </c>
      <c r="H157" s="717">
        <v>45345</v>
      </c>
      <c r="I157" s="1303" cm="1">
        <f t="array" ref="I157">+IF(SUM(VALUE(N157:Q157)*$N$7:$Q$7)=0,S157,U157)</f>
        <v>0</v>
      </c>
      <c r="J157" s="103"/>
      <c r="K157" s="103"/>
      <c r="M157"/>
      <c r="N157" s="1300">
        <v>0</v>
      </c>
      <c r="O157" s="1300">
        <v>0</v>
      </c>
      <c r="P157" s="1300">
        <v>0</v>
      </c>
      <c r="Q157" s="1300">
        <v>1</v>
      </c>
      <c r="R157" s="1266">
        <v>512719.18</v>
      </c>
      <c r="S157" s="1266">
        <v>0</v>
      </c>
      <c r="T157" s="1266">
        <f>+IF($Q157=1,$G157,INDEX([1]Summary!$K$5:$K$110,MATCH($C157,[1]Summary!$D$5:$D258,0)))</f>
        <v>512719.18</v>
      </c>
      <c r="U157" s="1266">
        <f>+IF($Q157=1,$J157,INDEX([1]Summary!$L$5:$L$110,MATCH($C157,[1]Summary!$D$5:$D258,0)))</f>
        <v>0</v>
      </c>
      <c r="V157" s="721"/>
      <c r="W157" s="721"/>
      <c r="X157" s="721"/>
      <c r="Y157" s="721"/>
      <c r="Z157" s="721"/>
      <c r="AA157" s="721"/>
      <c r="AB157" s="721"/>
      <c r="AC157" s="721"/>
      <c r="AD157" s="721"/>
      <c r="AE157" s="105"/>
      <c r="AI157" s="105"/>
      <c r="AJ157" s="105"/>
      <c r="AN157" s="105"/>
      <c r="AO157" s="105"/>
      <c r="AP157" s="105"/>
    </row>
    <row r="158" spans="1:42" outlineLevel="1">
      <c r="A158" s="545">
        <f>MAX($A$10:A157)+1</f>
        <v>149</v>
      </c>
      <c r="B158" s="716" t="s">
        <v>1799</v>
      </c>
      <c r="C158" s="716" t="s">
        <v>2045</v>
      </c>
      <c r="D158" s="716" t="s">
        <v>2046</v>
      </c>
      <c r="E158" s="559">
        <v>376.2</v>
      </c>
      <c r="F158" s="1302" cm="1">
        <f t="array" ref="F158">+IF(SUM(VALUE(N158:Q158)*$N$7:$Q$7)=0,R158,T158)</f>
        <v>76795.741768000007</v>
      </c>
      <c r="G158" s="103">
        <f t="shared" si="10"/>
        <v>76795.741768000007</v>
      </c>
      <c r="H158" s="717">
        <v>45350</v>
      </c>
      <c r="I158" s="1303" cm="1">
        <f t="array" ref="I158">+IF(SUM(VALUE(N158:Q158)*$N$7:$Q$7)=0,S158,U158)</f>
        <v>0</v>
      </c>
      <c r="J158" s="103"/>
      <c r="K158" s="103"/>
      <c r="M158"/>
      <c r="N158" s="1300">
        <v>0</v>
      </c>
      <c r="O158" s="1300">
        <v>0</v>
      </c>
      <c r="P158" s="1300">
        <v>0</v>
      </c>
      <c r="Q158" s="1300">
        <v>1</v>
      </c>
      <c r="R158" s="1266">
        <v>76795.741768000007</v>
      </c>
      <c r="S158" s="1266">
        <v>0</v>
      </c>
      <c r="T158" s="1266">
        <f>+IF($Q158=1,$G158,INDEX([1]Summary!$K$5:$K$110,MATCH($C158,[1]Summary!$D$5:$D259,0)))</f>
        <v>76795.741768000007</v>
      </c>
      <c r="U158" s="1266">
        <f>+IF($Q158=1,$J158,INDEX([1]Summary!$L$5:$L$110,MATCH($C158,[1]Summary!$D$5:$D259,0)))</f>
        <v>0</v>
      </c>
      <c r="V158" s="721"/>
      <c r="W158" s="721"/>
      <c r="X158" s="721"/>
      <c r="Y158" s="721"/>
      <c r="Z158" s="721"/>
      <c r="AA158" s="721"/>
      <c r="AB158" s="721"/>
      <c r="AC158" s="721"/>
      <c r="AD158" s="721"/>
      <c r="AE158" s="105"/>
      <c r="AI158" s="105"/>
      <c r="AJ158" s="105"/>
      <c r="AN158" s="105"/>
      <c r="AO158" s="105"/>
      <c r="AP158" s="105"/>
    </row>
    <row r="159" spans="1:42" outlineLevel="1">
      <c r="A159" s="545">
        <f>MAX($A$10:A158)+1</f>
        <v>150</v>
      </c>
      <c r="B159" s="716" t="s">
        <v>1799</v>
      </c>
      <c r="C159" s="716" t="s">
        <v>2047</v>
      </c>
      <c r="D159" s="716" t="s">
        <v>2048</v>
      </c>
      <c r="E159" s="559">
        <v>379</v>
      </c>
      <c r="F159" s="1302" cm="1">
        <f t="array" ref="F159">+IF(SUM(VALUE(N159:Q159)*$N$7:$Q$7)=0,R159,T159)</f>
        <v>4024.9238160000004</v>
      </c>
      <c r="G159" s="103">
        <f t="shared" si="10"/>
        <v>4024.9238160000004</v>
      </c>
      <c r="H159" s="717">
        <v>45349</v>
      </c>
      <c r="I159" s="1303" cm="1">
        <f t="array" ref="I159">+IF(SUM(VALUE(N159:Q159)*$N$7:$Q$7)=0,S159,U159)</f>
        <v>0</v>
      </c>
      <c r="J159" s="103"/>
      <c r="K159" s="103"/>
      <c r="M159"/>
      <c r="N159" s="1300">
        <v>0</v>
      </c>
      <c r="O159" s="1300">
        <v>0</v>
      </c>
      <c r="P159" s="1300">
        <v>0</v>
      </c>
      <c r="Q159" s="1300">
        <v>1</v>
      </c>
      <c r="R159" s="1266">
        <v>4024.9238160000004</v>
      </c>
      <c r="S159" s="1266">
        <v>0</v>
      </c>
      <c r="T159" s="1266">
        <f>+IF($Q159=1,$G159,INDEX([1]Summary!$K$5:$K$110,MATCH($C159,[1]Summary!$D$5:$D260,0)))</f>
        <v>4024.9238160000004</v>
      </c>
      <c r="U159" s="1266">
        <f>+IF($Q159=1,$J159,INDEX([1]Summary!$L$5:$L$110,MATCH($C159,[1]Summary!$D$5:$D260,0)))</f>
        <v>0</v>
      </c>
      <c r="V159" s="721"/>
      <c r="W159" s="721"/>
      <c r="X159" s="721"/>
      <c r="Y159" s="721"/>
      <c r="Z159" s="721"/>
      <c r="AA159" s="721"/>
      <c r="AB159" s="721"/>
      <c r="AC159" s="721"/>
      <c r="AD159" s="721"/>
      <c r="AE159" s="105"/>
      <c r="AI159" s="105"/>
      <c r="AJ159" s="105"/>
      <c r="AN159" s="105"/>
      <c r="AO159" s="105"/>
      <c r="AP159" s="105"/>
    </row>
    <row r="160" spans="1:42" outlineLevel="1">
      <c r="A160" s="545">
        <f>MAX($A$10:A159)+1</f>
        <v>151</v>
      </c>
      <c r="B160" s="716" t="s">
        <v>1799</v>
      </c>
      <c r="C160" s="716" t="s">
        <v>2049</v>
      </c>
      <c r="D160" s="716" t="s">
        <v>2050</v>
      </c>
      <c r="E160" s="559">
        <v>378</v>
      </c>
      <c r="F160" s="1302" cm="1">
        <f t="array" ref="F160">+IF(SUM(VALUE(N160:Q160)*$N$7:$Q$7)=0,R160,T160)</f>
        <v>53708.996095999995</v>
      </c>
      <c r="G160" s="103">
        <f t="shared" si="10"/>
        <v>53708.996095999995</v>
      </c>
      <c r="H160" s="717">
        <v>45381</v>
      </c>
      <c r="I160" s="1303" cm="1">
        <f t="array" ref="I160">+IF(SUM(VALUE(N160:Q160)*$N$7:$Q$7)=0,S160,U160)</f>
        <v>0</v>
      </c>
      <c r="J160" s="103"/>
      <c r="K160" s="103"/>
      <c r="M160"/>
      <c r="N160" s="1300">
        <v>0</v>
      </c>
      <c r="O160" s="1300">
        <v>0</v>
      </c>
      <c r="P160" s="1300">
        <v>0</v>
      </c>
      <c r="Q160" s="1300">
        <v>1</v>
      </c>
      <c r="R160" s="1266">
        <v>53708.996095999995</v>
      </c>
      <c r="S160" s="1266">
        <v>0</v>
      </c>
      <c r="T160" s="1266">
        <f>+IF($Q160=1,$G160,INDEX([1]Summary!$K$5:$K$110,MATCH($C160,[1]Summary!$D$5:$D261,0)))</f>
        <v>53708.996095999995</v>
      </c>
      <c r="U160" s="1266">
        <f>+IF($Q160=1,$J160,INDEX([1]Summary!$L$5:$L$110,MATCH($C160,[1]Summary!$D$5:$D261,0)))</f>
        <v>0</v>
      </c>
      <c r="V160" s="721"/>
      <c r="W160" s="721"/>
      <c r="X160" s="721"/>
      <c r="Y160" s="721"/>
      <c r="Z160" s="721"/>
      <c r="AA160" s="721"/>
      <c r="AB160" s="721"/>
      <c r="AC160" s="721"/>
      <c r="AD160" s="721"/>
      <c r="AE160" s="105"/>
      <c r="AI160" s="105"/>
      <c r="AJ160" s="105"/>
      <c r="AN160" s="105"/>
      <c r="AO160" s="105"/>
      <c r="AP160" s="105"/>
    </row>
    <row r="161" spans="1:42" outlineLevel="1">
      <c r="A161" s="545">
        <f>MAX($A$10:A160)+1</f>
        <v>152</v>
      </c>
      <c r="B161" s="716" t="s">
        <v>1799</v>
      </c>
      <c r="C161" s="716" t="s">
        <v>2051</v>
      </c>
      <c r="D161" s="716" t="s">
        <v>2052</v>
      </c>
      <c r="E161" s="559">
        <v>379</v>
      </c>
      <c r="F161" s="1302" cm="1">
        <f t="array" ref="F161">+IF(SUM(VALUE(N161:Q161)*$N$7:$Q$7)=0,R161,T161)</f>
        <v>3930.4877160000005</v>
      </c>
      <c r="G161" s="103">
        <f t="shared" si="10"/>
        <v>3930.4877160000005</v>
      </c>
      <c r="H161" s="717">
        <v>45378</v>
      </c>
      <c r="I161" s="1303" cm="1">
        <f t="array" ref="I161">+IF(SUM(VALUE(N161:Q161)*$N$7:$Q$7)=0,S161,U161)</f>
        <v>0</v>
      </c>
      <c r="J161" s="103"/>
      <c r="K161" s="103"/>
      <c r="M161"/>
      <c r="N161" s="1300">
        <v>0</v>
      </c>
      <c r="O161" s="1300">
        <v>0</v>
      </c>
      <c r="P161" s="1300">
        <v>0</v>
      </c>
      <c r="Q161" s="1300">
        <v>1</v>
      </c>
      <c r="R161" s="1266">
        <v>3930.4877160000005</v>
      </c>
      <c r="S161" s="1266">
        <v>0</v>
      </c>
      <c r="T161" s="1266">
        <f>+IF($Q161=1,$G161,INDEX([1]Summary!$K$5:$K$110,MATCH($C161,[1]Summary!$D$5:$D262,0)))</f>
        <v>3930.4877160000005</v>
      </c>
      <c r="U161" s="1266">
        <f>+IF($Q161=1,$J161,INDEX([1]Summary!$L$5:$L$110,MATCH($C161,[1]Summary!$D$5:$D262,0)))</f>
        <v>0</v>
      </c>
      <c r="V161" s="721"/>
      <c r="W161" s="721"/>
      <c r="X161" s="721"/>
      <c r="Y161" s="721"/>
      <c r="Z161" s="721"/>
      <c r="AA161" s="721"/>
      <c r="AB161" s="721"/>
      <c r="AC161" s="721"/>
      <c r="AD161" s="721"/>
      <c r="AE161" s="105"/>
      <c r="AI161" s="105"/>
      <c r="AJ161" s="105"/>
      <c r="AN161" s="105"/>
      <c r="AO161" s="105"/>
      <c r="AP161" s="105"/>
    </row>
    <row r="162" spans="1:42" outlineLevel="1">
      <c r="A162" s="545">
        <f>MAX($A$10:A161)+1</f>
        <v>153</v>
      </c>
      <c r="B162" s="716" t="s">
        <v>1799</v>
      </c>
      <c r="C162" s="716" t="s">
        <v>2053</v>
      </c>
      <c r="D162" s="716" t="s">
        <v>2054</v>
      </c>
      <c r="E162" s="559">
        <v>379</v>
      </c>
      <c r="F162" s="1302" cm="1">
        <f t="array" ref="F162">+IF(SUM(VALUE(N162:Q162)*$N$7:$Q$7)=0,R162,T162)</f>
        <v>4024.9238160000004</v>
      </c>
      <c r="G162" s="103">
        <f t="shared" si="10"/>
        <v>4024.9238160000004</v>
      </c>
      <c r="H162" s="717">
        <v>45409</v>
      </c>
      <c r="I162" s="1303" cm="1">
        <f t="array" ref="I162">+IF(SUM(VALUE(N162:Q162)*$N$7:$Q$7)=0,S162,U162)</f>
        <v>0</v>
      </c>
      <c r="J162" s="103"/>
      <c r="K162" s="103"/>
      <c r="M162"/>
      <c r="N162" s="1300">
        <v>0</v>
      </c>
      <c r="O162" s="1300">
        <v>0</v>
      </c>
      <c r="P162" s="1300">
        <v>0</v>
      </c>
      <c r="Q162" s="1300">
        <v>1</v>
      </c>
      <c r="R162" s="1266">
        <v>4024.9238160000004</v>
      </c>
      <c r="S162" s="1266">
        <v>0</v>
      </c>
      <c r="T162" s="1266">
        <f>+IF($Q162=1,$G162,INDEX([1]Summary!$K$5:$K$110,MATCH($C162,[1]Summary!$D$5:$D263,0)))</f>
        <v>4024.9238160000004</v>
      </c>
      <c r="U162" s="1266">
        <f>+IF($Q162=1,$J162,INDEX([1]Summary!$L$5:$L$110,MATCH($C162,[1]Summary!$D$5:$D263,0)))</f>
        <v>0</v>
      </c>
      <c r="V162" s="721"/>
      <c r="W162" s="721"/>
      <c r="X162" s="721"/>
      <c r="Y162" s="721"/>
      <c r="Z162" s="721"/>
      <c r="AA162" s="721"/>
      <c r="AB162" s="721"/>
      <c r="AC162" s="721"/>
      <c r="AD162" s="721"/>
      <c r="AE162" s="105"/>
      <c r="AI162" s="105"/>
      <c r="AJ162" s="105"/>
      <c r="AN162" s="105"/>
      <c r="AO162" s="105"/>
      <c r="AP162" s="105"/>
    </row>
    <row r="163" spans="1:42" outlineLevel="1">
      <c r="A163" s="545">
        <f>MAX($A$10:A162)+1</f>
        <v>154</v>
      </c>
      <c r="B163" s="716" t="s">
        <v>1799</v>
      </c>
      <c r="C163" s="716" t="s">
        <v>2055</v>
      </c>
      <c r="D163" s="716" t="s">
        <v>2056</v>
      </c>
      <c r="E163" s="559">
        <v>379</v>
      </c>
      <c r="F163" s="1302" cm="1">
        <f t="array" ref="F163">+IF(SUM(VALUE(N163:Q163)*$N$7:$Q$7)=0,R163,T163)</f>
        <v>4024.9238160000004</v>
      </c>
      <c r="G163" s="103">
        <f t="shared" si="10"/>
        <v>4024.9238160000004</v>
      </c>
      <c r="H163" s="717">
        <v>45439</v>
      </c>
      <c r="I163" s="1303" cm="1">
        <f t="array" ref="I163">+IF(SUM(VALUE(N163:Q163)*$N$7:$Q$7)=0,S163,U163)</f>
        <v>0</v>
      </c>
      <c r="J163" s="103"/>
      <c r="K163" s="103"/>
      <c r="M163"/>
      <c r="N163" s="1300">
        <v>0</v>
      </c>
      <c r="O163" s="1300">
        <v>0</v>
      </c>
      <c r="P163" s="1300">
        <v>0</v>
      </c>
      <c r="Q163" s="1300">
        <v>1</v>
      </c>
      <c r="R163" s="1266">
        <v>4024.9238160000004</v>
      </c>
      <c r="S163" s="1266">
        <v>0</v>
      </c>
      <c r="T163" s="1266">
        <f>+IF($Q163=1,$G163,INDEX([1]Summary!$K$5:$K$110,MATCH($C163,[1]Summary!$D$5:$D264,0)))</f>
        <v>4024.9238160000004</v>
      </c>
      <c r="U163" s="1266">
        <f>+IF($Q163=1,$J163,INDEX([1]Summary!$L$5:$L$110,MATCH($C163,[1]Summary!$D$5:$D264,0)))</f>
        <v>0</v>
      </c>
      <c r="V163" s="721"/>
      <c r="W163" s="721"/>
      <c r="X163" s="721"/>
      <c r="Y163" s="721"/>
      <c r="Z163" s="721"/>
      <c r="AA163" s="721"/>
      <c r="AB163" s="721"/>
      <c r="AC163" s="721"/>
      <c r="AD163" s="721"/>
      <c r="AE163" s="105"/>
      <c r="AI163" s="105"/>
      <c r="AJ163" s="105"/>
      <c r="AN163" s="105"/>
      <c r="AO163" s="105"/>
      <c r="AP163" s="105"/>
    </row>
    <row r="164" spans="1:42" outlineLevel="1">
      <c r="A164" s="545">
        <f>MAX($A$10:A163)+1</f>
        <v>155</v>
      </c>
      <c r="B164" s="716" t="s">
        <v>1799</v>
      </c>
      <c r="C164" s="716" t="s">
        <v>2057</v>
      </c>
      <c r="D164" s="716" t="s">
        <v>2058</v>
      </c>
      <c r="E164" s="559">
        <v>379</v>
      </c>
      <c r="F164" s="1302" cm="1">
        <f t="array" ref="F164">+IF(SUM(VALUE(N164:Q164)*$N$7:$Q$7)=0,R164,T164)</f>
        <v>4024.9238160000004</v>
      </c>
      <c r="G164" s="103">
        <f t="shared" si="10"/>
        <v>4024.9238160000004</v>
      </c>
      <c r="H164" s="717">
        <v>45470</v>
      </c>
      <c r="I164" s="1303" cm="1">
        <f t="array" ref="I164">+IF(SUM(VALUE(N164:Q164)*$N$7:$Q$7)=0,S164,U164)</f>
        <v>0</v>
      </c>
      <c r="J164" s="103"/>
      <c r="K164" s="103"/>
      <c r="M164"/>
      <c r="N164" s="1300">
        <v>0</v>
      </c>
      <c r="O164" s="1300">
        <v>0</v>
      </c>
      <c r="P164" s="1300">
        <v>0</v>
      </c>
      <c r="Q164" s="1300">
        <v>1</v>
      </c>
      <c r="R164" s="1266">
        <v>4024.9238160000004</v>
      </c>
      <c r="S164" s="1266">
        <v>0</v>
      </c>
      <c r="T164" s="1266">
        <f>+IF($Q164=1,$G164,INDEX([1]Summary!$K$5:$K$110,MATCH($C164,[1]Summary!$D$5:$D265,0)))</f>
        <v>4024.9238160000004</v>
      </c>
      <c r="U164" s="1266">
        <f>+IF($Q164=1,$J164,INDEX([1]Summary!$L$5:$L$110,MATCH($C164,[1]Summary!$D$5:$D265,0)))</f>
        <v>0</v>
      </c>
      <c r="V164" s="721"/>
      <c r="W164" s="721"/>
      <c r="X164" s="721"/>
      <c r="Y164" s="721"/>
      <c r="Z164" s="721"/>
      <c r="AA164" s="721"/>
      <c r="AB164" s="721"/>
      <c r="AC164" s="721"/>
      <c r="AD164" s="721"/>
      <c r="AE164" s="105"/>
      <c r="AI164" s="105"/>
      <c r="AJ164" s="105"/>
      <c r="AN164" s="105"/>
      <c r="AO164" s="105"/>
      <c r="AP164" s="105"/>
    </row>
    <row r="165" spans="1:42" outlineLevel="1">
      <c r="A165" s="545">
        <f>MAX($A$10:A164)+1</f>
        <v>156</v>
      </c>
      <c r="B165" s="716" t="s">
        <v>1799</v>
      </c>
      <c r="C165" s="716" t="s">
        <v>2059</v>
      </c>
      <c r="D165" s="716" t="s">
        <v>2060</v>
      </c>
      <c r="E165" s="559">
        <v>379</v>
      </c>
      <c r="F165" s="1302" cm="1">
        <f t="array" ref="F165">+IF(SUM(VALUE(N165:Q165)*$N$7:$Q$7)=0,R165,T165)</f>
        <v>4024.9238160000004</v>
      </c>
      <c r="G165" s="103">
        <f t="shared" si="10"/>
        <v>4024.9238160000004</v>
      </c>
      <c r="H165" s="717">
        <v>45500</v>
      </c>
      <c r="I165" s="1303" cm="1">
        <f t="array" ref="I165">+IF(SUM(VALUE(N165:Q165)*$N$7:$Q$7)=0,S165,U165)</f>
        <v>0</v>
      </c>
      <c r="J165" s="103"/>
      <c r="K165" s="103"/>
      <c r="M165"/>
      <c r="N165" s="1300">
        <v>0</v>
      </c>
      <c r="O165" s="1300">
        <v>0</v>
      </c>
      <c r="P165" s="1300">
        <v>0</v>
      </c>
      <c r="Q165" s="1300">
        <v>1</v>
      </c>
      <c r="R165" s="1266">
        <v>4024.9238160000004</v>
      </c>
      <c r="S165" s="1266">
        <v>0</v>
      </c>
      <c r="T165" s="1266">
        <f>+IF($Q165=1,$G165,INDEX([1]Summary!$K$5:$K$110,MATCH($C165,[1]Summary!$D$5:$D266,0)))</f>
        <v>4024.9238160000004</v>
      </c>
      <c r="U165" s="1266">
        <f>+IF($Q165=1,$J165,INDEX([1]Summary!$L$5:$L$110,MATCH($C165,[1]Summary!$D$5:$D266,0)))</f>
        <v>0</v>
      </c>
      <c r="V165" s="721"/>
      <c r="W165" s="721"/>
      <c r="X165" s="721"/>
      <c r="Y165" s="721"/>
      <c r="Z165" s="721"/>
      <c r="AA165" s="721"/>
      <c r="AB165" s="721"/>
      <c r="AC165" s="721"/>
      <c r="AD165" s="721"/>
      <c r="AE165" s="105"/>
      <c r="AI165" s="105"/>
      <c r="AJ165" s="105"/>
      <c r="AN165" s="105"/>
      <c r="AO165" s="105"/>
      <c r="AP165" s="105"/>
    </row>
    <row r="166" spans="1:42" outlineLevel="1">
      <c r="A166" s="545">
        <f>MAX($A$10:A165)+1</f>
        <v>157</v>
      </c>
      <c r="B166" s="716" t="s">
        <v>1799</v>
      </c>
      <c r="C166" s="716" t="s">
        <v>2061</v>
      </c>
      <c r="D166" s="716" t="s">
        <v>2062</v>
      </c>
      <c r="E166" s="559">
        <v>379</v>
      </c>
      <c r="F166" s="1302" cm="1">
        <f t="array" ref="F166">+IF(SUM(VALUE(N166:Q166)*$N$7:$Q$7)=0,R166,T166)</f>
        <v>4024.9238160000004</v>
      </c>
      <c r="G166" s="103">
        <f t="shared" si="10"/>
        <v>4024.9238160000004</v>
      </c>
      <c r="H166" s="717">
        <v>45531</v>
      </c>
      <c r="I166" s="1303" cm="1">
        <f t="array" ref="I166">+IF(SUM(VALUE(N166:Q166)*$N$7:$Q$7)=0,S166,U166)</f>
        <v>0</v>
      </c>
      <c r="J166" s="103"/>
      <c r="K166" s="103"/>
      <c r="M166"/>
      <c r="N166" s="1300">
        <v>0</v>
      </c>
      <c r="O166" s="1300">
        <v>0</v>
      </c>
      <c r="P166" s="1300">
        <v>0</v>
      </c>
      <c r="Q166" s="1300">
        <v>1</v>
      </c>
      <c r="R166" s="1266">
        <v>4024.9238160000004</v>
      </c>
      <c r="S166" s="1266">
        <v>0</v>
      </c>
      <c r="T166" s="1266">
        <f>+IF($Q166=1,$G166,INDEX([1]Summary!$K$5:$K$110,MATCH($C166,[1]Summary!$D$5:$D267,0)))</f>
        <v>4024.9238160000004</v>
      </c>
      <c r="U166" s="1266">
        <f>+IF($Q166=1,$J166,INDEX([1]Summary!$L$5:$L$110,MATCH($C166,[1]Summary!$D$5:$D267,0)))</f>
        <v>0</v>
      </c>
      <c r="V166" s="721"/>
      <c r="W166" s="721"/>
      <c r="X166" s="721"/>
      <c r="Y166" s="721"/>
      <c r="Z166" s="721"/>
      <c r="AA166" s="721"/>
      <c r="AB166" s="721"/>
      <c r="AC166" s="721"/>
      <c r="AD166" s="721"/>
      <c r="AE166" s="105"/>
      <c r="AI166" s="105"/>
      <c r="AJ166" s="105"/>
      <c r="AN166" s="105"/>
      <c r="AO166" s="105"/>
      <c r="AP166" s="105"/>
    </row>
    <row r="167" spans="1:42" outlineLevel="1">
      <c r="A167" s="545">
        <f>MAX($A$10:A166)+1</f>
        <v>158</v>
      </c>
      <c r="B167" s="716" t="s">
        <v>1799</v>
      </c>
      <c r="C167" s="716" t="s">
        <v>2063</v>
      </c>
      <c r="D167" s="716" t="s">
        <v>2064</v>
      </c>
      <c r="E167" s="559">
        <v>379</v>
      </c>
      <c r="F167" s="1302" cm="1">
        <f t="array" ref="F167">+IF(SUM(VALUE(N167:Q167)*$N$7:$Q$7)=0,R167,T167)</f>
        <v>4024.9238160000004</v>
      </c>
      <c r="G167" s="103">
        <f t="shared" si="10"/>
        <v>4024.9238160000004</v>
      </c>
      <c r="H167" s="717">
        <v>45562</v>
      </c>
      <c r="I167" s="1303" cm="1">
        <f t="array" ref="I167">+IF(SUM(VALUE(N167:Q167)*$N$7:$Q$7)=0,S167,U167)</f>
        <v>0</v>
      </c>
      <c r="J167" s="103"/>
      <c r="K167" s="103"/>
      <c r="M167"/>
      <c r="N167" s="1300">
        <v>0</v>
      </c>
      <c r="O167" s="1300">
        <v>0</v>
      </c>
      <c r="P167" s="1300">
        <v>0</v>
      </c>
      <c r="Q167" s="1300">
        <v>1</v>
      </c>
      <c r="R167" s="1266">
        <v>4024.9238160000004</v>
      </c>
      <c r="S167" s="1266">
        <v>0</v>
      </c>
      <c r="T167" s="1266">
        <f>+IF($Q167=1,$G167,INDEX([1]Summary!$K$5:$K$110,MATCH($C167,[1]Summary!$D$5:$D268,0)))</f>
        <v>4024.9238160000004</v>
      </c>
      <c r="U167" s="1266">
        <f>+IF($Q167=1,$J167,INDEX([1]Summary!$L$5:$L$110,MATCH($C167,[1]Summary!$D$5:$D268,0)))</f>
        <v>0</v>
      </c>
      <c r="V167" s="721"/>
      <c r="W167" s="721"/>
      <c r="X167" s="721"/>
      <c r="Y167" s="721"/>
      <c r="Z167" s="721"/>
      <c r="AA167" s="721"/>
      <c r="AB167" s="721"/>
      <c r="AC167" s="721"/>
      <c r="AD167" s="721"/>
      <c r="AE167" s="105"/>
      <c r="AI167" s="105"/>
      <c r="AJ167" s="105"/>
      <c r="AN167" s="105"/>
      <c r="AO167" s="105"/>
      <c r="AP167" s="105"/>
    </row>
    <row r="168" spans="1:42" outlineLevel="1">
      <c r="A168" s="545">
        <f>MAX($A$10:A167)+1</f>
        <v>159</v>
      </c>
      <c r="B168" s="716" t="s">
        <v>1799</v>
      </c>
      <c r="C168" s="716" t="s">
        <v>2065</v>
      </c>
      <c r="D168" s="716" t="s">
        <v>2066</v>
      </c>
      <c r="E168" s="559">
        <v>379</v>
      </c>
      <c r="F168" s="1302" cm="1">
        <f t="array" ref="F168">+IF(SUM(VALUE(N168:Q168)*$N$7:$Q$7)=0,R168,T168)</f>
        <v>4024.9238160000004</v>
      </c>
      <c r="G168" s="103">
        <f t="shared" si="10"/>
        <v>4024.9238160000004</v>
      </c>
      <c r="H168" s="717">
        <v>45592</v>
      </c>
      <c r="I168" s="1303" cm="1">
        <f t="array" ref="I168">+IF(SUM(VALUE(N168:Q168)*$N$7:$Q$7)=0,S168,U168)</f>
        <v>0</v>
      </c>
      <c r="J168" s="103"/>
      <c r="K168" s="103"/>
      <c r="M168"/>
      <c r="N168" s="1300">
        <v>0</v>
      </c>
      <c r="O168" s="1300">
        <v>0</v>
      </c>
      <c r="P168" s="1300">
        <v>0</v>
      </c>
      <c r="Q168" s="1300">
        <v>1</v>
      </c>
      <c r="R168" s="1266">
        <v>4024.9238160000004</v>
      </c>
      <c r="S168" s="1266">
        <v>0</v>
      </c>
      <c r="T168" s="1266">
        <f>+IF($Q168=1,$G168,INDEX([1]Summary!$K$5:$K$110,MATCH($C168,[1]Summary!$D$5:$D269,0)))</f>
        <v>4024.9238160000004</v>
      </c>
      <c r="U168" s="1266">
        <f>+IF($Q168=1,$J168,INDEX([1]Summary!$L$5:$L$110,MATCH($C168,[1]Summary!$D$5:$D269,0)))</f>
        <v>0</v>
      </c>
      <c r="V168" s="721"/>
      <c r="W168" s="721"/>
      <c r="X168" s="721"/>
      <c r="Y168" s="721"/>
      <c r="Z168" s="721"/>
      <c r="AA168" s="721"/>
      <c r="AB168" s="721"/>
      <c r="AC168" s="721"/>
      <c r="AD168" s="721"/>
      <c r="AE168" s="105"/>
      <c r="AI168" s="105"/>
      <c r="AJ168" s="105"/>
      <c r="AN168" s="105"/>
      <c r="AO168" s="105"/>
      <c r="AP168" s="105"/>
    </row>
    <row r="169" spans="1:42" outlineLevel="1">
      <c r="A169" s="545">
        <f>MAX($A$10:A168)+1</f>
        <v>160</v>
      </c>
      <c r="B169" s="716" t="s">
        <v>1799</v>
      </c>
      <c r="C169" s="716" t="s">
        <v>2067</v>
      </c>
      <c r="D169" s="716" t="s">
        <v>2068</v>
      </c>
      <c r="E169" s="559">
        <v>379</v>
      </c>
      <c r="F169" s="1302" cm="1">
        <f t="array" ref="F169">+IF(SUM(VALUE(N169:Q169)*$N$7:$Q$7)=0,R169,T169)</f>
        <v>4024.9238160000004</v>
      </c>
      <c r="G169" s="103">
        <f t="shared" si="10"/>
        <v>4024.9238160000004</v>
      </c>
      <c r="H169" s="717">
        <v>45349</v>
      </c>
      <c r="I169" s="1303" cm="1">
        <f t="array" ref="I169">+IF(SUM(VALUE(N169:Q169)*$N$7:$Q$7)=0,S169,U169)</f>
        <v>0</v>
      </c>
      <c r="J169" s="103"/>
      <c r="K169" s="103"/>
      <c r="M169"/>
      <c r="N169" s="1300">
        <v>0</v>
      </c>
      <c r="O169" s="1300">
        <v>0</v>
      </c>
      <c r="P169" s="1300">
        <v>0</v>
      </c>
      <c r="Q169" s="1300">
        <v>1</v>
      </c>
      <c r="R169" s="1266">
        <v>4024.9238160000004</v>
      </c>
      <c r="S169" s="1266">
        <v>0</v>
      </c>
      <c r="T169" s="1266">
        <f>+IF($Q169=1,$G169,INDEX([1]Summary!$K$5:$K$110,MATCH($C169,[1]Summary!$D$5:$D270,0)))</f>
        <v>4024.9238160000004</v>
      </c>
      <c r="U169" s="1266">
        <f>+IF($Q169=1,$J169,INDEX([1]Summary!$L$5:$L$110,MATCH($C169,[1]Summary!$D$5:$D270,0)))</f>
        <v>0</v>
      </c>
      <c r="V169" s="721"/>
      <c r="W169" s="721"/>
      <c r="X169" s="721"/>
      <c r="Y169" s="721"/>
      <c r="Z169" s="721"/>
      <c r="AA169" s="721"/>
      <c r="AB169" s="721"/>
      <c r="AC169" s="721"/>
      <c r="AD169" s="721"/>
      <c r="AE169" s="105"/>
      <c r="AI169" s="105"/>
      <c r="AJ169" s="105"/>
      <c r="AN169" s="105"/>
      <c r="AO169" s="105"/>
      <c r="AP169" s="105"/>
    </row>
    <row r="170" spans="1:42" outlineLevel="1">
      <c r="A170" s="545">
        <f>MAX($A$10:A169)+1</f>
        <v>161</v>
      </c>
      <c r="B170" s="716" t="s">
        <v>1799</v>
      </c>
      <c r="C170" s="716" t="s">
        <v>2069</v>
      </c>
      <c r="D170" s="716" t="s">
        <v>2070</v>
      </c>
      <c r="E170" s="559">
        <v>379</v>
      </c>
      <c r="F170" s="1302" cm="1">
        <f t="array" ref="F170">+IF(SUM(VALUE(N170:Q170)*$N$7:$Q$7)=0,R170,T170)</f>
        <v>4024.9238160000004</v>
      </c>
      <c r="G170" s="103">
        <f t="shared" si="10"/>
        <v>4024.9238160000004</v>
      </c>
      <c r="H170" s="717">
        <v>45378</v>
      </c>
      <c r="I170" s="1303" cm="1">
        <f t="array" ref="I170">+IF(SUM(VALUE(N170:Q170)*$N$7:$Q$7)=0,S170,U170)</f>
        <v>0</v>
      </c>
      <c r="J170" s="103"/>
      <c r="K170" s="103"/>
      <c r="M170"/>
      <c r="N170" s="1300">
        <v>0</v>
      </c>
      <c r="O170" s="1300">
        <v>0</v>
      </c>
      <c r="P170" s="1300">
        <v>0</v>
      </c>
      <c r="Q170" s="1300">
        <v>1</v>
      </c>
      <c r="R170" s="1266">
        <v>4024.9238160000004</v>
      </c>
      <c r="S170" s="1266">
        <v>0</v>
      </c>
      <c r="T170" s="1266">
        <f>+IF($Q170=1,$G170,INDEX([1]Summary!$K$5:$K$110,MATCH($C170,[1]Summary!$D$5:$D271,0)))</f>
        <v>4024.9238160000004</v>
      </c>
      <c r="U170" s="1266">
        <f>+IF($Q170=1,$J170,INDEX([1]Summary!$L$5:$L$110,MATCH($C170,[1]Summary!$D$5:$D271,0)))</f>
        <v>0</v>
      </c>
      <c r="V170" s="721"/>
      <c r="W170" s="721"/>
      <c r="X170" s="721"/>
      <c r="Y170" s="721"/>
      <c r="Z170" s="721"/>
      <c r="AA170" s="721"/>
      <c r="AB170" s="721"/>
      <c r="AC170" s="721"/>
      <c r="AD170" s="721"/>
      <c r="AE170" s="105"/>
      <c r="AI170" s="105"/>
      <c r="AJ170" s="105"/>
      <c r="AN170" s="105"/>
      <c r="AO170" s="105"/>
      <c r="AP170" s="105"/>
    </row>
    <row r="171" spans="1:42" outlineLevel="1">
      <c r="A171" s="545">
        <f>MAX($A$10:A170)+1</f>
        <v>162</v>
      </c>
      <c r="B171" s="716" t="s">
        <v>1799</v>
      </c>
      <c r="C171" s="716" t="s">
        <v>2071</v>
      </c>
      <c r="D171" s="716" t="s">
        <v>2072</v>
      </c>
      <c r="E171" s="559">
        <v>376.1</v>
      </c>
      <c r="F171" s="1302" cm="1">
        <f t="array" ref="F171">+IF(SUM(VALUE(N171:Q171)*$N$7:$Q$7)=0,R171,T171)</f>
        <v>0</v>
      </c>
      <c r="G171" s="103">
        <f t="shared" si="10"/>
        <v>0</v>
      </c>
      <c r="H171" s="717">
        <v>45427</v>
      </c>
      <c r="I171" s="1303" cm="1">
        <f t="array" ref="I171">+IF(SUM(VALUE(N171:Q171)*$N$7:$Q$7)=0,S171,U171)</f>
        <v>1001332.75</v>
      </c>
      <c r="J171" s="103"/>
      <c r="K171" s="103"/>
      <c r="M171"/>
      <c r="N171" s="1300">
        <v>0</v>
      </c>
      <c r="O171" s="1300">
        <v>1</v>
      </c>
      <c r="P171" s="1300">
        <v>0</v>
      </c>
      <c r="Q171" s="1300">
        <v>0</v>
      </c>
      <c r="R171" s="1266">
        <v>1001332.75</v>
      </c>
      <c r="S171" s="1266">
        <v>0</v>
      </c>
      <c r="T171" s="1266">
        <f>+IF($Q171=1,$G171,INDEX([1]Summary!$K$5:$K$110,MATCH($C171,[1]Summary!$D$5:$D272,0)))</f>
        <v>0</v>
      </c>
      <c r="U171" s="1266">
        <f>+IF($Q171=1,$J171,INDEX([1]Summary!$L$5:$L$110,MATCH($C171,[1]Summary!$D$5:$D272,0)))</f>
        <v>1001332.75</v>
      </c>
      <c r="V171" s="721"/>
      <c r="W171" s="721"/>
      <c r="X171" s="721"/>
      <c r="Y171" s="721"/>
      <c r="Z171" s="721"/>
      <c r="AA171" s="721"/>
      <c r="AB171" s="721"/>
      <c r="AC171" s="721"/>
      <c r="AD171" s="721"/>
      <c r="AE171" s="105"/>
      <c r="AI171" s="105"/>
      <c r="AJ171" s="105"/>
      <c r="AN171" s="105"/>
      <c r="AO171" s="105"/>
      <c r="AP171" s="105"/>
    </row>
    <row r="172" spans="1:42" outlineLevel="1">
      <c r="A172" s="545">
        <f>MAX($A$10:A171)+1</f>
        <v>163</v>
      </c>
      <c r="B172" s="716" t="s">
        <v>1799</v>
      </c>
      <c r="C172" s="716" t="s">
        <v>2073</v>
      </c>
      <c r="D172" s="716" t="s">
        <v>2074</v>
      </c>
      <c r="E172" s="559">
        <v>376.1</v>
      </c>
      <c r="F172" s="1302" cm="1">
        <f t="array" ref="F172">+IF(SUM(VALUE(N172:Q172)*$N$7:$Q$7)=0,R172,T172)</f>
        <v>754871.91</v>
      </c>
      <c r="G172" s="103">
        <f t="shared" si="10"/>
        <v>754871.91</v>
      </c>
      <c r="H172" s="717">
        <v>45356</v>
      </c>
      <c r="I172" s="1303" cm="1">
        <f t="array" ref="I172">+IF(SUM(VALUE(N172:Q172)*$N$7:$Q$7)=0,S172,U172)</f>
        <v>0</v>
      </c>
      <c r="J172" s="103"/>
      <c r="K172" s="103"/>
      <c r="M172"/>
      <c r="N172" s="1300">
        <v>0</v>
      </c>
      <c r="O172" s="1300">
        <v>0</v>
      </c>
      <c r="P172" s="1300">
        <v>0</v>
      </c>
      <c r="Q172" s="1300">
        <v>1</v>
      </c>
      <c r="R172" s="1266">
        <v>754871.91</v>
      </c>
      <c r="S172" s="1266">
        <v>0</v>
      </c>
      <c r="T172" s="1266">
        <f>+IF($Q172=1,$G172,INDEX([1]Summary!$K$5:$K$110,MATCH($C172,[1]Summary!$D$5:$D273,0)))</f>
        <v>754871.91</v>
      </c>
      <c r="U172" s="1266">
        <f>+IF($Q172=1,$J172,INDEX([1]Summary!$L$5:$L$110,MATCH($C172,[1]Summary!$D$5:$D273,0)))</f>
        <v>0</v>
      </c>
      <c r="V172" s="721"/>
      <c r="W172" s="721"/>
      <c r="X172" s="721"/>
      <c r="Y172" s="721"/>
      <c r="Z172" s="721"/>
      <c r="AA172" s="721"/>
      <c r="AB172" s="721"/>
      <c r="AC172" s="721"/>
      <c r="AD172" s="721"/>
      <c r="AE172" s="105"/>
      <c r="AI172" s="105"/>
      <c r="AJ172" s="105"/>
      <c r="AN172" s="105"/>
      <c r="AO172" s="105"/>
      <c r="AP172" s="105"/>
    </row>
    <row r="173" spans="1:42" outlineLevel="1">
      <c r="A173" s="545">
        <f>MAX($A$10:A172)+1</f>
        <v>164</v>
      </c>
      <c r="B173" s="716" t="s">
        <v>1799</v>
      </c>
      <c r="C173" s="716" t="s">
        <v>2075</v>
      </c>
      <c r="D173" s="716" t="s">
        <v>2076</v>
      </c>
      <c r="E173" s="559">
        <v>378</v>
      </c>
      <c r="F173" s="1302" cm="1">
        <f t="array" ref="F173">+IF(SUM(VALUE(N173:Q173)*$N$7:$Q$7)=0,R173,T173)</f>
        <v>98907.725646999999</v>
      </c>
      <c r="G173" s="103">
        <f t="shared" si="10"/>
        <v>98907.725646999999</v>
      </c>
      <c r="H173" s="717">
        <v>45366</v>
      </c>
      <c r="I173" s="1303" cm="1">
        <f t="array" ref="I173">+IF(SUM(VALUE(N173:Q173)*$N$7:$Q$7)=0,S173,U173)</f>
        <v>0</v>
      </c>
      <c r="J173" s="103"/>
      <c r="K173" s="103"/>
      <c r="M173"/>
      <c r="N173" s="1300">
        <v>0</v>
      </c>
      <c r="O173" s="1300">
        <v>0</v>
      </c>
      <c r="P173" s="1300">
        <v>0</v>
      </c>
      <c r="Q173" s="1300">
        <v>1</v>
      </c>
      <c r="R173" s="1266">
        <v>98907.725646999999</v>
      </c>
      <c r="S173" s="1266">
        <v>0</v>
      </c>
      <c r="T173" s="1266">
        <f>+IF($Q173=1,$G173,INDEX([1]Summary!$K$5:$K$110,MATCH($C173,[1]Summary!$D$5:$D274,0)))</f>
        <v>98907.725646999999</v>
      </c>
      <c r="U173" s="1266">
        <f>+IF($Q173=1,$J173,INDEX([1]Summary!$L$5:$L$110,MATCH($C173,[1]Summary!$D$5:$D274,0)))</f>
        <v>0</v>
      </c>
      <c r="V173" s="721"/>
      <c r="W173" s="721"/>
      <c r="X173" s="721"/>
      <c r="Y173" s="721"/>
      <c r="Z173" s="721"/>
      <c r="AA173" s="721"/>
      <c r="AB173" s="721"/>
      <c r="AC173" s="721"/>
      <c r="AD173" s="721"/>
      <c r="AE173" s="105"/>
      <c r="AI173" s="105"/>
      <c r="AJ173" s="105"/>
      <c r="AN173" s="105"/>
      <c r="AO173" s="105"/>
      <c r="AP173" s="105"/>
    </row>
    <row r="174" spans="1:42" outlineLevel="1">
      <c r="A174" s="545">
        <f>MAX($A$10:A173)+1</f>
        <v>165</v>
      </c>
      <c r="B174" s="716" t="s">
        <v>1799</v>
      </c>
      <c r="C174" s="716" t="s">
        <v>2077</v>
      </c>
      <c r="D174" s="716" t="s">
        <v>2078</v>
      </c>
      <c r="E174" s="559">
        <v>376.3</v>
      </c>
      <c r="F174" s="1302" cm="1">
        <f t="array" ref="F174">+IF(SUM(VALUE(N174:Q174)*$N$7:$Q$7)=0,R174,T174)</f>
        <v>122656.28</v>
      </c>
      <c r="G174" s="103">
        <f t="shared" si="10"/>
        <v>122656.28</v>
      </c>
      <c r="H174" s="717">
        <v>45597</v>
      </c>
      <c r="I174" s="1303" cm="1">
        <f t="array" ref="I174">+IF(SUM(VALUE(N174:Q174)*$N$7:$Q$7)=0,S174,U174)</f>
        <v>0</v>
      </c>
      <c r="J174" s="103"/>
      <c r="K174" s="103"/>
      <c r="M174"/>
      <c r="N174" s="1300">
        <v>0</v>
      </c>
      <c r="O174" s="1300">
        <v>0</v>
      </c>
      <c r="P174" s="1300">
        <v>0</v>
      </c>
      <c r="Q174" s="1300">
        <v>1</v>
      </c>
      <c r="R174" s="1266">
        <v>122656.28</v>
      </c>
      <c r="S174" s="1266">
        <v>0</v>
      </c>
      <c r="T174" s="1266">
        <f>+IF($Q174=1,$G174,INDEX([1]Summary!$K$5:$K$110,MATCH($C174,[1]Summary!$D$5:$D275,0)))</f>
        <v>122656.28</v>
      </c>
      <c r="U174" s="1266">
        <f>+IF($Q174=1,$J174,INDEX([1]Summary!$L$5:$L$110,MATCH($C174,[1]Summary!$D$5:$D275,0)))</f>
        <v>0</v>
      </c>
      <c r="V174" s="721"/>
      <c r="W174" s="721"/>
      <c r="X174" s="721"/>
      <c r="Y174" s="721"/>
      <c r="Z174" s="721"/>
      <c r="AA174" s="721"/>
      <c r="AB174" s="721"/>
      <c r="AC174" s="721"/>
      <c r="AD174" s="721"/>
      <c r="AE174" s="105"/>
      <c r="AI174" s="105"/>
      <c r="AJ174" s="105"/>
      <c r="AN174" s="105"/>
      <c r="AO174" s="105"/>
      <c r="AP174" s="105"/>
    </row>
    <row r="175" spans="1:42" outlineLevel="1">
      <c r="A175" s="545">
        <f>MAX($A$10:A174)+1</f>
        <v>166</v>
      </c>
      <c r="B175" s="716" t="s">
        <v>1799</v>
      </c>
      <c r="C175" s="716" t="s">
        <v>2079</v>
      </c>
      <c r="D175" s="716" t="s">
        <v>2080</v>
      </c>
      <c r="E175" s="559">
        <v>377</v>
      </c>
      <c r="F175" s="1302" cm="1">
        <f t="array" ref="F175">+IF(SUM(VALUE(N175:Q175)*$N$7:$Q$7)=0,R175,T175)</f>
        <v>15145</v>
      </c>
      <c r="G175" s="103">
        <f t="shared" si="10"/>
        <v>15145</v>
      </c>
      <c r="H175" s="717">
        <v>45366</v>
      </c>
      <c r="I175" s="1303" cm="1">
        <f t="array" ref="I175">+IF(SUM(VALUE(N175:Q175)*$N$7:$Q$7)=0,S175,U175)</f>
        <v>0</v>
      </c>
      <c r="J175" s="103"/>
      <c r="K175" s="103"/>
      <c r="M175"/>
      <c r="N175" s="1300">
        <v>0</v>
      </c>
      <c r="O175" s="1300">
        <v>0</v>
      </c>
      <c r="P175" s="1300">
        <v>0</v>
      </c>
      <c r="Q175" s="1300">
        <v>1</v>
      </c>
      <c r="R175" s="1266">
        <v>15145</v>
      </c>
      <c r="S175" s="1266">
        <v>0</v>
      </c>
      <c r="T175" s="1266">
        <f>+IF($Q175=1,$G175,INDEX([1]Summary!$K$5:$K$110,MATCH($C175,[1]Summary!$D$5:$D276,0)))</f>
        <v>15145</v>
      </c>
      <c r="U175" s="1266">
        <f>+IF($Q175=1,$J175,INDEX([1]Summary!$L$5:$L$110,MATCH($C175,[1]Summary!$D$5:$D276,0)))</f>
        <v>0</v>
      </c>
      <c r="V175" s="721"/>
      <c r="W175" s="721"/>
      <c r="X175" s="721"/>
      <c r="Y175" s="721"/>
      <c r="Z175" s="721"/>
      <c r="AA175" s="721"/>
      <c r="AB175" s="721"/>
      <c r="AC175" s="721"/>
      <c r="AD175" s="721"/>
      <c r="AE175" s="105"/>
      <c r="AI175" s="105"/>
      <c r="AJ175" s="105"/>
      <c r="AN175" s="105"/>
      <c r="AO175" s="105"/>
      <c r="AP175" s="105"/>
    </row>
    <row r="176" spans="1:42" outlineLevel="1">
      <c r="A176" s="545">
        <f>MAX($A$10:A175)+1</f>
        <v>167</v>
      </c>
      <c r="B176" s="716" t="s">
        <v>1799</v>
      </c>
      <c r="C176" s="716" t="s">
        <v>2081</v>
      </c>
      <c r="D176" s="716" t="s">
        <v>2082</v>
      </c>
      <c r="E176" s="559">
        <v>379</v>
      </c>
      <c r="F176" s="1302" cm="1">
        <f t="array" ref="F176">+IF(SUM(VALUE(N176:Q176)*$N$7:$Q$7)=0,R176,T176)</f>
        <v>4582.6119119999994</v>
      </c>
      <c r="G176" s="103">
        <f t="shared" si="10"/>
        <v>4582.6119119999994</v>
      </c>
      <c r="H176" s="717">
        <v>45349</v>
      </c>
      <c r="I176" s="1303" cm="1">
        <f t="array" ref="I176">+IF(SUM(VALUE(N176:Q176)*$N$7:$Q$7)=0,S176,U176)</f>
        <v>0</v>
      </c>
      <c r="J176" s="103"/>
      <c r="K176" s="103"/>
      <c r="M176"/>
      <c r="N176" s="1300">
        <v>0</v>
      </c>
      <c r="O176" s="1300">
        <v>0</v>
      </c>
      <c r="P176" s="1300">
        <v>0</v>
      </c>
      <c r="Q176" s="1300">
        <v>1</v>
      </c>
      <c r="R176" s="1266">
        <v>4582.6119119999994</v>
      </c>
      <c r="S176" s="1266">
        <v>0</v>
      </c>
      <c r="T176" s="1266">
        <f>+IF($Q176=1,$G176,INDEX([1]Summary!$K$5:$K$110,MATCH($C176,[1]Summary!$D$5:$D277,0)))</f>
        <v>4582.6119119999994</v>
      </c>
      <c r="U176" s="1266">
        <f>+IF($Q176=1,$J176,INDEX([1]Summary!$L$5:$L$110,MATCH($C176,[1]Summary!$D$5:$D277,0)))</f>
        <v>0</v>
      </c>
      <c r="V176" s="721"/>
      <c r="W176" s="721"/>
      <c r="X176" s="721"/>
      <c r="Y176" s="721"/>
      <c r="Z176" s="721"/>
      <c r="AA176" s="721"/>
      <c r="AB176" s="721"/>
      <c r="AC176" s="721"/>
      <c r="AD176" s="721"/>
      <c r="AE176" s="105"/>
      <c r="AI176" s="105"/>
      <c r="AJ176" s="105"/>
      <c r="AN176" s="105"/>
      <c r="AO176" s="105"/>
      <c r="AP176" s="105"/>
    </row>
    <row r="177" spans="1:42" outlineLevel="1">
      <c r="A177" s="545">
        <f>MAX($A$10:A176)+1</f>
        <v>168</v>
      </c>
      <c r="B177" s="716" t="s">
        <v>1799</v>
      </c>
      <c r="C177" s="716" t="s">
        <v>2083</v>
      </c>
      <c r="D177" s="716" t="s">
        <v>2084</v>
      </c>
      <c r="E177" s="559">
        <v>379</v>
      </c>
      <c r="F177" s="1302" cm="1">
        <f t="array" ref="F177">+IF(SUM(VALUE(N177:Q177)*$N$7:$Q$7)=0,R177,T177)</f>
        <v>4582.6119119999994</v>
      </c>
      <c r="G177" s="103">
        <f t="shared" si="10"/>
        <v>4582.6119119999994</v>
      </c>
      <c r="H177" s="717">
        <v>45349</v>
      </c>
      <c r="I177" s="1303" cm="1">
        <f t="array" ref="I177">+IF(SUM(VALUE(N177:Q177)*$N$7:$Q$7)=0,S177,U177)</f>
        <v>0</v>
      </c>
      <c r="J177" s="103"/>
      <c r="K177" s="103"/>
      <c r="M177"/>
      <c r="N177" s="1300">
        <v>0</v>
      </c>
      <c r="O177" s="1300">
        <v>0</v>
      </c>
      <c r="P177" s="1300">
        <v>0</v>
      </c>
      <c r="Q177" s="1300">
        <v>1</v>
      </c>
      <c r="R177" s="1266">
        <v>4582.6119119999994</v>
      </c>
      <c r="S177" s="1266">
        <v>0</v>
      </c>
      <c r="T177" s="1266">
        <f>+IF($Q177=1,$G177,INDEX([1]Summary!$K$5:$K$110,MATCH($C177,[1]Summary!$D$5:$D278,0)))</f>
        <v>4582.6119119999994</v>
      </c>
      <c r="U177" s="1266">
        <f>+IF($Q177=1,$J177,INDEX([1]Summary!$L$5:$L$110,MATCH($C177,[1]Summary!$D$5:$D278,0)))</f>
        <v>0</v>
      </c>
      <c r="V177" s="721"/>
      <c r="W177" s="721"/>
      <c r="X177" s="721"/>
      <c r="Y177" s="721"/>
      <c r="Z177" s="721"/>
      <c r="AA177" s="721"/>
      <c r="AB177" s="721"/>
      <c r="AC177" s="721"/>
      <c r="AD177" s="721"/>
      <c r="AE177" s="105"/>
      <c r="AI177" s="105"/>
      <c r="AJ177" s="105"/>
      <c r="AN177" s="105"/>
      <c r="AO177" s="105"/>
      <c r="AP177" s="105"/>
    </row>
    <row r="178" spans="1:42" outlineLevel="1">
      <c r="A178" s="545">
        <f>MAX($A$10:A177)+1</f>
        <v>169</v>
      </c>
      <c r="B178" s="716" t="s">
        <v>1799</v>
      </c>
      <c r="C178" s="716" t="s">
        <v>2085</v>
      </c>
      <c r="D178" s="716" t="s">
        <v>2086</v>
      </c>
      <c r="E178" s="559">
        <v>379</v>
      </c>
      <c r="F178" s="1302" cm="1">
        <f t="array" ref="F178">+IF(SUM(VALUE(N178:Q178)*$N$7:$Q$7)=0,R178,T178)</f>
        <v>4591.8647419999998</v>
      </c>
      <c r="G178" s="103">
        <f t="shared" si="10"/>
        <v>4591.8647419999998</v>
      </c>
      <c r="H178" s="717">
        <v>45349</v>
      </c>
      <c r="I178" s="1303" cm="1">
        <f t="array" ref="I178">+IF(SUM(VALUE(N178:Q178)*$N$7:$Q$7)=0,S178,U178)</f>
        <v>0</v>
      </c>
      <c r="J178" s="103"/>
      <c r="K178" s="103"/>
      <c r="M178"/>
      <c r="N178" s="1300">
        <v>0</v>
      </c>
      <c r="O178" s="1300">
        <v>0</v>
      </c>
      <c r="P178" s="1300">
        <v>0</v>
      </c>
      <c r="Q178" s="1300">
        <v>1</v>
      </c>
      <c r="R178" s="1266">
        <v>4591.8647419999998</v>
      </c>
      <c r="S178" s="1266">
        <v>0</v>
      </c>
      <c r="T178" s="1266">
        <f>+IF($Q178=1,$G178,INDEX([1]Summary!$K$5:$K$110,MATCH($C178,[1]Summary!$D$5:$D279,0)))</f>
        <v>4591.8647419999998</v>
      </c>
      <c r="U178" s="1266">
        <f>+IF($Q178=1,$J178,INDEX([1]Summary!$L$5:$L$110,MATCH($C178,[1]Summary!$D$5:$D279,0)))</f>
        <v>0</v>
      </c>
      <c r="V178" s="721"/>
      <c r="W178" s="721"/>
      <c r="X178" s="721"/>
      <c r="Y178" s="721"/>
      <c r="Z178" s="721"/>
      <c r="AA178" s="721"/>
      <c r="AB178" s="721"/>
      <c r="AC178" s="721"/>
      <c r="AD178" s="721"/>
      <c r="AE178" s="105"/>
      <c r="AI178" s="105"/>
      <c r="AJ178" s="105"/>
      <c r="AN178" s="105"/>
      <c r="AO178" s="105"/>
      <c r="AP178" s="105"/>
    </row>
    <row r="179" spans="1:42" outlineLevel="1">
      <c r="A179" s="545">
        <f>MAX($A$10:A178)+1</f>
        <v>170</v>
      </c>
      <c r="B179" s="716" t="s">
        <v>1799</v>
      </c>
      <c r="C179" s="716" t="s">
        <v>2087</v>
      </c>
      <c r="D179" s="716" t="s">
        <v>2088</v>
      </c>
      <c r="E179" s="559">
        <v>379</v>
      </c>
      <c r="F179" s="1302" cm="1">
        <f t="array" ref="F179">+IF(SUM(VALUE(N179:Q179)*$N$7:$Q$7)=0,R179,T179)</f>
        <v>4582.6119119999994</v>
      </c>
      <c r="G179" s="103">
        <f t="shared" si="10"/>
        <v>4582.6119119999994</v>
      </c>
      <c r="H179" s="717">
        <v>45349</v>
      </c>
      <c r="I179" s="1303" cm="1">
        <f t="array" ref="I179">+IF(SUM(VALUE(N179:Q179)*$N$7:$Q$7)=0,S179,U179)</f>
        <v>0</v>
      </c>
      <c r="J179" s="103"/>
      <c r="K179" s="103"/>
      <c r="M179"/>
      <c r="N179" s="1300">
        <v>0</v>
      </c>
      <c r="O179" s="1300">
        <v>0</v>
      </c>
      <c r="P179" s="1300">
        <v>0</v>
      </c>
      <c r="Q179" s="1300">
        <v>1</v>
      </c>
      <c r="R179" s="1266">
        <v>4582.6119119999994</v>
      </c>
      <c r="S179" s="1266">
        <v>0</v>
      </c>
      <c r="T179" s="1266">
        <f>+IF($Q179=1,$G179,INDEX([1]Summary!$K$5:$K$110,MATCH($C179,[1]Summary!$D$5:$D280,0)))</f>
        <v>4582.6119119999994</v>
      </c>
      <c r="U179" s="1266">
        <f>+IF($Q179=1,$J179,INDEX([1]Summary!$L$5:$L$110,MATCH($C179,[1]Summary!$D$5:$D280,0)))</f>
        <v>0</v>
      </c>
      <c r="V179" s="721"/>
      <c r="W179" s="721"/>
      <c r="X179" s="721"/>
      <c r="Y179" s="721"/>
      <c r="Z179" s="721"/>
      <c r="AA179" s="721"/>
      <c r="AB179" s="721"/>
      <c r="AC179" s="721"/>
      <c r="AD179" s="721"/>
      <c r="AE179" s="105"/>
      <c r="AI179" s="105"/>
      <c r="AJ179" s="105"/>
      <c r="AN179" s="105"/>
      <c r="AO179" s="105"/>
      <c r="AP179" s="105"/>
    </row>
    <row r="180" spans="1:42" outlineLevel="1">
      <c r="A180" s="545">
        <f>MAX($A$10:A179)+1</f>
        <v>171</v>
      </c>
      <c r="B180" s="716" t="s">
        <v>1799</v>
      </c>
      <c r="C180" s="716" t="s">
        <v>2089</v>
      </c>
      <c r="D180" s="716" t="s">
        <v>2090</v>
      </c>
      <c r="E180" s="559">
        <v>376.1</v>
      </c>
      <c r="F180" s="1302" cm="1">
        <f t="array" ref="F180">+IF(SUM(VALUE(N180:Q180)*$N$7:$Q$7)=0,R180,T180)</f>
        <v>171343.33359999998</v>
      </c>
      <c r="G180" s="103">
        <f t="shared" si="10"/>
        <v>171343.33359999998</v>
      </c>
      <c r="H180" s="717">
        <v>45351</v>
      </c>
      <c r="I180" s="1303" cm="1">
        <f t="array" ref="I180">+IF(SUM(VALUE(N180:Q180)*$N$7:$Q$7)=0,S180,U180)</f>
        <v>0</v>
      </c>
      <c r="J180" s="103"/>
      <c r="K180" s="103"/>
      <c r="M180"/>
      <c r="N180" s="1300">
        <v>0</v>
      </c>
      <c r="O180" s="1300">
        <v>0</v>
      </c>
      <c r="P180" s="1300">
        <v>0</v>
      </c>
      <c r="Q180" s="1300">
        <v>1</v>
      </c>
      <c r="R180" s="1266">
        <v>171343.33359999998</v>
      </c>
      <c r="S180" s="1266">
        <v>0</v>
      </c>
      <c r="T180" s="1266">
        <f>+IF($Q180=1,$G180,INDEX([1]Summary!$K$5:$K$110,MATCH($C180,[1]Summary!$D$5:$D281,0)))</f>
        <v>171343.33359999998</v>
      </c>
      <c r="U180" s="1266">
        <f>+IF($Q180=1,$J180,INDEX([1]Summary!$L$5:$L$110,MATCH($C180,[1]Summary!$D$5:$D281,0)))</f>
        <v>0</v>
      </c>
      <c r="V180" s="721"/>
      <c r="W180" s="721"/>
      <c r="X180" s="721"/>
      <c r="Y180" s="721"/>
      <c r="Z180" s="721"/>
      <c r="AA180" s="721"/>
      <c r="AB180" s="721"/>
      <c r="AC180" s="721"/>
      <c r="AD180" s="721"/>
      <c r="AE180" s="105"/>
      <c r="AI180" s="105"/>
      <c r="AJ180" s="105"/>
      <c r="AN180" s="105"/>
      <c r="AO180" s="105"/>
      <c r="AP180" s="105"/>
    </row>
    <row r="181" spans="1:42" outlineLevel="1">
      <c r="A181" s="545">
        <f>MAX($A$10:A180)+1</f>
        <v>172</v>
      </c>
      <c r="B181" s="716" t="s">
        <v>1799</v>
      </c>
      <c r="C181" s="716" t="s">
        <v>2091</v>
      </c>
      <c r="D181" s="716" t="s">
        <v>2092</v>
      </c>
      <c r="E181" s="559">
        <v>376.1</v>
      </c>
      <c r="F181" s="1302" cm="1">
        <f t="array" ref="F181">+IF(SUM(VALUE(N181:Q181)*$N$7:$Q$7)=0,R181,T181)</f>
        <v>851809.52023000002</v>
      </c>
      <c r="G181" s="103">
        <f t="shared" si="10"/>
        <v>851809.52023000002</v>
      </c>
      <c r="H181" s="717">
        <v>45641</v>
      </c>
      <c r="I181" s="1303" cm="1">
        <f t="array" ref="I181">+IF(SUM(VALUE(N181:Q181)*$N$7:$Q$7)=0,S181,U181)</f>
        <v>0</v>
      </c>
      <c r="J181" s="103"/>
      <c r="K181" s="103"/>
      <c r="M181"/>
      <c r="N181" s="1300">
        <v>0</v>
      </c>
      <c r="O181" s="1300">
        <v>0</v>
      </c>
      <c r="P181" s="1300">
        <v>0</v>
      </c>
      <c r="Q181" s="1300">
        <v>1</v>
      </c>
      <c r="R181" s="1266">
        <v>851809.52023000002</v>
      </c>
      <c r="S181" s="1266">
        <v>0</v>
      </c>
      <c r="T181" s="1266">
        <f>+IF($Q181=1,$G181,INDEX([1]Summary!$K$5:$K$110,MATCH($C181,[1]Summary!$D$5:$D282,0)))</f>
        <v>851809.52023000002</v>
      </c>
      <c r="U181" s="1266">
        <f>+IF($Q181=1,$J181,INDEX([1]Summary!$L$5:$L$110,MATCH($C181,[1]Summary!$D$5:$D282,0)))</f>
        <v>0</v>
      </c>
      <c r="V181" s="721"/>
      <c r="W181" s="721"/>
      <c r="X181" s="721"/>
      <c r="Y181" s="721"/>
      <c r="Z181" s="721"/>
      <c r="AA181" s="721"/>
      <c r="AB181" s="721"/>
      <c r="AC181" s="721"/>
      <c r="AD181" s="721"/>
      <c r="AE181" s="105"/>
      <c r="AI181" s="105"/>
      <c r="AJ181" s="105"/>
      <c r="AN181" s="105"/>
      <c r="AO181" s="105"/>
      <c r="AP181" s="105"/>
    </row>
    <row r="182" spans="1:42" outlineLevel="1">
      <c r="A182" s="545">
        <f>MAX($A$10:A181)+1</f>
        <v>173</v>
      </c>
      <c r="B182" s="716" t="s">
        <v>1799</v>
      </c>
      <c r="C182" s="716" t="s">
        <v>2093</v>
      </c>
      <c r="D182" s="716" t="s">
        <v>2094</v>
      </c>
      <c r="E182" s="559">
        <v>376.1</v>
      </c>
      <c r="F182" s="1302" cm="1">
        <f t="array" ref="F182">+IF(SUM(VALUE(N182:Q182)*$N$7:$Q$7)=0,R182,T182)</f>
        <v>229130.5956</v>
      </c>
      <c r="G182" s="103">
        <f t="shared" si="10"/>
        <v>229130.5956</v>
      </c>
      <c r="H182" s="717">
        <v>45380</v>
      </c>
      <c r="I182" s="1303" cm="1">
        <f t="array" ref="I182">+IF(SUM(VALUE(N182:Q182)*$N$7:$Q$7)=0,S182,U182)</f>
        <v>0</v>
      </c>
      <c r="J182" s="471"/>
      <c r="K182" s="471"/>
      <c r="L182" s="471"/>
      <c r="M182"/>
      <c r="N182" s="1300">
        <v>0</v>
      </c>
      <c r="O182" s="1300">
        <v>0</v>
      </c>
      <c r="P182" s="1300">
        <v>0</v>
      </c>
      <c r="Q182" s="1300">
        <v>1</v>
      </c>
      <c r="R182" s="1266">
        <v>229130.5956</v>
      </c>
      <c r="S182" s="1266">
        <v>0</v>
      </c>
      <c r="T182" s="1266">
        <f>+IF($Q182=1,$G182,INDEX([1]Summary!$K$5:$K$110,MATCH($C182,[1]Summary!$D$5:$D283,0)))</f>
        <v>229130.5956</v>
      </c>
      <c r="U182" s="1266">
        <f>+IF($Q182=1,$J182,INDEX([1]Summary!$L$5:$L$110,MATCH($C182,[1]Summary!$D$5:$D283,0)))</f>
        <v>0</v>
      </c>
      <c r="V182" s="721"/>
      <c r="W182" s="721"/>
      <c r="X182" s="721"/>
      <c r="Y182" s="721"/>
      <c r="Z182" s="721"/>
      <c r="AA182" s="721"/>
      <c r="AB182" s="721"/>
      <c r="AC182" s="721"/>
      <c r="AD182" s="721"/>
      <c r="AE182" s="105"/>
      <c r="AI182" s="105"/>
      <c r="AJ182" s="105"/>
      <c r="AN182" s="105"/>
      <c r="AO182" s="105"/>
      <c r="AP182" s="105"/>
    </row>
    <row r="183" spans="1:42" outlineLevel="1">
      <c r="A183" s="545">
        <f>MAX($A$10:A182)+1</f>
        <v>174</v>
      </c>
      <c r="B183" s="729"/>
      <c r="C183" s="729"/>
      <c r="D183" s="730" t="s">
        <v>2095</v>
      </c>
      <c r="E183" s="560"/>
      <c r="F183" s="495">
        <f>SUM(F36:F182)</f>
        <v>54525226.681964606</v>
      </c>
      <c r="G183" s="495">
        <f>SUM(G36:G182)</f>
        <v>54525226.681964606</v>
      </c>
      <c r="H183" s="495"/>
      <c r="I183" s="713">
        <f>SUM(I36:I182)</f>
        <v>38669175.892553709</v>
      </c>
      <c r="J183" s="495">
        <f>SUM(J36:J182)</f>
        <v>33366061.522553716</v>
      </c>
      <c r="K183" s="495"/>
      <c r="L183" s="495">
        <f>SUM(L36:L182)</f>
        <v>0</v>
      </c>
      <c r="M183"/>
      <c r="N183"/>
      <c r="O183" s="449"/>
      <c r="P183" s="449"/>
      <c r="Q183" s="449"/>
      <c r="R183" s="1266"/>
      <c r="S183" s="1266"/>
      <c r="T183" s="1266"/>
      <c r="U183" s="1266"/>
      <c r="V183" s="721"/>
      <c r="W183" s="721"/>
      <c r="X183" s="721"/>
      <c r="Y183" s="721"/>
      <c r="Z183" s="721"/>
      <c r="AA183" s="721"/>
      <c r="AB183" s="721"/>
      <c r="AC183" s="721"/>
      <c r="AD183" s="721"/>
      <c r="AI183" s="105"/>
      <c r="AJ183" s="105"/>
      <c r="AN183" s="105"/>
      <c r="AO183" s="105"/>
      <c r="AP183" s="105"/>
    </row>
    <row r="184" spans="1:42" outlineLevel="1">
      <c r="A184" s="545">
        <f>MAX($A$10:A183)+1</f>
        <v>175</v>
      </c>
      <c r="B184" s="731"/>
      <c r="C184" s="731"/>
      <c r="D184" s="732"/>
      <c r="E184" s="561"/>
      <c r="F184" s="103"/>
      <c r="G184" s="103"/>
      <c r="H184" s="103"/>
      <c r="I184" s="733"/>
      <c r="J184" s="103"/>
      <c r="K184" s="103"/>
      <c r="L184" s="103"/>
      <c r="M184"/>
      <c r="N184"/>
      <c r="O184" s="449" t="s">
        <v>247</v>
      </c>
      <c r="P184" s="449"/>
      <c r="Q184" s="449"/>
      <c r="R184" s="1266"/>
      <c r="S184" s="1266"/>
      <c r="T184" s="1266"/>
      <c r="U184" s="1266"/>
      <c r="V184" s="721"/>
      <c r="W184" s="721"/>
      <c r="X184" s="721"/>
      <c r="Y184" s="721"/>
      <c r="Z184" s="721"/>
      <c r="AA184" s="721"/>
      <c r="AB184" s="721"/>
      <c r="AC184" s="721"/>
      <c r="AD184" s="721"/>
      <c r="AI184" s="105"/>
      <c r="AJ184" s="105"/>
      <c r="AN184" s="105"/>
      <c r="AO184" s="105"/>
      <c r="AP184" s="105"/>
    </row>
    <row r="185" spans="1:42" outlineLevel="1">
      <c r="A185" s="545">
        <f>MAX($A$10:A184)+1</f>
        <v>176</v>
      </c>
      <c r="B185" s="716" t="s">
        <v>2096</v>
      </c>
      <c r="C185" s="716" t="s">
        <v>2097</v>
      </c>
      <c r="D185" s="716" t="s">
        <v>2098</v>
      </c>
      <c r="E185" s="559">
        <v>396.2</v>
      </c>
      <c r="F185" s="1302" cm="1">
        <f t="array" ref="F185">+IF(SUM(VALUE(N185:Q185)*$N$7:$Q$7)=0,R185,T185)</f>
        <v>3286821.6849999428</v>
      </c>
      <c r="G185" s="103">
        <f t="shared" ref="G185:G248" si="12">+F185</f>
        <v>3286821.6849999428</v>
      </c>
      <c r="H185" s="575">
        <v>45657</v>
      </c>
      <c r="I185" s="1303" cm="1">
        <f t="array" ref="I185">+IF(SUM(VALUE(N185:Q185)*$N$7:$Q$7)=0,S185,U185)</f>
        <v>3852145.1189997196</v>
      </c>
      <c r="J185" s="103">
        <f t="shared" ref="J185:J238" si="13">+I185</f>
        <v>3852145.1189997196</v>
      </c>
      <c r="K185" s="717">
        <v>46022</v>
      </c>
      <c r="M185"/>
      <c r="N185" s="1300">
        <v>0</v>
      </c>
      <c r="O185" s="1300">
        <v>0</v>
      </c>
      <c r="P185" s="1300">
        <v>1</v>
      </c>
      <c r="Q185" s="1300">
        <v>0</v>
      </c>
      <c r="R185" s="1266">
        <v>2463904.4573269999</v>
      </c>
      <c r="S185" s="1266">
        <v>2289180.1058280002</v>
      </c>
      <c r="T185" s="1266">
        <f>+IF($Q185=1,$G185,INDEX([1]Summary!$K$5:$K$110,MATCH($C185,[1]Summary!$D$5:$D286,0)))</f>
        <v>3286821.6849999428</v>
      </c>
      <c r="U185" s="1266">
        <f>+IF($Q185=1,$J185,INDEX([1]Summary!$L$5:$L$110,MATCH($C185,[1]Summary!$D$5:$D286,0)))</f>
        <v>3852145.1189997196</v>
      </c>
      <c r="V185" s="721"/>
      <c r="W185" s="721"/>
      <c r="X185" s="721"/>
      <c r="Y185" s="721"/>
      <c r="Z185" s="721"/>
      <c r="AA185" s="721"/>
      <c r="AB185" s="721"/>
      <c r="AC185" s="721"/>
      <c r="AD185" s="721"/>
      <c r="AI185" s="105"/>
      <c r="AJ185" s="105"/>
      <c r="AN185" s="105"/>
      <c r="AO185" s="105"/>
      <c r="AP185" s="105"/>
    </row>
    <row r="186" spans="1:42" outlineLevel="1">
      <c r="A186" s="545">
        <f>MAX($A$10:A185)+1</f>
        <v>177</v>
      </c>
      <c r="B186" s="716" t="s">
        <v>2096</v>
      </c>
      <c r="C186" s="716" t="s">
        <v>2099</v>
      </c>
      <c r="D186" s="716" t="s">
        <v>2100</v>
      </c>
      <c r="E186" s="559">
        <v>397.2</v>
      </c>
      <c r="F186" s="1302" cm="1">
        <f t="array" ref="F186">+IF(SUM(VALUE(N186:Q186)*$N$7:$Q$7)=0,R186,T186)</f>
        <v>0</v>
      </c>
      <c r="G186" s="103">
        <f t="shared" si="12"/>
        <v>0</v>
      </c>
      <c r="H186" s="575">
        <v>45657</v>
      </c>
      <c r="I186" s="1303" cm="1">
        <f t="array" ref="I186">+IF(SUM(VALUE(N186:Q186)*$N$7:$Q$7)=0,S186,U186)</f>
        <v>0</v>
      </c>
      <c r="J186" s="103">
        <f t="shared" si="13"/>
        <v>0</v>
      </c>
      <c r="K186" s="717">
        <v>46022</v>
      </c>
      <c r="M186"/>
      <c r="N186" s="1300">
        <v>0</v>
      </c>
      <c r="O186" s="1300">
        <v>0</v>
      </c>
      <c r="P186" s="1300">
        <v>1</v>
      </c>
      <c r="Q186" s="1300">
        <v>0</v>
      </c>
      <c r="R186" s="1266">
        <v>87401.493662000037</v>
      </c>
      <c r="S186" s="1266">
        <v>37782.730999999992</v>
      </c>
      <c r="T186" s="1266">
        <f>+IF($Q186=1,$G186,INDEX([1]Summary!$K$5:$K$110,MATCH($C186,[1]Summary!$D$5:$D287,0)))</f>
        <v>0</v>
      </c>
      <c r="U186" s="1266">
        <f>+IF($Q186=1,$J186,INDEX([1]Summary!$L$5:$L$110,MATCH($C186,[1]Summary!$D$5:$D287,0)))</f>
        <v>0</v>
      </c>
      <c r="V186" s="721"/>
      <c r="W186" s="721"/>
      <c r="X186" s="721"/>
      <c r="Y186" s="721"/>
      <c r="Z186" s="721"/>
      <c r="AA186" s="721"/>
      <c r="AB186" s="721"/>
      <c r="AC186" s="721"/>
      <c r="AD186" s="721"/>
      <c r="AI186" s="105"/>
      <c r="AJ186" s="105"/>
      <c r="AN186" s="105"/>
      <c r="AO186" s="105"/>
      <c r="AP186" s="105"/>
    </row>
    <row r="187" spans="1:42" outlineLevel="1">
      <c r="A187" s="545">
        <f>MAX($A$10:A186)+1</f>
        <v>178</v>
      </c>
      <c r="B187" s="716" t="s">
        <v>2096</v>
      </c>
      <c r="C187" s="716" t="s">
        <v>2101</v>
      </c>
      <c r="D187" s="716" t="s">
        <v>2102</v>
      </c>
      <c r="E187" s="559">
        <v>392.2</v>
      </c>
      <c r="F187" s="1302" cm="1">
        <f t="array" ref="F187">+IF(SUM(VALUE(N187:Q187)*$N$7:$Q$7)=0,R187,T187)</f>
        <v>0</v>
      </c>
      <c r="G187" s="103">
        <f t="shared" si="12"/>
        <v>0</v>
      </c>
      <c r="H187" s="575">
        <v>45657</v>
      </c>
      <c r="I187" s="1303" cm="1">
        <f t="array" ref="I187">+IF(SUM(VALUE(N187:Q187)*$N$7:$Q$7)=0,S187,U187)</f>
        <v>0</v>
      </c>
      <c r="J187" s="103">
        <f t="shared" si="13"/>
        <v>0</v>
      </c>
      <c r="K187" s="717">
        <v>46022</v>
      </c>
      <c r="M187"/>
      <c r="N187" s="1300">
        <v>0</v>
      </c>
      <c r="O187" s="1300">
        <v>0</v>
      </c>
      <c r="P187" s="1300">
        <v>1</v>
      </c>
      <c r="Q187" s="1300">
        <v>0</v>
      </c>
      <c r="R187" s="1266">
        <v>1060664.9308400003</v>
      </c>
      <c r="S187" s="1266">
        <v>769996.95369600004</v>
      </c>
      <c r="T187" s="1266">
        <f>+IF($Q187=1,$G187,INDEX([1]Summary!$K$5:$K$110,MATCH($C187,[1]Summary!$D$5:$D288,0)))</f>
        <v>0</v>
      </c>
      <c r="U187" s="1266">
        <f>+IF($Q187=1,$J187,INDEX([1]Summary!$L$5:$L$110,MATCH($C187,[1]Summary!$D$5:$D288,0)))</f>
        <v>0</v>
      </c>
      <c r="V187" s="721"/>
      <c r="W187" s="721"/>
      <c r="X187" s="721"/>
      <c r="Y187" s="721"/>
      <c r="Z187" s="721"/>
      <c r="AA187" s="721"/>
      <c r="AB187" s="721"/>
      <c r="AC187" s="721"/>
      <c r="AD187" s="721"/>
      <c r="AI187" s="105"/>
      <c r="AJ187" s="105"/>
      <c r="AN187" s="105"/>
      <c r="AO187" s="105"/>
      <c r="AP187" s="105"/>
    </row>
    <row r="188" spans="1:42" outlineLevel="1">
      <c r="A188" s="545">
        <f>MAX($A$10:A187)+1</f>
        <v>179</v>
      </c>
      <c r="B188" s="716" t="s">
        <v>2096</v>
      </c>
      <c r="C188" s="716" t="s">
        <v>2103</v>
      </c>
      <c r="D188" s="716" t="s">
        <v>2104</v>
      </c>
      <c r="E188" s="559">
        <v>391.3</v>
      </c>
      <c r="F188" s="1302" cm="1">
        <f t="array" ref="F188">+IF(SUM(VALUE(N188:Q188)*$N$7:$Q$7)=0,R188,T188)</f>
        <v>70533.544999999998</v>
      </c>
      <c r="G188" s="103">
        <f t="shared" si="12"/>
        <v>70533.544999999998</v>
      </c>
      <c r="H188" s="575">
        <v>45657</v>
      </c>
      <c r="I188" s="1303" cm="1">
        <f t="array" ref="I188">+IF(SUM(VALUE(N188:Q188)*$N$7:$Q$7)=0,S188,U188)</f>
        <v>70533.544999999998</v>
      </c>
      <c r="J188" s="103">
        <f t="shared" si="13"/>
        <v>70533.544999999998</v>
      </c>
      <c r="K188" s="717">
        <v>46022</v>
      </c>
      <c r="M188"/>
      <c r="N188" s="1300">
        <v>0</v>
      </c>
      <c r="O188" s="1300">
        <v>0</v>
      </c>
      <c r="P188" s="1300">
        <v>1</v>
      </c>
      <c r="Q188" s="1300">
        <v>0</v>
      </c>
      <c r="R188" s="1266">
        <v>113444.00484100005</v>
      </c>
      <c r="S188" s="1266">
        <v>94456.827500000014</v>
      </c>
      <c r="T188" s="1266">
        <f>+IF($Q188=1,$G188,INDEX([1]Summary!$K$5:$K$110,MATCH($C188,[1]Summary!$D$5:$D289,0)))</f>
        <v>70533.544999999998</v>
      </c>
      <c r="U188" s="1266">
        <f>+IF($Q188=1,$J188,INDEX([1]Summary!$L$5:$L$110,MATCH($C188,[1]Summary!$D$5:$D289,0)))</f>
        <v>70533.544999999998</v>
      </c>
      <c r="V188" s="721"/>
      <c r="W188" s="721"/>
      <c r="X188" s="721"/>
      <c r="Y188" s="721"/>
      <c r="Z188" s="721"/>
      <c r="AA188" s="721"/>
      <c r="AB188" s="721"/>
      <c r="AC188" s="721"/>
      <c r="AD188" s="721"/>
      <c r="AI188" s="105"/>
      <c r="AJ188" s="105"/>
      <c r="AN188" s="105"/>
      <c r="AO188" s="105"/>
      <c r="AP188" s="105"/>
    </row>
    <row r="189" spans="1:42" outlineLevel="1">
      <c r="A189" s="545">
        <f>MAX($A$10:A188)+1</f>
        <v>180</v>
      </c>
      <c r="B189" s="716" t="s">
        <v>2096</v>
      </c>
      <c r="C189" s="716" t="s">
        <v>2105</v>
      </c>
      <c r="D189" s="1" t="s">
        <v>2106</v>
      </c>
      <c r="E189" s="559">
        <v>391.3</v>
      </c>
      <c r="F189" s="1302" cm="1">
        <f t="array" ref="F189">+IF(SUM(VALUE(N189:Q189)*$N$7:$Q$7)=0,R189,T189)</f>
        <v>0</v>
      </c>
      <c r="G189" s="103">
        <f t="shared" si="12"/>
        <v>0</v>
      </c>
      <c r="H189" s="575">
        <v>45657</v>
      </c>
      <c r="I189" s="1303" cm="1">
        <f t="array" ref="I189">+IF(SUM(VALUE(N189:Q189)*$N$7:$Q$7)=0,S189,U189)</f>
        <v>0</v>
      </c>
      <c r="J189" s="103">
        <f t="shared" si="13"/>
        <v>0</v>
      </c>
      <c r="K189" s="717">
        <v>46022</v>
      </c>
      <c r="M189"/>
      <c r="N189" s="1300">
        <v>0</v>
      </c>
      <c r="O189" s="1300">
        <v>0</v>
      </c>
      <c r="P189" s="1300">
        <v>1</v>
      </c>
      <c r="Q189" s="1300">
        <v>0</v>
      </c>
      <c r="R189" s="1266">
        <v>139476.66683600002</v>
      </c>
      <c r="S189" s="1266">
        <v>139796.10469999997</v>
      </c>
      <c r="T189" s="1266">
        <f>+IF($Q189=1,$G189,INDEX([1]Summary!$K$5:$K$110,MATCH($C189,[1]Summary!$D$5:$D290,0)))</f>
        <v>0</v>
      </c>
      <c r="U189" s="1266">
        <f>+IF($Q189=1,$J189,INDEX([1]Summary!$L$5:$L$110,MATCH($C189,[1]Summary!$D$5:$D290,0)))</f>
        <v>0</v>
      </c>
      <c r="V189" s="721"/>
      <c r="W189" s="721"/>
      <c r="X189" s="721"/>
      <c r="Y189" s="721"/>
      <c r="Z189" s="721"/>
      <c r="AA189" s="721"/>
      <c r="AB189" s="721"/>
      <c r="AC189" s="721"/>
      <c r="AD189" s="721"/>
      <c r="AI189" s="105"/>
      <c r="AJ189" s="105"/>
      <c r="AN189" s="105"/>
      <c r="AO189" s="105"/>
      <c r="AP189" s="105"/>
    </row>
    <row r="190" spans="1:42" outlineLevel="1">
      <c r="A190" s="545">
        <f>MAX($A$10:A189)+1</f>
        <v>181</v>
      </c>
      <c r="B190" s="716" t="s">
        <v>2096</v>
      </c>
      <c r="C190" s="716" t="s">
        <v>2107</v>
      </c>
      <c r="D190" s="716" t="s">
        <v>2108</v>
      </c>
      <c r="E190" s="559">
        <v>391.5</v>
      </c>
      <c r="F190" s="1302" cm="1">
        <f t="array" ref="F190">+IF(SUM(VALUE(N190:Q190)*$N$7:$Q$7)=0,R190,T190)</f>
        <v>0</v>
      </c>
      <c r="G190" s="103">
        <f t="shared" si="12"/>
        <v>0</v>
      </c>
      <c r="H190" s="575">
        <v>45657</v>
      </c>
      <c r="I190" s="1303" cm="1">
        <f t="array" ref="I190">+IF(SUM(VALUE(N190:Q190)*$N$7:$Q$7)=0,S190,U190)</f>
        <v>0</v>
      </c>
      <c r="J190" s="103">
        <f t="shared" si="13"/>
        <v>0</v>
      </c>
      <c r="K190" s="717">
        <v>46022</v>
      </c>
      <c r="M190"/>
      <c r="N190" s="1300">
        <v>0</v>
      </c>
      <c r="O190" s="1300">
        <v>0</v>
      </c>
      <c r="P190" s="1300">
        <v>1</v>
      </c>
      <c r="Q190" s="1300">
        <v>0</v>
      </c>
      <c r="R190" s="1266">
        <v>97895.851235000009</v>
      </c>
      <c r="S190" s="1266">
        <v>148276.99154800002</v>
      </c>
      <c r="T190" s="1266">
        <f>+IF($Q190=1,$G190,INDEX([1]Summary!$K$5:$K$110,MATCH($C190,[1]Summary!$D$5:$D291,0)))</f>
        <v>0</v>
      </c>
      <c r="U190" s="1266">
        <f>+IF($Q190=1,$J190,INDEX([1]Summary!$L$5:$L$110,MATCH($C190,[1]Summary!$D$5:$D291,0)))</f>
        <v>0</v>
      </c>
      <c r="V190" s="721"/>
      <c r="W190" s="721"/>
      <c r="X190" s="721"/>
      <c r="Y190" s="721"/>
      <c r="Z190" s="721"/>
      <c r="AA190" s="721"/>
      <c r="AB190" s="721"/>
      <c r="AC190" s="721"/>
      <c r="AD190" s="721"/>
      <c r="AI190" s="105"/>
      <c r="AJ190" s="105"/>
      <c r="AN190" s="105"/>
      <c r="AO190" s="105"/>
      <c r="AP190" s="105"/>
    </row>
    <row r="191" spans="1:42" outlineLevel="1">
      <c r="A191" s="545">
        <f>MAX($A$10:A190)+1</f>
        <v>182</v>
      </c>
      <c r="B191" s="716" t="s">
        <v>2096</v>
      </c>
      <c r="C191" s="716" t="s">
        <v>2109</v>
      </c>
      <c r="D191" s="716" t="s">
        <v>2110</v>
      </c>
      <c r="E191" s="559">
        <v>391.3</v>
      </c>
      <c r="F191" s="1302" cm="1">
        <f t="array" ref="F191">+IF(SUM(VALUE(N191:Q191)*$N$7:$Q$7)=0,R191,T191)</f>
        <v>136058.75</v>
      </c>
      <c r="G191" s="103">
        <f t="shared" si="12"/>
        <v>136058.75</v>
      </c>
      <c r="H191" s="575">
        <v>45657</v>
      </c>
      <c r="I191" s="1303" cm="1">
        <f t="array" ref="I191">+IF(SUM(VALUE(N191:Q191)*$N$7:$Q$7)=0,S191,U191)</f>
        <v>4053.38</v>
      </c>
      <c r="J191" s="103">
        <f t="shared" si="13"/>
        <v>4053.38</v>
      </c>
      <c r="K191" s="717">
        <v>46022</v>
      </c>
      <c r="M191"/>
      <c r="N191" s="1300">
        <v>0</v>
      </c>
      <c r="O191" s="1300">
        <v>0</v>
      </c>
      <c r="P191" s="1300">
        <v>0</v>
      </c>
      <c r="Q191" s="1300">
        <v>1</v>
      </c>
      <c r="R191" s="1266">
        <v>136058.75</v>
      </c>
      <c r="S191" s="1266">
        <v>4053.38</v>
      </c>
      <c r="T191" s="1266">
        <f>+IF($Q191=1,$G191,INDEX([1]Summary!$K$5:$K$110,MATCH($C191,[1]Summary!$D$5:$D292,0)))</f>
        <v>136058.75</v>
      </c>
      <c r="U191" s="1266">
        <f>+IF($Q191=1,$J191,INDEX([1]Summary!$L$5:$L$110,MATCH($C191,[1]Summary!$D$5:$D292,0)))</f>
        <v>4053.38</v>
      </c>
      <c r="V191" s="721"/>
      <c r="W191" s="721"/>
      <c r="X191" s="721"/>
      <c r="Y191" s="721"/>
      <c r="Z191" s="721"/>
      <c r="AA191" s="721"/>
      <c r="AB191" s="721"/>
      <c r="AC191" s="721"/>
      <c r="AD191" s="721"/>
      <c r="AI191" s="105"/>
      <c r="AJ191" s="105"/>
      <c r="AN191" s="105"/>
      <c r="AO191" s="105"/>
      <c r="AP191" s="105"/>
    </row>
    <row r="192" spans="1:42" outlineLevel="1">
      <c r="A192" s="545">
        <f>MAX($A$10:A191)+1</f>
        <v>183</v>
      </c>
      <c r="B192" s="716" t="s">
        <v>2096</v>
      </c>
      <c r="C192" s="716" t="s">
        <v>2111</v>
      </c>
      <c r="D192" s="716" t="s">
        <v>2112</v>
      </c>
      <c r="E192" s="559">
        <v>394.1</v>
      </c>
      <c r="F192" s="1302" cm="1">
        <f t="array" ref="F192">+IF(SUM(VALUE(N192:Q192)*$N$7:$Q$7)=0,R192,T192)</f>
        <v>0</v>
      </c>
      <c r="G192" s="103">
        <f t="shared" si="12"/>
        <v>0</v>
      </c>
      <c r="H192" s="575">
        <v>45657</v>
      </c>
      <c r="I192" s="1303" cm="1">
        <f t="array" ref="I192">+IF(SUM(VALUE(N192:Q192)*$N$7:$Q$7)=0,S192,U192)</f>
        <v>0</v>
      </c>
      <c r="J192" s="103">
        <f t="shared" si="13"/>
        <v>0</v>
      </c>
      <c r="K192" s="717">
        <v>46022</v>
      </c>
      <c r="M192"/>
      <c r="N192" s="1300">
        <v>0</v>
      </c>
      <c r="O192" s="1300">
        <v>0</v>
      </c>
      <c r="P192" s="1300">
        <v>1</v>
      </c>
      <c r="Q192" s="1300">
        <v>0</v>
      </c>
      <c r="R192" s="1266">
        <v>163538.84</v>
      </c>
      <c r="S192" s="1266">
        <v>142508.39000000001</v>
      </c>
      <c r="T192" s="1266">
        <f>+IF($Q192=1,$G192,INDEX([1]Summary!$K$5:$K$110,MATCH($C192,[1]Summary!$D$5:$D293,0)))</f>
        <v>0</v>
      </c>
      <c r="U192" s="1266">
        <f>+IF($Q192=1,$J192,INDEX([1]Summary!$L$5:$L$110,MATCH($C192,[1]Summary!$D$5:$D293,0)))</f>
        <v>0</v>
      </c>
      <c r="V192" s="721"/>
      <c r="W192" s="721"/>
      <c r="X192" s="721"/>
      <c r="Y192" s="721"/>
      <c r="Z192" s="721"/>
      <c r="AA192" s="721"/>
      <c r="AB192" s="721"/>
      <c r="AC192" s="721"/>
      <c r="AD192" s="721"/>
      <c r="AI192" s="105"/>
      <c r="AJ192" s="105"/>
      <c r="AN192" s="105"/>
      <c r="AO192" s="105"/>
      <c r="AP192" s="105"/>
    </row>
    <row r="193" spans="1:42" outlineLevel="1">
      <c r="A193" s="545">
        <f>MAX($A$10:A192)+1</f>
        <v>184</v>
      </c>
      <c r="B193" s="716" t="s">
        <v>2096</v>
      </c>
      <c r="C193" s="716" t="s">
        <v>2113</v>
      </c>
      <c r="D193" s="716" t="s">
        <v>2114</v>
      </c>
      <c r="E193" s="559">
        <v>397.2</v>
      </c>
      <c r="F193" s="1302" cm="1">
        <f t="array" ref="F193">+IF(SUM(VALUE(N193:Q193)*$N$7:$Q$7)=0,R193,T193)</f>
        <v>422743.01833333331</v>
      </c>
      <c r="G193" s="103">
        <f t="shared" si="12"/>
        <v>422743.01833333331</v>
      </c>
      <c r="H193" s="575">
        <v>45657</v>
      </c>
      <c r="I193" s="1303" cm="1">
        <f t="array" ref="I193">+IF(SUM(VALUE(N193:Q193)*$N$7:$Q$7)=0,S193,U193)</f>
        <v>422743.01833333331</v>
      </c>
      <c r="J193" s="103">
        <f t="shared" si="13"/>
        <v>422743.01833333331</v>
      </c>
      <c r="K193" s="717"/>
      <c r="M193"/>
      <c r="N193" s="1300">
        <v>0</v>
      </c>
      <c r="O193" s="1300">
        <v>0</v>
      </c>
      <c r="P193" s="1300">
        <v>1</v>
      </c>
      <c r="Q193" s="1300">
        <v>0</v>
      </c>
      <c r="R193" s="1266">
        <v>1387227.5384</v>
      </c>
      <c r="S193" s="1266">
        <v>0</v>
      </c>
      <c r="T193" s="1266">
        <f>+IF($Q193=1,$G193,INDEX([1]Summary!$K$5:$K$110,MATCH($C193,[1]Summary!$D$5:$D294,0)))</f>
        <v>422743.01833333331</v>
      </c>
      <c r="U193" s="1266">
        <f>+IF($Q193=1,$J193,INDEX([1]Summary!$L$5:$L$110,MATCH($C193,[1]Summary!$D$5:$D294,0)))</f>
        <v>422743.01833333331</v>
      </c>
      <c r="V193" s="721"/>
      <c r="W193" s="721"/>
      <c r="X193" s="721"/>
      <c r="Y193" s="721"/>
      <c r="Z193" s="721"/>
      <c r="AA193" s="721"/>
      <c r="AB193" s="721"/>
      <c r="AC193" s="721"/>
      <c r="AD193" s="721"/>
      <c r="AE193" s="716"/>
      <c r="AI193" s="105"/>
      <c r="AJ193" s="105"/>
      <c r="AN193" s="105"/>
      <c r="AO193" s="105"/>
      <c r="AP193" s="105"/>
    </row>
    <row r="194" spans="1:42" outlineLevel="1">
      <c r="A194" s="545">
        <f>MAX($A$10:A193)+1</f>
        <v>185</v>
      </c>
      <c r="B194" s="716" t="s">
        <v>2096</v>
      </c>
      <c r="C194" s="716" t="s">
        <v>2115</v>
      </c>
      <c r="D194" s="716" t="s">
        <v>2116</v>
      </c>
      <c r="E194" s="559">
        <v>397.2</v>
      </c>
      <c r="F194" s="1302" cm="1">
        <f t="array" ref="F194">+IF(SUM(VALUE(N194:Q194)*$N$7:$Q$7)=0,R194,T194)</f>
        <v>0</v>
      </c>
      <c r="G194" s="103">
        <f t="shared" si="12"/>
        <v>0</v>
      </c>
      <c r="H194" s="575">
        <v>45657</v>
      </c>
      <c r="I194" s="1303" cm="1">
        <f t="array" ref="I194">+IF(SUM(VALUE(N194:Q194)*$N$7:$Q$7)=0,S194,U194)</f>
        <v>0</v>
      </c>
      <c r="J194" s="103">
        <f t="shared" si="13"/>
        <v>0</v>
      </c>
      <c r="K194" s="717"/>
      <c r="M194"/>
      <c r="N194" s="1300">
        <v>0</v>
      </c>
      <c r="O194" s="1300">
        <v>0</v>
      </c>
      <c r="P194" s="1300">
        <v>1</v>
      </c>
      <c r="Q194" s="1300">
        <v>0</v>
      </c>
      <c r="R194" s="1266">
        <v>52022.181260999998</v>
      </c>
      <c r="S194" s="1266">
        <v>0</v>
      </c>
      <c r="T194" s="1266">
        <f>+IF($Q194=1,$G194,INDEX([1]Summary!$K$5:$K$110,MATCH($C194,[1]Summary!$D$5:$D295,0)))</f>
        <v>0</v>
      </c>
      <c r="U194" s="1266">
        <f>+IF($Q194=1,$J194,INDEX([1]Summary!$L$5:$L$110,MATCH($C194,[1]Summary!$D$5:$D295,0)))</f>
        <v>0</v>
      </c>
      <c r="V194" s="721"/>
      <c r="W194" s="721"/>
      <c r="X194" s="721"/>
      <c r="Y194" s="721"/>
      <c r="Z194" s="721"/>
      <c r="AA194" s="721"/>
      <c r="AB194" s="721"/>
      <c r="AC194" s="721"/>
      <c r="AD194" s="721"/>
      <c r="AE194" s="716"/>
      <c r="AI194" s="105"/>
      <c r="AJ194" s="105"/>
      <c r="AN194" s="105"/>
      <c r="AO194" s="105"/>
      <c r="AP194" s="105"/>
    </row>
    <row r="195" spans="1:42" outlineLevel="1">
      <c r="A195" s="545">
        <f>MAX($A$10:A194)+1</f>
        <v>186</v>
      </c>
      <c r="B195" s="716" t="s">
        <v>2096</v>
      </c>
      <c r="C195" s="716" t="s">
        <v>2117</v>
      </c>
      <c r="D195" s="716" t="s">
        <v>2118</v>
      </c>
      <c r="E195" s="559">
        <v>397.2</v>
      </c>
      <c r="F195" s="1302" cm="1">
        <f t="array" ref="F195">+IF(SUM(VALUE(N195:Q195)*$N$7:$Q$7)=0,R195,T195)</f>
        <v>72377.088960000008</v>
      </c>
      <c r="G195" s="103">
        <f t="shared" si="12"/>
        <v>72377.088960000008</v>
      </c>
      <c r="H195" s="575">
        <v>45657</v>
      </c>
      <c r="I195" s="1303" cm="1">
        <f t="array" ref="I195">+IF(SUM(VALUE(N195:Q195)*$N$7:$Q$7)=0,S195,U195)</f>
        <v>37782.731</v>
      </c>
      <c r="J195" s="103">
        <f t="shared" si="13"/>
        <v>37782.731</v>
      </c>
      <c r="K195" s="717">
        <v>46022</v>
      </c>
      <c r="M195"/>
      <c r="N195" s="1300">
        <v>0</v>
      </c>
      <c r="O195" s="1300">
        <v>0</v>
      </c>
      <c r="P195" s="1300">
        <v>0</v>
      </c>
      <c r="Q195" s="1300">
        <v>1</v>
      </c>
      <c r="R195" s="1266">
        <v>72377.088960000008</v>
      </c>
      <c r="S195" s="1266">
        <v>37782.731</v>
      </c>
      <c r="T195" s="1266">
        <f>+IF($Q195=1,$G195,INDEX([1]Summary!$K$5:$K$110,MATCH($C195,[1]Summary!$D$5:$D296,0)))</f>
        <v>72377.088960000008</v>
      </c>
      <c r="U195" s="1266">
        <f>+IF($Q195=1,$J195,INDEX([1]Summary!$L$5:$L$110,MATCH($C195,[1]Summary!$D$5:$D296,0)))</f>
        <v>37782.731</v>
      </c>
      <c r="V195" s="721"/>
      <c r="W195" s="721"/>
      <c r="X195" s="721"/>
      <c r="Y195" s="721"/>
      <c r="Z195" s="721"/>
      <c r="AA195" s="721"/>
      <c r="AB195" s="721"/>
      <c r="AC195" s="721"/>
      <c r="AD195" s="721"/>
      <c r="AE195" s="716"/>
      <c r="AI195" s="105"/>
      <c r="AJ195" s="105"/>
      <c r="AN195" s="105"/>
      <c r="AO195" s="105"/>
      <c r="AP195" s="105"/>
    </row>
    <row r="196" spans="1:42" outlineLevel="1">
      <c r="A196" s="545">
        <f>MAX($A$10:A195)+1</f>
        <v>187</v>
      </c>
      <c r="B196" s="716" t="s">
        <v>2096</v>
      </c>
      <c r="C196" s="716" t="s">
        <v>2119</v>
      </c>
      <c r="D196" s="716" t="s">
        <v>2120</v>
      </c>
      <c r="E196" s="559">
        <v>394.1</v>
      </c>
      <c r="F196" s="1302" cm="1">
        <f t="array" ref="F196">+IF(SUM(VALUE(N196:Q196)*$N$7:$Q$7)=0,R196,T196)</f>
        <v>16945.670000000002</v>
      </c>
      <c r="G196" s="103">
        <f t="shared" si="12"/>
        <v>16945.670000000002</v>
      </c>
      <c r="H196" s="717">
        <v>45473</v>
      </c>
      <c r="I196" s="1303" cm="1">
        <f t="array" ref="I196">+IF(SUM(VALUE(N196:Q196)*$N$7:$Q$7)=0,S196,U196)</f>
        <v>0</v>
      </c>
      <c r="J196" s="103">
        <f t="shared" si="13"/>
        <v>0</v>
      </c>
      <c r="K196" s="103"/>
      <c r="M196"/>
      <c r="N196" s="1300">
        <v>0</v>
      </c>
      <c r="O196" s="1300">
        <v>0</v>
      </c>
      <c r="P196" s="1300">
        <v>0</v>
      </c>
      <c r="Q196" s="1300">
        <v>1</v>
      </c>
      <c r="R196" s="1266">
        <v>16945.670000000002</v>
      </c>
      <c r="S196" s="1266">
        <v>0</v>
      </c>
      <c r="T196" s="1266">
        <f>+IF($Q196=1,$G196,INDEX([1]Summary!$K$5:$K$110,MATCH($C196,[1]Summary!$D$5:$D297,0)))</f>
        <v>16945.670000000002</v>
      </c>
      <c r="U196" s="1266">
        <f>+IF($Q196=1,$J196,INDEX([1]Summary!$L$5:$L$110,MATCH($C196,[1]Summary!$D$5:$D297,0)))</f>
        <v>0</v>
      </c>
      <c r="V196" s="721"/>
      <c r="W196" s="721"/>
      <c r="X196" s="721"/>
      <c r="Y196" s="721"/>
      <c r="Z196" s="721"/>
      <c r="AA196" s="721"/>
      <c r="AB196" s="721"/>
      <c r="AC196" s="721"/>
      <c r="AD196" s="721"/>
      <c r="AE196" s="716"/>
      <c r="AI196" s="105"/>
      <c r="AJ196" s="105"/>
      <c r="AN196" s="105"/>
      <c r="AO196" s="105"/>
      <c r="AP196" s="105"/>
    </row>
    <row r="197" spans="1:42" outlineLevel="1">
      <c r="A197" s="545">
        <f>MAX($A$10:A196)+1</f>
        <v>188</v>
      </c>
      <c r="B197" s="716" t="s">
        <v>2096</v>
      </c>
      <c r="C197" s="105" t="s">
        <v>2121</v>
      </c>
      <c r="D197" s="105" t="s">
        <v>2122</v>
      </c>
      <c r="E197" s="559">
        <v>394.1</v>
      </c>
      <c r="F197" s="1302" cm="1">
        <f t="array" ref="F197">+IF(SUM(VALUE(N197:Q197)*$N$7:$Q$7)=0,R197,T197)</f>
        <v>14987.11</v>
      </c>
      <c r="G197" s="103">
        <f t="shared" si="12"/>
        <v>14987.11</v>
      </c>
      <c r="H197" s="721">
        <v>45468</v>
      </c>
      <c r="I197" s="1303" cm="1">
        <f t="array" ref="I197">+IF(SUM(VALUE(N197:Q197)*$N$7:$Q$7)=0,S197,U197)</f>
        <v>0</v>
      </c>
      <c r="J197" s="103">
        <f t="shared" si="13"/>
        <v>0</v>
      </c>
      <c r="K197" s="717">
        <v>45747</v>
      </c>
      <c r="M197"/>
      <c r="N197" s="1300">
        <v>0</v>
      </c>
      <c r="O197" s="1300">
        <v>0</v>
      </c>
      <c r="P197" s="1300">
        <v>0</v>
      </c>
      <c r="Q197" s="1300">
        <v>1</v>
      </c>
      <c r="R197" s="1266">
        <v>14987.11</v>
      </c>
      <c r="S197" s="1266">
        <v>0</v>
      </c>
      <c r="T197" s="1266">
        <f>+IF($Q197=1,$G197,INDEX([1]Summary!$K$5:$K$110,MATCH($C197,[1]Summary!$D$5:$D298,0)))</f>
        <v>14987.11</v>
      </c>
      <c r="U197" s="1266">
        <f>+IF($Q197=1,$J197,INDEX([1]Summary!$L$5:$L$110,MATCH($C197,[1]Summary!$D$5:$D298,0)))</f>
        <v>0</v>
      </c>
      <c r="V197" s="721"/>
      <c r="W197" s="721"/>
      <c r="X197" s="721"/>
      <c r="Y197" s="721"/>
      <c r="Z197" s="721"/>
      <c r="AA197" s="721"/>
      <c r="AB197" s="721"/>
      <c r="AC197" s="721"/>
      <c r="AD197" s="721"/>
      <c r="AE197" s="716"/>
      <c r="AI197" s="105"/>
      <c r="AJ197" s="105"/>
      <c r="AN197" s="105"/>
      <c r="AO197" s="105"/>
      <c r="AP197" s="105"/>
    </row>
    <row r="198" spans="1:42" outlineLevel="1">
      <c r="A198" s="545">
        <f>MAX($A$10:A197)+1</f>
        <v>189</v>
      </c>
      <c r="B198" s="716" t="s">
        <v>2096</v>
      </c>
      <c r="C198" s="716" t="s">
        <v>2123</v>
      </c>
      <c r="D198" s="716" t="s">
        <v>2124</v>
      </c>
      <c r="E198" s="559">
        <v>394.1</v>
      </c>
      <c r="F198" s="1302" cm="1">
        <f t="array" ref="F198">+IF(SUM(VALUE(N198:Q198)*$N$7:$Q$7)=0,R198,T198)</f>
        <v>16755.97</v>
      </c>
      <c r="G198" s="103">
        <f t="shared" si="12"/>
        <v>16755.97</v>
      </c>
      <c r="H198" s="717">
        <v>45442</v>
      </c>
      <c r="I198" s="1303" cm="1">
        <f t="array" ref="I198">+IF(SUM(VALUE(N198:Q198)*$N$7:$Q$7)=0,S198,U198)</f>
        <v>0</v>
      </c>
      <c r="J198" s="103">
        <f t="shared" si="13"/>
        <v>0</v>
      </c>
      <c r="K198" s="103"/>
      <c r="M198"/>
      <c r="N198" s="1300">
        <v>0</v>
      </c>
      <c r="O198" s="1300">
        <v>0</v>
      </c>
      <c r="P198" s="1300">
        <v>0</v>
      </c>
      <c r="Q198" s="1300">
        <v>1</v>
      </c>
      <c r="R198" s="1266">
        <v>16755.97</v>
      </c>
      <c r="S198" s="1266">
        <v>0</v>
      </c>
      <c r="T198" s="1266">
        <f>+IF($Q198=1,$G198,INDEX([1]Summary!$K$5:$K$110,MATCH($C198,[1]Summary!$D$5:$D299,0)))</f>
        <v>16755.97</v>
      </c>
      <c r="U198" s="1266">
        <f>+IF($Q198=1,$J198,INDEX([1]Summary!$L$5:$L$110,MATCH($C198,[1]Summary!$D$5:$D299,0)))</f>
        <v>0</v>
      </c>
      <c r="V198" s="721"/>
      <c r="W198" s="721"/>
      <c r="X198" s="721"/>
      <c r="Y198" s="721"/>
      <c r="Z198" s="721"/>
      <c r="AA198" s="721"/>
      <c r="AB198" s="721"/>
      <c r="AC198" s="721"/>
      <c r="AD198" s="721"/>
      <c r="AE198" s="716"/>
      <c r="AI198" s="105"/>
      <c r="AJ198" s="105"/>
      <c r="AN198" s="105"/>
      <c r="AO198" s="105"/>
      <c r="AP198" s="105"/>
    </row>
    <row r="199" spans="1:42" outlineLevel="1">
      <c r="A199" s="545">
        <f>MAX($A$10:A198)+1</f>
        <v>190</v>
      </c>
      <c r="B199" s="716" t="s">
        <v>2096</v>
      </c>
      <c r="C199" s="716" t="s">
        <v>2125</v>
      </c>
      <c r="D199" s="716" t="s">
        <v>2126</v>
      </c>
      <c r="E199" s="559">
        <v>394.1</v>
      </c>
      <c r="F199" s="1302" cm="1">
        <f t="array" ref="F199">+IF(SUM(VALUE(N199:Q199)*$N$7:$Q$7)=0,R199,T199)</f>
        <v>3970.1</v>
      </c>
      <c r="G199" s="103">
        <f t="shared" si="12"/>
        <v>3970.1</v>
      </c>
      <c r="H199" s="717">
        <v>45513</v>
      </c>
      <c r="I199" s="1303" cm="1">
        <f t="array" ref="I199">+IF(SUM(VALUE(N199:Q199)*$N$7:$Q$7)=0,S199,U199)</f>
        <v>0</v>
      </c>
      <c r="J199" s="103">
        <f t="shared" si="13"/>
        <v>0</v>
      </c>
      <c r="K199" s="103"/>
      <c r="M199"/>
      <c r="N199" s="1300">
        <v>0</v>
      </c>
      <c r="O199" s="1300">
        <v>0</v>
      </c>
      <c r="P199" s="1300">
        <v>0</v>
      </c>
      <c r="Q199" s="1300">
        <v>1</v>
      </c>
      <c r="R199" s="1266">
        <v>3970.1</v>
      </c>
      <c r="S199" s="1266">
        <v>0</v>
      </c>
      <c r="T199" s="1266">
        <f>+IF($Q199=1,$G199,INDEX([1]Summary!$K$5:$K$110,MATCH($C199,[1]Summary!$D$5:$D300,0)))</f>
        <v>3970.1</v>
      </c>
      <c r="U199" s="1266">
        <f>+IF($Q199=1,$J199,INDEX([1]Summary!$L$5:$L$110,MATCH($C199,[1]Summary!$D$5:$D300,0)))</f>
        <v>0</v>
      </c>
      <c r="V199" s="721"/>
      <c r="W199" s="721"/>
      <c r="X199" s="721"/>
      <c r="Y199" s="721"/>
      <c r="Z199" s="721"/>
      <c r="AA199" s="721"/>
      <c r="AB199" s="721"/>
      <c r="AC199" s="721"/>
      <c r="AD199" s="721"/>
      <c r="AE199" s="716"/>
      <c r="AI199" s="105"/>
      <c r="AJ199" s="105"/>
      <c r="AN199" s="105"/>
      <c r="AO199" s="105"/>
      <c r="AP199" s="105"/>
    </row>
    <row r="200" spans="1:42" outlineLevel="1">
      <c r="A200" s="545">
        <f>MAX($A$10:A199)+1</f>
        <v>191</v>
      </c>
      <c r="B200" s="716" t="s">
        <v>2096</v>
      </c>
      <c r="C200" s="716" t="s">
        <v>2127</v>
      </c>
      <c r="D200" s="716" t="s">
        <v>2128</v>
      </c>
      <c r="E200" s="559">
        <v>394.1</v>
      </c>
      <c r="F200" s="1302" cm="1">
        <f t="array" ref="F200">+IF(SUM(VALUE(N200:Q200)*$N$7:$Q$7)=0,R200,T200)</f>
        <v>10597.83</v>
      </c>
      <c r="G200" s="103">
        <f t="shared" si="12"/>
        <v>10597.83</v>
      </c>
      <c r="H200" s="717">
        <v>45382</v>
      </c>
      <c r="I200" s="1303" cm="1">
        <f t="array" ref="I200">+IF(SUM(VALUE(N200:Q200)*$N$7:$Q$7)=0,S200,U200)</f>
        <v>0</v>
      </c>
      <c r="J200" s="103">
        <f t="shared" si="13"/>
        <v>0</v>
      </c>
      <c r="K200" s="717">
        <v>46022</v>
      </c>
      <c r="M200"/>
      <c r="N200" s="1300">
        <v>0</v>
      </c>
      <c r="O200" s="1300">
        <v>0</v>
      </c>
      <c r="P200" s="1300">
        <v>0</v>
      </c>
      <c r="Q200" s="1300">
        <v>1</v>
      </c>
      <c r="R200" s="1266">
        <v>10597.83</v>
      </c>
      <c r="S200" s="1266">
        <v>0</v>
      </c>
      <c r="T200" s="1266">
        <f>+IF($Q200=1,$G200,INDEX([1]Summary!$K$5:$K$110,MATCH($C200,[1]Summary!$D$5:$D301,0)))</f>
        <v>10597.83</v>
      </c>
      <c r="U200" s="1266">
        <f>+IF($Q200=1,$J200,INDEX([1]Summary!$L$5:$L$110,MATCH($C200,[1]Summary!$D$5:$D301,0)))</f>
        <v>0</v>
      </c>
      <c r="V200" s="721"/>
      <c r="W200" s="721"/>
      <c r="X200" s="721"/>
      <c r="Y200" s="721"/>
      <c r="Z200" s="721"/>
      <c r="AA200" s="721"/>
      <c r="AB200" s="721"/>
      <c r="AC200" s="721"/>
      <c r="AD200" s="721"/>
      <c r="AE200" s="716"/>
      <c r="AI200" s="105"/>
      <c r="AJ200" s="105"/>
      <c r="AN200" s="105"/>
      <c r="AO200" s="105"/>
      <c r="AP200" s="105"/>
    </row>
    <row r="201" spans="1:42" outlineLevel="1">
      <c r="A201" s="545">
        <f>MAX($A$10:A200)+1</f>
        <v>192</v>
      </c>
      <c r="B201" s="716" t="s">
        <v>2096</v>
      </c>
      <c r="C201" s="716" t="s">
        <v>2129</v>
      </c>
      <c r="D201" s="716" t="s">
        <v>2130</v>
      </c>
      <c r="E201" s="559">
        <v>390.1</v>
      </c>
      <c r="F201" s="1302" cm="1">
        <f t="array" ref="F201">+IF(SUM(VALUE(N201:Q201)*$N$7:$Q$7)=0,R201,T201)</f>
        <v>126212.5</v>
      </c>
      <c r="G201" s="103">
        <f t="shared" si="12"/>
        <v>126212.5</v>
      </c>
      <c r="H201" s="717">
        <v>45505</v>
      </c>
      <c r="I201" s="1303" cm="1">
        <f t="array" ref="I201">+IF(SUM(VALUE(N201:Q201)*$N$7:$Q$7)=0,S201,U201)</f>
        <v>0</v>
      </c>
      <c r="J201" s="103">
        <f t="shared" si="13"/>
        <v>0</v>
      </c>
      <c r="K201" s="103"/>
      <c r="M201"/>
      <c r="N201" s="1300">
        <v>0</v>
      </c>
      <c r="O201" s="1300">
        <v>0</v>
      </c>
      <c r="P201" s="1300">
        <v>0</v>
      </c>
      <c r="Q201" s="1300">
        <v>1</v>
      </c>
      <c r="R201" s="1266">
        <v>126212.5</v>
      </c>
      <c r="S201" s="1266">
        <v>0</v>
      </c>
      <c r="T201" s="1266">
        <f>+IF($Q201=1,$G201,INDEX([1]Summary!$K$5:$K$110,MATCH($C201,[1]Summary!$D$5:$D302,0)))</f>
        <v>126212.5</v>
      </c>
      <c r="U201" s="1266">
        <f>+IF($Q201=1,$J201,INDEX([1]Summary!$L$5:$L$110,MATCH($C201,[1]Summary!$D$5:$D302,0)))</f>
        <v>0</v>
      </c>
      <c r="V201" s="721"/>
      <c r="W201" s="721"/>
      <c r="X201" s="721"/>
      <c r="Y201" s="721"/>
      <c r="Z201" s="721"/>
      <c r="AA201" s="721"/>
      <c r="AB201" s="721"/>
      <c r="AC201" s="721"/>
      <c r="AD201" s="721"/>
      <c r="AE201" s="716"/>
      <c r="AI201" s="105"/>
      <c r="AJ201" s="105"/>
      <c r="AN201" s="105"/>
      <c r="AO201" s="105"/>
      <c r="AP201" s="105"/>
    </row>
    <row r="202" spans="1:42" outlineLevel="1">
      <c r="A202" s="545">
        <f>MAX($A$10:A201)+1</f>
        <v>193</v>
      </c>
      <c r="B202" s="716" t="s">
        <v>2096</v>
      </c>
      <c r="C202" s="105" t="s">
        <v>2131</v>
      </c>
      <c r="D202" s="105" t="s">
        <v>2132</v>
      </c>
      <c r="E202" s="559">
        <v>394.1</v>
      </c>
      <c r="F202" s="1302" cm="1">
        <f t="array" ref="F202">+IF(SUM(VALUE(N202:Q202)*$N$7:$Q$7)=0,R202,T202)</f>
        <v>20141.350000000002</v>
      </c>
      <c r="G202" s="103">
        <f t="shared" si="12"/>
        <v>20141.350000000002</v>
      </c>
      <c r="H202" s="721">
        <v>45383</v>
      </c>
      <c r="I202" s="1303" cm="1">
        <f t="array" ref="I202">+IF(SUM(VALUE(N202:Q202)*$N$7:$Q$7)=0,S202,U202)</f>
        <v>0</v>
      </c>
      <c r="J202" s="103">
        <f t="shared" si="13"/>
        <v>0</v>
      </c>
      <c r="K202" s="717">
        <v>45748</v>
      </c>
      <c r="M202"/>
      <c r="N202" s="1300">
        <v>0</v>
      </c>
      <c r="O202" s="1300">
        <v>0</v>
      </c>
      <c r="P202" s="1300">
        <v>0</v>
      </c>
      <c r="Q202" s="1300">
        <v>1</v>
      </c>
      <c r="R202" s="1266">
        <v>20141.350000000002</v>
      </c>
      <c r="S202" s="1266">
        <v>0</v>
      </c>
      <c r="T202" s="1266">
        <f>+IF($Q202=1,$G202,INDEX([1]Summary!$K$5:$K$110,MATCH($C202,[1]Summary!$D$5:$D303,0)))</f>
        <v>20141.350000000002</v>
      </c>
      <c r="U202" s="1266">
        <f>+IF($Q202=1,$J202,INDEX([1]Summary!$L$5:$L$110,MATCH($C202,[1]Summary!$D$5:$D303,0)))</f>
        <v>0</v>
      </c>
      <c r="V202" s="721"/>
      <c r="W202" s="721"/>
      <c r="X202" s="721"/>
      <c r="Y202" s="721"/>
      <c r="Z202" s="721"/>
      <c r="AA202" s="721"/>
      <c r="AB202" s="721"/>
      <c r="AC202" s="721"/>
      <c r="AD202" s="721"/>
      <c r="AE202" s="716"/>
      <c r="AI202" s="105"/>
      <c r="AJ202" s="105"/>
      <c r="AN202" s="105"/>
      <c r="AO202" s="105"/>
      <c r="AP202" s="105"/>
    </row>
    <row r="203" spans="1:42" outlineLevel="1">
      <c r="A203" s="545">
        <f>MAX($A$10:A202)+1</f>
        <v>194</v>
      </c>
      <c r="B203" s="716" t="s">
        <v>2096</v>
      </c>
      <c r="C203" s="105" t="s">
        <v>2133</v>
      </c>
      <c r="D203" s="105" t="s">
        <v>2134</v>
      </c>
      <c r="E203" s="559">
        <v>397.1</v>
      </c>
      <c r="F203" s="1302" cm="1">
        <f t="array" ref="F203">+IF(SUM(VALUE(N203:Q203)*$N$7:$Q$7)=0,R203,T203)</f>
        <v>0</v>
      </c>
      <c r="G203" s="103">
        <f t="shared" si="12"/>
        <v>0</v>
      </c>
      <c r="H203" s="721">
        <v>46631</v>
      </c>
      <c r="I203" s="1303" cm="1">
        <f t="array" ref="I203">+IF(SUM(VALUE(N203:Q203)*$N$7:$Q$7)=0,S203,U203)</f>
        <v>0</v>
      </c>
      <c r="J203" s="103">
        <f t="shared" si="13"/>
        <v>0</v>
      </c>
      <c r="K203" s="717">
        <v>45777</v>
      </c>
      <c r="M203"/>
      <c r="N203" s="1300">
        <v>0</v>
      </c>
      <c r="O203" s="1300">
        <v>0</v>
      </c>
      <c r="P203" s="1300">
        <v>0</v>
      </c>
      <c r="Q203" s="1300">
        <v>1</v>
      </c>
      <c r="R203" s="1266">
        <v>0</v>
      </c>
      <c r="S203" s="1266">
        <v>0</v>
      </c>
      <c r="T203" s="1266">
        <f>+IF($Q203=1,$G203,INDEX([1]Summary!$K$5:$K$110,MATCH($C203,[1]Summary!$D$5:$D304,0)))</f>
        <v>0</v>
      </c>
      <c r="U203" s="1266">
        <f>+IF($Q203=1,$J203,INDEX([1]Summary!$L$5:$L$110,MATCH($C203,[1]Summary!$D$5:$D304,0)))</f>
        <v>0</v>
      </c>
      <c r="V203" s="721"/>
      <c r="W203" s="721"/>
      <c r="X203" s="721"/>
      <c r="Y203" s="721"/>
      <c r="Z203" s="721"/>
      <c r="AA203" s="721"/>
      <c r="AB203" s="721"/>
      <c r="AC203" s="721"/>
      <c r="AD203" s="721"/>
      <c r="AE203" s="716"/>
      <c r="AI203" s="105"/>
      <c r="AJ203" s="105"/>
      <c r="AN203" s="105"/>
      <c r="AO203" s="105"/>
      <c r="AP203" s="105"/>
    </row>
    <row r="204" spans="1:42" outlineLevel="1">
      <c r="A204" s="545">
        <f>MAX($A$10:A203)+1</f>
        <v>195</v>
      </c>
      <c r="B204" s="716" t="s">
        <v>2096</v>
      </c>
      <c r="C204" s="716" t="s">
        <v>2135</v>
      </c>
      <c r="D204" s="716" t="s">
        <v>2136</v>
      </c>
      <c r="E204" s="559">
        <v>390.1</v>
      </c>
      <c r="F204" s="1302" cm="1">
        <f t="array" ref="F204">+IF(SUM(VALUE(N204:Q204)*$N$7:$Q$7)=0,R204,T204)</f>
        <v>0</v>
      </c>
      <c r="G204" s="103">
        <f t="shared" si="12"/>
        <v>0</v>
      </c>
      <c r="H204" s="717">
        <v>45657</v>
      </c>
      <c r="I204" s="1303" cm="1">
        <f t="array" ref="I204">+IF(SUM(VALUE(N204:Q204)*$N$7:$Q$7)=0,S204,U204)</f>
        <v>0</v>
      </c>
      <c r="J204" s="103">
        <f t="shared" si="13"/>
        <v>0</v>
      </c>
      <c r="K204" s="103"/>
      <c r="M204"/>
      <c r="N204" s="1300">
        <v>0</v>
      </c>
      <c r="O204" s="1300">
        <v>0</v>
      </c>
      <c r="P204" s="1300">
        <v>0</v>
      </c>
      <c r="Q204" s="1300">
        <v>1</v>
      </c>
      <c r="R204" s="1266">
        <v>0</v>
      </c>
      <c r="S204" s="1266">
        <v>0</v>
      </c>
      <c r="T204" s="1266">
        <f>+IF($Q204=1,$G204,INDEX([1]Summary!$K$5:$K$110,MATCH($C204,[1]Summary!$D$5:$D305,0)))</f>
        <v>0</v>
      </c>
      <c r="U204" s="1266">
        <f>+IF($Q204=1,$J204,INDEX([1]Summary!$L$5:$L$110,MATCH($C204,[1]Summary!$D$5:$D305,0)))</f>
        <v>0</v>
      </c>
      <c r="V204" s="721"/>
      <c r="W204" s="721"/>
      <c r="X204" s="721"/>
      <c r="Y204" s="721"/>
      <c r="Z204" s="721"/>
      <c r="AA204" s="721"/>
      <c r="AB204" s="721"/>
      <c r="AC204" s="721"/>
      <c r="AD204" s="721"/>
      <c r="AE204" s="716"/>
      <c r="AI204" s="105"/>
      <c r="AJ204" s="105"/>
      <c r="AN204" s="105"/>
      <c r="AO204" s="105"/>
      <c r="AP204" s="105"/>
    </row>
    <row r="205" spans="1:42" outlineLevel="1">
      <c r="A205" s="545">
        <f>MAX($A$10:A204)+1</f>
        <v>196</v>
      </c>
      <c r="B205" s="716" t="s">
        <v>2096</v>
      </c>
      <c r="C205" s="716" t="s">
        <v>2137</v>
      </c>
      <c r="D205" s="716" t="s">
        <v>2138</v>
      </c>
      <c r="E205" s="559">
        <v>394.1</v>
      </c>
      <c r="F205" s="1302" cm="1">
        <f t="array" ref="F205">+IF(SUM(VALUE(N205:Q205)*$N$7:$Q$7)=0,R205,T205)</f>
        <v>12729.9</v>
      </c>
      <c r="G205" s="103">
        <f t="shared" si="12"/>
        <v>12729.9</v>
      </c>
      <c r="H205" s="717">
        <v>45412</v>
      </c>
      <c r="I205" s="1303" cm="1">
        <f t="array" ref="I205">+IF(SUM(VALUE(N205:Q205)*$N$7:$Q$7)=0,S205,U205)</f>
        <v>0</v>
      </c>
      <c r="J205" s="103">
        <f t="shared" si="13"/>
        <v>0</v>
      </c>
      <c r="K205" s="103"/>
      <c r="M205"/>
      <c r="N205" s="1300">
        <v>0</v>
      </c>
      <c r="O205" s="1300">
        <v>0</v>
      </c>
      <c r="P205" s="1300">
        <v>0</v>
      </c>
      <c r="Q205" s="1300">
        <v>1</v>
      </c>
      <c r="R205" s="1266">
        <v>12729.9</v>
      </c>
      <c r="S205" s="1266">
        <v>0</v>
      </c>
      <c r="T205" s="1266">
        <f>+IF($Q205=1,$G205,INDEX([1]Summary!$K$5:$K$110,MATCH($C205,[1]Summary!$D$5:$D306,0)))</f>
        <v>12729.9</v>
      </c>
      <c r="U205" s="1266">
        <f>+IF($Q205=1,$J205,INDEX([1]Summary!$L$5:$L$110,MATCH($C205,[1]Summary!$D$5:$D306,0)))</f>
        <v>0</v>
      </c>
      <c r="V205" s="721"/>
      <c r="W205" s="721"/>
      <c r="X205" s="721"/>
      <c r="Y205" s="721"/>
      <c r="Z205" s="721"/>
      <c r="AA205" s="721"/>
      <c r="AB205" s="721"/>
      <c r="AC205" s="721"/>
      <c r="AD205" s="721"/>
      <c r="AE205" s="716"/>
      <c r="AI205" s="105"/>
      <c r="AJ205" s="105"/>
      <c r="AN205" s="105"/>
      <c r="AO205" s="105"/>
      <c r="AP205" s="105"/>
    </row>
    <row r="206" spans="1:42" outlineLevel="1">
      <c r="A206" s="545">
        <f>MAX($A$10:A205)+1</f>
        <v>197</v>
      </c>
      <c r="B206" s="716" t="s">
        <v>2096</v>
      </c>
      <c r="C206" s="716" t="s">
        <v>2139</v>
      </c>
      <c r="D206" s="716" t="s">
        <v>2140</v>
      </c>
      <c r="E206" s="559">
        <v>390.1</v>
      </c>
      <c r="F206" s="1302" cm="1">
        <f t="array" ref="F206">+IF(SUM(VALUE(N206:Q206)*$N$7:$Q$7)=0,R206,T206)</f>
        <v>37696.400500000003</v>
      </c>
      <c r="G206" s="103">
        <f t="shared" si="12"/>
        <v>37696.400500000003</v>
      </c>
      <c r="H206" s="717">
        <v>45382</v>
      </c>
      <c r="I206" s="1303" cm="1">
        <f t="array" ref="I206">+IF(SUM(VALUE(N206:Q206)*$N$7:$Q$7)=0,S206,U206)</f>
        <v>0</v>
      </c>
      <c r="J206" s="103">
        <f t="shared" si="13"/>
        <v>0</v>
      </c>
      <c r="K206" s="103"/>
      <c r="M206"/>
      <c r="N206" s="1300">
        <v>0</v>
      </c>
      <c r="O206" s="1300">
        <v>0</v>
      </c>
      <c r="P206" s="1300">
        <v>0</v>
      </c>
      <c r="Q206" s="1300">
        <v>1</v>
      </c>
      <c r="R206" s="1266">
        <v>37696.400500000003</v>
      </c>
      <c r="S206" s="1266">
        <v>0</v>
      </c>
      <c r="T206" s="1266">
        <f>+IF($Q206=1,$G206,INDEX([1]Summary!$K$5:$K$110,MATCH($C206,[1]Summary!$D$5:$D307,0)))</f>
        <v>37696.400500000003</v>
      </c>
      <c r="U206" s="1266">
        <f>+IF($Q206=1,$J206,INDEX([1]Summary!$L$5:$L$110,MATCH($C206,[1]Summary!$D$5:$D307,0)))</f>
        <v>0</v>
      </c>
      <c r="V206" s="721"/>
      <c r="W206" s="721"/>
      <c r="X206" s="721"/>
      <c r="Y206" s="721"/>
      <c r="Z206" s="721"/>
      <c r="AA206" s="721"/>
      <c r="AB206" s="721"/>
      <c r="AC206" s="721"/>
      <c r="AD206" s="721"/>
      <c r="AI206" s="105"/>
      <c r="AJ206" s="105"/>
      <c r="AN206" s="105"/>
      <c r="AO206" s="105"/>
      <c r="AP206" s="105"/>
    </row>
    <row r="207" spans="1:42" outlineLevel="1">
      <c r="A207" s="545">
        <f>MAX($A$10:A206)+1</f>
        <v>198</v>
      </c>
      <c r="B207" s="716" t="s">
        <v>2096</v>
      </c>
      <c r="C207" s="720" t="s">
        <v>2141</v>
      </c>
      <c r="D207" s="720" t="s">
        <v>2142</v>
      </c>
      <c r="E207" s="559">
        <v>394.1</v>
      </c>
      <c r="F207" s="1302" cm="1">
        <f t="array" ref="F207">+IF(SUM(VALUE(N207:Q207)*$N$7:$Q$7)=0,R207,T207)</f>
        <v>0</v>
      </c>
      <c r="G207" s="103">
        <f t="shared" si="12"/>
        <v>0</v>
      </c>
      <c r="I207" s="1303" cm="1">
        <f t="array" ref="I207">+IF(SUM(VALUE(N207:Q207)*$N$7:$Q$7)=0,S207,U207)</f>
        <v>4451.47</v>
      </c>
      <c r="J207" s="103">
        <f t="shared" si="13"/>
        <v>4451.47</v>
      </c>
      <c r="K207" s="717">
        <v>45747</v>
      </c>
      <c r="M207"/>
      <c r="N207" s="1300">
        <v>0</v>
      </c>
      <c r="O207" s="1300">
        <v>0</v>
      </c>
      <c r="P207" s="1300">
        <v>0</v>
      </c>
      <c r="Q207" s="1300">
        <v>1</v>
      </c>
      <c r="R207" s="1266">
        <v>0</v>
      </c>
      <c r="S207" s="1266">
        <v>4451.47</v>
      </c>
      <c r="T207" s="1266">
        <f>+IF($Q207=1,$G207,INDEX([1]Summary!$K$5:$K$110,MATCH($C207,[1]Summary!$D$5:$D308,0)))</f>
        <v>0</v>
      </c>
      <c r="U207" s="1266">
        <f>+IF($Q207=1,$J207,INDEX([1]Summary!$L$5:$L$110,MATCH($C207,[1]Summary!$D$5:$D308,0)))</f>
        <v>4451.47</v>
      </c>
      <c r="V207" s="721"/>
      <c r="W207" s="721"/>
      <c r="X207" s="721"/>
      <c r="Y207" s="721"/>
      <c r="Z207" s="721"/>
      <c r="AA207" s="721"/>
      <c r="AB207" s="721"/>
      <c r="AC207" s="721"/>
      <c r="AD207" s="721"/>
      <c r="AI207" s="105"/>
      <c r="AJ207" s="105"/>
      <c r="AN207" s="105"/>
      <c r="AO207" s="105"/>
      <c r="AP207" s="105"/>
    </row>
    <row r="208" spans="1:42" outlineLevel="1">
      <c r="A208" s="545">
        <f>MAX($A$10:A207)+1</f>
        <v>199</v>
      </c>
      <c r="B208" s="716" t="s">
        <v>2096</v>
      </c>
      <c r="C208" s="716" t="s">
        <v>2143</v>
      </c>
      <c r="D208" s="716" t="s">
        <v>2144</v>
      </c>
      <c r="E208" s="559">
        <v>394.1</v>
      </c>
      <c r="F208" s="1302" cm="1">
        <f t="array" ref="F208">+IF(SUM(VALUE(N208:Q208)*$N$7:$Q$7)=0,R208,T208)</f>
        <v>1592.8</v>
      </c>
      <c r="G208" s="103">
        <f t="shared" si="12"/>
        <v>1592.8</v>
      </c>
      <c r="H208" s="717">
        <v>45357</v>
      </c>
      <c r="I208" s="1303" cm="1">
        <f t="array" ref="I208">+IF(SUM(VALUE(N208:Q208)*$N$7:$Q$7)=0,S208,U208)</f>
        <v>0</v>
      </c>
      <c r="J208" s="103">
        <f t="shared" si="13"/>
        <v>0</v>
      </c>
      <c r="K208" s="103"/>
      <c r="M208"/>
      <c r="N208" s="1300">
        <v>0</v>
      </c>
      <c r="O208" s="1300">
        <v>0</v>
      </c>
      <c r="P208" s="1300">
        <v>0</v>
      </c>
      <c r="Q208" s="1300">
        <v>1</v>
      </c>
      <c r="R208" s="1266">
        <v>1592.8</v>
      </c>
      <c r="S208" s="1266">
        <v>0</v>
      </c>
      <c r="T208" s="1266">
        <f>+IF($Q208=1,$G208,INDEX([1]Summary!$K$5:$K$110,MATCH($C208,[1]Summary!$D$5:$D309,0)))</f>
        <v>1592.8</v>
      </c>
      <c r="U208" s="1266">
        <f>+IF($Q208=1,$J208,INDEX([1]Summary!$L$5:$L$110,MATCH($C208,[1]Summary!$D$5:$D309,0)))</f>
        <v>0</v>
      </c>
      <c r="V208" s="721"/>
      <c r="W208" s="721"/>
      <c r="X208" s="721"/>
      <c r="Y208" s="721"/>
      <c r="Z208" s="721"/>
      <c r="AA208" s="721"/>
      <c r="AB208" s="721"/>
      <c r="AC208" s="721"/>
      <c r="AD208" s="721"/>
      <c r="AI208" s="105"/>
      <c r="AJ208" s="105"/>
      <c r="AN208" s="105"/>
      <c r="AO208" s="105"/>
      <c r="AP208" s="105"/>
    </row>
    <row r="209" spans="1:42" outlineLevel="1">
      <c r="A209" s="545">
        <f>MAX($A$10:A208)+1</f>
        <v>200</v>
      </c>
      <c r="B209" s="716" t="s">
        <v>2096</v>
      </c>
      <c r="C209" s="716" t="s">
        <v>2145</v>
      </c>
      <c r="D209" s="716" t="s">
        <v>2146</v>
      </c>
      <c r="E209" s="559">
        <v>394.1</v>
      </c>
      <c r="F209" s="1302" cm="1">
        <f t="array" ref="F209">+IF(SUM(VALUE(N209:Q209)*$N$7:$Q$7)=0,R209,T209)</f>
        <v>10082.290000000001</v>
      </c>
      <c r="G209" s="103">
        <f t="shared" si="12"/>
        <v>10082.290000000001</v>
      </c>
      <c r="H209" s="717">
        <v>45357</v>
      </c>
      <c r="I209" s="1303" cm="1">
        <f t="array" ref="I209">+IF(SUM(VALUE(N209:Q209)*$N$7:$Q$7)=0,S209,U209)</f>
        <v>0</v>
      </c>
      <c r="J209" s="103">
        <f t="shared" si="13"/>
        <v>0</v>
      </c>
      <c r="K209" s="103"/>
      <c r="M209"/>
      <c r="N209" s="1300">
        <v>0</v>
      </c>
      <c r="O209" s="1300">
        <v>0</v>
      </c>
      <c r="P209" s="1300">
        <v>0</v>
      </c>
      <c r="Q209" s="1300">
        <v>1</v>
      </c>
      <c r="R209" s="1266">
        <v>10082.290000000001</v>
      </c>
      <c r="S209" s="1266">
        <v>0</v>
      </c>
      <c r="T209" s="1266">
        <f>+IF($Q209=1,$G209,INDEX([1]Summary!$K$5:$K$110,MATCH($C209,[1]Summary!$D$5:$D310,0)))</f>
        <v>10082.290000000001</v>
      </c>
      <c r="U209" s="1266">
        <f>+IF($Q209=1,$J209,INDEX([1]Summary!$L$5:$L$110,MATCH($C209,[1]Summary!$D$5:$D310,0)))</f>
        <v>0</v>
      </c>
      <c r="V209" s="721"/>
      <c r="W209" s="721"/>
      <c r="X209" s="721"/>
      <c r="Y209" s="721"/>
      <c r="Z209" s="721"/>
      <c r="AA209" s="721"/>
      <c r="AB209" s="721"/>
      <c r="AC209" s="721"/>
      <c r="AD209" s="721"/>
      <c r="AI209" s="105"/>
      <c r="AJ209" s="105"/>
      <c r="AN209" s="105"/>
      <c r="AO209" s="105"/>
      <c r="AP209" s="105"/>
    </row>
    <row r="210" spans="1:42" outlineLevel="1">
      <c r="A210" s="545">
        <f>MAX($A$10:A209)+1</f>
        <v>201</v>
      </c>
      <c r="B210" s="716" t="s">
        <v>2096</v>
      </c>
      <c r="C210" s="716" t="s">
        <v>2147</v>
      </c>
      <c r="D210" s="716" t="s">
        <v>2148</v>
      </c>
      <c r="E210" s="559">
        <v>394.1</v>
      </c>
      <c r="F210" s="1302" cm="1">
        <f t="array" ref="F210">+IF(SUM(VALUE(N210:Q210)*$N$7:$Q$7)=0,R210,T210)</f>
        <v>102940.75</v>
      </c>
      <c r="G210" s="103">
        <f t="shared" si="12"/>
        <v>102940.75</v>
      </c>
      <c r="H210" s="717">
        <v>45657</v>
      </c>
      <c r="I210" s="1303" cm="1">
        <f t="array" ref="I210">+IF(SUM(VALUE(N210:Q210)*$N$7:$Q$7)=0,S210,U210)</f>
        <v>103176.5</v>
      </c>
      <c r="J210" s="103">
        <f t="shared" si="13"/>
        <v>103176.5</v>
      </c>
      <c r="K210" s="575">
        <v>45657</v>
      </c>
      <c r="M210"/>
      <c r="N210" s="1300">
        <v>0</v>
      </c>
      <c r="O210" s="1300">
        <v>0</v>
      </c>
      <c r="P210" s="1300">
        <v>0</v>
      </c>
      <c r="Q210" s="1300">
        <v>1</v>
      </c>
      <c r="R210" s="1266">
        <v>102940.75</v>
      </c>
      <c r="S210" s="1266">
        <v>103176.5</v>
      </c>
      <c r="T210" s="1266">
        <f>+IF($Q210=1,$G210,INDEX([1]Summary!$K$5:$K$110,MATCH($C210,[1]Summary!$D$5:$D311,0)))</f>
        <v>102940.75</v>
      </c>
      <c r="U210" s="1266">
        <f>+IF($Q210=1,$J210,INDEX([1]Summary!$L$5:$L$110,MATCH($C210,[1]Summary!$D$5:$D311,0)))</f>
        <v>103176.5</v>
      </c>
      <c r="V210" s="721"/>
      <c r="W210" s="721"/>
      <c r="X210" s="721"/>
      <c r="Y210" s="721"/>
      <c r="Z210" s="721"/>
      <c r="AA210" s="721"/>
      <c r="AB210" s="721"/>
      <c r="AC210" s="721"/>
      <c r="AD210" s="721"/>
      <c r="AI210" s="105"/>
      <c r="AJ210" s="105"/>
      <c r="AN210" s="105"/>
      <c r="AO210" s="105"/>
      <c r="AP210" s="105"/>
    </row>
    <row r="211" spans="1:42" outlineLevel="1">
      <c r="A211" s="545">
        <f>MAX($A$10:A210)+1</f>
        <v>202</v>
      </c>
      <c r="B211" s="716" t="s">
        <v>2096</v>
      </c>
      <c r="C211" s="716" t="s">
        <v>2149</v>
      </c>
      <c r="D211" s="716" t="s">
        <v>2150</v>
      </c>
      <c r="E211" s="559">
        <v>394.1</v>
      </c>
      <c r="F211" s="1302" cm="1">
        <f t="array" ref="F211">+IF(SUM(VALUE(N211:Q211)*$N$7:$Q$7)=0,R211,T211)</f>
        <v>32137.600000000002</v>
      </c>
      <c r="G211" s="103">
        <f t="shared" si="12"/>
        <v>32137.600000000002</v>
      </c>
      <c r="H211" s="717">
        <v>45383</v>
      </c>
      <c r="I211" s="1303" cm="1">
        <f t="array" ref="I211">+IF(SUM(VALUE(N211:Q211)*$N$7:$Q$7)=0,S211,U211)</f>
        <v>0</v>
      </c>
      <c r="J211" s="103">
        <f t="shared" si="13"/>
        <v>0</v>
      </c>
      <c r="K211" s="103"/>
      <c r="M211"/>
      <c r="N211" s="1300">
        <v>0</v>
      </c>
      <c r="O211" s="1300">
        <v>0</v>
      </c>
      <c r="P211" s="1300">
        <v>0</v>
      </c>
      <c r="Q211" s="1300">
        <v>1</v>
      </c>
      <c r="R211" s="1266">
        <v>32137.600000000002</v>
      </c>
      <c r="S211" s="1266">
        <v>0</v>
      </c>
      <c r="T211" s="1266">
        <f>+IF($Q211=1,$G211,INDEX([1]Summary!$K$5:$K$110,MATCH($C211,[1]Summary!$D$5:$D312,0)))</f>
        <v>32137.600000000002</v>
      </c>
      <c r="U211" s="1266">
        <f>+IF($Q211=1,$J211,INDEX([1]Summary!$L$5:$L$110,MATCH($C211,[1]Summary!$D$5:$D312,0)))</f>
        <v>0</v>
      </c>
      <c r="V211" s="721"/>
      <c r="W211" s="721"/>
      <c r="X211" s="721"/>
      <c r="Y211" s="721"/>
      <c r="Z211" s="721"/>
      <c r="AA211" s="721"/>
      <c r="AB211" s="721"/>
      <c r="AC211" s="721"/>
      <c r="AD211" s="721"/>
      <c r="AI211" s="105"/>
      <c r="AJ211" s="105"/>
      <c r="AN211" s="105"/>
      <c r="AO211" s="105"/>
      <c r="AP211" s="105"/>
    </row>
    <row r="212" spans="1:42" outlineLevel="1">
      <c r="A212" s="545">
        <f>MAX($A$10:A211)+1</f>
        <v>203</v>
      </c>
      <c r="B212" s="716" t="s">
        <v>2096</v>
      </c>
      <c r="C212" s="716" t="s">
        <v>2151</v>
      </c>
      <c r="D212" s="716" t="s">
        <v>2152</v>
      </c>
      <c r="E212" s="559">
        <v>394.1</v>
      </c>
      <c r="F212" s="1302" cm="1">
        <f t="array" ref="F212">+IF(SUM(VALUE(N212:Q212)*$N$7:$Q$7)=0,R212,T212)</f>
        <v>0</v>
      </c>
      <c r="G212" s="103">
        <f t="shared" si="12"/>
        <v>0</v>
      </c>
      <c r="H212" s="717"/>
      <c r="I212" s="1303" cm="1">
        <f t="array" ref="I212">+IF(SUM(VALUE(N212:Q212)*$N$7:$Q$7)=0,S212,U212)</f>
        <v>34224.400000000001</v>
      </c>
      <c r="J212" s="103">
        <f t="shared" si="13"/>
        <v>34224.400000000001</v>
      </c>
      <c r="K212" s="575">
        <v>45748</v>
      </c>
      <c r="M212"/>
      <c r="N212" s="1300">
        <v>0</v>
      </c>
      <c r="O212" s="1300">
        <v>0</v>
      </c>
      <c r="P212" s="1300">
        <v>0</v>
      </c>
      <c r="Q212" s="1300">
        <v>1</v>
      </c>
      <c r="R212" s="1266">
        <v>0</v>
      </c>
      <c r="S212" s="1266">
        <v>34224.400000000001</v>
      </c>
      <c r="T212" s="1266">
        <f>+IF($Q212=1,$G212,INDEX([1]Summary!$K$5:$K$110,MATCH($C212,[1]Summary!$D$5:$D313,0)))</f>
        <v>0</v>
      </c>
      <c r="U212" s="1266">
        <f>+IF($Q212=1,$J212,INDEX([1]Summary!$L$5:$L$110,MATCH($C212,[1]Summary!$D$5:$D313,0)))</f>
        <v>34224.400000000001</v>
      </c>
      <c r="V212" s="721"/>
      <c r="W212" s="721"/>
      <c r="X212" s="721"/>
      <c r="Y212" s="721"/>
      <c r="Z212" s="721"/>
      <c r="AA212" s="721"/>
      <c r="AB212" s="721"/>
      <c r="AC212" s="721"/>
      <c r="AD212" s="721"/>
      <c r="AI212" s="105"/>
      <c r="AJ212" s="105"/>
      <c r="AN212" s="105"/>
      <c r="AO212" s="105"/>
      <c r="AP212" s="105"/>
    </row>
    <row r="213" spans="1:42" outlineLevel="1">
      <c r="A213" s="545">
        <f>MAX($A$10:A212)+1</f>
        <v>204</v>
      </c>
      <c r="B213" s="716" t="s">
        <v>2096</v>
      </c>
      <c r="C213" s="716" t="s">
        <v>2153</v>
      </c>
      <c r="D213" s="716" t="s">
        <v>2154</v>
      </c>
      <c r="E213" s="559">
        <v>394.1</v>
      </c>
      <c r="F213" s="1302" cm="1">
        <f t="array" ref="F213">+IF(SUM(VALUE(N213:Q213)*$N$7:$Q$7)=0,R213,T213)</f>
        <v>0</v>
      </c>
      <c r="G213" s="103">
        <f t="shared" si="12"/>
        <v>0</v>
      </c>
      <c r="H213" s="717"/>
      <c r="I213" s="1303" cm="1">
        <f t="array" ref="I213">+IF(SUM(VALUE(N213:Q213)*$N$7:$Q$7)=0,S213,U213)</f>
        <v>13271.01</v>
      </c>
      <c r="J213" s="103">
        <f t="shared" si="13"/>
        <v>13271.01</v>
      </c>
      <c r="K213" s="575">
        <v>45777</v>
      </c>
      <c r="M213"/>
      <c r="N213" s="1300">
        <v>0</v>
      </c>
      <c r="O213" s="1300">
        <v>0</v>
      </c>
      <c r="P213" s="1300">
        <v>0</v>
      </c>
      <c r="Q213" s="1300">
        <v>1</v>
      </c>
      <c r="R213" s="1266">
        <v>0</v>
      </c>
      <c r="S213" s="1266">
        <v>13271.01</v>
      </c>
      <c r="T213" s="1266">
        <f>+IF($Q213=1,$G213,INDEX([1]Summary!$K$5:$K$110,MATCH($C213,[1]Summary!$D$5:$D314,0)))</f>
        <v>0</v>
      </c>
      <c r="U213" s="1266">
        <f>+IF($Q213=1,$J213,INDEX([1]Summary!$L$5:$L$110,MATCH($C213,[1]Summary!$D$5:$D314,0)))</f>
        <v>13271.01</v>
      </c>
      <c r="V213" s="721"/>
      <c r="W213" s="721"/>
      <c r="X213" s="721"/>
      <c r="Y213" s="721"/>
      <c r="Z213" s="721"/>
      <c r="AA213" s="721"/>
      <c r="AB213" s="721"/>
      <c r="AC213" s="721"/>
      <c r="AD213" s="721"/>
      <c r="AI213" s="105"/>
      <c r="AJ213" s="105"/>
      <c r="AN213" s="105"/>
      <c r="AO213" s="105"/>
      <c r="AP213" s="105"/>
    </row>
    <row r="214" spans="1:42" outlineLevel="1">
      <c r="A214" s="545">
        <f>MAX($A$10:A213)+1</f>
        <v>205</v>
      </c>
      <c r="B214" s="716" t="s">
        <v>2096</v>
      </c>
      <c r="C214" s="716" t="s">
        <v>2155</v>
      </c>
      <c r="D214" s="716" t="s">
        <v>2156</v>
      </c>
      <c r="E214" s="559">
        <v>394.1</v>
      </c>
      <c r="F214" s="1302" cm="1">
        <f t="array" ref="F214">+IF(SUM(VALUE(N214:Q214)*$N$7:$Q$7)=0,R214,T214)</f>
        <v>3439.73</v>
      </c>
      <c r="G214" s="103">
        <f t="shared" si="12"/>
        <v>3439.73</v>
      </c>
      <c r="H214" s="717">
        <v>45412</v>
      </c>
      <c r="I214" s="1303" cm="1">
        <f t="array" ref="I214">+IF(SUM(VALUE(N214:Q214)*$N$7:$Q$7)=0,S214,U214)</f>
        <v>0</v>
      </c>
      <c r="J214" s="103">
        <f t="shared" si="13"/>
        <v>0</v>
      </c>
      <c r="K214" s="103"/>
      <c r="M214"/>
      <c r="N214" s="1300">
        <v>0</v>
      </c>
      <c r="O214" s="1300">
        <v>0</v>
      </c>
      <c r="P214" s="1300">
        <v>0</v>
      </c>
      <c r="Q214" s="1300">
        <v>1</v>
      </c>
      <c r="R214" s="1266">
        <v>3439.73</v>
      </c>
      <c r="S214" s="1266">
        <v>0</v>
      </c>
      <c r="T214" s="1266">
        <f>+IF($Q214=1,$G214,INDEX([1]Summary!$K$5:$K$110,MATCH($C214,[1]Summary!$D$5:$D315,0)))</f>
        <v>3439.73</v>
      </c>
      <c r="U214" s="1266">
        <f>+IF($Q214=1,$J214,INDEX([1]Summary!$L$5:$L$110,MATCH($C214,[1]Summary!$D$5:$D315,0)))</f>
        <v>0</v>
      </c>
      <c r="V214" s="721"/>
      <c r="W214" s="721"/>
      <c r="X214" s="721"/>
      <c r="Y214" s="721"/>
      <c r="Z214" s="721"/>
      <c r="AA214" s="721"/>
      <c r="AB214" s="721"/>
      <c r="AC214" s="721"/>
      <c r="AD214" s="721"/>
      <c r="AI214" s="105"/>
      <c r="AJ214" s="105"/>
      <c r="AN214" s="105"/>
      <c r="AO214" s="105"/>
      <c r="AP214" s="105"/>
    </row>
    <row r="215" spans="1:42" outlineLevel="1">
      <c r="A215" s="545">
        <f>MAX($A$10:A214)+1</f>
        <v>206</v>
      </c>
      <c r="B215" s="716" t="s">
        <v>2096</v>
      </c>
      <c r="C215" s="716" t="s">
        <v>2157</v>
      </c>
      <c r="D215" s="716" t="s">
        <v>2158</v>
      </c>
      <c r="E215" s="559">
        <v>394.1</v>
      </c>
      <c r="F215" s="1302" cm="1">
        <f t="array" ref="F215">+IF(SUM(VALUE(N215:Q215)*$N$7:$Q$7)=0,R215,T215)</f>
        <v>7532.25</v>
      </c>
      <c r="G215" s="103">
        <f t="shared" si="12"/>
        <v>7532.25</v>
      </c>
      <c r="H215" s="717">
        <v>45412</v>
      </c>
      <c r="I215" s="1303" cm="1">
        <f t="array" ref="I215">+IF(SUM(VALUE(N215:Q215)*$N$7:$Q$7)=0,S215,U215)</f>
        <v>0</v>
      </c>
      <c r="J215" s="103">
        <f t="shared" si="13"/>
        <v>0</v>
      </c>
      <c r="K215" s="103"/>
      <c r="M215"/>
      <c r="N215" s="1300">
        <v>0</v>
      </c>
      <c r="O215" s="1300">
        <v>0</v>
      </c>
      <c r="P215" s="1300">
        <v>0</v>
      </c>
      <c r="Q215" s="1300">
        <v>1</v>
      </c>
      <c r="R215" s="1266">
        <v>7532.25</v>
      </c>
      <c r="S215" s="1266">
        <v>0</v>
      </c>
      <c r="T215" s="1266">
        <f>+IF($Q215=1,$G215,INDEX([1]Summary!$K$5:$K$110,MATCH($C215,[1]Summary!$D$5:$D316,0)))</f>
        <v>7532.25</v>
      </c>
      <c r="U215" s="1266">
        <f>+IF($Q215=1,$J215,INDEX([1]Summary!$L$5:$L$110,MATCH($C215,[1]Summary!$D$5:$D316,0)))</f>
        <v>0</v>
      </c>
      <c r="V215" s="721"/>
      <c r="W215" s="721"/>
      <c r="X215" s="721"/>
      <c r="Y215" s="721"/>
      <c r="Z215" s="721"/>
      <c r="AA215" s="721"/>
      <c r="AB215" s="721"/>
      <c r="AC215" s="721"/>
      <c r="AD215" s="721"/>
      <c r="AI215" s="105"/>
      <c r="AJ215" s="105"/>
      <c r="AN215" s="105"/>
      <c r="AO215" s="105"/>
      <c r="AP215" s="105"/>
    </row>
    <row r="216" spans="1:42" outlineLevel="1">
      <c r="A216" s="545">
        <f>MAX($A$10:A215)+1</f>
        <v>207</v>
      </c>
      <c r="B216" s="716" t="s">
        <v>2096</v>
      </c>
      <c r="C216" s="716" t="s">
        <v>2159</v>
      </c>
      <c r="D216" s="716" t="s">
        <v>2160</v>
      </c>
      <c r="E216" s="559">
        <v>394.1</v>
      </c>
      <c r="F216" s="1302" cm="1">
        <f t="array" ref="F216">+IF(SUM(VALUE(N216:Q216)*$N$7:$Q$7)=0,R216,T216)</f>
        <v>50215</v>
      </c>
      <c r="G216" s="103">
        <f t="shared" si="12"/>
        <v>50215</v>
      </c>
      <c r="H216" s="717">
        <v>45505</v>
      </c>
      <c r="I216" s="1303" cm="1">
        <f t="array" ref="I216">+IF(SUM(VALUE(N216:Q216)*$N$7:$Q$7)=0,S216,U216)</f>
        <v>0</v>
      </c>
      <c r="J216" s="103">
        <f t="shared" si="13"/>
        <v>0</v>
      </c>
      <c r="K216" s="103"/>
      <c r="M216"/>
      <c r="N216" s="1300">
        <v>0</v>
      </c>
      <c r="O216" s="1300">
        <v>0</v>
      </c>
      <c r="P216" s="1300">
        <v>0</v>
      </c>
      <c r="Q216" s="1300">
        <v>1</v>
      </c>
      <c r="R216" s="1266">
        <v>50215</v>
      </c>
      <c r="S216" s="1266">
        <v>0</v>
      </c>
      <c r="T216" s="1266">
        <f>+IF($Q216=1,$G216,INDEX([1]Summary!$K$5:$K$110,MATCH($C216,[1]Summary!$D$5:$D317,0)))</f>
        <v>50215</v>
      </c>
      <c r="U216" s="1266">
        <f>+IF($Q216=1,$J216,INDEX([1]Summary!$L$5:$L$110,MATCH($C216,[1]Summary!$D$5:$D317,0)))</f>
        <v>0</v>
      </c>
      <c r="V216" s="721"/>
      <c r="W216" s="721"/>
      <c r="X216" s="721"/>
      <c r="Y216" s="721"/>
      <c r="Z216" s="721"/>
      <c r="AA216" s="721"/>
      <c r="AB216" s="721"/>
      <c r="AC216" s="721"/>
      <c r="AD216" s="721"/>
      <c r="AI216" s="105"/>
      <c r="AJ216" s="105"/>
      <c r="AN216" s="105"/>
      <c r="AO216" s="105"/>
      <c r="AP216" s="105"/>
    </row>
    <row r="217" spans="1:42" outlineLevel="1">
      <c r="A217" s="545">
        <f>MAX($A$10:A216)+1</f>
        <v>208</v>
      </c>
      <c r="B217" s="716" t="s">
        <v>2096</v>
      </c>
      <c r="C217" s="716" t="s">
        <v>2161</v>
      </c>
      <c r="D217" s="716" t="s">
        <v>2162</v>
      </c>
      <c r="E217" s="559">
        <v>398</v>
      </c>
      <c r="F217" s="1302" cm="1">
        <f t="array" ref="F217">+IF(SUM(VALUE(N217:Q217)*$N$7:$Q$7)=0,R217,T217)</f>
        <v>0</v>
      </c>
      <c r="G217" s="103">
        <f t="shared" si="12"/>
        <v>0</v>
      </c>
      <c r="H217" s="717"/>
      <c r="I217" s="1303" cm="1">
        <f t="array" ref="I217">+IF(SUM(VALUE(N217:Q217)*$N$7:$Q$7)=0,S217,U217)</f>
        <v>4026.4</v>
      </c>
      <c r="J217" s="103">
        <f t="shared" si="13"/>
        <v>4026.4</v>
      </c>
      <c r="K217" s="575">
        <v>45716</v>
      </c>
      <c r="M217"/>
      <c r="N217" s="1300">
        <v>0</v>
      </c>
      <c r="O217" s="1300">
        <v>0</v>
      </c>
      <c r="P217" s="1300">
        <v>0</v>
      </c>
      <c r="Q217" s="1300">
        <v>1</v>
      </c>
      <c r="R217" s="1266">
        <v>0</v>
      </c>
      <c r="S217" s="1266">
        <v>4026.4</v>
      </c>
      <c r="T217" s="1266">
        <f>+IF($Q217=1,$G217,INDEX([1]Summary!$K$5:$K$110,MATCH($C217,[1]Summary!$D$5:$D318,0)))</f>
        <v>0</v>
      </c>
      <c r="U217" s="1266">
        <f>+IF($Q217=1,$J217,INDEX([1]Summary!$L$5:$L$110,MATCH($C217,[1]Summary!$D$5:$D318,0)))</f>
        <v>4026.4</v>
      </c>
      <c r="V217" s="721"/>
      <c r="W217" s="721"/>
      <c r="X217" s="721"/>
      <c r="Y217" s="721"/>
      <c r="Z217" s="721"/>
      <c r="AA217" s="721"/>
      <c r="AB217" s="721"/>
      <c r="AC217" s="721"/>
      <c r="AD217" s="721"/>
      <c r="AI217" s="105"/>
      <c r="AJ217" s="105"/>
      <c r="AN217" s="105"/>
      <c r="AO217" s="105"/>
      <c r="AP217" s="105"/>
    </row>
    <row r="218" spans="1:42" outlineLevel="1">
      <c r="A218" s="545">
        <f>MAX($A$10:A217)+1</f>
        <v>209</v>
      </c>
      <c r="B218" s="716" t="s">
        <v>2096</v>
      </c>
      <c r="C218" s="716" t="s">
        <v>2163</v>
      </c>
      <c r="D218" s="716" t="s">
        <v>2164</v>
      </c>
      <c r="E218" s="559">
        <v>394.1</v>
      </c>
      <c r="F218" s="1302" cm="1">
        <f t="array" ref="F218">+IF(SUM(VALUE(N218:Q218)*$N$7:$Q$7)=0,R218,T218)</f>
        <v>4017.2000000000003</v>
      </c>
      <c r="G218" s="103">
        <f t="shared" si="12"/>
        <v>4017.2000000000003</v>
      </c>
      <c r="H218" s="717">
        <v>45350</v>
      </c>
      <c r="I218" s="1303" cm="1">
        <f t="array" ref="I218">+IF(SUM(VALUE(N218:Q218)*$N$7:$Q$7)=0,S218,U218)</f>
        <v>0</v>
      </c>
      <c r="J218" s="103">
        <f t="shared" si="13"/>
        <v>0</v>
      </c>
      <c r="K218" s="103"/>
      <c r="M218"/>
      <c r="N218" s="1300">
        <v>0</v>
      </c>
      <c r="O218" s="1300">
        <v>0</v>
      </c>
      <c r="P218" s="1300">
        <v>0</v>
      </c>
      <c r="Q218" s="1300">
        <v>1</v>
      </c>
      <c r="R218" s="1266">
        <v>4017.2000000000003</v>
      </c>
      <c r="S218" s="1266">
        <v>0</v>
      </c>
      <c r="T218" s="1266">
        <f>+IF($Q218=1,$G218,INDEX([1]Summary!$K$5:$K$110,MATCH($C218,[1]Summary!$D$5:$D319,0)))</f>
        <v>4017.2000000000003</v>
      </c>
      <c r="U218" s="1266">
        <f>+IF($Q218=1,$J218,INDEX([1]Summary!$L$5:$L$110,MATCH($C218,[1]Summary!$D$5:$D319,0)))</f>
        <v>0</v>
      </c>
      <c r="V218" s="721"/>
      <c r="W218" s="721"/>
      <c r="X218" s="721"/>
      <c r="Y218" s="721"/>
      <c r="Z218" s="721"/>
      <c r="AA218" s="721"/>
      <c r="AB218" s="721"/>
      <c r="AC218" s="721"/>
      <c r="AD218" s="721"/>
      <c r="AI218" s="105"/>
      <c r="AJ218" s="105"/>
      <c r="AN218" s="105"/>
      <c r="AO218" s="105"/>
      <c r="AP218" s="105"/>
    </row>
    <row r="219" spans="1:42" outlineLevel="1">
      <c r="A219" s="545">
        <f>MAX($A$10:A218)+1</f>
        <v>210</v>
      </c>
      <c r="B219" s="716" t="s">
        <v>2096</v>
      </c>
      <c r="C219" s="716" t="s">
        <v>2165</v>
      </c>
      <c r="D219" s="716" t="s">
        <v>2166</v>
      </c>
      <c r="E219" s="559">
        <v>394.1</v>
      </c>
      <c r="F219" s="1302" cm="1">
        <f t="array" ref="F219">+IF(SUM(VALUE(N219:Q219)*$N$7:$Q$7)=0,R219,T219)</f>
        <v>2510.75</v>
      </c>
      <c r="G219" s="103">
        <f t="shared" si="12"/>
        <v>2510.75</v>
      </c>
      <c r="H219" s="717">
        <v>45350</v>
      </c>
      <c r="I219" s="1303" cm="1">
        <f t="array" ref="I219">+IF(SUM(VALUE(N219:Q219)*$N$7:$Q$7)=0,S219,U219)</f>
        <v>0</v>
      </c>
      <c r="J219" s="103">
        <f t="shared" si="13"/>
        <v>0</v>
      </c>
      <c r="K219" s="103"/>
      <c r="M219"/>
      <c r="N219" s="1300">
        <v>0</v>
      </c>
      <c r="O219" s="1300">
        <v>0</v>
      </c>
      <c r="P219" s="1300">
        <v>0</v>
      </c>
      <c r="Q219" s="1300">
        <v>1</v>
      </c>
      <c r="R219" s="1266">
        <v>2510.75</v>
      </c>
      <c r="S219" s="1266">
        <v>0</v>
      </c>
      <c r="T219" s="1266">
        <f>+IF($Q219=1,$G219,INDEX([1]Summary!$K$5:$K$110,MATCH($C219,[1]Summary!$D$5:$D320,0)))</f>
        <v>2510.75</v>
      </c>
      <c r="U219" s="1266">
        <f>+IF($Q219=1,$J219,INDEX([1]Summary!$L$5:$L$110,MATCH($C219,[1]Summary!$D$5:$D320,0)))</f>
        <v>0</v>
      </c>
      <c r="V219" s="721"/>
      <c r="W219" s="721"/>
      <c r="X219" s="721"/>
      <c r="Y219" s="721"/>
      <c r="Z219" s="721"/>
      <c r="AA219" s="721"/>
      <c r="AB219" s="721"/>
      <c r="AC219" s="721"/>
      <c r="AD219" s="721"/>
      <c r="AI219" s="105"/>
      <c r="AJ219" s="105"/>
      <c r="AN219" s="105"/>
      <c r="AO219" s="105"/>
      <c r="AP219" s="105"/>
    </row>
    <row r="220" spans="1:42" outlineLevel="1">
      <c r="A220" s="545">
        <f>MAX($A$10:A219)+1</f>
        <v>211</v>
      </c>
      <c r="B220" s="716" t="s">
        <v>2096</v>
      </c>
      <c r="C220" s="716" t="s">
        <v>2167</v>
      </c>
      <c r="D220" s="716" t="s">
        <v>2168</v>
      </c>
      <c r="E220" s="559">
        <v>394.1</v>
      </c>
      <c r="F220" s="1302" cm="1">
        <f t="array" ref="F220">+IF(SUM(VALUE(N220:Q220)*$N$7:$Q$7)=0,R220,T220)</f>
        <v>1506.45</v>
      </c>
      <c r="G220" s="103">
        <f t="shared" si="12"/>
        <v>1506.45</v>
      </c>
      <c r="H220" s="717">
        <v>45321</v>
      </c>
      <c r="I220" s="1303" cm="1">
        <f t="array" ref="I220">+IF(SUM(VALUE(N220:Q220)*$N$7:$Q$7)=0,S220,U220)</f>
        <v>0</v>
      </c>
      <c r="J220" s="103">
        <f t="shared" si="13"/>
        <v>0</v>
      </c>
      <c r="K220" s="103"/>
      <c r="M220"/>
      <c r="N220" s="1300">
        <v>0</v>
      </c>
      <c r="O220" s="1300">
        <v>0</v>
      </c>
      <c r="P220" s="1300">
        <v>0</v>
      </c>
      <c r="Q220" s="1300">
        <v>1</v>
      </c>
      <c r="R220" s="1266">
        <v>1506.45</v>
      </c>
      <c r="S220" s="1266">
        <v>0</v>
      </c>
      <c r="T220" s="1266">
        <f>+IF($Q220=1,$G220,INDEX([1]Summary!$K$5:$K$110,MATCH($C220,[1]Summary!$D$5:$D321,0)))</f>
        <v>1506.45</v>
      </c>
      <c r="U220" s="1266">
        <f>+IF($Q220=1,$J220,INDEX([1]Summary!$L$5:$L$110,MATCH($C220,[1]Summary!$D$5:$D321,0)))</f>
        <v>0</v>
      </c>
      <c r="V220" s="721"/>
      <c r="W220" s="721"/>
      <c r="X220" s="721"/>
      <c r="Y220" s="721"/>
      <c r="Z220" s="721"/>
      <c r="AA220" s="721"/>
      <c r="AB220" s="721"/>
      <c r="AC220" s="721"/>
      <c r="AD220" s="721"/>
      <c r="AI220" s="105"/>
      <c r="AJ220" s="105"/>
      <c r="AN220" s="105"/>
      <c r="AO220" s="105"/>
      <c r="AP220" s="105"/>
    </row>
    <row r="221" spans="1:42" outlineLevel="1">
      <c r="A221" s="545">
        <f>MAX($A$10:A220)+1</f>
        <v>212</v>
      </c>
      <c r="B221" s="716" t="s">
        <v>2096</v>
      </c>
      <c r="C221" s="716" t="s">
        <v>2169</v>
      </c>
      <c r="D221" s="716" t="s">
        <v>2170</v>
      </c>
      <c r="E221" s="559">
        <v>398</v>
      </c>
      <c r="F221" s="1302" cm="1">
        <f t="array" ref="F221">+IF(SUM(VALUE(N221:Q221)*$N$7:$Q$7)=0,R221,T221)</f>
        <v>2008.6000000000001</v>
      </c>
      <c r="G221" s="103">
        <f t="shared" si="12"/>
        <v>2008.6000000000001</v>
      </c>
      <c r="H221" s="717">
        <v>45381</v>
      </c>
      <c r="I221" s="1303" cm="1">
        <f t="array" ref="I221">+IF(SUM(VALUE(N221:Q221)*$N$7:$Q$7)=0,S221,U221)</f>
        <v>0</v>
      </c>
      <c r="J221" s="103">
        <f t="shared" si="13"/>
        <v>0</v>
      </c>
      <c r="K221" s="103"/>
      <c r="M221"/>
      <c r="N221" s="1300">
        <v>0</v>
      </c>
      <c r="O221" s="1300">
        <v>0</v>
      </c>
      <c r="P221" s="1300">
        <v>0</v>
      </c>
      <c r="Q221" s="1300">
        <v>1</v>
      </c>
      <c r="R221" s="1266">
        <v>2008.6000000000001</v>
      </c>
      <c r="S221" s="1266">
        <v>0</v>
      </c>
      <c r="T221" s="1266">
        <f>+IF($Q221=1,$G221,INDEX([1]Summary!$K$5:$K$110,MATCH($C221,[1]Summary!$D$5:$D322,0)))</f>
        <v>2008.6000000000001</v>
      </c>
      <c r="U221" s="1266">
        <f>+IF($Q221=1,$J221,INDEX([1]Summary!$L$5:$L$110,MATCH($C221,[1]Summary!$D$5:$D322,0)))</f>
        <v>0</v>
      </c>
      <c r="V221" s="721"/>
      <c r="W221" s="721"/>
      <c r="X221" s="721"/>
      <c r="Y221" s="721"/>
      <c r="Z221" s="721"/>
      <c r="AA221" s="721"/>
      <c r="AB221" s="721"/>
      <c r="AC221" s="721"/>
      <c r="AD221" s="721"/>
      <c r="AI221" s="105"/>
      <c r="AJ221" s="105"/>
      <c r="AN221" s="105"/>
      <c r="AO221" s="105"/>
      <c r="AP221" s="105"/>
    </row>
    <row r="222" spans="1:42" outlineLevel="1">
      <c r="A222" s="545">
        <f>MAX($A$10:A221)+1</f>
        <v>213</v>
      </c>
      <c r="B222" s="716" t="s">
        <v>2096</v>
      </c>
      <c r="C222" s="716" t="s">
        <v>2171</v>
      </c>
      <c r="D222" s="716" t="s">
        <v>2172</v>
      </c>
      <c r="E222" s="559">
        <v>394.1</v>
      </c>
      <c r="F222" s="1302" cm="1">
        <f t="array" ref="F222">+IF(SUM(VALUE(N222:Q222)*$N$7:$Q$7)=0,R222,T222)</f>
        <v>10043</v>
      </c>
      <c r="G222" s="103">
        <f t="shared" si="12"/>
        <v>10043</v>
      </c>
      <c r="H222" s="717">
        <v>45483</v>
      </c>
      <c r="I222" s="1303" cm="1">
        <f t="array" ref="I222">+IF(SUM(VALUE(N222:Q222)*$N$7:$Q$7)=0,S222,U222)</f>
        <v>0</v>
      </c>
      <c r="J222" s="103">
        <f t="shared" si="13"/>
        <v>0</v>
      </c>
      <c r="K222" s="103"/>
      <c r="M222"/>
      <c r="N222" s="1300">
        <v>0</v>
      </c>
      <c r="O222" s="1300">
        <v>0</v>
      </c>
      <c r="P222" s="1300">
        <v>0</v>
      </c>
      <c r="Q222" s="1300">
        <v>1</v>
      </c>
      <c r="R222" s="1266">
        <v>10043</v>
      </c>
      <c r="S222" s="1266">
        <v>0</v>
      </c>
      <c r="T222" s="1266">
        <f>+IF($Q222=1,$G222,INDEX([1]Summary!$K$5:$K$110,MATCH($C222,[1]Summary!$D$5:$D323,0)))</f>
        <v>10043</v>
      </c>
      <c r="U222" s="1266">
        <f>+IF($Q222=1,$J222,INDEX([1]Summary!$L$5:$L$110,MATCH($C222,[1]Summary!$D$5:$D323,0)))</f>
        <v>0</v>
      </c>
      <c r="V222" s="721"/>
      <c r="W222" s="721"/>
      <c r="X222" s="721"/>
      <c r="Y222" s="721"/>
      <c r="Z222" s="721"/>
      <c r="AA222" s="721"/>
      <c r="AB222" s="721"/>
      <c r="AC222" s="721"/>
      <c r="AD222" s="721"/>
      <c r="AI222" s="105"/>
      <c r="AJ222" s="105"/>
      <c r="AN222" s="105"/>
      <c r="AO222" s="105"/>
      <c r="AP222" s="105"/>
    </row>
    <row r="223" spans="1:42" outlineLevel="1">
      <c r="A223" s="545">
        <f>MAX($A$10:A222)+1</f>
        <v>214</v>
      </c>
      <c r="B223" s="716" t="s">
        <v>2096</v>
      </c>
      <c r="C223" s="716" t="s">
        <v>2173</v>
      </c>
      <c r="D223" s="716" t="s">
        <v>2174</v>
      </c>
      <c r="E223" s="559">
        <v>397.3</v>
      </c>
      <c r="F223" s="1302" cm="1">
        <f t="array" ref="F223">+IF(SUM(VALUE(N223:Q223)*$N$7:$Q$7)=0,R223,T223)</f>
        <v>75322.5</v>
      </c>
      <c r="G223" s="103">
        <f t="shared" si="12"/>
        <v>75322.5</v>
      </c>
      <c r="H223" s="717">
        <v>45366</v>
      </c>
      <c r="I223" s="1303" cm="1">
        <f t="array" ref="I223">+IF(SUM(VALUE(N223:Q223)*$N$7:$Q$7)=0,S223,U223)</f>
        <v>0</v>
      </c>
      <c r="J223" s="103">
        <f t="shared" si="13"/>
        <v>0</v>
      </c>
      <c r="K223" s="103"/>
      <c r="M223"/>
      <c r="N223" s="1300">
        <v>0</v>
      </c>
      <c r="O223" s="1300">
        <v>0</v>
      </c>
      <c r="P223" s="1300">
        <v>0</v>
      </c>
      <c r="Q223" s="1300">
        <v>1</v>
      </c>
      <c r="R223" s="1266">
        <v>75322.5</v>
      </c>
      <c r="S223" s="1266">
        <v>0</v>
      </c>
      <c r="T223" s="1266">
        <f>+IF($Q223=1,$G223,INDEX([1]Summary!$K$5:$K$110,MATCH($C223,[1]Summary!$D$5:$D324,0)))</f>
        <v>75322.5</v>
      </c>
      <c r="U223" s="1266">
        <f>+IF($Q223=1,$J223,INDEX([1]Summary!$L$5:$L$110,MATCH($C223,[1]Summary!$D$5:$D324,0)))</f>
        <v>0</v>
      </c>
      <c r="V223" s="721"/>
      <c r="W223" s="721"/>
      <c r="X223" s="721"/>
      <c r="Y223" s="721"/>
      <c r="Z223" s="721"/>
      <c r="AA223" s="721"/>
      <c r="AB223" s="721"/>
      <c r="AC223" s="721"/>
      <c r="AD223" s="721"/>
      <c r="AI223" s="105"/>
      <c r="AJ223" s="105"/>
      <c r="AN223" s="105"/>
      <c r="AO223" s="105"/>
      <c r="AP223" s="105"/>
    </row>
    <row r="224" spans="1:42" outlineLevel="1">
      <c r="A224" s="545">
        <f>MAX($A$10:A223)+1</f>
        <v>215</v>
      </c>
      <c r="B224" s="716" t="s">
        <v>2096</v>
      </c>
      <c r="C224" s="716" t="s">
        <v>2175</v>
      </c>
      <c r="D224" s="716" t="s">
        <v>2176</v>
      </c>
      <c r="E224" s="559">
        <v>391.3</v>
      </c>
      <c r="F224" s="1302" cm="1">
        <f t="array" ref="F224">+IF(SUM(VALUE(N224:Q224)*$N$7:$Q$7)=0,R224,T224)</f>
        <v>45193.5</v>
      </c>
      <c r="G224" s="103">
        <f t="shared" si="12"/>
        <v>45193.5</v>
      </c>
      <c r="H224" s="717">
        <v>45550</v>
      </c>
      <c r="I224" s="1303" cm="1">
        <f t="array" ref="I224">+IF(SUM(VALUE(N224:Q224)*$N$7:$Q$7)=0,S224,U224)</f>
        <v>0</v>
      </c>
      <c r="J224" s="103">
        <f t="shared" si="13"/>
        <v>0</v>
      </c>
      <c r="K224" s="103"/>
      <c r="M224"/>
      <c r="N224" s="1300">
        <v>0</v>
      </c>
      <c r="O224" s="1300">
        <v>0</v>
      </c>
      <c r="P224" s="1300">
        <v>0</v>
      </c>
      <c r="Q224" s="1300">
        <v>1</v>
      </c>
      <c r="R224" s="1266">
        <v>45193.5</v>
      </c>
      <c r="S224" s="1266">
        <v>0</v>
      </c>
      <c r="T224" s="1266">
        <f>+IF($Q224=1,$G224,INDEX([1]Summary!$K$5:$K$110,MATCH($C224,[1]Summary!$D$5:$D325,0)))</f>
        <v>45193.5</v>
      </c>
      <c r="U224" s="1266">
        <f>+IF($Q224=1,$J224,INDEX([1]Summary!$L$5:$L$110,MATCH($C224,[1]Summary!$D$5:$D325,0)))</f>
        <v>0</v>
      </c>
      <c r="V224" s="721"/>
      <c r="W224" s="721"/>
      <c r="X224" s="721"/>
      <c r="Y224" s="721"/>
      <c r="Z224" s="721"/>
      <c r="AA224" s="721"/>
      <c r="AB224" s="721"/>
      <c r="AC224" s="721"/>
      <c r="AD224" s="721"/>
      <c r="AI224" s="105"/>
      <c r="AJ224" s="105"/>
      <c r="AN224" s="105"/>
      <c r="AO224" s="105"/>
      <c r="AP224" s="105"/>
    </row>
    <row r="225" spans="1:42" outlineLevel="1">
      <c r="A225" s="545">
        <f>MAX($A$10:A224)+1</f>
        <v>216</v>
      </c>
      <c r="B225" s="716" t="s">
        <v>2096</v>
      </c>
      <c r="C225" s="716" t="s">
        <v>2177</v>
      </c>
      <c r="D225" s="716" t="s">
        <v>2178</v>
      </c>
      <c r="E225" s="559">
        <v>397.2</v>
      </c>
      <c r="F225" s="1302" cm="1">
        <f t="array" ref="F225">+IF(SUM(VALUE(N225:Q225)*$N$7:$Q$7)=0,R225,T225)</f>
        <v>0</v>
      </c>
      <c r="G225" s="103">
        <f t="shared" si="12"/>
        <v>0</v>
      </c>
      <c r="H225" s="717"/>
      <c r="I225" s="1303" cm="1">
        <f t="array" ref="I225">+IF(SUM(VALUE(N225:Q225)*$N$7:$Q$7)=0,S225,U225)</f>
        <v>4533.9277200000006</v>
      </c>
      <c r="J225" s="103">
        <f t="shared" si="13"/>
        <v>4533.9277200000006</v>
      </c>
      <c r="K225" s="575">
        <v>45961</v>
      </c>
      <c r="M225"/>
      <c r="N225" s="1300">
        <v>0</v>
      </c>
      <c r="O225" s="1300">
        <v>0</v>
      </c>
      <c r="P225" s="1300">
        <v>0</v>
      </c>
      <c r="Q225" s="1300">
        <v>1</v>
      </c>
      <c r="R225" s="1266">
        <v>0</v>
      </c>
      <c r="S225" s="1266">
        <v>4533.9277200000006</v>
      </c>
      <c r="T225" s="1266">
        <f>+IF($Q225=1,$G225,INDEX([1]Summary!$K$5:$K$110,MATCH($C225,[1]Summary!$D$5:$D326,0)))</f>
        <v>0</v>
      </c>
      <c r="U225" s="1266">
        <f>+IF($Q225=1,$J225,INDEX([1]Summary!$L$5:$L$110,MATCH($C225,[1]Summary!$D$5:$D326,0)))</f>
        <v>4533.9277200000006</v>
      </c>
      <c r="V225" s="721"/>
      <c r="W225" s="721"/>
      <c r="X225" s="721"/>
      <c r="Y225" s="721"/>
      <c r="Z225" s="721"/>
      <c r="AA225" s="721"/>
      <c r="AB225" s="721"/>
      <c r="AC225" s="721"/>
      <c r="AD225" s="721"/>
      <c r="AI225" s="105"/>
      <c r="AJ225" s="105"/>
      <c r="AN225" s="105"/>
      <c r="AO225" s="105"/>
      <c r="AP225" s="105"/>
    </row>
    <row r="226" spans="1:42" outlineLevel="1">
      <c r="A226" s="545">
        <f>MAX($A$10:A225)+1</f>
        <v>217</v>
      </c>
      <c r="B226" s="716" t="s">
        <v>2096</v>
      </c>
      <c r="C226" s="716" t="s">
        <v>2179</v>
      </c>
      <c r="D226" s="716" t="s">
        <v>2180</v>
      </c>
      <c r="E226" s="559">
        <v>394.1</v>
      </c>
      <c r="F226" s="1302" cm="1">
        <f t="array" ref="F226">+IF(SUM(VALUE(N226:Q226)*$N$7:$Q$7)=0,R226,T226)</f>
        <v>1506.45</v>
      </c>
      <c r="G226" s="103">
        <f t="shared" si="12"/>
        <v>1506.45</v>
      </c>
      <c r="H226" s="717">
        <v>45321</v>
      </c>
      <c r="I226" s="1303" cm="1">
        <f t="array" ref="I226">+IF(SUM(VALUE(N226:Q226)*$N$7:$Q$7)=0,S226,U226)</f>
        <v>0</v>
      </c>
      <c r="J226" s="103">
        <f t="shared" si="13"/>
        <v>0</v>
      </c>
      <c r="K226" s="103"/>
      <c r="M226"/>
      <c r="N226" s="1300">
        <v>0</v>
      </c>
      <c r="O226" s="1300">
        <v>0</v>
      </c>
      <c r="P226" s="1300">
        <v>0</v>
      </c>
      <c r="Q226" s="1300">
        <v>1</v>
      </c>
      <c r="R226" s="1266">
        <v>1506.45</v>
      </c>
      <c r="S226" s="1266">
        <v>0</v>
      </c>
      <c r="T226" s="1266">
        <f>+IF($Q226=1,$G226,INDEX([1]Summary!$K$5:$K$110,MATCH($C226,[1]Summary!$D$5:$D327,0)))</f>
        <v>1506.45</v>
      </c>
      <c r="U226" s="1266">
        <f>+IF($Q226=1,$J226,INDEX([1]Summary!$L$5:$L$110,MATCH($C226,[1]Summary!$D$5:$D327,0)))</f>
        <v>0</v>
      </c>
      <c r="V226" s="721"/>
      <c r="W226" s="721"/>
      <c r="X226" s="721"/>
      <c r="Y226" s="721"/>
      <c r="Z226" s="721"/>
      <c r="AA226" s="721"/>
      <c r="AB226" s="721"/>
      <c r="AC226" s="721"/>
      <c r="AD226" s="721"/>
      <c r="AI226" s="105"/>
      <c r="AJ226" s="105"/>
      <c r="AN226" s="105"/>
      <c r="AO226" s="105"/>
      <c r="AP226" s="105"/>
    </row>
    <row r="227" spans="1:42" outlineLevel="1">
      <c r="A227" s="545">
        <f>MAX($A$10:A226)+1</f>
        <v>218</v>
      </c>
      <c r="B227" s="716" t="s">
        <v>2096</v>
      </c>
      <c r="C227" s="716" t="s">
        <v>2181</v>
      </c>
      <c r="D227" s="716" t="s">
        <v>2182</v>
      </c>
      <c r="E227" s="559">
        <v>394.1</v>
      </c>
      <c r="F227" s="1302" cm="1">
        <f t="array" ref="F227">+IF(SUM(VALUE(N227:Q227)*$N$7:$Q$7)=0,R227,T227)</f>
        <v>1506.45</v>
      </c>
      <c r="G227" s="103">
        <f t="shared" si="12"/>
        <v>1506.45</v>
      </c>
      <c r="H227" s="717">
        <v>45321</v>
      </c>
      <c r="I227" s="1303" cm="1">
        <f t="array" ref="I227">+IF(SUM(VALUE(N227:Q227)*$N$7:$Q$7)=0,S227,U227)</f>
        <v>0</v>
      </c>
      <c r="J227" s="103">
        <f t="shared" si="13"/>
        <v>0</v>
      </c>
      <c r="K227" s="103"/>
      <c r="M227"/>
      <c r="N227" s="1300">
        <v>0</v>
      </c>
      <c r="O227" s="1300">
        <v>0</v>
      </c>
      <c r="P227" s="1300">
        <v>0</v>
      </c>
      <c r="Q227" s="1300">
        <v>1</v>
      </c>
      <c r="R227" s="1266">
        <v>1506.45</v>
      </c>
      <c r="S227" s="1266">
        <v>0</v>
      </c>
      <c r="T227" s="1266">
        <f>+IF($Q227=1,$G227,INDEX([1]Summary!$K$5:$K$110,MATCH($C227,[1]Summary!$D$5:$D328,0)))</f>
        <v>1506.45</v>
      </c>
      <c r="U227" s="1266">
        <f>+IF($Q227=1,$J227,INDEX([1]Summary!$L$5:$L$110,MATCH($C227,[1]Summary!$D$5:$D328,0)))</f>
        <v>0</v>
      </c>
      <c r="V227" s="721"/>
      <c r="W227" s="721"/>
      <c r="X227" s="721"/>
      <c r="Y227" s="721"/>
      <c r="Z227" s="721"/>
      <c r="AA227" s="721"/>
      <c r="AB227" s="721"/>
      <c r="AC227" s="721"/>
      <c r="AD227" s="721"/>
      <c r="AI227" s="105"/>
      <c r="AJ227" s="105"/>
      <c r="AN227" s="105"/>
      <c r="AO227" s="105"/>
      <c r="AP227" s="105"/>
    </row>
    <row r="228" spans="1:42" outlineLevel="1">
      <c r="A228" s="545">
        <f>MAX($A$10:A227)+1</f>
        <v>219</v>
      </c>
      <c r="B228" s="716" t="s">
        <v>2096</v>
      </c>
      <c r="C228" s="716" t="s">
        <v>2183</v>
      </c>
      <c r="D228" s="716" t="s">
        <v>2184</v>
      </c>
      <c r="E228" s="559">
        <v>394.1</v>
      </c>
      <c r="F228" s="1302" cm="1">
        <f t="array" ref="F228">+IF(SUM(VALUE(N228:Q228)*$N$7:$Q$7)=0,R228,T228)</f>
        <v>9800.418528000002</v>
      </c>
      <c r="G228" s="103">
        <f t="shared" si="12"/>
        <v>9800.418528000002</v>
      </c>
      <c r="H228" s="717">
        <v>45349</v>
      </c>
      <c r="I228" s="1303" cm="1">
        <f t="array" ref="I228">+IF(SUM(VALUE(N228:Q228)*$N$7:$Q$7)=0,S228,U228)</f>
        <v>0</v>
      </c>
      <c r="J228" s="103">
        <f t="shared" si="13"/>
        <v>0</v>
      </c>
      <c r="K228" s="103"/>
      <c r="M228"/>
      <c r="N228" s="1300">
        <v>0</v>
      </c>
      <c r="O228" s="1300">
        <v>0</v>
      </c>
      <c r="P228" s="1300">
        <v>0</v>
      </c>
      <c r="Q228" s="1300">
        <v>1</v>
      </c>
      <c r="R228" s="1266">
        <v>9800.418528000002</v>
      </c>
      <c r="S228" s="1266">
        <v>0</v>
      </c>
      <c r="T228" s="1266">
        <f>+IF($Q228=1,$G228,INDEX([1]Summary!$K$5:$K$110,MATCH($C228,[1]Summary!$D$5:$D329,0)))</f>
        <v>9800.418528000002</v>
      </c>
      <c r="U228" s="1266">
        <f>+IF($Q228=1,$J228,INDEX([1]Summary!$L$5:$L$110,MATCH($C228,[1]Summary!$D$5:$D329,0)))</f>
        <v>0</v>
      </c>
      <c r="V228" s="721"/>
      <c r="W228" s="721"/>
      <c r="X228" s="721"/>
      <c r="Y228" s="721"/>
      <c r="Z228" s="721"/>
      <c r="AA228" s="721"/>
      <c r="AB228" s="721"/>
      <c r="AC228" s="721"/>
      <c r="AD228" s="721"/>
      <c r="AI228" s="105"/>
      <c r="AJ228" s="105"/>
      <c r="AN228" s="105"/>
      <c r="AO228" s="105"/>
      <c r="AP228" s="105"/>
    </row>
    <row r="229" spans="1:42" outlineLevel="1">
      <c r="A229" s="545">
        <f>MAX($A$10:A228)+1</f>
        <v>220</v>
      </c>
      <c r="B229" s="716" t="s">
        <v>2096</v>
      </c>
      <c r="C229" s="716" t="s">
        <v>2185</v>
      </c>
      <c r="D229" s="716" t="s">
        <v>2186</v>
      </c>
      <c r="E229" s="559">
        <v>394.1</v>
      </c>
      <c r="F229" s="1302" cm="1">
        <f t="array" ref="F229">+IF(SUM(VALUE(N229:Q229)*$N$7:$Q$7)=0,R229,T229)</f>
        <v>3769.64005</v>
      </c>
      <c r="G229" s="103">
        <f t="shared" si="12"/>
        <v>3769.64005</v>
      </c>
      <c r="H229" s="717">
        <v>45349</v>
      </c>
      <c r="I229" s="1303" cm="1">
        <f t="array" ref="I229">+IF(SUM(VALUE(N229:Q229)*$N$7:$Q$7)=0,S229,U229)</f>
        <v>0</v>
      </c>
      <c r="J229" s="103">
        <f t="shared" si="13"/>
        <v>0</v>
      </c>
      <c r="K229" s="103"/>
      <c r="M229"/>
      <c r="N229" s="1300">
        <v>0</v>
      </c>
      <c r="O229" s="1300">
        <v>0</v>
      </c>
      <c r="P229" s="1300">
        <v>0</v>
      </c>
      <c r="Q229" s="1300">
        <v>1</v>
      </c>
      <c r="R229" s="1266">
        <v>3769.64005</v>
      </c>
      <c r="S229" s="1266">
        <v>0</v>
      </c>
      <c r="T229" s="1266">
        <f>+IF($Q229=1,$G229,INDEX([1]Summary!$K$5:$K$110,MATCH($C229,[1]Summary!$D$5:$D330,0)))</f>
        <v>3769.64005</v>
      </c>
      <c r="U229" s="1266">
        <f>+IF($Q229=1,$J229,INDEX([1]Summary!$L$5:$L$110,MATCH($C229,[1]Summary!$D$5:$D330,0)))</f>
        <v>0</v>
      </c>
      <c r="V229" s="721"/>
      <c r="W229" s="721"/>
      <c r="X229" s="721"/>
      <c r="Y229" s="721"/>
      <c r="Z229" s="721"/>
      <c r="AA229" s="721"/>
      <c r="AB229" s="721"/>
      <c r="AC229" s="721"/>
      <c r="AD229" s="721"/>
      <c r="AI229" s="105"/>
      <c r="AJ229" s="105"/>
      <c r="AN229" s="105"/>
      <c r="AO229" s="105"/>
      <c r="AP229" s="105"/>
    </row>
    <row r="230" spans="1:42" outlineLevel="1">
      <c r="A230" s="545">
        <f>MAX($A$10:A229)+1</f>
        <v>221</v>
      </c>
      <c r="B230" s="716" t="s">
        <v>2096</v>
      </c>
      <c r="C230" s="716" t="s">
        <v>2187</v>
      </c>
      <c r="D230" s="716" t="s">
        <v>2188</v>
      </c>
      <c r="E230" s="559">
        <v>394.1</v>
      </c>
      <c r="F230" s="1302" cm="1">
        <f t="array" ref="F230">+IF(SUM(VALUE(N230:Q230)*$N$7:$Q$7)=0,R230,T230)</f>
        <v>2638.7480350000001</v>
      </c>
      <c r="G230" s="103">
        <f t="shared" si="12"/>
        <v>2638.7480350000001</v>
      </c>
      <c r="H230" s="717">
        <v>45365</v>
      </c>
      <c r="I230" s="1303" cm="1">
        <f t="array" ref="I230">+IF(SUM(VALUE(N230:Q230)*$N$7:$Q$7)=0,S230,U230)</f>
        <v>0</v>
      </c>
      <c r="J230" s="103">
        <f t="shared" si="13"/>
        <v>0</v>
      </c>
      <c r="K230" s="103"/>
      <c r="M230"/>
      <c r="N230" s="1300">
        <v>0</v>
      </c>
      <c r="O230" s="1300">
        <v>0</v>
      </c>
      <c r="P230" s="1300">
        <v>0</v>
      </c>
      <c r="Q230" s="1300">
        <v>1</v>
      </c>
      <c r="R230" s="1266">
        <v>2638.7480350000001</v>
      </c>
      <c r="S230" s="1266">
        <v>0</v>
      </c>
      <c r="T230" s="1266">
        <f>+IF($Q230=1,$G230,INDEX([1]Summary!$K$5:$K$110,MATCH($C230,[1]Summary!$D$5:$D331,0)))</f>
        <v>2638.7480350000001</v>
      </c>
      <c r="U230" s="1266">
        <f>+IF($Q230=1,$J230,INDEX([1]Summary!$L$5:$L$110,MATCH($C230,[1]Summary!$D$5:$D331,0)))</f>
        <v>0</v>
      </c>
      <c r="V230" s="721"/>
      <c r="W230" s="721"/>
      <c r="X230" s="721"/>
      <c r="Y230" s="721"/>
      <c r="Z230" s="721"/>
      <c r="AA230" s="721"/>
      <c r="AB230" s="721"/>
      <c r="AC230" s="721"/>
      <c r="AD230" s="721"/>
      <c r="AI230" s="105"/>
      <c r="AJ230" s="105"/>
      <c r="AN230" s="105"/>
      <c r="AO230" s="105"/>
      <c r="AP230" s="105"/>
    </row>
    <row r="231" spans="1:42" outlineLevel="1">
      <c r="A231" s="545">
        <f>MAX($A$10:A230)+1</f>
        <v>222</v>
      </c>
      <c r="B231" s="716" t="s">
        <v>2096</v>
      </c>
      <c r="C231" s="716" t="s">
        <v>2189</v>
      </c>
      <c r="D231" s="716" t="s">
        <v>2190</v>
      </c>
      <c r="E231" s="559">
        <v>394.1</v>
      </c>
      <c r="F231" s="1302" cm="1">
        <f t="array" ref="F231">+IF(SUM(VALUE(N231:Q231)*$N$7:$Q$7)=0,R231,T231)</f>
        <v>10554.99214</v>
      </c>
      <c r="G231" s="103">
        <f t="shared" si="12"/>
        <v>10554.99214</v>
      </c>
      <c r="H231" s="717">
        <v>45458</v>
      </c>
      <c r="I231" s="1303" cm="1">
        <f t="array" ref="I231">+IF(SUM(VALUE(N231:Q231)*$N$7:$Q$7)=0,S231,U231)</f>
        <v>0</v>
      </c>
      <c r="J231" s="103">
        <f t="shared" si="13"/>
        <v>0</v>
      </c>
      <c r="K231" s="103"/>
      <c r="M231"/>
      <c r="N231" s="1300">
        <v>0</v>
      </c>
      <c r="O231" s="1300">
        <v>0</v>
      </c>
      <c r="P231" s="1300">
        <v>0</v>
      </c>
      <c r="Q231" s="1300">
        <v>1</v>
      </c>
      <c r="R231" s="1266">
        <v>10554.99214</v>
      </c>
      <c r="S231" s="1266">
        <v>0</v>
      </c>
      <c r="T231" s="1266">
        <f>+IF($Q231=1,$G231,INDEX([1]Summary!$K$5:$K$110,MATCH($C231,[1]Summary!$D$5:$D332,0)))</f>
        <v>10554.99214</v>
      </c>
      <c r="U231" s="1266">
        <f>+IF($Q231=1,$J231,INDEX([1]Summary!$L$5:$L$110,MATCH($C231,[1]Summary!$D$5:$D332,0)))</f>
        <v>0</v>
      </c>
      <c r="V231" s="721"/>
      <c r="W231" s="721"/>
      <c r="X231" s="721"/>
      <c r="Y231" s="721"/>
      <c r="Z231" s="721"/>
      <c r="AA231" s="721"/>
      <c r="AB231" s="721"/>
      <c r="AC231" s="721"/>
      <c r="AD231" s="721"/>
      <c r="AI231" s="105"/>
      <c r="AJ231" s="105"/>
      <c r="AN231" s="105"/>
      <c r="AO231" s="105"/>
      <c r="AP231" s="105"/>
    </row>
    <row r="232" spans="1:42" outlineLevel="1">
      <c r="A232" s="545">
        <f>MAX($A$10:A231)+1</f>
        <v>223</v>
      </c>
      <c r="B232" s="716" t="s">
        <v>2096</v>
      </c>
      <c r="C232" s="716" t="s">
        <v>2191</v>
      </c>
      <c r="D232" s="716" t="s">
        <v>2192</v>
      </c>
      <c r="E232" s="559">
        <v>394.1</v>
      </c>
      <c r="F232" s="1302" cm="1">
        <f t="array" ref="F232">+IF(SUM(VALUE(N232:Q232)*$N$7:$Q$7)=0,R232,T232)</f>
        <v>0</v>
      </c>
      <c r="G232" s="103">
        <f t="shared" si="12"/>
        <v>0</v>
      </c>
      <c r="H232" s="717"/>
      <c r="I232" s="1303" cm="1">
        <f t="array" ref="I232">+IF(SUM(VALUE(N232:Q232)*$N$7:$Q$7)=0,S232,U232)</f>
        <v>19219.010000000002</v>
      </c>
      <c r="J232" s="103">
        <f t="shared" si="13"/>
        <v>19219.010000000002</v>
      </c>
      <c r="K232" s="575">
        <v>45716</v>
      </c>
      <c r="M232"/>
      <c r="N232" s="1300">
        <v>0</v>
      </c>
      <c r="O232" s="1300">
        <v>0</v>
      </c>
      <c r="P232" s="1300">
        <v>0</v>
      </c>
      <c r="Q232" s="1300">
        <v>1</v>
      </c>
      <c r="R232" s="1266">
        <v>0</v>
      </c>
      <c r="S232" s="1266">
        <v>19219.010000000002</v>
      </c>
      <c r="T232" s="1266">
        <f>+IF($Q232=1,$G232,INDEX([1]Summary!$K$5:$K$110,MATCH($C232,[1]Summary!$D$5:$D333,0)))</f>
        <v>0</v>
      </c>
      <c r="U232" s="1266">
        <f>+IF($Q232=1,$J232,INDEX([1]Summary!$L$5:$L$110,MATCH($C232,[1]Summary!$D$5:$D333,0)))</f>
        <v>19219.010000000002</v>
      </c>
      <c r="V232" s="721"/>
      <c r="W232" s="721"/>
      <c r="X232" s="721"/>
      <c r="Y232" s="721"/>
      <c r="Z232" s="721"/>
      <c r="AA232" s="721"/>
      <c r="AB232" s="721"/>
      <c r="AC232" s="721"/>
      <c r="AD232" s="721"/>
      <c r="AI232" s="105"/>
      <c r="AJ232" s="105"/>
      <c r="AN232" s="105"/>
      <c r="AO232" s="105"/>
      <c r="AP232" s="105"/>
    </row>
    <row r="233" spans="1:42" outlineLevel="1">
      <c r="A233" s="545">
        <f>MAX($A$10:A232)+1</f>
        <v>224</v>
      </c>
      <c r="B233" s="716" t="s">
        <v>2096</v>
      </c>
      <c r="C233" s="716" t="s">
        <v>2193</v>
      </c>
      <c r="D233" s="716" t="s">
        <v>2194</v>
      </c>
      <c r="E233" s="559">
        <v>394.1</v>
      </c>
      <c r="F233" s="1302" cm="1">
        <f t="array" ref="F233">+IF(SUM(VALUE(N233:Q233)*$N$7:$Q$7)=0,R233,T233)</f>
        <v>15078.5602</v>
      </c>
      <c r="G233" s="103">
        <f t="shared" si="12"/>
        <v>15078.5602</v>
      </c>
      <c r="H233" s="717">
        <v>45458</v>
      </c>
      <c r="I233" s="1303" cm="1">
        <f t="array" ref="I233">+IF(SUM(VALUE(N233:Q233)*$N$7:$Q$7)=0,S233,U233)</f>
        <v>0</v>
      </c>
      <c r="J233" s="103">
        <f t="shared" si="13"/>
        <v>0</v>
      </c>
      <c r="K233" s="103"/>
      <c r="M233"/>
      <c r="N233" s="1300">
        <v>0</v>
      </c>
      <c r="O233" s="1300">
        <v>0</v>
      </c>
      <c r="P233" s="1300">
        <v>0</v>
      </c>
      <c r="Q233" s="1300">
        <v>1</v>
      </c>
      <c r="R233" s="1266">
        <v>15078.5602</v>
      </c>
      <c r="S233" s="1266">
        <v>0</v>
      </c>
      <c r="T233" s="1266">
        <f>+IF($Q233=1,$G233,INDEX([1]Summary!$K$5:$K$110,MATCH($C233,[1]Summary!$D$5:$D334,0)))</f>
        <v>15078.5602</v>
      </c>
      <c r="U233" s="1266">
        <f>+IF($Q233=1,$J233,INDEX([1]Summary!$L$5:$L$110,MATCH($C233,[1]Summary!$D$5:$D334,0)))</f>
        <v>0</v>
      </c>
      <c r="V233" s="721"/>
      <c r="W233" s="721"/>
      <c r="X233" s="721"/>
      <c r="Y233" s="721"/>
      <c r="Z233" s="721"/>
      <c r="AA233" s="721"/>
      <c r="AB233" s="721"/>
      <c r="AC233" s="721"/>
      <c r="AD233" s="721"/>
      <c r="AI233" s="105"/>
      <c r="AJ233" s="105"/>
      <c r="AN233" s="105"/>
      <c r="AO233" s="105"/>
      <c r="AP233" s="105"/>
    </row>
    <row r="234" spans="1:42" outlineLevel="1">
      <c r="A234" s="545">
        <f>MAX($A$10:A233)+1</f>
        <v>225</v>
      </c>
      <c r="B234" s="716" t="s">
        <v>2096</v>
      </c>
      <c r="C234" s="716" t="s">
        <v>2195</v>
      </c>
      <c r="D234" s="716" t="s">
        <v>2196</v>
      </c>
      <c r="E234" s="559">
        <v>394.1</v>
      </c>
      <c r="F234" s="1302" cm="1">
        <f t="array" ref="F234">+IF(SUM(VALUE(N234:Q234)*$N$7:$Q$7)=0,R234,T234)</f>
        <v>8293.2081100000014</v>
      </c>
      <c r="G234" s="103">
        <f t="shared" si="12"/>
        <v>8293.2081100000014</v>
      </c>
      <c r="H234" s="717">
        <v>45458</v>
      </c>
      <c r="I234" s="1303" cm="1">
        <f t="array" ref="I234">+IF(SUM(VALUE(N234:Q234)*$N$7:$Q$7)=0,S234,U234)</f>
        <v>0</v>
      </c>
      <c r="J234" s="103">
        <f t="shared" si="13"/>
        <v>0</v>
      </c>
      <c r="K234" s="103"/>
      <c r="M234"/>
      <c r="N234" s="1300">
        <v>0</v>
      </c>
      <c r="O234" s="1300">
        <v>0</v>
      </c>
      <c r="P234" s="1300">
        <v>0</v>
      </c>
      <c r="Q234" s="1300">
        <v>1</v>
      </c>
      <c r="R234" s="1266">
        <v>8293.2081100000014</v>
      </c>
      <c r="S234" s="1266">
        <v>0</v>
      </c>
      <c r="T234" s="1266">
        <f>+IF($Q234=1,$G234,INDEX([1]Summary!$K$5:$K$110,MATCH($C234,[1]Summary!$D$5:$D335,0)))</f>
        <v>8293.2081100000014</v>
      </c>
      <c r="U234" s="1266">
        <f>+IF($Q234=1,$J234,INDEX([1]Summary!$L$5:$L$110,MATCH($C234,[1]Summary!$D$5:$D335,0)))</f>
        <v>0</v>
      </c>
      <c r="V234" s="721"/>
      <c r="W234" s="721"/>
      <c r="X234" s="721"/>
      <c r="Y234" s="721"/>
      <c r="Z234" s="721"/>
      <c r="AA234" s="721"/>
      <c r="AB234" s="721"/>
      <c r="AC234" s="721"/>
      <c r="AD234" s="721"/>
      <c r="AI234" s="105"/>
      <c r="AJ234" s="105"/>
      <c r="AN234" s="105"/>
      <c r="AO234" s="105"/>
      <c r="AP234" s="105"/>
    </row>
    <row r="235" spans="1:42" outlineLevel="1">
      <c r="A235" s="545">
        <f>MAX($A$10:A234)+1</f>
        <v>226</v>
      </c>
      <c r="B235" s="716" t="s">
        <v>2096</v>
      </c>
      <c r="C235" s="716" t="s">
        <v>2197</v>
      </c>
      <c r="D235" s="716" t="s">
        <v>2198</v>
      </c>
      <c r="E235" s="559">
        <v>394.1</v>
      </c>
      <c r="F235" s="1302" cm="1">
        <f t="array" ref="F235">+IF(SUM(VALUE(N235:Q235)*$N$7:$Q$7)=0,R235,T235)</f>
        <v>0</v>
      </c>
      <c r="G235" s="103">
        <f t="shared" si="12"/>
        <v>0</v>
      </c>
      <c r="H235" s="717"/>
      <c r="I235" s="1303" cm="1">
        <f t="array" ref="I235">+IF(SUM(VALUE(N235:Q235)*$N$7:$Q$7)=0,S235,U235)</f>
        <v>6068.79</v>
      </c>
      <c r="J235" s="103">
        <f t="shared" si="13"/>
        <v>6068.79</v>
      </c>
      <c r="K235" s="575">
        <v>45836</v>
      </c>
      <c r="M235"/>
      <c r="N235" s="1300">
        <v>0</v>
      </c>
      <c r="O235" s="1300">
        <v>0</v>
      </c>
      <c r="P235" s="1300">
        <v>0</v>
      </c>
      <c r="Q235" s="1300">
        <v>1</v>
      </c>
      <c r="R235" s="1266">
        <v>0</v>
      </c>
      <c r="S235" s="1266">
        <v>6068.79</v>
      </c>
      <c r="T235" s="1266">
        <f>+IF($Q235=1,$G235,INDEX([1]Summary!$K$5:$K$110,MATCH($C235,[1]Summary!$D$5:$D336,0)))</f>
        <v>0</v>
      </c>
      <c r="U235" s="1266">
        <f>+IF($Q235=1,$J235,INDEX([1]Summary!$L$5:$L$110,MATCH($C235,[1]Summary!$D$5:$D336,0)))</f>
        <v>6068.79</v>
      </c>
      <c r="V235" s="721"/>
      <c r="W235" s="721"/>
      <c r="X235" s="721"/>
      <c r="Y235" s="721"/>
      <c r="Z235" s="721"/>
      <c r="AA235" s="721"/>
      <c r="AB235" s="721"/>
      <c r="AC235" s="721"/>
      <c r="AD235" s="721"/>
      <c r="AI235" s="105"/>
      <c r="AJ235" s="105"/>
      <c r="AN235" s="105"/>
      <c r="AO235" s="105"/>
      <c r="AP235" s="105"/>
    </row>
    <row r="236" spans="1:42" outlineLevel="1">
      <c r="A236" s="545">
        <f>MAX($A$10:A235)+1</f>
        <v>227</v>
      </c>
      <c r="B236" s="716" t="s">
        <v>2096</v>
      </c>
      <c r="C236" s="716" t="s">
        <v>2199</v>
      </c>
      <c r="D236" s="716" t="s">
        <v>2200</v>
      </c>
      <c r="E236" s="559">
        <v>394.1</v>
      </c>
      <c r="F236" s="1302" cm="1">
        <f t="array" ref="F236">+IF(SUM(VALUE(N236:Q236)*$N$7:$Q$7)=0,R236,T236)</f>
        <v>6527.95</v>
      </c>
      <c r="G236" s="103">
        <f t="shared" si="12"/>
        <v>6527.95</v>
      </c>
      <c r="H236" s="717">
        <v>45440</v>
      </c>
      <c r="I236" s="1303" cm="1">
        <f t="array" ref="I236">+IF(SUM(VALUE(N236:Q236)*$N$7:$Q$7)=0,S236,U236)</f>
        <v>0</v>
      </c>
      <c r="J236" s="103">
        <f t="shared" si="13"/>
        <v>0</v>
      </c>
      <c r="K236" s="103"/>
      <c r="M236"/>
      <c r="N236" s="1300">
        <v>0</v>
      </c>
      <c r="O236" s="1300">
        <v>0</v>
      </c>
      <c r="P236" s="1300">
        <v>0</v>
      </c>
      <c r="Q236" s="1300">
        <v>1</v>
      </c>
      <c r="R236" s="1266">
        <v>6527.95</v>
      </c>
      <c r="S236" s="1266">
        <v>0</v>
      </c>
      <c r="T236" s="1266">
        <f>+IF($Q236=1,$G236,INDEX([1]Summary!$K$5:$K$110,MATCH($C236,[1]Summary!$D$5:$D337,0)))</f>
        <v>6527.95</v>
      </c>
      <c r="U236" s="1266">
        <f>+IF($Q236=1,$J236,INDEX([1]Summary!$L$5:$L$110,MATCH($C236,[1]Summary!$D$5:$D337,0)))</f>
        <v>0</v>
      </c>
      <c r="V236" s="721"/>
      <c r="W236" s="721"/>
      <c r="X236" s="721"/>
      <c r="Y236" s="721"/>
      <c r="Z236" s="721"/>
      <c r="AA236" s="721"/>
      <c r="AB236" s="721"/>
      <c r="AC236" s="721"/>
      <c r="AD236" s="721"/>
      <c r="AI236" s="105"/>
      <c r="AJ236" s="105"/>
      <c r="AN236" s="105"/>
      <c r="AO236" s="105"/>
      <c r="AP236" s="105"/>
    </row>
    <row r="237" spans="1:42" outlineLevel="1">
      <c r="A237" s="545">
        <f>MAX($A$10:A236)+1</f>
        <v>228</v>
      </c>
      <c r="B237" s="716" t="s">
        <v>2096</v>
      </c>
      <c r="C237" s="716" t="s">
        <v>2201</v>
      </c>
      <c r="D237" s="716" t="s">
        <v>2202</v>
      </c>
      <c r="E237" s="559">
        <v>394.1</v>
      </c>
      <c r="F237" s="1302" cm="1">
        <f t="array" ref="F237">+IF(SUM(VALUE(N237:Q237)*$N$7:$Q$7)=0,R237,T237)</f>
        <v>4017.2000000000003</v>
      </c>
      <c r="G237" s="103">
        <f t="shared" si="12"/>
        <v>4017.2000000000003</v>
      </c>
      <c r="H237" s="717">
        <v>45443</v>
      </c>
      <c r="I237" s="1303" cm="1">
        <f t="array" ref="I237">+IF(SUM(VALUE(N237:Q237)*$N$7:$Q$7)=0,S237,U237)</f>
        <v>0</v>
      </c>
      <c r="J237" s="103">
        <f t="shared" si="13"/>
        <v>0</v>
      </c>
      <c r="K237" s="103"/>
      <c r="M237"/>
      <c r="N237" s="1300">
        <v>0</v>
      </c>
      <c r="O237" s="1300">
        <v>0</v>
      </c>
      <c r="P237" s="1300">
        <v>0</v>
      </c>
      <c r="Q237" s="1300">
        <v>1</v>
      </c>
      <c r="R237" s="1266">
        <v>4017.2000000000003</v>
      </c>
      <c r="S237" s="1266">
        <v>0</v>
      </c>
      <c r="T237" s="1266">
        <f>+IF($Q237=1,$G237,INDEX([1]Summary!$K$5:$K$110,MATCH($C237,[1]Summary!$D$5:$D338,0)))</f>
        <v>4017.2000000000003</v>
      </c>
      <c r="U237" s="1266">
        <f>+IF($Q237=1,$J237,INDEX([1]Summary!$L$5:$L$110,MATCH($C237,[1]Summary!$D$5:$D338,0)))</f>
        <v>0</v>
      </c>
      <c r="V237" s="721"/>
      <c r="W237" s="721"/>
      <c r="X237" s="721"/>
      <c r="Y237" s="721"/>
      <c r="Z237" s="721"/>
      <c r="AA237" s="721"/>
      <c r="AB237" s="721"/>
      <c r="AC237" s="721"/>
      <c r="AD237" s="721"/>
      <c r="AI237" s="105"/>
      <c r="AJ237" s="105"/>
      <c r="AN237" s="105"/>
      <c r="AO237" s="105"/>
      <c r="AP237" s="105"/>
    </row>
    <row r="238" spans="1:42" outlineLevel="1">
      <c r="A238" s="545">
        <f>MAX($A$10:A237)+1</f>
        <v>229</v>
      </c>
      <c r="B238" s="716" t="s">
        <v>2096</v>
      </c>
      <c r="C238" s="716" t="s">
        <v>2203</v>
      </c>
      <c r="D238" s="716" t="s">
        <v>2204</v>
      </c>
      <c r="E238" s="559">
        <v>394.1</v>
      </c>
      <c r="F238" s="1302" cm="1">
        <f t="array" ref="F238">+IF(SUM(VALUE(N238:Q238)*$N$7:$Q$7)=0,R238,T238)</f>
        <v>4017.2000000000003</v>
      </c>
      <c r="G238" s="103">
        <f t="shared" si="12"/>
        <v>4017.2000000000003</v>
      </c>
      <c r="H238" s="717">
        <v>45443</v>
      </c>
      <c r="I238" s="1303" cm="1">
        <f t="array" ref="I238">+IF(SUM(VALUE(N238:Q238)*$N$7:$Q$7)=0,S238,U238)</f>
        <v>0</v>
      </c>
      <c r="J238" s="103">
        <f t="shared" si="13"/>
        <v>0</v>
      </c>
      <c r="K238" s="103"/>
      <c r="M238"/>
      <c r="N238" s="1300">
        <v>0</v>
      </c>
      <c r="O238" s="1300">
        <v>0</v>
      </c>
      <c r="P238" s="1300">
        <v>0</v>
      </c>
      <c r="Q238" s="1300">
        <v>1</v>
      </c>
      <c r="R238" s="1266">
        <v>4017.2000000000003</v>
      </c>
      <c r="S238" s="1266">
        <v>0</v>
      </c>
      <c r="T238" s="1266">
        <f>+IF($Q238=1,$G238,INDEX([1]Summary!$K$5:$K$110,MATCH($C238,[1]Summary!$D$5:$D339,0)))</f>
        <v>4017.2000000000003</v>
      </c>
      <c r="U238" s="1266">
        <f>+IF($Q238=1,$J238,INDEX([1]Summary!$L$5:$L$110,MATCH($C238,[1]Summary!$D$5:$D339,0)))</f>
        <v>0</v>
      </c>
      <c r="V238" s="721"/>
      <c r="W238" s="721"/>
      <c r="X238" s="721"/>
      <c r="Y238" s="721"/>
      <c r="Z238" s="721"/>
      <c r="AA238" s="721"/>
      <c r="AB238" s="721"/>
      <c r="AC238" s="721"/>
      <c r="AD238" s="721"/>
      <c r="AI238" s="105"/>
      <c r="AJ238" s="105"/>
      <c r="AN238" s="105"/>
      <c r="AO238" s="105"/>
      <c r="AP238" s="105"/>
    </row>
    <row r="239" spans="1:42" outlineLevel="1">
      <c r="A239" s="545">
        <f>MAX($A$10:A238)+1</f>
        <v>230</v>
      </c>
      <c r="B239" s="716" t="s">
        <v>2096</v>
      </c>
      <c r="C239" s="716" t="s">
        <v>2205</v>
      </c>
      <c r="D239" s="716" t="s">
        <v>2206</v>
      </c>
      <c r="E239" s="559">
        <v>394.1</v>
      </c>
      <c r="F239" s="1302" cm="1">
        <f t="array" ref="F239">+IF(SUM(VALUE(N239:Q239)*$N$7:$Q$7)=0,R239,T239)</f>
        <v>4441.3</v>
      </c>
      <c r="G239" s="103">
        <f t="shared" si="12"/>
        <v>4441.3</v>
      </c>
      <c r="H239" s="717">
        <v>45473</v>
      </c>
      <c r="I239" s="1303" cm="1">
        <f t="array" ref="I239">+IF(SUM(VALUE(N239:Q239)*$N$7:$Q$7)=0,S239,U239)</f>
        <v>0</v>
      </c>
      <c r="J239" s="103"/>
      <c r="K239" s="103"/>
      <c r="M239"/>
      <c r="N239" s="1300">
        <v>0</v>
      </c>
      <c r="O239" s="1300">
        <v>0</v>
      </c>
      <c r="P239" s="1300">
        <v>0</v>
      </c>
      <c r="Q239" s="1300">
        <v>1</v>
      </c>
      <c r="R239" s="1266">
        <v>4441.3</v>
      </c>
      <c r="S239" s="1266">
        <v>0</v>
      </c>
      <c r="T239" s="1266">
        <f>+IF($Q239=1,$G239,INDEX([1]Summary!$K$5:$K$110,MATCH($C239,[1]Summary!$D$5:$D340,0)))</f>
        <v>4441.3</v>
      </c>
      <c r="U239" s="1266">
        <f>+IF($Q239=1,$J239,INDEX([1]Summary!$L$5:$L$110,MATCH($C239,[1]Summary!$D$5:$D340,0)))</f>
        <v>0</v>
      </c>
      <c r="V239" s="721"/>
      <c r="W239" s="721"/>
      <c r="X239" s="721"/>
      <c r="Y239" s="721"/>
      <c r="Z239" s="721"/>
      <c r="AA239" s="721"/>
      <c r="AB239" s="721"/>
      <c r="AC239" s="721"/>
      <c r="AD239" s="721"/>
      <c r="AI239" s="105"/>
      <c r="AJ239" s="105"/>
      <c r="AN239" s="105"/>
      <c r="AO239" s="105"/>
      <c r="AP239" s="105"/>
    </row>
    <row r="240" spans="1:42" outlineLevel="1">
      <c r="A240" s="545">
        <f>MAX($A$10:A239)+1</f>
        <v>231</v>
      </c>
      <c r="B240" s="716" t="s">
        <v>2096</v>
      </c>
      <c r="C240" s="716" t="s">
        <v>2207</v>
      </c>
      <c r="D240" s="716" t="s">
        <v>2208</v>
      </c>
      <c r="E240" s="559">
        <v>394.1</v>
      </c>
      <c r="F240" s="1302" cm="1">
        <f t="array" ref="F240">+IF(SUM(VALUE(N240:Q240)*$N$7:$Q$7)=0,R240,T240)</f>
        <v>904713.61200000008</v>
      </c>
      <c r="G240" s="103">
        <f t="shared" si="12"/>
        <v>904713.61200000008</v>
      </c>
      <c r="H240" s="717">
        <v>45412</v>
      </c>
      <c r="I240" s="1303" cm="1">
        <f t="array" ref="I240">+IF(SUM(VALUE(N240:Q240)*$N$7:$Q$7)=0,S240,U240)</f>
        <v>0</v>
      </c>
      <c r="J240" s="103"/>
      <c r="K240" s="103"/>
      <c r="L240" s="47">
        <v>20000</v>
      </c>
      <c r="M240"/>
      <c r="N240" s="1300">
        <v>0</v>
      </c>
      <c r="O240" s="1300">
        <v>0</v>
      </c>
      <c r="P240" s="1300">
        <v>0</v>
      </c>
      <c r="Q240" s="1300">
        <v>1</v>
      </c>
      <c r="R240" s="1266">
        <v>904713.61200000008</v>
      </c>
      <c r="S240" s="1266">
        <v>0</v>
      </c>
      <c r="T240" s="1266">
        <f>+IF($Q240=1,$G240,INDEX([1]Summary!$K$5:$K$110,MATCH($C240,[1]Summary!$D$5:$D341,0)))</f>
        <v>904713.61200000008</v>
      </c>
      <c r="U240" s="1266">
        <f>+IF($Q240=1,$J240,INDEX([1]Summary!$L$5:$L$110,MATCH($C240,[1]Summary!$D$5:$D341,0)))</f>
        <v>0</v>
      </c>
      <c r="V240" s="721"/>
      <c r="W240" s="721"/>
      <c r="X240" s="721"/>
      <c r="Y240" s="721"/>
      <c r="Z240" s="721"/>
      <c r="AA240" s="721"/>
      <c r="AB240" s="721"/>
      <c r="AC240" s="721"/>
      <c r="AD240" s="721"/>
      <c r="AI240" s="105"/>
      <c r="AJ240" s="105"/>
      <c r="AN240" s="105"/>
      <c r="AO240" s="105"/>
      <c r="AP240" s="105"/>
    </row>
    <row r="241" spans="1:42" outlineLevel="1">
      <c r="A241" s="545">
        <f>MAX($A$10:A240)+1</f>
        <v>232</v>
      </c>
      <c r="B241" s="716" t="s">
        <v>2096</v>
      </c>
      <c r="C241" s="716" t="s">
        <v>2209</v>
      </c>
      <c r="D241" s="716" t="s">
        <v>2210</v>
      </c>
      <c r="E241" s="559">
        <v>394.1</v>
      </c>
      <c r="F241" s="1302" cm="1">
        <f t="array" ref="F241">+IF(SUM(VALUE(N241:Q241)*$N$7:$Q$7)=0,R241,T241)</f>
        <v>7906.85</v>
      </c>
      <c r="G241" s="103">
        <f t="shared" si="12"/>
        <v>7906.85</v>
      </c>
      <c r="H241" s="717">
        <v>45347</v>
      </c>
      <c r="I241" s="1303" cm="1">
        <f t="array" ref="I241">+IF(SUM(VALUE(N241:Q241)*$N$7:$Q$7)=0,S241,U241)</f>
        <v>0</v>
      </c>
      <c r="J241" s="103"/>
      <c r="K241" s="103"/>
      <c r="M241"/>
      <c r="N241" s="1300">
        <v>0</v>
      </c>
      <c r="O241" s="1300">
        <v>0</v>
      </c>
      <c r="P241" s="1300">
        <v>0</v>
      </c>
      <c r="Q241" s="1300">
        <v>1</v>
      </c>
      <c r="R241" s="1266">
        <v>7906.85</v>
      </c>
      <c r="S241" s="1266">
        <v>0</v>
      </c>
      <c r="T241" s="1266">
        <f>+IF($Q241=1,$G241,INDEX([1]Summary!$K$5:$K$110,MATCH($C241,[1]Summary!$D$5:$D342,0)))</f>
        <v>7906.85</v>
      </c>
      <c r="U241" s="1266">
        <f>+IF($Q241=1,$J241,INDEX([1]Summary!$L$5:$L$110,MATCH($C241,[1]Summary!$D$5:$D342,0)))</f>
        <v>0</v>
      </c>
      <c r="V241" s="721"/>
      <c r="W241" s="721"/>
      <c r="X241" s="721"/>
      <c r="Y241" s="721"/>
      <c r="Z241" s="721"/>
      <c r="AA241" s="721"/>
      <c r="AB241" s="721"/>
      <c r="AC241" s="721"/>
      <c r="AD241" s="721"/>
      <c r="AI241" s="105"/>
      <c r="AJ241" s="105"/>
      <c r="AN241" s="105"/>
      <c r="AO241" s="105"/>
      <c r="AP241" s="105"/>
    </row>
    <row r="242" spans="1:42" outlineLevel="1">
      <c r="A242" s="545">
        <f>MAX($A$10:A241)+1</f>
        <v>233</v>
      </c>
      <c r="B242" s="716" t="s">
        <v>2096</v>
      </c>
      <c r="C242" s="716" t="s">
        <v>2211</v>
      </c>
      <c r="D242" s="716" t="s">
        <v>2208</v>
      </c>
      <c r="E242" s="559">
        <v>394.1</v>
      </c>
      <c r="F242" s="1302" cm="1">
        <f t="array" ref="F242">+IF(SUM(VALUE(N242:Q242)*$N$7:$Q$7)=0,R242,T242)</f>
        <v>0</v>
      </c>
      <c r="G242" s="103">
        <f t="shared" si="12"/>
        <v>0</v>
      </c>
      <c r="H242" s="717"/>
      <c r="I242" s="1303" cm="1">
        <f t="array" ref="I242">+IF(SUM(VALUE(N242:Q242)*$N$7:$Q$7)=0,S242,U242)</f>
        <v>0</v>
      </c>
      <c r="J242" s="103">
        <f t="shared" ref="J242:J259" si="14">+I242</f>
        <v>0</v>
      </c>
      <c r="K242" s="575">
        <v>45777</v>
      </c>
      <c r="L242" s="47">
        <v>260000</v>
      </c>
      <c r="M242"/>
      <c r="N242" s="1300">
        <v>0</v>
      </c>
      <c r="O242" s="1300">
        <v>1</v>
      </c>
      <c r="P242" s="1300">
        <v>0</v>
      </c>
      <c r="Q242" s="1300">
        <v>0</v>
      </c>
      <c r="R242" s="1266">
        <v>0</v>
      </c>
      <c r="S242" s="1266">
        <v>1813571.088</v>
      </c>
      <c r="T242" s="1266">
        <f>+IF($Q242=1,$G242,INDEX([1]Summary!$K$5:$K$110,MATCH($C242,[1]Summary!$D$5:$D343,0)))</f>
        <v>0</v>
      </c>
      <c r="U242" s="1266">
        <f>+IF($Q242=1,$J242,INDEX([1]Summary!$L$5:$L$110,MATCH($C242,[1]Summary!$D$5:$D343,0)))</f>
        <v>0</v>
      </c>
      <c r="V242" s="721"/>
      <c r="W242" s="721"/>
      <c r="X242" s="721"/>
      <c r="Y242" s="721"/>
      <c r="Z242" s="721"/>
      <c r="AA242" s="721"/>
      <c r="AB242" s="721"/>
      <c r="AC242" s="721"/>
      <c r="AD242" s="721"/>
      <c r="AI242" s="105"/>
      <c r="AJ242" s="105"/>
      <c r="AN242" s="105"/>
      <c r="AO242" s="105"/>
      <c r="AP242" s="105"/>
    </row>
    <row r="243" spans="1:42" outlineLevel="1">
      <c r="A243" s="545">
        <f>MAX($A$10:A242)+1</f>
        <v>234</v>
      </c>
      <c r="B243" s="716" t="s">
        <v>2096</v>
      </c>
      <c r="C243" s="716" t="s">
        <v>2212</v>
      </c>
      <c r="D243" s="716" t="s">
        <v>2213</v>
      </c>
      <c r="E243" s="559">
        <v>394.1</v>
      </c>
      <c r="F243" s="1302" cm="1">
        <f t="array" ref="F243">+IF(SUM(VALUE(N243:Q243)*$N$7:$Q$7)=0,R243,T243)</f>
        <v>5021.5</v>
      </c>
      <c r="G243" s="103">
        <f t="shared" si="12"/>
        <v>5021.5</v>
      </c>
      <c r="H243" s="717">
        <v>45382</v>
      </c>
      <c r="I243" s="1303" cm="1">
        <f t="array" ref="I243">+IF(SUM(VALUE(N243:Q243)*$N$7:$Q$7)=0,S243,U243)</f>
        <v>0</v>
      </c>
      <c r="J243" s="103">
        <f t="shared" si="14"/>
        <v>0</v>
      </c>
      <c r="K243" s="103"/>
      <c r="M243"/>
      <c r="N243" s="1300">
        <v>0</v>
      </c>
      <c r="O243" s="1300">
        <v>0</v>
      </c>
      <c r="P243" s="1300">
        <v>0</v>
      </c>
      <c r="Q243" s="1300">
        <v>1</v>
      </c>
      <c r="R243" s="1266">
        <v>5021.5</v>
      </c>
      <c r="S243" s="1266">
        <v>0</v>
      </c>
      <c r="T243" s="1266">
        <f>+IF($Q243=1,$G243,INDEX([1]Summary!$K$5:$K$110,MATCH($C243,[1]Summary!$D$5:$D344,0)))</f>
        <v>5021.5</v>
      </c>
      <c r="U243" s="1266">
        <f>+IF($Q243=1,$J243,INDEX([1]Summary!$L$5:$L$110,MATCH($C243,[1]Summary!$D$5:$D344,0)))</f>
        <v>0</v>
      </c>
      <c r="V243" s="721"/>
      <c r="W243" s="721"/>
      <c r="X243" s="721"/>
      <c r="Y243" s="721"/>
      <c r="Z243" s="721"/>
      <c r="AA243" s="721"/>
      <c r="AB243" s="721"/>
      <c r="AC243" s="721"/>
      <c r="AD243" s="721"/>
      <c r="AI243" s="105"/>
      <c r="AJ243" s="105"/>
      <c r="AN243" s="105"/>
      <c r="AO243" s="105"/>
      <c r="AP243" s="105"/>
    </row>
    <row r="244" spans="1:42" outlineLevel="1">
      <c r="A244" s="545">
        <f>MAX($A$10:A243)+1</f>
        <v>235</v>
      </c>
      <c r="B244" s="716" t="s">
        <v>2096</v>
      </c>
      <c r="C244" s="716" t="s">
        <v>2214</v>
      </c>
      <c r="D244" s="716" t="s">
        <v>2150</v>
      </c>
      <c r="E244" s="559">
        <v>394.1</v>
      </c>
      <c r="F244" s="1302" cm="1">
        <f t="array" ref="F244">+IF(SUM(VALUE(N244:Q244)*$N$7:$Q$7)=0,R244,T244)</f>
        <v>42682.75</v>
      </c>
      <c r="G244" s="103">
        <f t="shared" si="12"/>
        <v>42682.75</v>
      </c>
      <c r="H244" s="717">
        <v>45444</v>
      </c>
      <c r="I244" s="1303" cm="1">
        <f t="array" ref="I244">+IF(SUM(VALUE(N244:Q244)*$N$7:$Q$7)=0,S244,U244)</f>
        <v>0</v>
      </c>
      <c r="J244" s="103">
        <f t="shared" si="14"/>
        <v>0</v>
      </c>
      <c r="K244" s="103"/>
      <c r="M244"/>
      <c r="N244" s="1300">
        <v>0</v>
      </c>
      <c r="O244" s="1300">
        <v>0</v>
      </c>
      <c r="P244" s="1300">
        <v>0</v>
      </c>
      <c r="Q244" s="1300">
        <v>1</v>
      </c>
      <c r="R244" s="1266">
        <v>42682.75</v>
      </c>
      <c r="S244" s="1266">
        <v>0</v>
      </c>
      <c r="T244" s="1266">
        <f>+IF($Q244=1,$G244,INDEX([1]Summary!$K$5:$K$110,MATCH($C244,[1]Summary!$D$5:$D345,0)))</f>
        <v>42682.75</v>
      </c>
      <c r="U244" s="1266">
        <f>+IF($Q244=1,$J244,INDEX([1]Summary!$L$5:$L$110,MATCH($C244,[1]Summary!$D$5:$D345,0)))</f>
        <v>0</v>
      </c>
      <c r="V244" s="721"/>
      <c r="W244" s="721"/>
      <c r="X244" s="721"/>
      <c r="Y244" s="721"/>
      <c r="Z244" s="721"/>
      <c r="AA244" s="721"/>
      <c r="AB244" s="721"/>
      <c r="AC244" s="721"/>
      <c r="AD244" s="721"/>
      <c r="AI244" s="105"/>
      <c r="AJ244" s="105"/>
      <c r="AN244" s="105"/>
      <c r="AO244" s="105"/>
      <c r="AP244" s="105"/>
    </row>
    <row r="245" spans="1:42" outlineLevel="1">
      <c r="A245" s="545">
        <f>MAX($A$10:A244)+1</f>
        <v>236</v>
      </c>
      <c r="B245" s="716" t="s">
        <v>2096</v>
      </c>
      <c r="C245" s="716" t="s">
        <v>2215</v>
      </c>
      <c r="D245" s="716" t="s">
        <v>2150</v>
      </c>
      <c r="E245" s="559">
        <v>394.1</v>
      </c>
      <c r="F245" s="1302" cm="1">
        <f t="array" ref="F245">+IF(SUM(VALUE(N245:Q245)*$N$7:$Q$7)=0,R245,T245)</f>
        <v>0</v>
      </c>
      <c r="G245" s="103">
        <f t="shared" si="12"/>
        <v>0</v>
      </c>
      <c r="H245" s="717"/>
      <c r="I245" s="1303" cm="1">
        <f t="array" ref="I245">+IF(SUM(VALUE(N245:Q245)*$N$7:$Q$7)=0,S245,U245)</f>
        <v>42780.5</v>
      </c>
      <c r="J245" s="103">
        <f t="shared" si="14"/>
        <v>42780.5</v>
      </c>
      <c r="K245" s="575">
        <v>45809</v>
      </c>
      <c r="M245"/>
      <c r="N245" s="1300">
        <v>0</v>
      </c>
      <c r="O245" s="1300">
        <v>0</v>
      </c>
      <c r="P245" s="1300">
        <v>0</v>
      </c>
      <c r="Q245" s="1300">
        <v>1</v>
      </c>
      <c r="R245" s="1266">
        <v>0</v>
      </c>
      <c r="S245" s="1266">
        <v>42780.5</v>
      </c>
      <c r="T245" s="1266">
        <f>+IF($Q245=1,$G245,INDEX([1]Summary!$K$5:$K$110,MATCH($C245,[1]Summary!$D$5:$D346,0)))</f>
        <v>0</v>
      </c>
      <c r="U245" s="1266">
        <f>+IF($Q245=1,$J245,INDEX([1]Summary!$L$5:$L$110,MATCH($C245,[1]Summary!$D$5:$D346,0)))</f>
        <v>42780.5</v>
      </c>
      <c r="V245" s="721"/>
      <c r="W245" s="721"/>
      <c r="X245" s="721"/>
      <c r="Y245" s="721"/>
      <c r="Z245" s="721"/>
      <c r="AA245" s="721"/>
      <c r="AB245" s="721"/>
      <c r="AC245" s="721"/>
      <c r="AD245" s="721"/>
      <c r="AI245" s="105"/>
      <c r="AJ245" s="105"/>
      <c r="AN245" s="105"/>
      <c r="AO245" s="105"/>
      <c r="AP245" s="105"/>
    </row>
    <row r="246" spans="1:42" outlineLevel="1">
      <c r="A246" s="545">
        <f>MAX($A$10:A245)+1</f>
        <v>237</v>
      </c>
      <c r="B246" s="716" t="s">
        <v>2096</v>
      </c>
      <c r="C246" s="105" t="s">
        <v>2216</v>
      </c>
      <c r="D246" s="105" t="s">
        <v>2217</v>
      </c>
      <c r="E246" s="559">
        <v>390.1</v>
      </c>
      <c r="F246" s="1302" cm="1">
        <f t="array" ref="F246">+IF(SUM(VALUE(N246:Q246)*$N$7:$Q$7)=0,R246,T246)</f>
        <v>55236.5</v>
      </c>
      <c r="G246" s="103">
        <f t="shared" si="12"/>
        <v>55236.5</v>
      </c>
      <c r="I246" s="1303" cm="1">
        <f t="array" ref="I246">+IF(SUM(VALUE(N246:Q246)*$N$7:$Q$7)=0,S246,U246)</f>
        <v>0</v>
      </c>
      <c r="J246" s="103">
        <f t="shared" si="14"/>
        <v>0</v>
      </c>
      <c r="K246" s="717"/>
      <c r="M246"/>
      <c r="N246" s="1300">
        <v>0</v>
      </c>
      <c r="O246" s="1300">
        <v>0</v>
      </c>
      <c r="P246" s="1300">
        <v>0</v>
      </c>
      <c r="Q246" s="1300">
        <v>1</v>
      </c>
      <c r="R246" s="1266">
        <v>55236.5</v>
      </c>
      <c r="S246" s="1266">
        <v>0</v>
      </c>
      <c r="T246" s="1266">
        <f>+IF($Q246=1,$G246,INDEX([1]Summary!$K$5:$K$110,MATCH($C246,[1]Summary!$D$5:$D347,0)))</f>
        <v>55236.5</v>
      </c>
      <c r="U246" s="1266">
        <f>+IF($Q246=1,$J246,INDEX([1]Summary!$L$5:$L$110,MATCH($C246,[1]Summary!$D$5:$D347,0)))</f>
        <v>0</v>
      </c>
      <c r="V246" s="721"/>
      <c r="W246" s="721"/>
      <c r="X246" s="721"/>
      <c r="Y246" s="721"/>
      <c r="Z246" s="721"/>
      <c r="AA246" s="721"/>
      <c r="AB246" s="721"/>
      <c r="AC246" s="721"/>
      <c r="AD246" s="721"/>
      <c r="AI246" s="105"/>
      <c r="AJ246" s="105"/>
      <c r="AN246" s="105"/>
      <c r="AO246" s="105"/>
      <c r="AP246" s="105"/>
    </row>
    <row r="247" spans="1:42" outlineLevel="1">
      <c r="A247" s="545">
        <f>MAX($A$10:A246)+1</f>
        <v>238</v>
      </c>
      <c r="B247" s="716" t="s">
        <v>2096</v>
      </c>
      <c r="C247" s="716" t="s">
        <v>2218</v>
      </c>
      <c r="D247" s="716" t="s">
        <v>2219</v>
      </c>
      <c r="E247" s="559">
        <v>390.1</v>
      </c>
      <c r="F247" s="1302" cm="1">
        <f t="array" ref="F247">+IF(SUM(VALUE(N247:Q247)*$N$7:$Q$7)=0,R247,T247)</f>
        <v>155213.86869500001</v>
      </c>
      <c r="G247" s="103">
        <f t="shared" si="12"/>
        <v>155213.86869500001</v>
      </c>
      <c r="H247" s="717">
        <v>45596</v>
      </c>
      <c r="I247" s="1303" cm="1">
        <f t="array" ref="I247">+IF(SUM(VALUE(N247:Q247)*$N$7:$Q$7)=0,S247,U247)</f>
        <v>0</v>
      </c>
      <c r="J247" s="103">
        <f t="shared" si="14"/>
        <v>0</v>
      </c>
      <c r="K247" s="103"/>
      <c r="M247"/>
      <c r="N247" s="1300">
        <v>0</v>
      </c>
      <c r="O247" s="1300">
        <v>0</v>
      </c>
      <c r="P247" s="1300">
        <v>0</v>
      </c>
      <c r="Q247" s="1300">
        <v>1</v>
      </c>
      <c r="R247" s="1266">
        <v>155213.86869500001</v>
      </c>
      <c r="S247" s="1266">
        <v>0</v>
      </c>
      <c r="T247" s="1266">
        <f>+IF($Q247=1,$G247,INDEX([1]Summary!$K$5:$K$110,MATCH($C247,[1]Summary!$D$5:$D348,0)))</f>
        <v>155213.86869500001</v>
      </c>
      <c r="U247" s="1266">
        <f>+IF($Q247=1,$J247,INDEX([1]Summary!$L$5:$L$110,MATCH($C247,[1]Summary!$D$5:$D348,0)))</f>
        <v>0</v>
      </c>
      <c r="V247" s="721"/>
      <c r="W247" s="721"/>
      <c r="X247" s="721"/>
      <c r="Y247" s="721"/>
      <c r="Z247" s="721"/>
      <c r="AA247" s="721"/>
      <c r="AB247" s="721"/>
      <c r="AC247" s="721"/>
      <c r="AD247" s="721"/>
      <c r="AI247" s="105"/>
      <c r="AJ247" s="105"/>
      <c r="AN247" s="105"/>
      <c r="AO247" s="105"/>
      <c r="AP247" s="105"/>
    </row>
    <row r="248" spans="1:42" outlineLevel="1">
      <c r="A248" s="545">
        <f>MAX($A$10:A247)+1</f>
        <v>239</v>
      </c>
      <c r="B248" s="716" t="s">
        <v>2096</v>
      </c>
      <c r="C248" s="716" t="s">
        <v>2220</v>
      </c>
      <c r="D248" s="716" t="s">
        <v>2221</v>
      </c>
      <c r="E248" s="559">
        <v>390.1</v>
      </c>
      <c r="F248" s="1302" cm="1">
        <f t="array" ref="F248">+IF(SUM(VALUE(N248:Q248)*$N$7:$Q$7)=0,R248,T248)</f>
        <v>9540.85</v>
      </c>
      <c r="G248" s="103">
        <f t="shared" si="12"/>
        <v>9540.85</v>
      </c>
      <c r="H248" s="717">
        <v>45352</v>
      </c>
      <c r="I248" s="1303" cm="1">
        <f t="array" ref="I248">+IF(SUM(VALUE(N248:Q248)*$N$7:$Q$7)=0,S248,U248)</f>
        <v>0</v>
      </c>
      <c r="J248" s="103">
        <f t="shared" si="14"/>
        <v>0</v>
      </c>
      <c r="K248" s="103"/>
      <c r="M248"/>
      <c r="N248" s="1300">
        <v>0</v>
      </c>
      <c r="O248" s="1300">
        <v>0</v>
      </c>
      <c r="P248" s="1300">
        <v>0</v>
      </c>
      <c r="Q248" s="1300">
        <v>1</v>
      </c>
      <c r="R248" s="1266">
        <v>9540.85</v>
      </c>
      <c r="S248" s="1266">
        <v>0</v>
      </c>
      <c r="T248" s="1266">
        <f>+IF($Q248=1,$G248,INDEX([1]Summary!$K$5:$K$110,MATCH($C248,[1]Summary!$D$5:$D349,0)))</f>
        <v>9540.85</v>
      </c>
      <c r="U248" s="1266">
        <f>+IF($Q248=1,$J248,INDEX([1]Summary!$L$5:$L$110,MATCH($C248,[1]Summary!$D$5:$D349,0)))</f>
        <v>0</v>
      </c>
      <c r="V248" s="721"/>
      <c r="W248" s="721"/>
      <c r="X248" s="721"/>
      <c r="Y248" s="721"/>
      <c r="Z248" s="721"/>
      <c r="AA248" s="721"/>
      <c r="AB248" s="721"/>
      <c r="AC248" s="721"/>
      <c r="AD248" s="721"/>
      <c r="AI248" s="105"/>
      <c r="AJ248" s="105"/>
      <c r="AN248" s="105"/>
      <c r="AO248" s="105"/>
      <c r="AP248" s="105"/>
    </row>
    <row r="249" spans="1:42" outlineLevel="1">
      <c r="A249" s="545">
        <f>MAX($A$10:A248)+1</f>
        <v>240</v>
      </c>
      <c r="B249" s="716" t="s">
        <v>2096</v>
      </c>
      <c r="C249" s="105" t="s">
        <v>2222</v>
      </c>
      <c r="D249" s="105" t="s">
        <v>2223</v>
      </c>
      <c r="E249" s="559">
        <v>394.1</v>
      </c>
      <c r="F249" s="1302" cm="1">
        <f t="array" ref="F249">+IF(SUM(VALUE(N249:Q249)*$N$7:$Q$7)=0,R249,T249)</f>
        <v>30129</v>
      </c>
      <c r="G249" s="103">
        <f t="shared" ref="G249:G259" si="15">+F249</f>
        <v>30129</v>
      </c>
      <c r="H249" s="721">
        <v>45352</v>
      </c>
      <c r="I249" s="1303" cm="1">
        <f t="array" ref="I249">+IF(SUM(VALUE(N249:Q249)*$N$7:$Q$7)=0,S249,U249)</f>
        <v>0</v>
      </c>
      <c r="J249" s="103">
        <f t="shared" si="14"/>
        <v>0</v>
      </c>
      <c r="K249" s="717"/>
      <c r="M249"/>
      <c r="N249" s="1300">
        <v>0</v>
      </c>
      <c r="O249" s="1300">
        <v>0</v>
      </c>
      <c r="P249" s="1300">
        <v>0</v>
      </c>
      <c r="Q249" s="1300">
        <v>1</v>
      </c>
      <c r="R249" s="1266">
        <v>30129</v>
      </c>
      <c r="S249" s="1266">
        <v>0</v>
      </c>
      <c r="T249" s="1266">
        <f>+IF($Q249=1,$G249,INDEX([1]Summary!$K$5:$K$110,MATCH($C249,[1]Summary!$D$5:$D350,0)))</f>
        <v>30129</v>
      </c>
      <c r="U249" s="1266">
        <f>+IF($Q249=1,$J249,INDEX([1]Summary!$L$5:$L$110,MATCH($C249,[1]Summary!$D$5:$D350,0)))</f>
        <v>0</v>
      </c>
      <c r="V249" s="721"/>
      <c r="W249" s="721"/>
      <c r="X249" s="721"/>
      <c r="Y249" s="721"/>
      <c r="Z249" s="721"/>
      <c r="AA249" s="721"/>
      <c r="AB249" s="721"/>
      <c r="AC249" s="721"/>
      <c r="AD249" s="721"/>
      <c r="AI249" s="105"/>
      <c r="AJ249" s="105"/>
      <c r="AN249" s="105"/>
      <c r="AO249" s="105"/>
      <c r="AP249" s="105"/>
    </row>
    <row r="250" spans="1:42" outlineLevel="1">
      <c r="A250" s="545">
        <f>MAX($A$10:A249)+1</f>
        <v>241</v>
      </c>
      <c r="B250" s="716" t="s">
        <v>2096</v>
      </c>
      <c r="C250" s="716" t="s">
        <v>2224</v>
      </c>
      <c r="D250" s="716" t="s">
        <v>2225</v>
      </c>
      <c r="E250" s="559">
        <v>394.1</v>
      </c>
      <c r="F250" s="1302" cm="1">
        <f t="array" ref="F250">+IF(SUM(VALUE(N250:Q250)*$N$7:$Q$7)=0,R250,T250)</f>
        <v>30129</v>
      </c>
      <c r="G250" s="103">
        <f t="shared" si="15"/>
        <v>30129</v>
      </c>
      <c r="H250" s="717">
        <v>45352</v>
      </c>
      <c r="I250" s="1303" cm="1">
        <f t="array" ref="I250">+IF(SUM(VALUE(N250:Q250)*$N$7:$Q$7)=0,S250,U250)</f>
        <v>0</v>
      </c>
      <c r="J250" s="103">
        <f t="shared" si="14"/>
        <v>0</v>
      </c>
      <c r="K250" s="103"/>
      <c r="M250"/>
      <c r="N250" s="1300">
        <v>0</v>
      </c>
      <c r="O250" s="1300">
        <v>0</v>
      </c>
      <c r="P250" s="1300">
        <v>0</v>
      </c>
      <c r="Q250" s="1300">
        <v>1</v>
      </c>
      <c r="R250" s="1266">
        <v>30129</v>
      </c>
      <c r="S250" s="1266">
        <v>0</v>
      </c>
      <c r="T250" s="1266">
        <f>+IF($Q250=1,$G250,INDEX([1]Summary!$K$5:$K$110,MATCH($C250,[1]Summary!$D$5:$D351,0)))</f>
        <v>30129</v>
      </c>
      <c r="U250" s="1266">
        <f>+IF($Q250=1,$J250,INDEX([1]Summary!$L$5:$L$110,MATCH($C250,[1]Summary!$D$5:$D351,0)))</f>
        <v>0</v>
      </c>
      <c r="V250" s="721"/>
      <c r="W250" s="721"/>
      <c r="X250" s="721"/>
      <c r="Y250" s="721"/>
      <c r="Z250" s="721"/>
      <c r="AA250" s="721"/>
      <c r="AB250" s="721"/>
      <c r="AC250" s="721"/>
      <c r="AD250" s="721"/>
      <c r="AI250" s="105"/>
      <c r="AJ250" s="105"/>
      <c r="AN250" s="105"/>
      <c r="AO250" s="105"/>
      <c r="AP250" s="105"/>
    </row>
    <row r="251" spans="1:42" outlineLevel="1">
      <c r="A251" s="545">
        <f>MAX($A$10:A250)+1</f>
        <v>242</v>
      </c>
      <c r="B251" s="716" t="s">
        <v>2096</v>
      </c>
      <c r="C251" s="716" t="s">
        <v>2226</v>
      </c>
      <c r="D251" s="716" t="s">
        <v>2227</v>
      </c>
      <c r="E251" s="559">
        <v>390.1</v>
      </c>
      <c r="F251" s="1302" cm="1">
        <f t="array" ref="F251">+IF(SUM(VALUE(N251:Q251)*$N$7:$Q$7)=0,R251,T251)</f>
        <v>150645</v>
      </c>
      <c r="G251" s="103">
        <f t="shared" si="15"/>
        <v>150645</v>
      </c>
      <c r="H251" s="717">
        <v>45442</v>
      </c>
      <c r="I251" s="1303" cm="1">
        <f t="array" ref="I251">+IF(SUM(VALUE(N251:Q251)*$N$7:$Q$7)=0,S251,U251)</f>
        <v>0</v>
      </c>
      <c r="J251" s="103">
        <f t="shared" si="14"/>
        <v>0</v>
      </c>
      <c r="K251" s="103"/>
      <c r="M251"/>
      <c r="N251" s="1300">
        <v>0</v>
      </c>
      <c r="O251" s="1300">
        <v>0</v>
      </c>
      <c r="P251" s="1300">
        <v>0</v>
      </c>
      <c r="Q251" s="1300">
        <v>1</v>
      </c>
      <c r="R251" s="1266">
        <v>150645</v>
      </c>
      <c r="S251" s="1266">
        <v>0</v>
      </c>
      <c r="T251" s="1266">
        <f>+IF($Q251=1,$G251,INDEX([1]Summary!$K$5:$K$110,MATCH($C251,[1]Summary!$D$5:$D352,0)))</f>
        <v>150645</v>
      </c>
      <c r="U251" s="1266">
        <f>+IF($Q251=1,$J251,INDEX([1]Summary!$L$5:$L$110,MATCH($C251,[1]Summary!$D$5:$D352,0)))</f>
        <v>0</v>
      </c>
      <c r="V251" s="721"/>
      <c r="W251" s="721"/>
      <c r="X251" s="721"/>
      <c r="Y251" s="721"/>
      <c r="Z251" s="721"/>
      <c r="AA251" s="721"/>
      <c r="AB251" s="721"/>
      <c r="AC251" s="721"/>
      <c r="AD251" s="721"/>
      <c r="AI251" s="105"/>
      <c r="AJ251" s="105"/>
      <c r="AN251" s="105"/>
      <c r="AO251" s="105"/>
      <c r="AP251" s="105"/>
    </row>
    <row r="252" spans="1:42" outlineLevel="1">
      <c r="A252" s="545">
        <f>MAX($A$10:A251)+1</f>
        <v>243</v>
      </c>
      <c r="B252" s="716" t="s">
        <v>2096</v>
      </c>
      <c r="C252" s="716" t="s">
        <v>2228</v>
      </c>
      <c r="D252" s="716" t="s">
        <v>2229</v>
      </c>
      <c r="E252" s="559">
        <v>397.1</v>
      </c>
      <c r="F252" s="1302" cm="1">
        <f t="array" ref="F252">+IF(SUM(VALUE(N252:Q252)*$N$7:$Q$7)=0,R252,T252)</f>
        <v>3741.15</v>
      </c>
      <c r="G252" s="103">
        <f t="shared" si="15"/>
        <v>3741.15</v>
      </c>
      <c r="H252" s="717">
        <v>45351</v>
      </c>
      <c r="I252" s="1303" cm="1">
        <f t="array" ref="I252">+IF(SUM(VALUE(N252:Q252)*$N$7:$Q$7)=0,S252,U252)</f>
        <v>0</v>
      </c>
      <c r="J252" s="103">
        <f t="shared" si="14"/>
        <v>0</v>
      </c>
      <c r="K252" s="103"/>
      <c r="M252"/>
      <c r="N252" s="1300">
        <v>0</v>
      </c>
      <c r="O252" s="1300">
        <v>0</v>
      </c>
      <c r="P252" s="1300">
        <v>0</v>
      </c>
      <c r="Q252" s="1300">
        <v>1</v>
      </c>
      <c r="R252" s="1266">
        <v>3741.15</v>
      </c>
      <c r="S252" s="1266">
        <v>0</v>
      </c>
      <c r="T252" s="1266">
        <f>+IF($Q252=1,$G252,INDEX([1]Summary!$K$5:$K$110,MATCH($C252,[1]Summary!$D$5:$D353,0)))</f>
        <v>3741.15</v>
      </c>
      <c r="U252" s="1266">
        <f>+IF($Q252=1,$J252,INDEX([1]Summary!$L$5:$L$110,MATCH($C252,[1]Summary!$D$5:$D353,0)))</f>
        <v>0</v>
      </c>
      <c r="V252" s="721"/>
      <c r="W252" s="721"/>
      <c r="X252" s="721"/>
      <c r="Y252" s="721"/>
      <c r="Z252" s="721"/>
      <c r="AA252" s="721"/>
      <c r="AB252" s="721"/>
      <c r="AC252" s="721"/>
      <c r="AD252" s="721"/>
      <c r="AI252" s="105"/>
      <c r="AJ252" s="105"/>
      <c r="AN252" s="105"/>
      <c r="AO252" s="105"/>
      <c r="AP252" s="105"/>
    </row>
    <row r="253" spans="1:42" outlineLevel="1">
      <c r="A253" s="545">
        <f>MAX($A$10:A252)+1</f>
        <v>244</v>
      </c>
      <c r="B253" s="716" t="s">
        <v>2096</v>
      </c>
      <c r="C253" s="716" t="s">
        <v>2230</v>
      </c>
      <c r="D253" s="716" t="s">
        <v>2231</v>
      </c>
      <c r="E253" s="559">
        <v>391.3</v>
      </c>
      <c r="F253" s="1302" cm="1">
        <f t="array" ref="F253">+IF(SUM(VALUE(N253:Q253)*$N$7:$Q$7)=0,R253,T253)</f>
        <v>13227.237818814603</v>
      </c>
      <c r="G253" s="103">
        <f t="shared" si="15"/>
        <v>13227.237818814603</v>
      </c>
      <c r="H253" s="717">
        <v>45337</v>
      </c>
      <c r="I253" s="1303" cm="1">
        <f t="array" ref="I253">+IF(SUM(VALUE(N253:Q253)*$N$7:$Q$7)=0,S253,U253)</f>
        <v>0</v>
      </c>
      <c r="J253" s="103">
        <f t="shared" si="14"/>
        <v>0</v>
      </c>
      <c r="K253" s="103"/>
      <c r="M253"/>
      <c r="N253" s="1300">
        <v>0</v>
      </c>
      <c r="O253" s="1300">
        <v>0</v>
      </c>
      <c r="P253" s="1300">
        <v>0</v>
      </c>
      <c r="Q253" s="1300">
        <v>1</v>
      </c>
      <c r="R253" s="1266">
        <v>13227.237818814603</v>
      </c>
      <c r="S253" s="1266">
        <v>0</v>
      </c>
      <c r="T253" s="1266">
        <f>+IF($Q253=1,$G253,INDEX([1]Summary!$K$5:$K$110,MATCH($C253,[1]Summary!$D$5:$D354,0)))</f>
        <v>13227.237818814603</v>
      </c>
      <c r="U253" s="1266">
        <f>+IF($Q253=1,$J253,INDEX([1]Summary!$L$5:$L$110,MATCH($C253,[1]Summary!$D$5:$D354,0)))</f>
        <v>0</v>
      </c>
      <c r="V253" s="721"/>
      <c r="W253" s="721"/>
      <c r="X253" s="721"/>
      <c r="Y253" s="721"/>
      <c r="Z253" s="721"/>
      <c r="AA253" s="721"/>
      <c r="AB253" s="721"/>
      <c r="AC253" s="721"/>
      <c r="AD253" s="721"/>
      <c r="AI253" s="105"/>
      <c r="AJ253" s="105"/>
      <c r="AN253" s="105"/>
      <c r="AO253" s="105"/>
      <c r="AP253" s="105"/>
    </row>
    <row r="254" spans="1:42" outlineLevel="1">
      <c r="A254" s="545">
        <f>MAX($A$10:A253)+1</f>
        <v>245</v>
      </c>
      <c r="B254" s="716" t="s">
        <v>2096</v>
      </c>
      <c r="C254" s="716" t="s">
        <v>2232</v>
      </c>
      <c r="D254" s="716" t="s">
        <v>2233</v>
      </c>
      <c r="E254" s="559">
        <v>390.1</v>
      </c>
      <c r="F254" s="1302" cm="1">
        <f t="array" ref="F254">+IF(SUM(VALUE(N254:Q254)*$N$7:$Q$7)=0,R254,T254)</f>
        <v>9404.2325370000017</v>
      </c>
      <c r="G254" s="103">
        <f t="shared" si="15"/>
        <v>9404.2325370000017</v>
      </c>
      <c r="H254" s="717">
        <v>45321</v>
      </c>
      <c r="I254" s="1303" cm="1">
        <f t="array" ref="I254">+IF(SUM(VALUE(N254:Q254)*$N$7:$Q$7)=0,S254,U254)</f>
        <v>0</v>
      </c>
      <c r="J254" s="103">
        <f t="shared" si="14"/>
        <v>0</v>
      </c>
      <c r="K254" s="103"/>
      <c r="M254"/>
      <c r="N254" s="1300">
        <v>0</v>
      </c>
      <c r="O254" s="1300">
        <v>0</v>
      </c>
      <c r="P254" s="1300">
        <v>0</v>
      </c>
      <c r="Q254" s="1300">
        <v>1</v>
      </c>
      <c r="R254" s="1266">
        <v>9404.2325370000017</v>
      </c>
      <c r="S254" s="1266">
        <v>0</v>
      </c>
      <c r="T254" s="1266">
        <f>+IF($Q254=1,$G254,INDEX([1]Summary!$K$5:$K$110,MATCH($C254,[1]Summary!$D$5:$D355,0)))</f>
        <v>9404.2325370000017</v>
      </c>
      <c r="U254" s="1266">
        <f>+IF($Q254=1,$J254,INDEX([1]Summary!$L$5:$L$110,MATCH($C254,[1]Summary!$D$5:$D355,0)))</f>
        <v>0</v>
      </c>
      <c r="V254" s="721"/>
      <c r="W254" s="721"/>
      <c r="X254" s="721"/>
      <c r="Y254" s="721"/>
      <c r="Z254" s="721"/>
      <c r="AA254" s="721"/>
      <c r="AB254" s="721"/>
      <c r="AC254" s="721"/>
      <c r="AD254" s="721"/>
      <c r="AI254" s="105"/>
      <c r="AJ254" s="105"/>
      <c r="AN254" s="105"/>
      <c r="AO254" s="105"/>
      <c r="AP254" s="105"/>
    </row>
    <row r="255" spans="1:42" outlineLevel="1">
      <c r="A255" s="545">
        <f>MAX($A$10:A254)+1</f>
        <v>246</v>
      </c>
      <c r="B255" s="716" t="s">
        <v>2096</v>
      </c>
      <c r="C255" s="716" t="s">
        <v>2234</v>
      </c>
      <c r="D255" s="716" t="s">
        <v>2235</v>
      </c>
      <c r="E255" s="559">
        <v>394.1</v>
      </c>
      <c r="F255" s="1302" cm="1">
        <f t="array" ref="F255">+IF(SUM(VALUE(N255:Q255)*$N$7:$Q$7)=0,R255,T255)</f>
        <v>3136.7400000000002</v>
      </c>
      <c r="G255" s="103">
        <f t="shared" si="15"/>
        <v>3136.7400000000002</v>
      </c>
      <c r="H255" s="717">
        <v>45337</v>
      </c>
      <c r="I255" s="1303" cm="1">
        <f t="array" ref="I255">+IF(SUM(VALUE(N255:Q255)*$N$7:$Q$7)=0,S255,U255)</f>
        <v>0</v>
      </c>
      <c r="J255" s="103">
        <f t="shared" si="14"/>
        <v>0</v>
      </c>
      <c r="K255" s="103"/>
      <c r="M255"/>
      <c r="N255" s="1300">
        <v>0</v>
      </c>
      <c r="O255" s="1300">
        <v>0</v>
      </c>
      <c r="P255" s="1300">
        <v>0</v>
      </c>
      <c r="Q255" s="1300">
        <v>1</v>
      </c>
      <c r="R255" s="1266">
        <v>3136.7400000000002</v>
      </c>
      <c r="S255" s="1266">
        <v>0</v>
      </c>
      <c r="T255" s="1266">
        <f>+IF($Q255=1,$G255,INDEX([1]Summary!$K$5:$K$110,MATCH($C255,[1]Summary!$D$5:$D356,0)))</f>
        <v>3136.7400000000002</v>
      </c>
      <c r="U255" s="1266">
        <f>+IF($Q255=1,$J255,INDEX([1]Summary!$L$5:$L$110,MATCH($C255,[1]Summary!$D$5:$D356,0)))</f>
        <v>0</v>
      </c>
      <c r="V255" s="721"/>
      <c r="W255" s="721"/>
      <c r="X255" s="721"/>
      <c r="Y255" s="721"/>
      <c r="Z255" s="721"/>
      <c r="AA255" s="721"/>
      <c r="AB255" s="721"/>
      <c r="AC255" s="721"/>
      <c r="AD255" s="721"/>
      <c r="AI255" s="105"/>
      <c r="AJ255" s="105"/>
      <c r="AN255" s="105"/>
      <c r="AO255" s="105"/>
      <c r="AP255" s="105"/>
    </row>
    <row r="256" spans="1:42" outlineLevel="1">
      <c r="A256" s="545">
        <f>MAX($A$10:A255)+1</f>
        <v>247</v>
      </c>
      <c r="B256" s="716" t="s">
        <v>2096</v>
      </c>
      <c r="C256" s="105" t="s">
        <v>2236</v>
      </c>
      <c r="D256" s="105" t="s">
        <v>2237</v>
      </c>
      <c r="E256" s="559">
        <v>394.1</v>
      </c>
      <c r="F256" s="1302" cm="1">
        <f t="array" ref="F256">+IF(SUM(VALUE(N256:Q256)*$N$7:$Q$7)=0,R256,T256)</f>
        <v>3799.31</v>
      </c>
      <c r="G256" s="103">
        <f t="shared" si="15"/>
        <v>3799.31</v>
      </c>
      <c r="H256" s="721">
        <v>45321</v>
      </c>
      <c r="I256" s="1303" cm="1">
        <f t="array" ref="I256">+IF(SUM(VALUE(N256:Q256)*$N$7:$Q$7)=0,S256,U256)</f>
        <v>0</v>
      </c>
      <c r="J256" s="103">
        <f t="shared" si="14"/>
        <v>0</v>
      </c>
      <c r="K256" s="717"/>
      <c r="M256"/>
      <c r="N256" s="1300">
        <v>0</v>
      </c>
      <c r="O256" s="1300">
        <v>0</v>
      </c>
      <c r="P256" s="1300">
        <v>0</v>
      </c>
      <c r="Q256" s="1300">
        <v>1</v>
      </c>
      <c r="R256" s="1266">
        <v>3799.31</v>
      </c>
      <c r="S256" s="1266">
        <v>0</v>
      </c>
      <c r="T256" s="1266">
        <f>+IF($Q256=1,$G256,INDEX([1]Summary!$K$5:$K$110,MATCH($C256,[1]Summary!$D$5:$D357,0)))</f>
        <v>3799.31</v>
      </c>
      <c r="U256" s="1266">
        <f>+IF($Q256=1,$J256,INDEX([1]Summary!$L$5:$L$110,MATCH($C256,[1]Summary!$D$5:$D357,0)))</f>
        <v>0</v>
      </c>
      <c r="V256" s="721"/>
      <c r="W256" s="721"/>
      <c r="X256" s="721"/>
      <c r="Y256" s="721"/>
      <c r="Z256" s="721"/>
      <c r="AA256" s="721"/>
      <c r="AB256" s="721"/>
      <c r="AC256" s="721"/>
      <c r="AD256" s="721"/>
      <c r="AI256" s="105"/>
      <c r="AJ256" s="105"/>
      <c r="AN256" s="105"/>
      <c r="AO256" s="105"/>
      <c r="AP256" s="105"/>
    </row>
    <row r="257" spans="1:42" outlineLevel="1">
      <c r="A257" s="545">
        <f>MAX($A$10:A256)+1</f>
        <v>248</v>
      </c>
      <c r="B257" s="716" t="s">
        <v>2096</v>
      </c>
      <c r="C257" s="716" t="s">
        <v>2238</v>
      </c>
      <c r="D257" s="716" t="s">
        <v>2239</v>
      </c>
      <c r="E257" s="559">
        <v>394.1</v>
      </c>
      <c r="F257" s="1302" cm="1">
        <f t="array" ref="F257">+IF(SUM(VALUE(N257:Q257)*$N$7:$Q$7)=0,R257,T257)</f>
        <v>622666</v>
      </c>
      <c r="G257" s="103">
        <f t="shared" si="15"/>
        <v>622666</v>
      </c>
      <c r="H257" s="717">
        <v>45337</v>
      </c>
      <c r="I257" s="1303" cm="1">
        <f t="array" ref="I257">+IF(SUM(VALUE(N257:Q257)*$N$7:$Q$7)=0,S257,U257)</f>
        <v>0</v>
      </c>
      <c r="J257" s="103">
        <f t="shared" si="14"/>
        <v>0</v>
      </c>
      <c r="K257" s="103"/>
      <c r="M257"/>
      <c r="N257" s="1300">
        <v>0</v>
      </c>
      <c r="O257" s="1300">
        <v>0</v>
      </c>
      <c r="P257" s="1300">
        <v>0</v>
      </c>
      <c r="Q257" s="1300">
        <v>1</v>
      </c>
      <c r="R257" s="1266">
        <v>622666</v>
      </c>
      <c r="S257" s="1266">
        <v>0</v>
      </c>
      <c r="T257" s="1266">
        <f>+IF($Q257=1,$G257,INDEX([1]Summary!$K$5:$K$110,MATCH($C257,[1]Summary!$D$5:$D358,0)))</f>
        <v>622666</v>
      </c>
      <c r="U257" s="1266">
        <f>+IF($Q257=1,$J257,INDEX([1]Summary!$L$5:$L$110,MATCH($C257,[1]Summary!$D$5:$D358,0)))</f>
        <v>0</v>
      </c>
      <c r="V257" s="721"/>
      <c r="W257" s="721"/>
      <c r="X257" s="721"/>
      <c r="Y257" s="721"/>
      <c r="Z257" s="721"/>
      <c r="AA257" s="721"/>
      <c r="AB257" s="721"/>
      <c r="AC257" s="721"/>
      <c r="AD257" s="721"/>
      <c r="AI257" s="105"/>
      <c r="AJ257" s="105"/>
      <c r="AN257" s="105"/>
      <c r="AO257" s="105"/>
      <c r="AP257" s="105"/>
    </row>
    <row r="258" spans="1:42" outlineLevel="1">
      <c r="A258" s="545">
        <f>MAX($A$10:A257)+1</f>
        <v>249</v>
      </c>
      <c r="B258" s="716" t="s">
        <v>2096</v>
      </c>
      <c r="C258" s="716" t="s">
        <v>2240</v>
      </c>
      <c r="D258" s="716" t="s">
        <v>2241</v>
      </c>
      <c r="E258" s="559">
        <v>394.1</v>
      </c>
      <c r="F258" s="1302" cm="1">
        <f t="array" ref="F258">+IF(SUM(VALUE(N258:Q258)*$N$7:$Q$7)=0,R258,T258)</f>
        <v>1584.38</v>
      </c>
      <c r="G258" s="103">
        <f t="shared" si="15"/>
        <v>1584.38</v>
      </c>
      <c r="H258" s="717">
        <v>45350</v>
      </c>
      <c r="I258" s="1303" cm="1">
        <f t="array" ref="I258">+IF(SUM(VALUE(N258:Q258)*$N$7:$Q$7)=0,S258,U258)</f>
        <v>0</v>
      </c>
      <c r="J258" s="103">
        <f t="shared" si="14"/>
        <v>0</v>
      </c>
      <c r="K258" s="103"/>
      <c r="M258"/>
      <c r="N258" s="1300">
        <v>0</v>
      </c>
      <c r="O258" s="1300">
        <v>0</v>
      </c>
      <c r="P258" s="1300">
        <v>0</v>
      </c>
      <c r="Q258" s="1300">
        <v>1</v>
      </c>
      <c r="R258" s="1266">
        <v>1584.38</v>
      </c>
      <c r="S258" s="1266">
        <v>0</v>
      </c>
      <c r="T258" s="1266">
        <f>+IF($Q258=1,$G258,INDEX([1]Summary!$K$5:$K$110,MATCH($C258,[1]Summary!$D$5:$D359,0)))</f>
        <v>1584.38</v>
      </c>
      <c r="U258" s="1266">
        <f>+IF($Q258=1,$J258,INDEX([1]Summary!$L$5:$L$110,MATCH($C258,[1]Summary!$D$5:$D359,0)))</f>
        <v>0</v>
      </c>
      <c r="V258" s="721"/>
      <c r="W258" s="721"/>
      <c r="X258" s="721"/>
      <c r="Y258" s="721"/>
      <c r="Z258" s="721"/>
      <c r="AA258" s="721"/>
      <c r="AB258" s="721"/>
      <c r="AC258" s="721"/>
      <c r="AD258" s="721"/>
      <c r="AI258" s="105"/>
      <c r="AJ258" s="105"/>
      <c r="AN258" s="105"/>
      <c r="AO258" s="105"/>
      <c r="AP258" s="105"/>
    </row>
    <row r="259" spans="1:42" outlineLevel="1">
      <c r="A259" s="545">
        <f>MAX($A$10:A258)+1</f>
        <v>250</v>
      </c>
      <c r="B259" s="716" t="s">
        <v>2096</v>
      </c>
      <c r="C259" s="716" t="s">
        <v>2242</v>
      </c>
      <c r="D259" s="716" t="s">
        <v>2243</v>
      </c>
      <c r="E259" s="559">
        <v>397.4</v>
      </c>
      <c r="F259" s="1302" cm="1">
        <f t="array" ref="F259">+IF(SUM(VALUE(N259:Q259)*$N$7:$Q$7)=0,R259,T259)</f>
        <v>398580.42</v>
      </c>
      <c r="G259" s="103">
        <f t="shared" si="15"/>
        <v>398580.42</v>
      </c>
      <c r="H259" s="575">
        <v>45322</v>
      </c>
      <c r="I259" s="1303" cm="1">
        <f t="array" ref="I259">+IF(SUM(VALUE(N259:Q259)*$N$7:$Q$7)=0,S259,U259)</f>
        <v>0</v>
      </c>
      <c r="J259" s="471">
        <f t="shared" si="14"/>
        <v>0</v>
      </c>
      <c r="K259" s="471"/>
      <c r="M259"/>
      <c r="N259" s="1300">
        <v>0</v>
      </c>
      <c r="O259" s="1300">
        <v>0</v>
      </c>
      <c r="P259" s="1300">
        <v>0</v>
      </c>
      <c r="Q259" s="1300">
        <v>1</v>
      </c>
      <c r="R259" s="1266">
        <v>398580.42</v>
      </c>
      <c r="S259" s="1266">
        <v>0</v>
      </c>
      <c r="T259" s="1266">
        <f>+IF($Q259=1,$G259,INDEX([1]Summary!$K$5:$K$110,MATCH($C259,[1]Summary!$D$5:$D360,0)))</f>
        <v>398580.42</v>
      </c>
      <c r="U259" s="1266">
        <f>+IF($Q259=1,$J259,INDEX([1]Summary!$L$5:$L$110,MATCH($C259,[1]Summary!$D$5:$D360,0)))</f>
        <v>0</v>
      </c>
      <c r="V259" s="721"/>
      <c r="W259" s="721"/>
      <c r="X259" s="721"/>
      <c r="Y259" s="721"/>
      <c r="Z259" s="721"/>
      <c r="AA259" s="721"/>
      <c r="AB259" s="721"/>
      <c r="AC259" s="721"/>
      <c r="AD259" s="721"/>
      <c r="AI259" s="105"/>
      <c r="AJ259" s="105"/>
      <c r="AN259" s="105"/>
      <c r="AO259" s="105"/>
      <c r="AP259" s="105"/>
    </row>
    <row r="260" spans="1:42" outlineLevel="1">
      <c r="A260" s="545">
        <f>MAX($A$10:A259)+1</f>
        <v>251</v>
      </c>
      <c r="B260" s="729"/>
      <c r="C260" s="729"/>
      <c r="D260" s="730" t="s">
        <v>2244</v>
      </c>
      <c r="E260" s="560"/>
      <c r="F260" s="495">
        <f>SUM(F185:F259)</f>
        <v>7116623.8559070909</v>
      </c>
      <c r="G260" s="495">
        <f>SUM(G185:G259)</f>
        <v>7116623.8559070909</v>
      </c>
      <c r="H260" s="495"/>
      <c r="I260" s="713">
        <f>SUM(I185:I259)</f>
        <v>4619009.8010530528</v>
      </c>
      <c r="J260" s="495">
        <f>SUM(J185:J259)</f>
        <v>4619009.8010530528</v>
      </c>
      <c r="K260" s="495"/>
      <c r="L260" s="495">
        <f>SUM(L185:L259)</f>
        <v>280000</v>
      </c>
      <c r="M260"/>
      <c r="N260"/>
      <c r="O260"/>
      <c r="P260"/>
      <c r="Q260"/>
    </row>
    <row r="261" spans="1:42" outlineLevel="1">
      <c r="A261" s="545">
        <f>MAX($A$10:A260)+1</f>
        <v>252</v>
      </c>
      <c r="B261" s="731"/>
      <c r="C261" s="731"/>
      <c r="D261" s="731"/>
      <c r="E261" s="561"/>
      <c r="F261" s="103"/>
      <c r="G261" s="103"/>
      <c r="H261" s="103"/>
      <c r="I261" s="733"/>
      <c r="J261" s="103"/>
      <c r="K261" s="103"/>
      <c r="L261" s="103"/>
      <c r="M261"/>
      <c r="N261"/>
      <c r="O261"/>
      <c r="P261"/>
      <c r="Q261"/>
      <c r="AI261" s="105"/>
      <c r="AJ261" s="105"/>
      <c r="AN261" s="105"/>
      <c r="AO261" s="105"/>
      <c r="AP261" s="105"/>
    </row>
    <row r="262" spans="1:42" ht="15.75" outlineLevel="1" thickBot="1">
      <c r="A262" s="545">
        <f>MAX($A$10:A261)+1</f>
        <v>253</v>
      </c>
      <c r="B262" s="731"/>
      <c r="C262" s="731"/>
      <c r="D262" s="735" t="s">
        <v>200</v>
      </c>
      <c r="E262" s="563"/>
      <c r="F262" s="472">
        <f>F31+F34+F183+F260</f>
        <v>70238276.422495037</v>
      </c>
      <c r="G262" s="472">
        <f>G31+G34+G183+G260</f>
        <v>70238276.422495037</v>
      </c>
      <c r="H262" s="472"/>
      <c r="I262" s="715">
        <f>I31+I34+I183+I260</f>
        <v>47923572.6538091</v>
      </c>
      <c r="J262" s="472">
        <f>J31+J34+J183+J260</f>
        <v>42620458.283809103</v>
      </c>
      <c r="K262" s="472"/>
      <c r="L262" s="472">
        <f>L31+L34+L183+L260</f>
        <v>747500</v>
      </c>
      <c r="M262"/>
      <c r="N262"/>
      <c r="O262"/>
      <c r="P262"/>
      <c r="Q262"/>
    </row>
    <row r="263" spans="1:42" ht="15.75" outlineLevel="1" thickTop="1">
      <c r="A263" s="545">
        <f>MAX($A$10:A262)+1</f>
        <v>254</v>
      </c>
      <c r="B263" s="731"/>
      <c r="C263" s="731"/>
      <c r="D263" s="731"/>
      <c r="E263" s="561"/>
      <c r="F263" s="103"/>
      <c r="G263" s="103"/>
      <c r="H263" s="103"/>
      <c r="I263" s="733"/>
      <c r="J263" s="731"/>
      <c r="K263" s="731"/>
      <c r="L263" s="731"/>
      <c r="M263" s="731"/>
      <c r="N263" s="731"/>
      <c r="O263" s="731"/>
    </row>
    <row r="264" spans="1:42" outlineLevel="1">
      <c r="A264" s="545">
        <f>MAX($A$10:A263)+1</f>
        <v>255</v>
      </c>
      <c r="F264" s="103"/>
      <c r="G264" s="103"/>
      <c r="H264" s="103"/>
      <c r="I264" s="718"/>
      <c r="J264" s="719"/>
      <c r="K264" s="719"/>
      <c r="L264" s="719"/>
      <c r="M264" s="719"/>
      <c r="N264" s="719"/>
      <c r="O264" s="719"/>
    </row>
    <row r="265" spans="1:42" ht="30" outlineLevel="1">
      <c r="A265" s="545">
        <f>MAX($A$10:A264)+1</f>
        <v>256</v>
      </c>
      <c r="B265" s="716" t="s">
        <v>1330</v>
      </c>
      <c r="E265" s="736" t="s">
        <v>2245</v>
      </c>
      <c r="F265" s="736" t="s">
        <v>2246</v>
      </c>
      <c r="G265" s="736" t="s">
        <v>2247</v>
      </c>
      <c r="H265" s="737" t="s">
        <v>2248</v>
      </c>
      <c r="I265" s="1"/>
      <c r="K265" s="736" t="s">
        <v>2249</v>
      </c>
      <c r="L265" s="736" t="s">
        <v>2247</v>
      </c>
      <c r="M265" s="738" t="s">
        <v>2250</v>
      </c>
      <c r="N265" s="1301"/>
      <c r="O265" s="1301"/>
      <c r="Q265" s="1">
        <v>2024</v>
      </c>
    </row>
    <row r="266" spans="1:42" outlineLevel="1">
      <c r="A266" s="545">
        <f>MAX($A$10:A265)+1</f>
        <v>257</v>
      </c>
      <c r="B266" s="719"/>
      <c r="C266" s="716"/>
      <c r="D266" s="103"/>
      <c r="E266" s="739">
        <v>303</v>
      </c>
      <c r="F266" s="103">
        <f t="shared" ref="F266:F298" si="16">+SUMIF($E$10:$E$259,E266,$G$10:$G$259)</f>
        <v>8596425.8846233338</v>
      </c>
      <c r="G266" s="557" t="s">
        <v>2251</v>
      </c>
      <c r="H266" s="711">
        <v>745423.23</v>
      </c>
      <c r="I266" s="1"/>
      <c r="K266" s="103">
        <f t="shared" ref="K266:K298" si="17">+SUMIF($E$10:$E$259,E266,$J$10:$J$259)</f>
        <v>4635386.9602023335</v>
      </c>
      <c r="L266" s="434" t="s">
        <v>2251</v>
      </c>
      <c r="M266" s="184">
        <v>804720.52</v>
      </c>
      <c r="N266" s="184"/>
      <c r="O266" s="184"/>
      <c r="P266" s="1" t="s">
        <v>4170</v>
      </c>
      <c r="Q266" s="42">
        <v>8263158.2299999986</v>
      </c>
      <c r="AD266" s="720"/>
      <c r="AE266" s="720"/>
    </row>
    <row r="267" spans="1:42" outlineLevel="1">
      <c r="A267" s="545">
        <f>MAX($A$10:A266)+1</f>
        <v>258</v>
      </c>
      <c r="B267" s="719"/>
      <c r="C267" s="716"/>
      <c r="D267" s="103"/>
      <c r="E267" s="739">
        <v>333</v>
      </c>
      <c r="F267" s="103">
        <f t="shared" si="16"/>
        <v>0</v>
      </c>
      <c r="G267" s="557">
        <v>0.05</v>
      </c>
      <c r="H267" s="711">
        <f t="shared" ref="H267:H298" si="18">+F267*G267</f>
        <v>0</v>
      </c>
      <c r="I267" s="1"/>
      <c r="K267" s="103">
        <f t="shared" si="17"/>
        <v>0</v>
      </c>
      <c r="L267" s="72">
        <f>G267</f>
        <v>0.05</v>
      </c>
      <c r="M267" s="184">
        <f t="shared" ref="M267:M298" si="19">+K267*L267</f>
        <v>0</v>
      </c>
      <c r="N267" s="184"/>
      <c r="O267" s="184"/>
      <c r="P267" s="1" t="s">
        <v>4174</v>
      </c>
      <c r="Q267" s="42">
        <v>43019214.749970011</v>
      </c>
      <c r="AD267" s="720"/>
      <c r="AE267" s="720"/>
    </row>
    <row r="268" spans="1:42" outlineLevel="1">
      <c r="A268" s="545">
        <f>MAX($A$10:A267)+1</f>
        <v>259</v>
      </c>
      <c r="B268" s="740"/>
      <c r="C268" s="740"/>
      <c r="E268" s="719">
        <v>367.1</v>
      </c>
      <c r="F268" s="103">
        <f t="shared" si="16"/>
        <v>533956.21821900003</v>
      </c>
      <c r="G268" s="557">
        <f>'EOP Depn Exp Adj'!D16</f>
        <v>1.4999999999999999E-2</v>
      </c>
      <c r="H268" s="711">
        <f t="shared" si="18"/>
        <v>8009.3432732850006</v>
      </c>
      <c r="I268" s="1"/>
      <c r="K268" s="103">
        <f t="shared" si="17"/>
        <v>2632121.5699999998</v>
      </c>
      <c r="L268" s="72">
        <f t="shared" ref="L268:L298" si="20">+G268</f>
        <v>1.4999999999999999E-2</v>
      </c>
      <c r="M268" s="184">
        <f t="shared" si="19"/>
        <v>39481.823549999994</v>
      </c>
      <c r="N268" s="184"/>
      <c r="O268" s="184"/>
      <c r="P268" s="1" t="s">
        <v>4171</v>
      </c>
      <c r="Q268" s="42">
        <v>72985639.794989005</v>
      </c>
      <c r="R268" s="107"/>
      <c r="S268" s="107"/>
      <c r="T268" s="107"/>
      <c r="U268" s="107"/>
      <c r="V268" s="107"/>
      <c r="W268" s="107"/>
      <c r="X268" s="107"/>
      <c r="Y268" s="107"/>
      <c r="Z268" s="107"/>
      <c r="AA268" s="107"/>
      <c r="AB268" s="107"/>
      <c r="AC268" s="107"/>
      <c r="AD268" s="720"/>
      <c r="AE268" s="720"/>
    </row>
    <row r="269" spans="1:42" outlineLevel="1">
      <c r="A269" s="545">
        <f>MAX($A$10:A268)+1</f>
        <v>260</v>
      </c>
      <c r="B269" s="740"/>
      <c r="C269" s="740"/>
      <c r="E269" s="719">
        <v>374.1</v>
      </c>
      <c r="F269" s="103">
        <f t="shared" si="16"/>
        <v>119146.94</v>
      </c>
      <c r="G269" s="557">
        <v>0</v>
      </c>
      <c r="H269" s="711">
        <f t="shared" si="18"/>
        <v>0</v>
      </c>
      <c r="I269" s="1"/>
      <c r="K269" s="103">
        <f t="shared" si="17"/>
        <v>0</v>
      </c>
      <c r="L269" s="72">
        <f t="shared" si="20"/>
        <v>0</v>
      </c>
      <c r="M269" s="184">
        <f t="shared" si="19"/>
        <v>0</v>
      </c>
      <c r="N269" s="184"/>
      <c r="O269" s="184"/>
      <c r="P269" s="1" t="s">
        <v>4173</v>
      </c>
      <c r="Q269" s="42">
        <v>15925424.810551805</v>
      </c>
      <c r="R269" s="107"/>
      <c r="S269" s="107"/>
      <c r="T269" s="107"/>
      <c r="U269" s="107"/>
      <c r="V269" s="107"/>
      <c r="W269" s="107"/>
      <c r="X269" s="107"/>
      <c r="Y269" s="107"/>
      <c r="Z269" s="107"/>
      <c r="AA269" s="107"/>
      <c r="AB269" s="107"/>
      <c r="AC269" s="107"/>
      <c r="AD269" s="720"/>
      <c r="AE269" s="720"/>
    </row>
    <row r="270" spans="1:42" outlineLevel="1">
      <c r="A270" s="545">
        <f>MAX($A$10:A269)+1</f>
        <v>261</v>
      </c>
      <c r="B270" s="740"/>
      <c r="C270" s="740"/>
      <c r="D270" s="740"/>
      <c r="E270" s="719">
        <v>374.2</v>
      </c>
      <c r="F270" s="103">
        <f t="shared" si="16"/>
        <v>0</v>
      </c>
      <c r="G270" s="557">
        <f>'EOP Depn Exp Adj'!D19</f>
        <v>1.6400000000000001E-2</v>
      </c>
      <c r="H270" s="711">
        <f t="shared" si="18"/>
        <v>0</v>
      </c>
      <c r="I270" s="1"/>
      <c r="K270" s="103">
        <f t="shared" si="17"/>
        <v>0</v>
      </c>
      <c r="L270" s="72">
        <f t="shared" si="20"/>
        <v>1.6400000000000001E-2</v>
      </c>
      <c r="M270" s="184">
        <f t="shared" si="19"/>
        <v>0</v>
      </c>
      <c r="N270" s="184"/>
      <c r="O270" s="184"/>
      <c r="R270" s="107"/>
      <c r="S270" s="107"/>
      <c r="T270" s="107"/>
      <c r="U270" s="107"/>
      <c r="V270" s="107"/>
      <c r="W270" s="107"/>
      <c r="X270" s="107"/>
      <c r="Y270" s="107"/>
      <c r="Z270" s="107"/>
      <c r="AA270" s="107"/>
      <c r="AB270" s="107"/>
      <c r="AC270" s="107"/>
      <c r="AD270" s="720"/>
      <c r="AE270" s="720"/>
    </row>
    <row r="271" spans="1:42" outlineLevel="1">
      <c r="A271" s="545">
        <f>MAX($A$10:A270)+1</f>
        <v>262</v>
      </c>
      <c r="B271" s="740"/>
      <c r="C271" s="740"/>
      <c r="D271" s="740"/>
      <c r="E271" s="719">
        <v>375.1</v>
      </c>
      <c r="F271" s="103">
        <f t="shared" si="16"/>
        <v>0</v>
      </c>
      <c r="G271" s="557">
        <f>'EOP Depn Exp Adj'!D20</f>
        <v>8.3999999999999995E-3</v>
      </c>
      <c r="H271" s="711">
        <f t="shared" si="18"/>
        <v>0</v>
      </c>
      <c r="I271" s="1"/>
      <c r="K271" s="103">
        <f t="shared" si="17"/>
        <v>0</v>
      </c>
      <c r="L271" s="72">
        <f t="shared" si="20"/>
        <v>8.3999999999999995E-3</v>
      </c>
      <c r="M271" s="184">
        <f t="shared" si="19"/>
        <v>0</v>
      </c>
      <c r="N271" s="184"/>
      <c r="O271" s="184"/>
      <c r="R271" s="107"/>
      <c r="S271" s="107"/>
      <c r="T271" s="107"/>
      <c r="U271" s="107"/>
      <c r="V271" s="107"/>
      <c r="W271" s="107"/>
      <c r="X271" s="107"/>
      <c r="Y271" s="107"/>
      <c r="Z271" s="107"/>
      <c r="AA271" s="107"/>
      <c r="AB271" s="107"/>
      <c r="AC271" s="107"/>
      <c r="AD271" s="720"/>
      <c r="AE271" s="720"/>
    </row>
    <row r="272" spans="1:42" outlineLevel="1">
      <c r="A272" s="545">
        <f>MAX($A$10:A271)+1</f>
        <v>263</v>
      </c>
      <c r="B272" s="740"/>
      <c r="C272" s="740"/>
      <c r="D272" s="716"/>
      <c r="E272" s="719">
        <v>376.1</v>
      </c>
      <c r="F272" s="103">
        <f t="shared" si="16"/>
        <v>2887171.0975293336</v>
      </c>
      <c r="G272" s="557">
        <f>'EOP Depn Exp Adj'!D23</f>
        <v>3.56E-2</v>
      </c>
      <c r="H272" s="711">
        <f t="shared" si="18"/>
        <v>102783.29107204427</v>
      </c>
      <c r="I272" s="1"/>
      <c r="K272" s="103">
        <f t="shared" si="17"/>
        <v>869511.44333333336</v>
      </c>
      <c r="L272" s="72">
        <f t="shared" si="20"/>
        <v>3.56E-2</v>
      </c>
      <c r="M272" s="184">
        <f t="shared" si="19"/>
        <v>30954.607382666669</v>
      </c>
      <c r="N272" s="184"/>
      <c r="O272" s="184"/>
      <c r="R272" s="107"/>
      <c r="S272" s="107"/>
      <c r="T272" s="107"/>
      <c r="U272" s="107"/>
      <c r="V272" s="107"/>
      <c r="W272" s="107"/>
      <c r="X272" s="107"/>
      <c r="Y272" s="107"/>
      <c r="Z272" s="107"/>
      <c r="AA272" s="107"/>
      <c r="AB272" s="107"/>
      <c r="AC272" s="107"/>
      <c r="AD272" s="720"/>
      <c r="AE272" s="720"/>
    </row>
    <row r="273" spans="1:34" outlineLevel="1">
      <c r="A273" s="545">
        <f>MAX($A$10:A272)+1</f>
        <v>264</v>
      </c>
      <c r="B273" s="740"/>
      <c r="C273" s="740"/>
      <c r="D273" s="716"/>
      <c r="E273" s="719">
        <v>376.2</v>
      </c>
      <c r="F273" s="103">
        <f t="shared" si="16"/>
        <v>26845063.359276999</v>
      </c>
      <c r="G273" s="557">
        <f>'EOP Depn Exp Adj'!D21</f>
        <v>1.52E-2</v>
      </c>
      <c r="H273" s="711">
        <f t="shared" si="18"/>
        <v>408044.96306101041</v>
      </c>
      <c r="I273" s="1"/>
      <c r="K273" s="103">
        <f t="shared" si="17"/>
        <v>5195829.6206360003</v>
      </c>
      <c r="L273" s="72">
        <f t="shared" si="20"/>
        <v>1.52E-2</v>
      </c>
      <c r="M273" s="184">
        <f t="shared" si="19"/>
        <v>78976.610233667205</v>
      </c>
      <c r="N273" s="184"/>
      <c r="O273" s="184"/>
      <c r="R273" s="107"/>
      <c r="S273" s="107"/>
      <c r="T273" s="107"/>
      <c r="U273" s="107"/>
      <c r="V273" s="107"/>
      <c r="W273" s="107"/>
      <c r="X273" s="107"/>
      <c r="Y273" s="107"/>
      <c r="Z273" s="107"/>
      <c r="AA273" s="107"/>
      <c r="AB273" s="107"/>
      <c r="AC273" s="107"/>
      <c r="AD273" s="720"/>
      <c r="AE273" s="720"/>
    </row>
    <row r="274" spans="1:34" outlineLevel="1">
      <c r="A274" s="545">
        <f>MAX($A$10:A273)+1</f>
        <v>265</v>
      </c>
      <c r="B274" s="740"/>
      <c r="C274" s="740"/>
      <c r="D274" s="716"/>
      <c r="E274" s="719">
        <v>376.3</v>
      </c>
      <c r="F274" s="103">
        <f t="shared" si="16"/>
        <v>9421981.2841666676</v>
      </c>
      <c r="G274" s="557">
        <f>'EOP Depn Exp Adj'!D22</f>
        <v>2.81E-2</v>
      </c>
      <c r="H274" s="711">
        <f t="shared" si="18"/>
        <v>264757.67408508336</v>
      </c>
      <c r="I274" s="1"/>
      <c r="K274" s="103">
        <f t="shared" si="17"/>
        <v>10429941.444166658</v>
      </c>
      <c r="L274" s="72">
        <f t="shared" si="20"/>
        <v>2.81E-2</v>
      </c>
      <c r="M274" s="184">
        <f t="shared" si="19"/>
        <v>293081.35458108311</v>
      </c>
      <c r="N274" s="184"/>
      <c r="O274" s="184"/>
      <c r="R274" s="107"/>
      <c r="S274" s="107"/>
      <c r="T274" s="107"/>
      <c r="U274" s="107"/>
      <c r="V274" s="107"/>
      <c r="W274" s="107"/>
      <c r="X274" s="107"/>
      <c r="Y274" s="107"/>
      <c r="Z274" s="107"/>
      <c r="AA274" s="107"/>
      <c r="AB274" s="107"/>
      <c r="AC274" s="107"/>
      <c r="AD274" s="720"/>
      <c r="AE274" s="720"/>
    </row>
    <row r="275" spans="1:34" outlineLevel="1">
      <c r="A275" s="545">
        <f>MAX($A$10:A274)+1</f>
        <v>266</v>
      </c>
      <c r="B275" s="740"/>
      <c r="C275" s="740"/>
      <c r="D275" s="716"/>
      <c r="E275" s="739">
        <v>377</v>
      </c>
      <c r="F275" s="103">
        <f t="shared" si="16"/>
        <v>251442.65999999997</v>
      </c>
      <c r="G275" s="557">
        <f>'EOP Depn Exp Adj'!D24</f>
        <v>1.72E-2</v>
      </c>
      <c r="H275" s="711">
        <f t="shared" si="18"/>
        <v>4324.8137519999991</v>
      </c>
      <c r="I275" s="1"/>
      <c r="K275" s="103">
        <f t="shared" si="17"/>
        <v>0</v>
      </c>
      <c r="L275" s="72">
        <f t="shared" si="20"/>
        <v>1.72E-2</v>
      </c>
      <c r="M275" s="184">
        <f t="shared" si="19"/>
        <v>0</v>
      </c>
      <c r="N275" s="184"/>
      <c r="O275" s="184"/>
      <c r="R275" s="107"/>
      <c r="S275" s="107"/>
      <c r="T275" s="107"/>
      <c r="U275" s="107"/>
      <c r="V275" s="107"/>
      <c r="W275" s="107"/>
      <c r="X275" s="107"/>
      <c r="Y275" s="107"/>
      <c r="Z275" s="107"/>
      <c r="AA275" s="107"/>
      <c r="AB275" s="107"/>
      <c r="AC275" s="107"/>
      <c r="AD275" s="720"/>
      <c r="AE275" s="720"/>
    </row>
    <row r="276" spans="1:34" outlineLevel="1">
      <c r="A276" s="545">
        <f>MAX($A$10:A275)+1</f>
        <v>267</v>
      </c>
      <c r="B276" s="740"/>
      <c r="C276" s="740"/>
      <c r="D276" s="716"/>
      <c r="E276" s="739">
        <v>378</v>
      </c>
      <c r="F276" s="103">
        <f t="shared" si="16"/>
        <v>4366790.6497996729</v>
      </c>
      <c r="G276" s="557">
        <f>'EOP Depn Exp Adj'!D25</f>
        <v>1.9699999999999999E-2</v>
      </c>
      <c r="H276" s="711">
        <f t="shared" si="18"/>
        <v>86025.775801053547</v>
      </c>
      <c r="I276" s="1"/>
      <c r="K276" s="103">
        <f t="shared" si="17"/>
        <v>1488242.2170995241</v>
      </c>
      <c r="L276" s="72">
        <f t="shared" si="20"/>
        <v>1.9699999999999999E-2</v>
      </c>
      <c r="M276" s="184">
        <f t="shared" si="19"/>
        <v>29318.371676860625</v>
      </c>
      <c r="N276" s="184"/>
      <c r="O276" s="184"/>
      <c r="R276" s="107"/>
      <c r="S276" s="107"/>
      <c r="T276" s="107"/>
      <c r="U276" s="107"/>
      <c r="V276" s="107"/>
      <c r="W276" s="107"/>
      <c r="X276" s="107"/>
      <c r="Y276" s="107"/>
      <c r="Z276" s="107"/>
      <c r="AA276" s="107"/>
      <c r="AB276" s="107"/>
      <c r="AC276" s="107"/>
      <c r="AD276" s="720"/>
      <c r="AE276" s="720"/>
    </row>
    <row r="277" spans="1:34" outlineLevel="1">
      <c r="A277" s="545">
        <f>MAX($A$10:A276)+1</f>
        <v>268</v>
      </c>
      <c r="B277" s="740"/>
      <c r="C277" s="740"/>
      <c r="D277" s="716"/>
      <c r="E277" s="739">
        <v>379</v>
      </c>
      <c r="F277" s="103">
        <f t="shared" si="16"/>
        <v>62519.42635400001</v>
      </c>
      <c r="G277" s="557">
        <v>1.9699999999999999E-2</v>
      </c>
      <c r="H277" s="711">
        <f t="shared" si="18"/>
        <v>1231.6326991738001</v>
      </c>
      <c r="I277" s="1"/>
      <c r="K277" s="103">
        <f t="shared" si="17"/>
        <v>2531049.7000000002</v>
      </c>
      <c r="L277" s="72">
        <f t="shared" si="20"/>
        <v>1.9699999999999999E-2</v>
      </c>
      <c r="M277" s="184">
        <f t="shared" si="19"/>
        <v>49861.679089999998</v>
      </c>
      <c r="N277" s="184"/>
      <c r="O277" s="184"/>
      <c r="R277" s="107"/>
      <c r="S277" s="107"/>
      <c r="T277" s="107"/>
      <c r="U277" s="107"/>
      <c r="V277" s="107"/>
      <c r="W277" s="107"/>
      <c r="X277" s="107"/>
      <c r="Y277" s="107"/>
      <c r="Z277" s="107"/>
      <c r="AA277" s="107"/>
      <c r="AB277" s="107"/>
      <c r="AC277" s="107"/>
      <c r="AD277" s="720"/>
      <c r="AE277" s="720"/>
    </row>
    <row r="278" spans="1:34" outlineLevel="1">
      <c r="A278" s="545">
        <f>MAX($A$10:A277)+1</f>
        <v>269</v>
      </c>
      <c r="B278" s="740"/>
      <c r="C278" s="740"/>
      <c r="D278" s="716"/>
      <c r="E278" s="719">
        <v>380.1</v>
      </c>
      <c r="F278" s="103">
        <f t="shared" si="16"/>
        <v>0</v>
      </c>
      <c r="G278" s="557">
        <f>'EOP Depn Exp Adj'!D28</f>
        <v>3.4700000000000002E-2</v>
      </c>
      <c r="H278" s="711">
        <f t="shared" si="18"/>
        <v>0</v>
      </c>
      <c r="I278" s="1"/>
      <c r="K278" s="103">
        <f t="shared" si="17"/>
        <v>0</v>
      </c>
      <c r="L278" s="72">
        <f t="shared" si="20"/>
        <v>3.4700000000000002E-2</v>
      </c>
      <c r="M278" s="184">
        <f t="shared" si="19"/>
        <v>0</v>
      </c>
      <c r="N278" s="184"/>
      <c r="O278" s="184"/>
      <c r="R278" s="107"/>
      <c r="S278" s="107"/>
      <c r="T278" s="107"/>
      <c r="U278" s="107"/>
      <c r="V278" s="107"/>
      <c r="W278" s="107"/>
      <c r="X278" s="107"/>
      <c r="Y278" s="107"/>
      <c r="Z278" s="107"/>
      <c r="AA278" s="107"/>
      <c r="AB278" s="107"/>
      <c r="AC278" s="107"/>
      <c r="AD278" s="720"/>
      <c r="AE278" s="720"/>
    </row>
    <row r="279" spans="1:34" outlineLevel="1">
      <c r="A279" s="545">
        <f>MAX($A$10:A278)+1</f>
        <v>270</v>
      </c>
      <c r="B279" s="716"/>
      <c r="C279" s="716"/>
      <c r="D279" s="716"/>
      <c r="E279" s="2">
        <v>380.3</v>
      </c>
      <c r="F279" s="103">
        <f t="shared" si="16"/>
        <v>6183829.2435648236</v>
      </c>
      <c r="G279" s="557">
        <f>'EOP Depn Exp Adj'!D27</f>
        <v>3.3599999999999998E-2</v>
      </c>
      <c r="H279" s="711">
        <f t="shared" si="18"/>
        <v>207776.66258377806</v>
      </c>
      <c r="I279" s="1"/>
      <c r="K279" s="103">
        <f t="shared" si="17"/>
        <v>4811495.7166929711</v>
      </c>
      <c r="L279" s="72">
        <f t="shared" si="20"/>
        <v>3.3599999999999998E-2</v>
      </c>
      <c r="M279" s="184">
        <f t="shared" si="19"/>
        <v>161666.25608088382</v>
      </c>
      <c r="N279" s="184"/>
      <c r="O279" s="184"/>
      <c r="R279" s="107"/>
      <c r="S279" s="107"/>
      <c r="T279" s="107"/>
      <c r="U279" s="107"/>
      <c r="V279" s="107"/>
      <c r="W279" s="107"/>
      <c r="X279" s="107"/>
      <c r="Y279" s="107"/>
      <c r="Z279" s="107"/>
      <c r="AA279" s="107"/>
      <c r="AB279" s="107"/>
      <c r="AC279" s="107"/>
      <c r="AD279" s="720"/>
      <c r="AE279" s="720"/>
    </row>
    <row r="280" spans="1:34" outlineLevel="1">
      <c r="A280" s="545">
        <f>MAX($A$10:A279)+1</f>
        <v>271</v>
      </c>
      <c r="B280" s="716"/>
      <c r="C280" s="716"/>
      <c r="D280" s="716"/>
      <c r="E280" s="739">
        <v>381</v>
      </c>
      <c r="F280" s="103">
        <f t="shared" si="16"/>
        <v>3195561.9529540865</v>
      </c>
      <c r="G280" s="557">
        <f>'EOP Depn Exp Adj'!D30</f>
        <v>2.6100000000000002E-2</v>
      </c>
      <c r="H280" s="711">
        <f t="shared" si="18"/>
        <v>83404.166972101666</v>
      </c>
      <c r="I280" s="1"/>
      <c r="K280" s="103">
        <f t="shared" si="17"/>
        <v>4750341.8353332281</v>
      </c>
      <c r="L280" s="72">
        <f t="shared" si="20"/>
        <v>2.6100000000000002E-2</v>
      </c>
      <c r="M280" s="184">
        <f t="shared" si="19"/>
        <v>123983.92190219727</v>
      </c>
      <c r="N280" s="184"/>
      <c r="O280" s="184"/>
      <c r="R280" s="107"/>
      <c r="S280" s="107"/>
      <c r="T280" s="107"/>
      <c r="U280" s="107"/>
      <c r="V280" s="107"/>
      <c r="W280" s="107"/>
      <c r="X280" s="107"/>
      <c r="Y280" s="107"/>
      <c r="Z280" s="107"/>
      <c r="AA280" s="107"/>
      <c r="AB280" s="107"/>
      <c r="AC280" s="107"/>
      <c r="AD280" s="720"/>
      <c r="AE280" s="720"/>
    </row>
    <row r="281" spans="1:34" outlineLevel="1">
      <c r="A281" s="545">
        <f>MAX($A$10:A280)+1</f>
        <v>272</v>
      </c>
      <c r="B281" s="716"/>
      <c r="C281" s="716"/>
      <c r="D281" s="716"/>
      <c r="E281" s="739">
        <v>383</v>
      </c>
      <c r="F281" s="103">
        <f t="shared" si="16"/>
        <v>533478.22499999998</v>
      </c>
      <c r="G281" s="557">
        <f>'EOP Depn Exp Adj'!D31</f>
        <v>2.1600000000000001E-2</v>
      </c>
      <c r="H281" s="711">
        <f t="shared" si="18"/>
        <v>11523.129660000001</v>
      </c>
      <c r="I281" s="1"/>
      <c r="K281" s="103">
        <f t="shared" si="17"/>
        <v>533478.22499999998</v>
      </c>
      <c r="L281" s="72">
        <f t="shared" si="20"/>
        <v>2.1600000000000001E-2</v>
      </c>
      <c r="M281" s="184">
        <f t="shared" si="19"/>
        <v>11523.129660000001</v>
      </c>
      <c r="N281" s="184"/>
      <c r="O281" s="184"/>
      <c r="R281" s="107"/>
      <c r="S281" s="107"/>
      <c r="T281" s="107"/>
      <c r="U281" s="107"/>
      <c r="V281" s="107"/>
      <c r="W281" s="107"/>
      <c r="X281" s="107"/>
      <c r="Y281" s="107"/>
      <c r="Z281" s="107"/>
      <c r="AA281" s="107"/>
      <c r="AB281" s="107"/>
      <c r="AC281" s="107"/>
      <c r="AD281" s="720"/>
      <c r="AE281" s="720"/>
    </row>
    <row r="282" spans="1:34" outlineLevel="1">
      <c r="A282" s="545">
        <f>MAX($A$10:A281)+1</f>
        <v>273</v>
      </c>
      <c r="B282" s="716"/>
      <c r="C282" s="716"/>
      <c r="D282" s="716"/>
      <c r="E282" s="739">
        <v>385</v>
      </c>
      <c r="F282" s="103">
        <f t="shared" si="16"/>
        <v>124285.6251</v>
      </c>
      <c r="G282" s="557">
        <f>'EOP Depn Exp Adj'!D32</f>
        <v>1.7000000000000001E-2</v>
      </c>
      <c r="H282" s="711">
        <f t="shared" si="18"/>
        <v>2112.8556267000004</v>
      </c>
      <c r="I282" s="1"/>
      <c r="K282" s="103">
        <f t="shared" si="17"/>
        <v>124049.75029200004</v>
      </c>
      <c r="L282" s="72">
        <f t="shared" si="20"/>
        <v>1.7000000000000001E-2</v>
      </c>
      <c r="M282" s="184">
        <f t="shared" si="19"/>
        <v>2108.8457549640007</v>
      </c>
      <c r="N282" s="184"/>
      <c r="O282" s="184"/>
      <c r="R282" s="107"/>
      <c r="S282" s="107"/>
      <c r="T282" s="107"/>
      <c r="U282" s="107"/>
      <c r="V282" s="107"/>
      <c r="W282" s="107"/>
      <c r="X282" s="107"/>
      <c r="Y282" s="107"/>
      <c r="Z282" s="107"/>
      <c r="AA282" s="107"/>
      <c r="AB282" s="107"/>
      <c r="AC282" s="107"/>
      <c r="AD282" s="720"/>
      <c r="AE282" s="720"/>
    </row>
    <row r="283" spans="1:34" outlineLevel="1">
      <c r="A283" s="545">
        <f>MAX($A$10:A282)+1</f>
        <v>274</v>
      </c>
      <c r="B283" s="716"/>
      <c r="C283" s="716"/>
      <c r="D283" s="2"/>
      <c r="E283" s="719">
        <v>390.1</v>
      </c>
      <c r="F283" s="103">
        <f t="shared" si="16"/>
        <v>543949.35173200001</v>
      </c>
      <c r="G283" s="557">
        <f>'EOP Depn Exp Adj'!D35</f>
        <v>1.44E-2</v>
      </c>
      <c r="H283" s="711">
        <f t="shared" si="18"/>
        <v>7832.8706649407995</v>
      </c>
      <c r="I283" s="1"/>
      <c r="K283" s="103">
        <f t="shared" si="17"/>
        <v>0</v>
      </c>
      <c r="L283" s="72">
        <f t="shared" si="20"/>
        <v>1.44E-2</v>
      </c>
      <c r="M283" s="184">
        <f t="shared" si="19"/>
        <v>0</v>
      </c>
      <c r="N283" s="184"/>
      <c r="O283" s="184"/>
      <c r="R283" s="107"/>
      <c r="S283" s="107"/>
      <c r="T283" s="107"/>
      <c r="U283" s="107"/>
      <c r="V283" s="107"/>
      <c r="W283" s="107"/>
      <c r="X283" s="107"/>
      <c r="Y283" s="107"/>
      <c r="Z283" s="107"/>
      <c r="AA283" s="107"/>
      <c r="AB283" s="107"/>
      <c r="AC283" s="107"/>
      <c r="AD283" s="720"/>
      <c r="AE283" s="720"/>
      <c r="AH283" s="105"/>
    </row>
    <row r="284" spans="1:34" outlineLevel="1">
      <c r="A284" s="545">
        <f>MAX($A$10:A283)+1</f>
        <v>275</v>
      </c>
      <c r="B284" s="716"/>
      <c r="C284" s="716"/>
      <c r="D284" s="2"/>
      <c r="E284" s="719">
        <v>391.2</v>
      </c>
      <c r="F284" s="103">
        <f t="shared" si="16"/>
        <v>0</v>
      </c>
      <c r="G284" s="557">
        <v>0</v>
      </c>
      <c r="H284" s="711">
        <f t="shared" si="18"/>
        <v>0</v>
      </c>
      <c r="I284" s="1"/>
      <c r="K284" s="103">
        <f t="shared" si="17"/>
        <v>0</v>
      </c>
      <c r="L284" s="72">
        <f t="shared" si="20"/>
        <v>0</v>
      </c>
      <c r="M284" s="184">
        <f t="shared" si="19"/>
        <v>0</v>
      </c>
      <c r="N284" s="184"/>
      <c r="O284" s="184"/>
      <c r="R284" s="107"/>
      <c r="S284" s="107"/>
      <c r="T284" s="107"/>
      <c r="U284" s="107"/>
      <c r="V284" s="107"/>
      <c r="W284" s="107"/>
      <c r="X284" s="107"/>
      <c r="Y284" s="107"/>
      <c r="Z284" s="107"/>
      <c r="AA284" s="107"/>
      <c r="AB284" s="107"/>
      <c r="AC284" s="107"/>
      <c r="AD284" s="720"/>
      <c r="AE284" s="720"/>
      <c r="AH284" s="105"/>
    </row>
    <row r="285" spans="1:34" outlineLevel="1">
      <c r="A285" s="545">
        <f>MAX($A$10:A284)+1</f>
        <v>276</v>
      </c>
      <c r="B285" s="716"/>
      <c r="C285" s="716"/>
      <c r="D285" s="2"/>
      <c r="E285" s="719">
        <v>391.3</v>
      </c>
      <c r="F285" s="103">
        <f t="shared" si="16"/>
        <v>265013.03281881456</v>
      </c>
      <c r="G285" s="557">
        <f>'EOP Depn Exp Adj'!D36</f>
        <v>0.44019999999999998</v>
      </c>
      <c r="H285" s="711">
        <f t="shared" si="18"/>
        <v>116658.73704684217</v>
      </c>
      <c r="I285" s="1"/>
      <c r="K285" s="103">
        <f t="shared" si="17"/>
        <v>74586.925000000003</v>
      </c>
      <c r="L285" s="72">
        <f t="shared" si="20"/>
        <v>0.44019999999999998</v>
      </c>
      <c r="M285" s="184">
        <f t="shared" si="19"/>
        <v>32833.164384999996</v>
      </c>
      <c r="N285" s="184"/>
      <c r="O285" s="184"/>
      <c r="R285" s="107"/>
      <c r="S285" s="107"/>
      <c r="T285" s="107"/>
      <c r="U285" s="107"/>
      <c r="V285" s="107"/>
      <c r="W285" s="107"/>
      <c r="X285" s="107"/>
      <c r="Y285" s="107"/>
      <c r="Z285" s="107"/>
      <c r="AA285" s="107"/>
      <c r="AB285" s="107"/>
      <c r="AC285" s="107"/>
      <c r="AD285" s="720"/>
      <c r="AE285" s="720"/>
      <c r="AH285" s="105"/>
    </row>
    <row r="286" spans="1:34" outlineLevel="1">
      <c r="A286" s="545">
        <f>MAX($A$10:A285)+1</f>
        <v>277</v>
      </c>
      <c r="B286" s="716"/>
      <c r="C286" s="716"/>
      <c r="D286" s="2"/>
      <c r="E286" s="719">
        <v>391.4</v>
      </c>
      <c r="F286" s="103">
        <f t="shared" si="16"/>
        <v>0</v>
      </c>
      <c r="G286" s="557">
        <f>'EOP Depn Exp Adj'!D37</f>
        <v>0.26369999999999999</v>
      </c>
      <c r="H286" s="711">
        <f t="shared" si="18"/>
        <v>0</v>
      </c>
      <c r="I286" s="1"/>
      <c r="K286" s="103">
        <f t="shared" si="17"/>
        <v>0</v>
      </c>
      <c r="L286" s="72">
        <f t="shared" si="20"/>
        <v>0.26369999999999999</v>
      </c>
      <c r="M286" s="184">
        <f t="shared" si="19"/>
        <v>0</v>
      </c>
      <c r="N286" s="184"/>
      <c r="O286" s="184"/>
      <c r="R286" s="107"/>
      <c r="S286" s="107"/>
      <c r="T286" s="107"/>
      <c r="U286" s="107"/>
      <c r="V286" s="107"/>
      <c r="W286" s="107"/>
      <c r="X286" s="107"/>
      <c r="Y286" s="107"/>
      <c r="Z286" s="107"/>
      <c r="AA286" s="107"/>
      <c r="AB286" s="107"/>
      <c r="AC286" s="107"/>
      <c r="AD286" s="720"/>
      <c r="AE286" s="720"/>
      <c r="AH286" s="105"/>
    </row>
    <row r="287" spans="1:34" outlineLevel="1">
      <c r="A287" s="545">
        <f>MAX($A$10:A286)+1</f>
        <v>278</v>
      </c>
      <c r="B287" s="716"/>
      <c r="C287" s="716"/>
      <c r="D287" s="2"/>
      <c r="E287" s="719">
        <v>391.5</v>
      </c>
      <c r="F287" s="103">
        <f t="shared" si="16"/>
        <v>0</v>
      </c>
      <c r="G287" s="557">
        <f>'EOP Depn Exp Adj'!D38</f>
        <v>0.19</v>
      </c>
      <c r="H287" s="711">
        <f t="shared" si="18"/>
        <v>0</v>
      </c>
      <c r="I287" s="1"/>
      <c r="K287" s="103">
        <f t="shared" si="17"/>
        <v>0</v>
      </c>
      <c r="L287" s="72">
        <f t="shared" si="20"/>
        <v>0.19</v>
      </c>
      <c r="M287" s="184">
        <f t="shared" si="19"/>
        <v>0</v>
      </c>
      <c r="N287" s="184"/>
      <c r="O287" s="184"/>
      <c r="R287" s="107"/>
      <c r="S287" s="107"/>
      <c r="T287" s="107"/>
      <c r="U287" s="107"/>
      <c r="V287" s="107"/>
      <c r="W287" s="107"/>
      <c r="X287" s="107"/>
      <c r="Y287" s="107"/>
      <c r="Z287" s="107"/>
      <c r="AA287" s="107"/>
      <c r="AB287" s="107"/>
      <c r="AC287" s="107"/>
      <c r="AD287" s="720"/>
      <c r="AE287" s="720"/>
      <c r="AH287" s="105"/>
    </row>
    <row r="288" spans="1:34" outlineLevel="1">
      <c r="A288" s="545">
        <f>MAX($A$10:A287)+1</f>
        <v>279</v>
      </c>
      <c r="B288" s="716"/>
      <c r="C288" s="716"/>
      <c r="D288" s="2"/>
      <c r="E288" s="719">
        <v>392.1</v>
      </c>
      <c r="F288" s="103">
        <f t="shared" si="16"/>
        <v>0</v>
      </c>
      <c r="G288" s="557">
        <f>'EOP Depn Exp Adj'!D40</f>
        <v>2.69E-2</v>
      </c>
      <c r="H288" s="711">
        <f t="shared" si="18"/>
        <v>0</v>
      </c>
      <c r="I288" s="1" t="s">
        <v>2252</v>
      </c>
      <c r="K288" s="103">
        <f t="shared" si="17"/>
        <v>0</v>
      </c>
      <c r="L288" s="72">
        <f t="shared" si="20"/>
        <v>2.69E-2</v>
      </c>
      <c r="M288" s="184">
        <f t="shared" si="19"/>
        <v>0</v>
      </c>
      <c r="N288" s="184"/>
      <c r="O288" s="184"/>
      <c r="P288" s="1" t="s">
        <v>2252</v>
      </c>
      <c r="R288" s="107"/>
      <c r="S288" s="107"/>
      <c r="T288" s="107"/>
      <c r="U288" s="107"/>
      <c r="V288" s="107"/>
      <c r="W288" s="107"/>
      <c r="X288" s="107"/>
      <c r="Y288" s="107"/>
      <c r="Z288" s="107"/>
      <c r="AA288" s="107"/>
      <c r="AB288" s="107"/>
      <c r="AC288" s="107"/>
      <c r="AD288" s="720"/>
      <c r="AE288" s="720"/>
      <c r="AH288" s="105"/>
    </row>
    <row r="289" spans="1:35" outlineLevel="1">
      <c r="A289" s="545">
        <f>MAX($A$10:A288)+1</f>
        <v>280</v>
      </c>
      <c r="B289" s="716"/>
      <c r="C289" s="716"/>
      <c r="D289" s="2"/>
      <c r="E289" s="719">
        <v>392.2</v>
      </c>
      <c r="F289" s="103">
        <f t="shared" si="16"/>
        <v>0</v>
      </c>
      <c r="G289" s="557">
        <f>'EOP Depn Exp Adj'!D41</f>
        <v>5.8900000000000001E-2</v>
      </c>
      <c r="H289" s="711">
        <f t="shared" si="18"/>
        <v>0</v>
      </c>
      <c r="I289" s="1" t="s">
        <v>2252</v>
      </c>
      <c r="K289" s="103">
        <f t="shared" si="17"/>
        <v>0</v>
      </c>
      <c r="L289" s="72">
        <f t="shared" si="20"/>
        <v>5.8900000000000001E-2</v>
      </c>
      <c r="M289" s="184">
        <f t="shared" si="19"/>
        <v>0</v>
      </c>
      <c r="N289" s="184"/>
      <c r="O289" s="184"/>
      <c r="P289" s="1" t="s">
        <v>2252</v>
      </c>
      <c r="R289" s="107"/>
      <c r="S289" s="107"/>
      <c r="T289" s="107"/>
      <c r="U289" s="107"/>
      <c r="V289" s="107"/>
      <c r="W289" s="107"/>
      <c r="X289" s="107"/>
      <c r="Y289" s="107"/>
      <c r="Z289" s="107"/>
      <c r="AA289" s="107"/>
      <c r="AB289" s="107"/>
      <c r="AC289" s="107"/>
      <c r="AD289" s="720"/>
      <c r="AE289" s="720"/>
      <c r="AH289" s="105"/>
    </row>
    <row r="290" spans="1:35" outlineLevel="1">
      <c r="A290" s="545">
        <f>MAX($A$10:A289)+1</f>
        <v>281</v>
      </c>
      <c r="B290" s="716"/>
      <c r="C290" s="716"/>
      <c r="D290" s="2"/>
      <c r="E290" s="719">
        <v>393</v>
      </c>
      <c r="F290" s="103">
        <f t="shared" si="16"/>
        <v>0</v>
      </c>
      <c r="G290" s="557">
        <f>'EOP Depn Exp Adj'!D42</f>
        <v>8.4000000000000005E-2</v>
      </c>
      <c r="H290" s="711">
        <f t="shared" si="18"/>
        <v>0</v>
      </c>
      <c r="I290" s="1"/>
      <c r="K290" s="103">
        <f t="shared" si="17"/>
        <v>0</v>
      </c>
      <c r="L290" s="72">
        <f t="shared" si="20"/>
        <v>8.4000000000000005E-2</v>
      </c>
      <c r="M290" s="184">
        <f t="shared" si="19"/>
        <v>0</v>
      </c>
      <c r="N290" s="184"/>
      <c r="O290" s="184"/>
      <c r="R290" s="107"/>
      <c r="S290" s="107"/>
      <c r="T290" s="107"/>
      <c r="U290" s="107"/>
      <c r="V290" s="107"/>
      <c r="W290" s="107"/>
      <c r="X290" s="107"/>
      <c r="Y290" s="107"/>
      <c r="Z290" s="107"/>
      <c r="AA290" s="107"/>
      <c r="AB290" s="107"/>
      <c r="AC290" s="107"/>
      <c r="AD290" s="720"/>
      <c r="AE290" s="720"/>
      <c r="AH290" s="105"/>
    </row>
    <row r="291" spans="1:35" outlineLevel="1">
      <c r="A291" s="545">
        <f>MAX($A$10:A290)+1</f>
        <v>282</v>
      </c>
      <c r="B291" s="716"/>
      <c r="C291" s="716"/>
      <c r="D291" s="2"/>
      <c r="E291" s="719">
        <v>394.1</v>
      </c>
      <c r="F291" s="103">
        <f t="shared" si="16"/>
        <v>2046067.0090630001</v>
      </c>
      <c r="G291" s="557">
        <f>'EOP Depn Exp Adj'!D43</f>
        <v>0.1066</v>
      </c>
      <c r="H291" s="711">
        <f t="shared" si="18"/>
        <v>218110.7431661158</v>
      </c>
      <c r="I291" s="1"/>
      <c r="K291" s="103">
        <f t="shared" si="17"/>
        <v>223191.68000000002</v>
      </c>
      <c r="L291" s="72">
        <f t="shared" si="20"/>
        <v>0.1066</v>
      </c>
      <c r="M291" s="184">
        <f t="shared" si="19"/>
        <v>23792.233088000001</v>
      </c>
      <c r="N291" s="184"/>
      <c r="O291" s="184"/>
      <c r="R291" s="107"/>
      <c r="S291" s="107"/>
      <c r="T291" s="107"/>
      <c r="U291" s="107"/>
      <c r="V291" s="107"/>
      <c r="W291" s="107"/>
      <c r="X291" s="107"/>
      <c r="Y291" s="107"/>
      <c r="Z291" s="107"/>
      <c r="AA291" s="107"/>
      <c r="AB291" s="107"/>
      <c r="AC291" s="107"/>
      <c r="AD291" s="720"/>
      <c r="AE291" s="720"/>
      <c r="AH291" s="105"/>
    </row>
    <row r="292" spans="1:35" outlineLevel="1">
      <c r="A292" s="545">
        <f>MAX($A$10:A291)+1</f>
        <v>283</v>
      </c>
      <c r="B292" s="716"/>
      <c r="C292" s="716"/>
      <c r="D292" s="716"/>
      <c r="E292" s="719">
        <v>394.2</v>
      </c>
      <c r="F292" s="103">
        <f t="shared" si="16"/>
        <v>0</v>
      </c>
      <c r="G292" s="557">
        <f>'EOP Depn Exp Adj'!D44</f>
        <v>1.52E-2</v>
      </c>
      <c r="H292" s="711">
        <f t="shared" si="18"/>
        <v>0</v>
      </c>
      <c r="I292" s="1"/>
      <c r="K292" s="103">
        <f t="shared" si="17"/>
        <v>0</v>
      </c>
      <c r="L292" s="72">
        <f t="shared" si="20"/>
        <v>1.52E-2</v>
      </c>
      <c r="M292" s="184">
        <f t="shared" si="19"/>
        <v>0</v>
      </c>
      <c r="N292" s="184"/>
      <c r="O292" s="184"/>
      <c r="R292" s="107"/>
      <c r="S292" s="107"/>
      <c r="T292" s="107"/>
      <c r="U292" s="107"/>
      <c r="V292" s="107"/>
      <c r="W292" s="107"/>
      <c r="X292" s="107"/>
      <c r="Y292" s="107"/>
      <c r="Z292" s="107"/>
      <c r="AA292" s="107"/>
      <c r="AB292" s="107"/>
      <c r="AC292" s="107"/>
      <c r="AD292" s="720"/>
      <c r="AE292" s="720"/>
      <c r="AH292" s="105"/>
    </row>
    <row r="293" spans="1:35" outlineLevel="1">
      <c r="A293" s="545">
        <f>MAX($A$10:A292)+1</f>
        <v>284</v>
      </c>
      <c r="B293" s="716"/>
      <c r="C293" s="716"/>
      <c r="D293" s="716"/>
      <c r="E293" s="719">
        <v>395</v>
      </c>
      <c r="F293" s="103">
        <f t="shared" si="16"/>
        <v>0</v>
      </c>
      <c r="G293" s="557">
        <f>'EOP Depn Exp Adj'!D45</f>
        <v>0.14549999999999999</v>
      </c>
      <c r="H293" s="711">
        <f t="shared" si="18"/>
        <v>0</v>
      </c>
      <c r="I293" s="1"/>
      <c r="K293" s="103">
        <f t="shared" si="17"/>
        <v>0</v>
      </c>
      <c r="L293" s="72">
        <f t="shared" si="20"/>
        <v>0.14549999999999999</v>
      </c>
      <c r="M293" s="184">
        <f t="shared" si="19"/>
        <v>0</v>
      </c>
      <c r="N293" s="184"/>
      <c r="O293" s="184"/>
      <c r="R293" s="107"/>
      <c r="S293" s="107"/>
      <c r="T293" s="107"/>
      <c r="U293" s="107"/>
      <c r="V293" s="107"/>
      <c r="W293" s="107"/>
      <c r="X293" s="107"/>
      <c r="Y293" s="107"/>
      <c r="Z293" s="107"/>
      <c r="AA293" s="107"/>
      <c r="AB293" s="107"/>
      <c r="AC293" s="107"/>
      <c r="AD293" s="720"/>
      <c r="AE293" s="720"/>
      <c r="AH293" s="105"/>
    </row>
    <row r="294" spans="1:35" outlineLevel="1">
      <c r="A294" s="545">
        <f>MAX($A$10:A293)+1</f>
        <v>285</v>
      </c>
      <c r="B294" s="716"/>
      <c r="C294" s="716"/>
      <c r="D294" s="716"/>
      <c r="E294" s="719">
        <v>396.1</v>
      </c>
      <c r="F294" s="103">
        <f t="shared" si="16"/>
        <v>0</v>
      </c>
      <c r="G294" s="557">
        <f>'EOP Depn Exp Adj'!D47</f>
        <v>2.6100000000000002E-2</v>
      </c>
      <c r="H294" s="711">
        <f t="shared" si="18"/>
        <v>0</v>
      </c>
      <c r="I294" s="1" t="s">
        <v>2252</v>
      </c>
      <c r="K294" s="103">
        <f t="shared" si="17"/>
        <v>0</v>
      </c>
      <c r="L294" s="72">
        <f t="shared" si="20"/>
        <v>2.6100000000000002E-2</v>
      </c>
      <c r="M294" s="184">
        <f t="shared" si="19"/>
        <v>0</v>
      </c>
      <c r="N294" s="184"/>
      <c r="O294" s="184"/>
      <c r="P294" s="1" t="s">
        <v>2252</v>
      </c>
      <c r="R294" s="107"/>
      <c r="S294" s="107"/>
      <c r="T294" s="107"/>
      <c r="U294" s="107"/>
      <c r="V294" s="107"/>
      <c r="W294" s="107"/>
      <c r="X294" s="107"/>
      <c r="Y294" s="107"/>
      <c r="Z294" s="107"/>
      <c r="AA294" s="107"/>
      <c r="AB294" s="107"/>
      <c r="AC294" s="107"/>
      <c r="AD294" s="720"/>
      <c r="AE294" s="720"/>
      <c r="AH294" s="105"/>
    </row>
    <row r="295" spans="1:35" outlineLevel="1">
      <c r="A295" s="545">
        <f>MAX($A$10:A294)+1</f>
        <v>286</v>
      </c>
      <c r="B295" s="716"/>
      <c r="C295" s="716"/>
      <c r="D295" s="716"/>
      <c r="E295" s="719">
        <v>396.2</v>
      </c>
      <c r="F295" s="103">
        <f t="shared" si="16"/>
        <v>3286821.6849999428</v>
      </c>
      <c r="G295" s="557">
        <f>'EOP Depn Exp Adj'!D46</f>
        <v>9.6299999999999997E-2</v>
      </c>
      <c r="H295" s="711">
        <f t="shared" si="18"/>
        <v>316520.92826549447</v>
      </c>
      <c r="I295" s="1" t="s">
        <v>2252</v>
      </c>
      <c r="K295" s="103">
        <f t="shared" si="17"/>
        <v>3852145.1189997196</v>
      </c>
      <c r="L295" s="72">
        <f t="shared" si="20"/>
        <v>9.6299999999999997E-2</v>
      </c>
      <c r="M295" s="184">
        <f t="shared" si="19"/>
        <v>370961.57495967299</v>
      </c>
      <c r="N295" s="184"/>
      <c r="O295" s="184"/>
      <c r="P295" s="1" t="s">
        <v>2252</v>
      </c>
      <c r="R295" s="107"/>
      <c r="S295" s="107"/>
      <c r="T295" s="107"/>
      <c r="U295" s="107"/>
      <c r="V295" s="107"/>
      <c r="W295" s="107"/>
      <c r="X295" s="107"/>
      <c r="Y295" s="107"/>
      <c r="Z295" s="107"/>
      <c r="AA295" s="107"/>
      <c r="AB295" s="107"/>
      <c r="AC295" s="107"/>
      <c r="AD295" s="720"/>
      <c r="AE295" s="720"/>
    </row>
    <row r="296" spans="1:35" outlineLevel="1">
      <c r="A296" s="545">
        <f>MAX($A$10:A295)+1</f>
        <v>287</v>
      </c>
      <c r="B296" s="716"/>
      <c r="C296" s="716"/>
      <c r="D296" s="716"/>
      <c r="E296" s="719">
        <v>397.1</v>
      </c>
      <c r="F296" s="103">
        <f t="shared" si="16"/>
        <v>3741.15</v>
      </c>
      <c r="G296" s="557">
        <f>'EOP Depn Exp Adj'!D48</f>
        <v>5.3499999999999999E-2</v>
      </c>
      <c r="H296" s="711">
        <f t="shared" si="18"/>
        <v>200.15152499999999</v>
      </c>
      <c r="I296" s="1"/>
      <c r="K296" s="103">
        <f t="shared" si="17"/>
        <v>0</v>
      </c>
      <c r="L296" s="72">
        <f t="shared" si="20"/>
        <v>5.3499999999999999E-2</v>
      </c>
      <c r="M296" s="184">
        <f t="shared" si="19"/>
        <v>0</v>
      </c>
      <c r="N296" s="184"/>
      <c r="O296" s="184"/>
      <c r="R296" s="107"/>
      <c r="S296" s="107"/>
      <c r="T296" s="107"/>
      <c r="U296" s="107"/>
      <c r="V296" s="107"/>
      <c r="W296" s="107"/>
      <c r="X296" s="107"/>
      <c r="Y296" s="107"/>
      <c r="Z296" s="107"/>
      <c r="AA296" s="107"/>
      <c r="AB296" s="107"/>
      <c r="AC296" s="107"/>
      <c r="AD296" s="720"/>
      <c r="AE296" s="720"/>
    </row>
    <row r="297" spans="1:35" outlineLevel="1">
      <c r="A297" s="545">
        <f>MAX($A$10:A296)+1</f>
        <v>288</v>
      </c>
      <c r="B297" s="716"/>
      <c r="C297" s="716"/>
      <c r="D297" s="716"/>
      <c r="E297" s="719">
        <v>397.2</v>
      </c>
      <c r="F297" s="103">
        <f t="shared" si="16"/>
        <v>495120.10729333333</v>
      </c>
      <c r="G297" s="557">
        <f>'EOP Depn Exp Adj'!D50</f>
        <v>5.5300000000000002E-2</v>
      </c>
      <c r="H297" s="711">
        <f t="shared" si="18"/>
        <v>27380.141933321334</v>
      </c>
      <c r="I297" s="1"/>
      <c r="K297" s="103">
        <f t="shared" si="17"/>
        <v>465059.67705333332</v>
      </c>
      <c r="L297" s="72">
        <f t="shared" si="20"/>
        <v>5.5300000000000002E-2</v>
      </c>
      <c r="M297" s="184">
        <f t="shared" si="19"/>
        <v>25717.800141049334</v>
      </c>
      <c r="N297" s="184"/>
      <c r="O297" s="184"/>
      <c r="R297" s="107"/>
      <c r="S297" s="107"/>
      <c r="T297" s="107"/>
      <c r="U297" s="107"/>
      <c r="V297" s="107"/>
      <c r="W297" s="107"/>
      <c r="X297" s="107"/>
      <c r="Y297" s="107"/>
      <c r="Z297" s="107"/>
      <c r="AA297" s="107"/>
      <c r="AB297" s="107"/>
      <c r="AC297" s="107"/>
      <c r="AD297" s="720"/>
      <c r="AE297" s="720"/>
    </row>
    <row r="298" spans="1:35" outlineLevel="1">
      <c r="A298" s="545">
        <f>MAX($A$10:A297)+1</f>
        <v>289</v>
      </c>
      <c r="B298" s="716"/>
      <c r="C298" s="716"/>
      <c r="D298" s="716"/>
      <c r="E298" s="2">
        <v>397.3</v>
      </c>
      <c r="F298" s="103">
        <f t="shared" si="16"/>
        <v>75322.5</v>
      </c>
      <c r="G298" s="557">
        <f>'EOP Depn Exp Adj'!D51</f>
        <v>0.2162</v>
      </c>
      <c r="H298" s="711">
        <f t="shared" si="18"/>
        <v>16284.7245</v>
      </c>
      <c r="I298" s="1"/>
      <c r="K298" s="103">
        <f t="shared" si="17"/>
        <v>0</v>
      </c>
      <c r="L298" s="72">
        <f t="shared" si="20"/>
        <v>0.2162</v>
      </c>
      <c r="M298" s="184">
        <f t="shared" si="19"/>
        <v>0</v>
      </c>
      <c r="N298" s="184"/>
      <c r="O298" s="184"/>
      <c r="R298" s="107"/>
      <c r="S298" s="107"/>
      <c r="T298" s="107"/>
      <c r="U298" s="107"/>
      <c r="V298" s="107"/>
      <c r="W298" s="107"/>
      <c r="X298" s="107"/>
      <c r="Y298" s="107"/>
      <c r="Z298" s="107"/>
      <c r="AA298" s="107"/>
      <c r="AB298" s="107"/>
      <c r="AC298" s="107"/>
      <c r="AD298" s="720"/>
      <c r="AE298" s="720"/>
    </row>
    <row r="299" spans="1:35" outlineLevel="1">
      <c r="A299" s="545">
        <f>MAX($A$10:A298)+1</f>
        <v>290</v>
      </c>
      <c r="B299" s="716"/>
      <c r="C299" s="716"/>
      <c r="D299" s="716"/>
      <c r="E299" s="2" t="s">
        <v>2253</v>
      </c>
      <c r="F299" s="103">
        <f>F259</f>
        <v>398580.42</v>
      </c>
      <c r="G299" s="557" t="s">
        <v>2251</v>
      </c>
      <c r="H299" s="711">
        <f>F299/58*12</f>
        <v>82464.914482758613</v>
      </c>
      <c r="I299" s="1"/>
      <c r="K299" s="103">
        <f>J259</f>
        <v>0</v>
      </c>
      <c r="L299" s="434" t="s">
        <v>2251</v>
      </c>
      <c r="M299" s="184">
        <v>0</v>
      </c>
      <c r="N299" s="184"/>
      <c r="O299" s="184"/>
      <c r="R299" s="107"/>
      <c r="S299" s="107"/>
      <c r="T299" s="107"/>
      <c r="U299" s="107"/>
      <c r="V299" s="107"/>
      <c r="W299" s="107"/>
      <c r="X299" s="107"/>
      <c r="Y299" s="107"/>
      <c r="Z299" s="107"/>
      <c r="AA299" s="107"/>
      <c r="AB299" s="107"/>
      <c r="AC299" s="107"/>
      <c r="AD299" s="720"/>
      <c r="AE299" s="720"/>
    </row>
    <row r="300" spans="1:35" outlineLevel="1">
      <c r="A300" s="545">
        <f>MAX($A$10:A299)+1</f>
        <v>291</v>
      </c>
      <c r="B300" s="716"/>
      <c r="C300" s="716"/>
      <c r="D300" s="716"/>
      <c r="E300" s="2">
        <v>397.4</v>
      </c>
      <c r="F300" s="103">
        <f>+SUMIF($E$10:$E$259,E300,$G$10:$G$259)-F299</f>
        <v>0</v>
      </c>
      <c r="G300" s="557">
        <f>'EOP Depn Exp Adj'!D49</f>
        <v>6.9900000000000004E-2</v>
      </c>
      <c r="H300" s="711">
        <f>+F300*G300</f>
        <v>0</v>
      </c>
      <c r="I300" s="1"/>
      <c r="K300" s="103">
        <f>+SUMIF($E$10:$E$259,E300,$J$10:$J$259)-K299</f>
        <v>0</v>
      </c>
      <c r="L300" s="72">
        <f>+G300</f>
        <v>6.9900000000000004E-2</v>
      </c>
      <c r="M300" s="184">
        <f>+K300*L300</f>
        <v>0</v>
      </c>
      <c r="N300" s="184"/>
      <c r="O300" s="184"/>
      <c r="R300" s="107"/>
      <c r="S300" s="107"/>
      <c r="T300" s="107"/>
      <c r="U300" s="107"/>
      <c r="V300" s="107"/>
      <c r="W300" s="107"/>
      <c r="X300" s="107"/>
      <c r="Y300" s="107"/>
      <c r="Z300" s="107"/>
      <c r="AA300" s="107"/>
      <c r="AB300" s="107"/>
      <c r="AC300" s="107"/>
      <c r="AD300" s="720"/>
      <c r="AE300" s="720"/>
    </row>
    <row r="301" spans="1:35" outlineLevel="1">
      <c r="A301" s="545">
        <f>MAX($A$10:A300)+1</f>
        <v>292</v>
      </c>
      <c r="B301" s="716"/>
      <c r="C301" s="716"/>
      <c r="D301" s="716"/>
      <c r="E301" s="562">
        <v>398</v>
      </c>
      <c r="F301" s="103">
        <f>+SUMIF($E$10:$E$259,E301,$G$10:$G$259)</f>
        <v>2008.6000000000001</v>
      </c>
      <c r="G301" s="558">
        <f>'EOP Depn Exp Adj'!D52</f>
        <v>4.3499999999999997E-2</v>
      </c>
      <c r="H301" s="711">
        <f>+F301*G301</f>
        <v>87.374099999999999</v>
      </c>
      <c r="I301" s="1"/>
      <c r="K301" s="103">
        <f>+SUMIF($E$10:$E$259,E301,$J$10:$J$259)</f>
        <v>4026.4</v>
      </c>
      <c r="L301" s="741">
        <f>+G301</f>
        <v>4.3499999999999997E-2</v>
      </c>
      <c r="M301" s="184">
        <f>+K301*L301</f>
        <v>175.14839999999998</v>
      </c>
      <c r="N301" s="184"/>
      <c r="O301" s="184"/>
      <c r="R301" s="107"/>
      <c r="S301" s="107"/>
      <c r="T301" s="107"/>
      <c r="U301" s="107"/>
      <c r="V301" s="107"/>
      <c r="W301" s="107"/>
      <c r="X301" s="107"/>
      <c r="Y301" s="107"/>
      <c r="Z301" s="107"/>
      <c r="AA301" s="107"/>
      <c r="AB301" s="107"/>
      <c r="AC301" s="107"/>
      <c r="AD301" s="720"/>
      <c r="AE301" s="720"/>
    </row>
    <row r="302" spans="1:35" outlineLevel="1">
      <c r="A302" s="545">
        <f>MAX($A$10:A301)+1</f>
        <v>293</v>
      </c>
      <c r="B302" s="716"/>
      <c r="C302" s="716"/>
      <c r="D302" s="716"/>
      <c r="E302" s="742" t="s">
        <v>2254</v>
      </c>
      <c r="F302" s="495">
        <f>SUM(F266:F301)</f>
        <v>70238276.422495022</v>
      </c>
      <c r="G302" s="743"/>
      <c r="H302" s="713">
        <f>SUM(H266:H301)</f>
        <v>2710958.1242707041</v>
      </c>
      <c r="I302" s="1"/>
      <c r="K302" s="495">
        <f>SUM(K266:K301)</f>
        <v>42620458.283809103</v>
      </c>
      <c r="L302" s="506"/>
      <c r="M302" s="744">
        <f>SUM(M266:M301)</f>
        <v>2079157.040886045</v>
      </c>
      <c r="N302" s="42"/>
      <c r="O302" s="42"/>
      <c r="AD302" s="105"/>
      <c r="AE302" s="720"/>
      <c r="AG302" s="105"/>
      <c r="AH302" s="105"/>
    </row>
    <row r="303" spans="1:35" outlineLevel="1">
      <c r="B303" s="716"/>
      <c r="C303" s="716"/>
      <c r="D303" s="716"/>
      <c r="E303" s="561"/>
      <c r="F303" s="103"/>
      <c r="G303" s="103"/>
      <c r="H303" s="103"/>
      <c r="I303" s="718"/>
      <c r="J303" s="103"/>
      <c r="K303" s="103"/>
      <c r="L303" s="103"/>
      <c r="M303" s="716"/>
      <c r="N303"/>
      <c r="O303"/>
      <c r="P303"/>
      <c r="Q303"/>
      <c r="AE303" s="105"/>
      <c r="AF303" s="105"/>
      <c r="AI303" s="105"/>
    </row>
    <row r="304" spans="1:35" outlineLevel="1">
      <c r="B304" s="716"/>
      <c r="C304" s="716"/>
      <c r="D304" s="716"/>
      <c r="E304" s="561"/>
      <c r="F304" s="103"/>
      <c r="G304" s="103"/>
      <c r="H304" s="103"/>
      <c r="I304" s="718"/>
      <c r="J304" s="103"/>
      <c r="K304" s="103"/>
      <c r="L304" s="103"/>
      <c r="M304" s="716"/>
      <c r="N304"/>
      <c r="O304"/>
      <c r="P304"/>
      <c r="Q304"/>
    </row>
    <row r="306" spans="2:17">
      <c r="B306" s="5"/>
      <c r="N306"/>
      <c r="O306"/>
      <c r="P306"/>
      <c r="Q306"/>
    </row>
    <row r="318" spans="2:17">
      <c r="E318"/>
      <c r="N318"/>
      <c r="O318"/>
      <c r="P318"/>
      <c r="Q318"/>
    </row>
    <row r="319" spans="2:17">
      <c r="E319"/>
      <c r="N319"/>
      <c r="O319"/>
      <c r="P319"/>
      <c r="Q319"/>
    </row>
    <row r="320" spans="2:17">
      <c r="E320"/>
      <c r="N320"/>
      <c r="O320"/>
      <c r="P320"/>
      <c r="Q320"/>
    </row>
    <row r="321" spans="5:17">
      <c r="E321"/>
      <c r="N321"/>
      <c r="O321"/>
      <c r="P321"/>
      <c r="Q321"/>
    </row>
    <row r="322" spans="5:17">
      <c r="E322"/>
      <c r="N322"/>
      <c r="O322"/>
      <c r="P322"/>
      <c r="Q322"/>
    </row>
    <row r="323" spans="5:17">
      <c r="E323"/>
      <c r="N323"/>
      <c r="O323"/>
      <c r="P323"/>
      <c r="Q323"/>
    </row>
    <row r="324" spans="5:17">
      <c r="E324"/>
      <c r="N324"/>
      <c r="O324"/>
      <c r="P324"/>
      <c r="Q324"/>
    </row>
    <row r="325" spans="5:17">
      <c r="E325"/>
      <c r="N325"/>
      <c r="O325"/>
      <c r="P325"/>
      <c r="Q325"/>
    </row>
    <row r="326" spans="5:17">
      <c r="E326"/>
      <c r="N326"/>
      <c r="O326"/>
      <c r="P326"/>
      <c r="Q326"/>
    </row>
    <row r="327" spans="5:17">
      <c r="E327"/>
      <c r="N327"/>
      <c r="O327"/>
      <c r="P327"/>
      <c r="Q327"/>
    </row>
    <row r="328" spans="5:17">
      <c r="E328"/>
      <c r="N328"/>
      <c r="O328"/>
      <c r="P328"/>
      <c r="Q328"/>
    </row>
    <row r="329" spans="5:17">
      <c r="E329"/>
      <c r="N329"/>
      <c r="O329"/>
      <c r="P329"/>
      <c r="Q329"/>
    </row>
    <row r="330" spans="5:17">
      <c r="E330"/>
      <c r="N330"/>
      <c r="O330"/>
      <c r="P330"/>
      <c r="Q330"/>
    </row>
    <row r="331" spans="5:17">
      <c r="E331"/>
      <c r="N331"/>
      <c r="O331"/>
      <c r="P331"/>
      <c r="Q331"/>
    </row>
    <row r="332" spans="5:17">
      <c r="E332"/>
      <c r="N332"/>
      <c r="O332"/>
      <c r="P332"/>
      <c r="Q332"/>
    </row>
    <row r="333" spans="5:17">
      <c r="E333"/>
      <c r="N333"/>
      <c r="O333"/>
      <c r="P333"/>
      <c r="Q333"/>
    </row>
    <row r="334" spans="5:17">
      <c r="E334"/>
      <c r="N334"/>
      <c r="O334"/>
      <c r="P334"/>
      <c r="Q334"/>
    </row>
    <row r="335" spans="5:17">
      <c r="E335"/>
      <c r="N335"/>
      <c r="O335"/>
      <c r="P335"/>
      <c r="Q335"/>
    </row>
    <row r="336" spans="5:17">
      <c r="E336"/>
      <c r="N336"/>
      <c r="O336"/>
      <c r="P336"/>
      <c r="Q336"/>
    </row>
    <row r="337" spans="5:17">
      <c r="E337"/>
      <c r="N337"/>
      <c r="O337"/>
      <c r="P337"/>
      <c r="Q337"/>
    </row>
    <row r="338" spans="5:17">
      <c r="E338"/>
      <c r="N338"/>
      <c r="O338"/>
      <c r="P338"/>
      <c r="Q338"/>
    </row>
    <row r="339" spans="5:17">
      <c r="E339"/>
      <c r="N339"/>
      <c r="O339"/>
      <c r="P339"/>
      <c r="Q339"/>
    </row>
    <row r="340" spans="5:17">
      <c r="E340"/>
      <c r="N340"/>
      <c r="O340"/>
      <c r="P340"/>
      <c r="Q340"/>
    </row>
    <row r="341" spans="5:17">
      <c r="E341"/>
      <c r="N341"/>
      <c r="O341"/>
      <c r="P341"/>
      <c r="Q341"/>
    </row>
    <row r="342" spans="5:17">
      <c r="E342"/>
      <c r="N342"/>
      <c r="O342"/>
      <c r="P342"/>
      <c r="Q342"/>
    </row>
    <row r="343" spans="5:17">
      <c r="E343"/>
      <c r="N343"/>
      <c r="O343"/>
      <c r="P343"/>
      <c r="Q343"/>
    </row>
    <row r="344" spans="5:17">
      <c r="E344"/>
      <c r="N344"/>
      <c r="O344"/>
      <c r="P344"/>
      <c r="Q344"/>
    </row>
    <row r="345" spans="5:17">
      <c r="E345"/>
      <c r="N345"/>
      <c r="O345"/>
      <c r="P345"/>
      <c r="Q345"/>
    </row>
    <row r="346" spans="5:17">
      <c r="E346"/>
      <c r="N346"/>
      <c r="O346"/>
      <c r="P346"/>
      <c r="Q346"/>
    </row>
    <row r="347" spans="5:17">
      <c r="E347"/>
      <c r="N347"/>
      <c r="O347"/>
      <c r="P347"/>
      <c r="Q347"/>
    </row>
    <row r="348" spans="5:17">
      <c r="E348"/>
      <c r="N348"/>
      <c r="O348"/>
      <c r="P348"/>
      <c r="Q348"/>
    </row>
    <row r="349" spans="5:17">
      <c r="E349"/>
      <c r="N349"/>
      <c r="O349"/>
      <c r="P349"/>
      <c r="Q349"/>
    </row>
    <row r="350" spans="5:17">
      <c r="E350"/>
      <c r="N350"/>
      <c r="O350"/>
      <c r="P350"/>
      <c r="Q350"/>
    </row>
    <row r="351" spans="5:17">
      <c r="E351"/>
      <c r="N351"/>
      <c r="O351"/>
      <c r="P351"/>
      <c r="Q351"/>
    </row>
    <row r="352" spans="5:17">
      <c r="E352"/>
      <c r="N352"/>
      <c r="O352"/>
      <c r="P352"/>
      <c r="Q352"/>
    </row>
    <row r="353" spans="5:17">
      <c r="E353"/>
      <c r="N353"/>
      <c r="O353"/>
      <c r="P353"/>
      <c r="Q353"/>
    </row>
    <row r="354" spans="5:17">
      <c r="E354"/>
      <c r="N354"/>
      <c r="O354"/>
      <c r="P354"/>
      <c r="Q354"/>
    </row>
    <row r="355" spans="5:17">
      <c r="E355"/>
      <c r="N355"/>
      <c r="O355"/>
      <c r="P355"/>
      <c r="Q355"/>
    </row>
    <row r="356" spans="5:17">
      <c r="E356"/>
      <c r="N356"/>
      <c r="O356"/>
      <c r="P356"/>
      <c r="Q356"/>
    </row>
    <row r="357" spans="5:17">
      <c r="E357"/>
      <c r="N357"/>
      <c r="O357"/>
      <c r="P357"/>
      <c r="Q357"/>
    </row>
    <row r="358" spans="5:17">
      <c r="E358"/>
      <c r="N358"/>
      <c r="O358"/>
      <c r="P358"/>
      <c r="Q358"/>
    </row>
    <row r="359" spans="5:17">
      <c r="E359"/>
      <c r="N359"/>
      <c r="O359"/>
      <c r="P359"/>
      <c r="Q359"/>
    </row>
    <row r="360" spans="5:17">
      <c r="E360"/>
      <c r="N360"/>
      <c r="O360"/>
      <c r="P360"/>
      <c r="Q360"/>
    </row>
    <row r="361" spans="5:17">
      <c r="E361"/>
      <c r="N361"/>
      <c r="O361"/>
      <c r="P361"/>
      <c r="Q361"/>
    </row>
    <row r="362" spans="5:17">
      <c r="E362"/>
      <c r="N362"/>
      <c r="O362"/>
      <c r="P362"/>
      <c r="Q362"/>
    </row>
    <row r="363" spans="5:17">
      <c r="E363"/>
      <c r="N363"/>
      <c r="O363"/>
      <c r="P363"/>
      <c r="Q363"/>
    </row>
    <row r="364" spans="5:17">
      <c r="E364"/>
      <c r="N364"/>
      <c r="O364"/>
      <c r="P364"/>
      <c r="Q364"/>
    </row>
    <row r="365" spans="5:17">
      <c r="E365"/>
      <c r="N365"/>
      <c r="O365"/>
      <c r="P365"/>
      <c r="Q365"/>
    </row>
    <row r="366" spans="5:17">
      <c r="E366"/>
      <c r="N366"/>
      <c r="O366"/>
      <c r="P366"/>
      <c r="Q366"/>
    </row>
    <row r="367" spans="5:17">
      <c r="E367"/>
      <c r="N367"/>
      <c r="O367"/>
      <c r="P367"/>
      <c r="Q367"/>
    </row>
    <row r="368" spans="5:17">
      <c r="E368"/>
      <c r="N368"/>
      <c r="O368"/>
      <c r="P368"/>
      <c r="Q368"/>
    </row>
    <row r="1048576" spans="14:17">
      <c r="N1048576"/>
      <c r="O1048576"/>
      <c r="P1048576"/>
      <c r="Q1048576"/>
    </row>
  </sheetData>
  <mergeCells count="6">
    <mergeCell ref="A6:L6"/>
    <mergeCell ref="A1:L1"/>
    <mergeCell ref="A2:L2"/>
    <mergeCell ref="A3:L3"/>
    <mergeCell ref="A4:L4"/>
    <mergeCell ref="A5:L5"/>
  </mergeCells>
  <dataValidations count="2">
    <dataValidation type="list" allowBlank="1" showInputMessage="1" showErrorMessage="1" sqref="AF9:AF10" xr:uid="{2E274BAB-C42A-442F-B341-2AB93A833534}">
      <formula1>"Yes, No"</formula1>
    </dataValidation>
    <dataValidation type="list" allowBlank="1" showInputMessage="1" showErrorMessage="1" sqref="AL11:AL12 AL18:AL21 AL33" xr:uid="{23531BDF-5962-4B77-A3B5-BBF8F2FE132F}">
      <formula1>$AI$8:$AJ$8</formula1>
    </dataValidation>
  </dataValidations>
  <pageMargins left="0.7" right="0.7" top="0.75" bottom="0.75" header="0.3" footer="0.3"/>
  <pageSetup scale="47" fitToHeight="0" orientation="landscape" useFirstPageNumber="1" r:id="rId1"/>
  <headerFooter scaleWithDoc="0" alignWithMargins="0">
    <oddHeader>&amp;RPage &amp;P of &amp;N</oddHeader>
    <oddFooter>&amp;LElectronic Tab Name: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519F-FA22-4D80-8314-96FFB9766915}">
  <sheetPr codeName="Sheet44"/>
  <dimension ref="A1:AE158"/>
  <sheetViews>
    <sheetView view="pageBreakPreview" zoomScale="60" zoomScaleNormal="100" workbookViewId="0">
      <selection sqref="A1:C1"/>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8" width="16.140625" style="53" customWidth="1"/>
    <col min="9" max="10" width="12" style="53" bestFit="1" customWidth="1"/>
    <col min="11" max="12" width="14.85546875" style="53" customWidth="1"/>
    <col min="13" max="13" width="12" style="53" bestFit="1" customWidth="1"/>
    <col min="14" max="14" width="8" style="53" bestFit="1" customWidth="1"/>
    <col min="15" max="16" width="9" style="53" bestFit="1" customWidth="1"/>
    <col min="17" max="18" width="10" style="53" bestFit="1" customWidth="1"/>
    <col min="19" max="19" width="8.5703125" bestFit="1" customWidth="1"/>
    <col min="20" max="23" width="9" style="53" bestFit="1" customWidth="1"/>
    <col min="24"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c r="F10" s="53" t="s">
        <v>4141</v>
      </c>
      <c r="J10" s="53" t="s">
        <v>4141</v>
      </c>
    </row>
    <row r="11" spans="1:31" outlineLevel="1">
      <c r="A11" s="124">
        <f>MAX($A$10:A10)+1</f>
        <v>2</v>
      </c>
      <c r="B11" s="53" t="s">
        <v>1701</v>
      </c>
      <c r="C11" s="745">
        <f>+'24-25 Plant Additions (Descr.)'!G262</f>
        <v>87087505.425510809</v>
      </c>
      <c r="D11" s="449"/>
      <c r="G11" s="53" t="s">
        <v>4179</v>
      </c>
      <c r="H11" s="53" t="s">
        <v>4180</v>
      </c>
      <c r="K11" s="53" t="s">
        <v>4179</v>
      </c>
      <c r="L11" s="53" t="s">
        <v>4180</v>
      </c>
    </row>
    <row r="12" spans="1:31" outlineLevel="1">
      <c r="A12" s="124">
        <f>MAX($A$10:A11)+1</f>
        <v>3</v>
      </c>
      <c r="B12" s="424" t="s">
        <v>1702</v>
      </c>
      <c r="C12" s="746">
        <f>ROUND(C11*-2.9%,0)</f>
        <v>-2525538</v>
      </c>
      <c r="D12" s="254"/>
      <c r="F12" s="53" t="s">
        <v>4181</v>
      </c>
      <c r="G12" s="135">
        <f>+C13</f>
        <v>84561967.425510809</v>
      </c>
      <c r="H12" s="135">
        <f>+C43</f>
        <v>59984401.582505025</v>
      </c>
      <c r="J12" s="53" t="s">
        <v>4181</v>
      </c>
      <c r="K12" s="135">
        <f>+'Provisional Plant Add (RNG)'!G12</f>
        <v>128104301.35551073</v>
      </c>
      <c r="L12" s="135">
        <f>+'Provisional Plant Add (RNG)'!H12</f>
        <v>86338897.200505003</v>
      </c>
    </row>
    <row r="13" spans="1:31" outlineLevel="1">
      <c r="A13" s="124">
        <f>MAX($A$10:A12)+1</f>
        <v>4</v>
      </c>
      <c r="B13" s="424" t="s">
        <v>1703</v>
      </c>
      <c r="C13" s="745">
        <f>SUM(C11:C12)</f>
        <v>84561967.425510809</v>
      </c>
      <c r="F13" s="53" t="s">
        <v>1515</v>
      </c>
      <c r="G13" s="135">
        <f>+C18</f>
        <v>-32759363.493218899</v>
      </c>
      <c r="H13" s="135">
        <f>+C48</f>
        <v>-34000209.39276915</v>
      </c>
      <c r="J13" s="53" t="s">
        <v>1515</v>
      </c>
      <c r="K13" s="135">
        <f>+'Provisional Plant Add (RNG)'!G13</f>
        <v>-31813400.211167395</v>
      </c>
      <c r="L13" s="135">
        <f>+'Provisional Plant Add (RNG)'!H13</f>
        <v>-34146453.624279551</v>
      </c>
    </row>
    <row r="14" spans="1:31" outlineLevel="1">
      <c r="A14" s="124">
        <f>MAX($A$10:A13)+1</f>
        <v>5</v>
      </c>
      <c r="B14" s="424"/>
      <c r="C14" s="447"/>
      <c r="F14" t="s">
        <v>4182</v>
      </c>
      <c r="G14" s="135">
        <f>+C20</f>
        <v>68761.561904037371</v>
      </c>
      <c r="H14" s="135">
        <f>+C50</f>
        <v>-1767078.8683187142</v>
      </c>
      <c r="J14" t="s">
        <v>4182</v>
      </c>
      <c r="K14" s="135">
        <f>+'Provisional Plant Add (RNG)'!G14</f>
        <v>68761.561904037371</v>
      </c>
      <c r="L14" s="135">
        <f>+'Provisional Plant Add (RNG)'!H14</f>
        <v>-1767078.8683187142</v>
      </c>
    </row>
    <row r="15" spans="1:31" outlineLevel="1">
      <c r="A15" s="124">
        <f>MAX($A$10:A14)+1</f>
        <v>6</v>
      </c>
      <c r="B15" s="424" t="s">
        <v>1704</v>
      </c>
      <c r="C15" s="177">
        <f>-((C31/2)+'EOP Depn Exp Adj'!E55)</f>
        <v>-33754340.743218899</v>
      </c>
      <c r="F15" t="s">
        <v>568</v>
      </c>
      <c r="G15" s="135">
        <f>+SUM(G12:G14)</f>
        <v>51871365.494195946</v>
      </c>
      <c r="H15" s="135">
        <f>+SUM(H12:H14)</f>
        <v>24217113.32141716</v>
      </c>
      <c r="J15" t="s">
        <v>568</v>
      </c>
      <c r="K15" s="135">
        <f>+'Provisional Plant Add (RNG)'!G15</f>
        <v>96359662.706247374</v>
      </c>
      <c r="L15" s="135">
        <f>+'Provisional Plant Add (RNG)'!H15</f>
        <v>50425364.707906738</v>
      </c>
    </row>
    <row r="16" spans="1:31" outlineLevel="1">
      <c r="A16" s="124">
        <f>MAX($A$10:A15)+1</f>
        <v>7</v>
      </c>
      <c r="B16" s="424" t="s">
        <v>1702</v>
      </c>
      <c r="C16" s="747">
        <f>-C12</f>
        <v>2525538</v>
      </c>
    </row>
    <row r="17" spans="1:12" outlineLevel="1">
      <c r="A17" s="124">
        <f>MAX($A$10:A16)+1</f>
        <v>8</v>
      </c>
      <c r="B17" s="424" t="s">
        <v>1705</v>
      </c>
      <c r="C17" s="749">
        <f>'24-25 Cost of Removal'!F101</f>
        <v>-1530560.75</v>
      </c>
      <c r="F17" s="53" t="s">
        <v>4183</v>
      </c>
      <c r="G17" s="135">
        <f>+C31+C34</f>
        <v>3143211.5281557827</v>
      </c>
      <c r="H17" s="135">
        <f>+C61+C64</f>
        <v>2462844.7909447346</v>
      </c>
      <c r="J17" t="s">
        <v>4143</v>
      </c>
      <c r="K17" s="135">
        <f>+'Provisional Plant Add (RNG)'!G17</f>
        <v>3957819.9340527821</v>
      </c>
      <c r="L17" s="135">
        <f>+'Provisional Plant Add (RNG)'!H17</f>
        <v>2975589.2621715344</v>
      </c>
    </row>
    <row r="18" spans="1:12" outlineLevel="1">
      <c r="A18" s="124">
        <f>MAX($A$10:A17)+1</f>
        <v>9</v>
      </c>
      <c r="B18" s="424" t="s">
        <v>1706</v>
      </c>
      <c r="C18" s="747">
        <f>SUM(C15:C17)</f>
        <v>-32759363.493218899</v>
      </c>
    </row>
    <row r="19" spans="1:12" outlineLevel="1">
      <c r="A19" s="124">
        <f>MAX($A$10:A18)+1</f>
        <v>10</v>
      </c>
      <c r="B19" s="424"/>
      <c r="C19" s="447"/>
      <c r="D19" s="216"/>
    </row>
    <row r="20" spans="1:12" outlineLevel="1">
      <c r="A20" s="124">
        <f>MAX($A$10:A19)+1</f>
        <v>11</v>
      </c>
      <c r="B20" s="424" t="s">
        <v>1707</v>
      </c>
      <c r="C20" s="177">
        <f>'24-25 ADIT'!D16</f>
        <v>68761.561904037371</v>
      </c>
    </row>
    <row r="21" spans="1:12" outlineLevel="1">
      <c r="A21" s="124">
        <f>MAX($A$10:A20)+1</f>
        <v>12</v>
      </c>
      <c r="B21" s="60"/>
      <c r="C21" s="60"/>
      <c r="F21" s="53" t="s">
        <v>4142</v>
      </c>
      <c r="G21" s="53" t="s">
        <v>4179</v>
      </c>
      <c r="H21" s="53" t="s">
        <v>4180</v>
      </c>
    </row>
    <row r="22" spans="1:12" outlineLevel="1">
      <c r="A22" s="124">
        <f>MAX($A$10:A21)+1</f>
        <v>13</v>
      </c>
      <c r="B22" s="1403" t="s">
        <v>1708</v>
      </c>
      <c r="C22" s="1403"/>
      <c r="D22"/>
    </row>
    <row r="23" spans="1:12" outlineLevel="1">
      <c r="A23" s="124">
        <f>MAX($A$10:A22)+1</f>
        <v>14</v>
      </c>
      <c r="B23" s="53" t="s">
        <v>1709</v>
      </c>
      <c r="C23" s="565">
        <f>SUM(C110:N110,C115:N115,C122:N122)</f>
        <v>1571477.0432382778</v>
      </c>
      <c r="F23" s="53" t="s">
        <v>568</v>
      </c>
      <c r="G23" s="135">
        <f>+G15-K15</f>
        <v>-44488297.212051429</v>
      </c>
      <c r="H23" s="135">
        <f>+H15-L15</f>
        <v>-26208251.386489578</v>
      </c>
    </row>
    <row r="24" spans="1:12" outlineLevel="1">
      <c r="A24" s="124">
        <f>MAX($A$10:A23)+1</f>
        <v>15</v>
      </c>
      <c r="F24" s="53" t="s">
        <v>4183</v>
      </c>
      <c r="G24" s="135">
        <f>+G17-K17</f>
        <v>-814608.40589699941</v>
      </c>
      <c r="H24" s="135">
        <f>+H17-L17</f>
        <v>-512744.47122679977</v>
      </c>
    </row>
    <row r="25" spans="1:12" outlineLevel="1">
      <c r="A25" s="124">
        <f>MAX($A$10:A24)+1</f>
        <v>16</v>
      </c>
      <c r="B25" s="424" t="s">
        <v>1710</v>
      </c>
      <c r="C25" s="177">
        <f>'Operating Report'!AG54</f>
        <v>66819.203878491579</v>
      </c>
      <c r="D25" s="121"/>
    </row>
    <row r="26" spans="1:12" outlineLevel="1">
      <c r="A26" s="124">
        <f>MAX($A$10:A25)+1</f>
        <v>17</v>
      </c>
      <c r="B26" s="424"/>
      <c r="C26" s="177"/>
    </row>
    <row r="27" spans="1:12" outlineLevel="1">
      <c r="A27" s="124">
        <f>MAX($A$10:A26)+1</f>
        <v>18</v>
      </c>
      <c r="B27" s="53" t="s">
        <v>1711</v>
      </c>
      <c r="C27" s="135">
        <f>'Operating Report'!AG94</f>
        <v>10558.529677620663</v>
      </c>
    </row>
    <row r="28" spans="1:12" outlineLevel="1">
      <c r="A28" s="124">
        <f>MAX($A$10:A27)+1</f>
        <v>19</v>
      </c>
    </row>
    <row r="29" spans="1:12" outlineLevel="1">
      <c r="A29" s="124">
        <f>MAX($A$10:A28)+1</f>
        <v>20</v>
      </c>
      <c r="B29" s="53" t="s">
        <v>1712</v>
      </c>
      <c r="C29" s="177">
        <f>+'24-25 Plant Additions (Descr.)'!H302-'24-25 Plant Additions (Descr.)'!H289-'24-25 Plant Additions (Descr.)'!H295-'24-25 Plant Additions (Descr.)'!H288-'24-25 Plant Additions (Descr.)'!H294</f>
        <v>3015304.3481557826</v>
      </c>
    </row>
    <row r="30" spans="1:12" outlineLevel="1">
      <c r="A30" s="124">
        <f>MAX($A$10:A29)+1</f>
        <v>21</v>
      </c>
      <c r="B30" s="53" t="s">
        <v>1713</v>
      </c>
      <c r="C30" s="214">
        <f>ROUND(C12*0.0306,2)</f>
        <v>-77281.460000000006</v>
      </c>
      <c r="E30" s="121"/>
    </row>
    <row r="31" spans="1:12" outlineLevel="1">
      <c r="A31" s="124">
        <f>MAX($A$10:A30)+1</f>
        <v>22</v>
      </c>
      <c r="B31" s="53" t="s">
        <v>1714</v>
      </c>
      <c r="C31" s="177">
        <f>C29+C30</f>
        <v>2938022.8881557826</v>
      </c>
      <c r="E31" s="121"/>
    </row>
    <row r="32" spans="1:12"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205188.64</v>
      </c>
      <c r="E34" s="121"/>
      <c r="F34" s="112"/>
    </row>
    <row r="35" spans="1:7" outlineLevel="1">
      <c r="A35" s="124">
        <f>MAX($A$10:A34)+1</f>
        <v>26</v>
      </c>
      <c r="C35" s="177"/>
    </row>
    <row r="36" spans="1:7" outlineLevel="1">
      <c r="A36" s="124">
        <f>MAX($A$10:A35)+1</f>
        <v>27</v>
      </c>
      <c r="B36" t="s">
        <v>1716</v>
      </c>
      <c r="C36" s="177">
        <f>-'24-25 Plant Additions (Descr.)'!L10-'24-25 Plant Additions (Descr.)'!L11-'24-25 Plant Additions (Descr.)'!L25-'24-25 Plant Additions (Descr.)'!L240</f>
        <v>-292500</v>
      </c>
      <c r="D36" s="53" t="s">
        <v>1717</v>
      </c>
      <c r="E36" s="121">
        <f>C36-E37</f>
        <v>-280000</v>
      </c>
      <c r="F36" s="121"/>
    </row>
    <row r="37" spans="1:7" outlineLevel="1">
      <c r="A37" s="124">
        <f>MAX($A$10:A36)+1</f>
        <v>28</v>
      </c>
      <c r="C37" s="177"/>
      <c r="D37" s="53" t="s">
        <v>1718</v>
      </c>
      <c r="E37" s="121">
        <f>-'24-25 Plant Additions (Descr.)'!L11</f>
        <v>-12500</v>
      </c>
      <c r="G37" s="121"/>
    </row>
    <row r="38" spans="1:7" outlineLevel="1">
      <c r="A38" s="124">
        <f>MAX($A$10:A37)+1</f>
        <v>29</v>
      </c>
      <c r="B38" s="53" t="s">
        <v>1719</v>
      </c>
      <c r="C38" s="565">
        <f>((C23-SUM(C25,C27,C34,C31,C36))*'Exh JAD-6, Conversion Factor'!$C$33)</f>
        <v>-284888.56587945961</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 (Descr.)'!J262</f>
        <v>61775902.582505025</v>
      </c>
    </row>
    <row r="42" spans="1:7">
      <c r="A42" s="124">
        <f>MAX($A$10:A41)+1</f>
        <v>33</v>
      </c>
      <c r="B42" s="424" t="s">
        <v>1702</v>
      </c>
      <c r="C42" s="746">
        <f>ROUND(C41*-2.9%,0)</f>
        <v>-1791501</v>
      </c>
      <c r="D42" s="254"/>
    </row>
    <row r="43" spans="1:7">
      <c r="A43" s="124">
        <f>MAX($A$10:A42)+1</f>
        <v>34</v>
      </c>
      <c r="B43" s="424" t="s">
        <v>1703</v>
      </c>
      <c r="C43" s="745">
        <f>SUM(C41:C42)</f>
        <v>59984401.582505025</v>
      </c>
    </row>
    <row r="44" spans="1:7">
      <c r="A44" s="124">
        <f>MAX($A$10:A43)+1</f>
        <v>35</v>
      </c>
      <c r="B44" s="424"/>
    </row>
    <row r="45" spans="1:7">
      <c r="A45" s="124">
        <f>MAX($A$10:A44)+1</f>
        <v>36</v>
      </c>
      <c r="B45" s="424" t="s">
        <v>1704</v>
      </c>
      <c r="C45" s="177">
        <f>-((C61/2)+'EOP Depn Exp Adj'!E55+C31)</f>
        <v>-36381998.852769151</v>
      </c>
    </row>
    <row r="46" spans="1:7">
      <c r="A46" s="124">
        <f>MAX($A$10:A45)+1</f>
        <v>37</v>
      </c>
      <c r="B46" s="424" t="s">
        <v>1702</v>
      </c>
      <c r="C46" s="135">
        <f>-C42</f>
        <v>1791501</v>
      </c>
    </row>
    <row r="47" spans="1:7">
      <c r="A47" s="124">
        <f>MAX($A$10:A46)+1</f>
        <v>38</v>
      </c>
      <c r="B47" s="424" t="s">
        <v>1705</v>
      </c>
      <c r="C47" s="256">
        <f>'24-25 Cost of Removal'!H101</f>
        <v>590288.46</v>
      </c>
    </row>
    <row r="48" spans="1:7">
      <c r="A48" s="124">
        <f>MAX($A$10:A47)+1</f>
        <v>39</v>
      </c>
      <c r="B48" s="424" t="s">
        <v>1706</v>
      </c>
      <c r="C48" s="747">
        <f>SUM(C45:C47)</f>
        <v>-34000209.39276915</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 (Descr.)'!M302-'24-25 Plant Additions (Descr.)'!M289-'24-25 Plant Additions (Descr.)'!M295-'24-25 Plant Additions (Descr.)'!M288-'24-25 Plant Additions (Descr.)'!M294</f>
        <v>2372113.2609447348</v>
      </c>
    </row>
    <row r="60" spans="1:6">
      <c r="A60" s="124">
        <f>MAX($A$10:A59)+1</f>
        <v>51</v>
      </c>
      <c r="B60" s="53" t="s">
        <v>1713</v>
      </c>
      <c r="C60" s="214">
        <f>ROUND(C42*0.0306,2)</f>
        <v>-54819.93</v>
      </c>
    </row>
    <row r="61" spans="1:6">
      <c r="A61" s="124">
        <f>MAX($A$10:A60)+1</f>
        <v>52</v>
      </c>
      <c r="B61" s="53" t="s">
        <v>1714</v>
      </c>
      <c r="C61" s="177">
        <f>C59+C60</f>
        <v>2317293.3309447346</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145551.46</v>
      </c>
      <c r="D64"/>
    </row>
    <row r="65" spans="1:26">
      <c r="A65" s="124">
        <f>MAX($A$10:A64)+1</f>
        <v>56</v>
      </c>
      <c r="C65" s="177"/>
    </row>
    <row r="66" spans="1:26">
      <c r="A66" s="124">
        <f>MAX($A$10:A65)+1</f>
        <v>57</v>
      </c>
      <c r="B66" t="s">
        <v>1716</v>
      </c>
      <c r="C66" s="177">
        <f>-'24-25 Plant Additions (Descr.)'!L12-'24-25 Plant Additions (Descr.)'!L21-'24-25 Plant Additions (Descr.)'!L242</f>
        <v>-455000</v>
      </c>
      <c r="D66" s="53" t="s">
        <v>1717</v>
      </c>
      <c r="E66" s="121">
        <f>C66-E67</f>
        <v>-280000</v>
      </c>
    </row>
    <row r="67" spans="1:26">
      <c r="A67" s="124">
        <f>MAX($A$10:A66)+1</f>
        <v>58</v>
      </c>
      <c r="D67" s="53" t="s">
        <v>1718</v>
      </c>
      <c r="E67" s="121">
        <f>-'24-25 Plant Additions (Descr.)'!L21</f>
        <v>-175000</v>
      </c>
      <c r="G67" s="121"/>
    </row>
    <row r="68" spans="1:26">
      <c r="A68" s="124">
        <f>MAX($A$10:A67)+1</f>
        <v>59</v>
      </c>
      <c r="B68" s="53" t="s">
        <v>1719</v>
      </c>
      <c r="C68" s="565">
        <f>((C53-SUM(C55,C57,C64,C61,C66))*'Exh JAD-6, Conversion Factor'!$C$33)</f>
        <v>-12928.159245999468</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Z91"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si="6"/>
        <v>385491.19998866279</v>
      </c>
      <c r="P90" s="227">
        <f t="shared" si="6"/>
        <v>302531.08998857351</v>
      </c>
      <c r="Q90" s="227">
        <f t="shared" si="6"/>
        <v>258359.36310493672</v>
      </c>
      <c r="R90" s="227">
        <f t="shared" si="6"/>
        <v>166989.45714193527</v>
      </c>
      <c r="S90" s="227">
        <f t="shared" si="6"/>
        <v>105889.04837542165</v>
      </c>
      <c r="T90" s="227">
        <f t="shared" si="6"/>
        <v>55094.697291316523</v>
      </c>
      <c r="U90" s="227">
        <f t="shared" si="6"/>
        <v>56920.540896655511</v>
      </c>
      <c r="V90" s="227">
        <f t="shared" si="6"/>
        <v>29875.01268982593</v>
      </c>
      <c r="W90" s="227">
        <f t="shared" si="6"/>
        <v>65064.277468612738</v>
      </c>
      <c r="X90" s="227">
        <f t="shared" si="6"/>
        <v>158403.32068045993</v>
      </c>
      <c r="Y90" s="227">
        <f t="shared" si="6"/>
        <v>297252.83165960899</v>
      </c>
      <c r="Z90" s="227">
        <f t="shared" si="6"/>
        <v>383972.72520805482</v>
      </c>
    </row>
    <row r="91" spans="1:26">
      <c r="A91" s="124">
        <f>MAX($A$10:A90)+1</f>
        <v>82</v>
      </c>
      <c r="B91" s="53" t="s">
        <v>87</v>
      </c>
      <c r="C91" s="227">
        <f t="shared" si="6"/>
        <v>239442.76957331412</v>
      </c>
      <c r="D91" s="227">
        <f t="shared" si="6"/>
        <v>190330.92276753276</v>
      </c>
      <c r="E91" s="227">
        <f t="shared" si="6"/>
        <v>155444.97708893236</v>
      </c>
      <c r="F91" s="227">
        <f t="shared" si="6"/>
        <v>99850.831062116151</v>
      </c>
      <c r="G91" s="227">
        <f t="shared" si="6"/>
        <v>69528.979308284062</v>
      </c>
      <c r="H91" s="227">
        <f t="shared" si="6"/>
        <v>44348.077901978504</v>
      </c>
      <c r="I91" s="227">
        <f t="shared" si="6"/>
        <v>45824.736200325831</v>
      </c>
      <c r="J91" s="227">
        <f t="shared" si="6"/>
        <v>45825.385737094039</v>
      </c>
      <c r="K91" s="227">
        <f t="shared" si="6"/>
        <v>64398.460924924628</v>
      </c>
      <c r="L91" s="227">
        <f t="shared" si="6"/>
        <v>117469.42760722029</v>
      </c>
      <c r="M91" s="227">
        <f t="shared" si="6"/>
        <v>174087.01507093274</v>
      </c>
      <c r="N91" s="227">
        <f t="shared" si="6"/>
        <v>235919.03655076443</v>
      </c>
      <c r="O91" s="227">
        <f t="shared" si="6"/>
        <v>235147.83200249233</v>
      </c>
      <c r="P91" s="227">
        <f t="shared" si="6"/>
        <v>186916.91518425863</v>
      </c>
      <c r="Q91" s="227">
        <f t="shared" si="6"/>
        <v>152656.72637881699</v>
      </c>
      <c r="R91" s="227">
        <f t="shared" si="6"/>
        <v>98059.784765037839</v>
      </c>
      <c r="S91" s="227">
        <f t="shared" si="6"/>
        <v>68281.822728763262</v>
      </c>
      <c r="T91" s="227">
        <f t="shared" si="6"/>
        <v>43552.596684005795</v>
      </c>
      <c r="U91" s="227">
        <f t="shared" si="6"/>
        <v>45002.767837988147</v>
      </c>
      <c r="V91" s="227">
        <f t="shared" si="6"/>
        <v>45003.405723872624</v>
      </c>
      <c r="W91" s="227">
        <f t="shared" si="6"/>
        <v>63243.331580979793</v>
      </c>
      <c r="X91" s="227">
        <f t="shared" si="6"/>
        <v>115362.35267256162</v>
      </c>
      <c r="Y91" s="227">
        <f t="shared" si="6"/>
        <v>170964.37802930168</v>
      </c>
      <c r="Z91" s="227">
        <f t="shared" si="6"/>
        <v>231687.30495344131</v>
      </c>
    </row>
    <row r="92" spans="1:26">
      <c r="A92" s="124">
        <f>MAX($A$10:A91)+1</f>
        <v>83</v>
      </c>
      <c r="B92" s="53" t="s">
        <v>1729</v>
      </c>
      <c r="C92" s="227">
        <f t="shared" ref="C92:Z94" si="7">C$80*C85</f>
        <v>2968.4233870967741</v>
      </c>
      <c r="D92" s="227">
        <f t="shared" si="7"/>
        <v>2768.4435483870966</v>
      </c>
      <c r="E92" s="227">
        <f t="shared" si="7"/>
        <v>2899.541414141414</v>
      </c>
      <c r="F92" s="227">
        <f t="shared" si="7"/>
        <v>2674.0570264765784</v>
      </c>
      <c r="G92" s="227">
        <f t="shared" si="7"/>
        <v>2264.957142857143</v>
      </c>
      <c r="H92" s="227">
        <f t="shared" si="7"/>
        <v>1450.6</v>
      </c>
      <c r="I92" s="227">
        <f t="shared" si="7"/>
        <v>1242.5214723926381</v>
      </c>
      <c r="J92" s="227">
        <f t="shared" si="7"/>
        <v>1189.0245901639344</v>
      </c>
      <c r="K92" s="227">
        <f t="shared" si="7"/>
        <v>1257.3463114754097</v>
      </c>
      <c r="L92" s="227">
        <f t="shared" si="7"/>
        <v>1558.7714285714287</v>
      </c>
      <c r="M92" s="227">
        <f t="shared" si="7"/>
        <v>2270.2576064908721</v>
      </c>
      <c r="N92" s="227">
        <f t="shared" si="7"/>
        <v>2721.0060606060606</v>
      </c>
      <c r="O92" s="227">
        <f t="shared" si="7"/>
        <v>2544.3629032258063</v>
      </c>
      <c r="P92" s="227">
        <f t="shared" si="7"/>
        <v>2372.9516129032259</v>
      </c>
      <c r="Q92" s="227">
        <f t="shared" si="7"/>
        <v>2485.3212121212118</v>
      </c>
      <c r="R92" s="227">
        <f t="shared" si="7"/>
        <v>2292.048879837067</v>
      </c>
      <c r="S92" s="227">
        <f t="shared" si="7"/>
        <v>1941.3918367346939</v>
      </c>
      <c r="T92" s="227">
        <f t="shared" si="7"/>
        <v>1243.3714285714286</v>
      </c>
      <c r="U92" s="227">
        <f t="shared" si="7"/>
        <v>1065.0184049079755</v>
      </c>
      <c r="V92" s="227">
        <f t="shared" si="7"/>
        <v>1019.1639344262295</v>
      </c>
      <c r="W92" s="227">
        <f t="shared" si="7"/>
        <v>1077.7254098360654</v>
      </c>
      <c r="X92" s="227">
        <f t="shared" si="7"/>
        <v>1336.0897959183674</v>
      </c>
      <c r="Y92" s="227">
        <f t="shared" si="7"/>
        <v>1945.9350912778905</v>
      </c>
      <c r="Z92" s="227">
        <f t="shared" si="7"/>
        <v>2332.2909090909088</v>
      </c>
    </row>
    <row r="93" spans="1:26">
      <c r="A93" s="124">
        <f>MAX($A$10:A92)+1</f>
        <v>84</v>
      </c>
      <c r="B93" s="53" t="s">
        <v>1730</v>
      </c>
      <c r="C93" s="227">
        <f t="shared" si="7"/>
        <v>11561.925403225807</v>
      </c>
      <c r="D93" s="227">
        <f t="shared" si="7"/>
        <v>9565.104838709678</v>
      </c>
      <c r="E93" s="227">
        <f t="shared" si="7"/>
        <v>10462.270707070707</v>
      </c>
      <c r="F93" s="227">
        <f t="shared" si="7"/>
        <v>8109.8635437881876</v>
      </c>
      <c r="G93" s="227">
        <f t="shared" si="7"/>
        <v>6412.1</v>
      </c>
      <c r="H93" s="227">
        <f t="shared" si="7"/>
        <v>3953.4428571428571</v>
      </c>
      <c r="I93" s="227">
        <f t="shared" si="7"/>
        <v>3180.6625766871166</v>
      </c>
      <c r="J93" s="227">
        <f t="shared" si="7"/>
        <v>3328.9733606557375</v>
      </c>
      <c r="K93" s="227">
        <f t="shared" si="7"/>
        <v>3472.5881147540981</v>
      </c>
      <c r="L93" s="227">
        <f t="shared" si="7"/>
        <v>4507.9285714285716</v>
      </c>
      <c r="M93" s="227">
        <f t="shared" si="7"/>
        <v>6303.0385395537523</v>
      </c>
      <c r="N93" s="227">
        <f t="shared" si="7"/>
        <v>9025.7292929292926</v>
      </c>
      <c r="O93" s="227">
        <f t="shared" si="7"/>
        <v>9910.2217741935492</v>
      </c>
      <c r="P93" s="227">
        <f t="shared" si="7"/>
        <v>8198.6612903225814</v>
      </c>
      <c r="Q93" s="227">
        <f t="shared" si="7"/>
        <v>8967.6606060606064</v>
      </c>
      <c r="R93" s="227">
        <f t="shared" si="7"/>
        <v>6951.311608961304</v>
      </c>
      <c r="S93" s="227">
        <f t="shared" si="7"/>
        <v>5496.0857142857149</v>
      </c>
      <c r="T93" s="227">
        <f t="shared" si="7"/>
        <v>3388.6653061224488</v>
      </c>
      <c r="U93" s="227">
        <f t="shared" si="7"/>
        <v>2726.282208588957</v>
      </c>
      <c r="V93" s="227">
        <f t="shared" si="7"/>
        <v>2853.405737704918</v>
      </c>
      <c r="W93" s="227">
        <f t="shared" si="7"/>
        <v>2976.5040983606555</v>
      </c>
      <c r="X93" s="227">
        <f t="shared" si="7"/>
        <v>3863.9387755102043</v>
      </c>
      <c r="Y93" s="227">
        <f t="shared" si="7"/>
        <v>5402.6044624746446</v>
      </c>
      <c r="Z93" s="227">
        <f t="shared" si="7"/>
        <v>7736.3393939393936</v>
      </c>
    </row>
    <row r="94" spans="1:26">
      <c r="A94" s="124">
        <f>MAX($A$10:A93)+1</f>
        <v>85</v>
      </c>
      <c r="B94" s="53" t="s">
        <v>1731</v>
      </c>
      <c r="C94" s="227">
        <f t="shared" si="7"/>
        <v>11548.800403225807</v>
      </c>
      <c r="D94" s="227">
        <f t="shared" si="7"/>
        <v>6506.1189516129034</v>
      </c>
      <c r="E94" s="227">
        <f t="shared" si="7"/>
        <v>9960.2222222222226</v>
      </c>
      <c r="F94" s="227">
        <f t="shared" si="7"/>
        <v>5435.9775967413443</v>
      </c>
      <c r="G94" s="227">
        <f t="shared" si="7"/>
        <v>4004.7142857142853</v>
      </c>
      <c r="H94" s="227">
        <f t="shared" si="7"/>
        <v>2302.3142857142857</v>
      </c>
      <c r="I94" s="227">
        <f t="shared" si="7"/>
        <v>1870.7464212678938</v>
      </c>
      <c r="J94" s="227">
        <f t="shared" si="7"/>
        <v>2444.405737704918</v>
      </c>
      <c r="K94" s="227">
        <f t="shared" si="7"/>
        <v>2941.219262295082</v>
      </c>
      <c r="L94" s="227">
        <f t="shared" si="7"/>
        <v>7069.7857142857147</v>
      </c>
      <c r="M94" s="227">
        <f t="shared" si="7"/>
        <v>5475.050709939148</v>
      </c>
      <c r="N94" s="227">
        <f t="shared" si="7"/>
        <v>7451.7474747474753</v>
      </c>
      <c r="O94" s="227">
        <f t="shared" si="7"/>
        <v>9898.9717741935492</v>
      </c>
      <c r="P94" s="227">
        <f t="shared" si="7"/>
        <v>5576.6733870967746</v>
      </c>
      <c r="Q94" s="227">
        <f t="shared" si="7"/>
        <v>8537.3333333333339</v>
      </c>
      <c r="R94" s="227">
        <f t="shared" si="7"/>
        <v>4659.4093686354381</v>
      </c>
      <c r="S94" s="227">
        <f t="shared" si="7"/>
        <v>3432.612244897959</v>
      </c>
      <c r="T94" s="227">
        <f t="shared" si="7"/>
        <v>1973.4122448979592</v>
      </c>
      <c r="U94" s="227">
        <f t="shared" si="7"/>
        <v>1603.4969325153374</v>
      </c>
      <c r="V94" s="227">
        <f t="shared" si="7"/>
        <v>2095.2049180327867</v>
      </c>
      <c r="W94" s="227">
        <f t="shared" si="7"/>
        <v>2521.0450819672133</v>
      </c>
      <c r="X94" s="227">
        <f t="shared" si="7"/>
        <v>6059.8163265306121</v>
      </c>
      <c r="Y94" s="227">
        <f t="shared" si="7"/>
        <v>4692.9006085192696</v>
      </c>
      <c r="Z94" s="227">
        <f t="shared" si="7"/>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8">C97*C78</f>
        <v>17880</v>
      </c>
      <c r="D108" s="566">
        <f t="shared" si="8"/>
        <v>17880</v>
      </c>
      <c r="E108" s="566">
        <f t="shared" si="8"/>
        <v>17880</v>
      </c>
      <c r="F108" s="566">
        <f t="shared" si="8"/>
        <v>17880</v>
      </c>
      <c r="G108" s="566">
        <f t="shared" si="8"/>
        <v>17880</v>
      </c>
      <c r="H108" s="566">
        <f t="shared" si="8"/>
        <v>17880</v>
      </c>
      <c r="I108" s="566">
        <f t="shared" si="8"/>
        <v>17880</v>
      </c>
      <c r="J108" s="566">
        <f t="shared" si="8"/>
        <v>17880</v>
      </c>
      <c r="K108" s="566">
        <f t="shared" si="8"/>
        <v>17880</v>
      </c>
      <c r="L108" s="566">
        <f t="shared" si="8"/>
        <v>17880</v>
      </c>
      <c r="M108" s="566">
        <f t="shared" si="8"/>
        <v>17880</v>
      </c>
      <c r="N108" s="566">
        <f t="shared" si="8"/>
        <v>17880</v>
      </c>
      <c r="O108" s="566">
        <f t="shared" si="8"/>
        <v>35670</v>
      </c>
      <c r="P108" s="566">
        <f t="shared" si="8"/>
        <v>35670</v>
      </c>
      <c r="Q108" s="566">
        <f t="shared" si="8"/>
        <v>35670</v>
      </c>
      <c r="R108" s="566">
        <f t="shared" si="8"/>
        <v>35670</v>
      </c>
      <c r="S108" s="566">
        <f t="shared" si="8"/>
        <v>35670</v>
      </c>
      <c r="T108" s="566">
        <f t="shared" si="8"/>
        <v>35670</v>
      </c>
      <c r="U108" s="566">
        <f t="shared" si="8"/>
        <v>35670</v>
      </c>
      <c r="V108" s="566">
        <f t="shared" si="8"/>
        <v>35670</v>
      </c>
      <c r="W108" s="566">
        <f t="shared" si="8"/>
        <v>35670</v>
      </c>
      <c r="X108" s="566">
        <f t="shared" si="8"/>
        <v>35670</v>
      </c>
      <c r="Y108" s="566">
        <f t="shared" si="8"/>
        <v>35670</v>
      </c>
      <c r="Z108" s="566">
        <f t="shared" si="8"/>
        <v>35670</v>
      </c>
    </row>
    <row r="109" spans="1:26">
      <c r="A109" s="124">
        <f>MAX($A$10:A108)+1</f>
        <v>100</v>
      </c>
      <c r="B109" t="s">
        <v>142</v>
      </c>
      <c r="C109" s="256">
        <f t="shared" ref="C109:Z109" si="9">C90*C98</f>
        <v>138044.88503789133</v>
      </c>
      <c r="D109" s="256">
        <f t="shared" si="9"/>
        <v>108336.76498734298</v>
      </c>
      <c r="E109" s="256">
        <f t="shared" si="9"/>
        <v>92518.813864837168</v>
      </c>
      <c r="F109" s="256">
        <f t="shared" si="9"/>
        <v>59799.13527047127</v>
      </c>
      <c r="G109" s="256">
        <f t="shared" si="9"/>
        <v>37919.001809085894</v>
      </c>
      <c r="H109" s="256">
        <f t="shared" si="9"/>
        <v>19729.48060552586</v>
      </c>
      <c r="I109" s="256">
        <f t="shared" si="9"/>
        <v>20383.317504016934</v>
      </c>
      <c r="J109" s="256">
        <f t="shared" si="9"/>
        <v>10698.279733477324</v>
      </c>
      <c r="K109" s="256">
        <f t="shared" si="9"/>
        <v>23299.599844282468</v>
      </c>
      <c r="L109" s="256">
        <f t="shared" si="9"/>
        <v>56724.428971653375</v>
      </c>
      <c r="M109" s="256">
        <f t="shared" si="9"/>
        <v>106446.61402087827</v>
      </c>
      <c r="N109" s="256">
        <f t="shared" si="9"/>
        <v>137501.11730330199</v>
      </c>
      <c r="O109" s="256">
        <f t="shared" si="9"/>
        <v>169797.3088590063</v>
      </c>
      <c r="P109" s="256">
        <f t="shared" si="9"/>
        <v>133255.86920726698</v>
      </c>
      <c r="Q109" s="256">
        <f t="shared" si="9"/>
        <v>113799.54866683147</v>
      </c>
      <c r="R109" s="256">
        <f t="shared" si="9"/>
        <v>73553.846187308227</v>
      </c>
      <c r="S109" s="256">
        <f t="shared" si="9"/>
        <v>46640.949137921976</v>
      </c>
      <c r="T109" s="256">
        <f t="shared" si="9"/>
        <v>24267.561315906187</v>
      </c>
      <c r="U109" s="256">
        <f t="shared" si="9"/>
        <v>25071.790648749851</v>
      </c>
      <c r="V109" s="256">
        <f t="shared" si="9"/>
        <v>13159.046839487626</v>
      </c>
      <c r="W109" s="256">
        <f t="shared" si="9"/>
        <v>28658.862296599851</v>
      </c>
      <c r="X109" s="256">
        <f t="shared" si="9"/>
        <v>69771.910660122187</v>
      </c>
      <c r="Y109" s="256">
        <f t="shared" si="9"/>
        <v>130930.95476110796</v>
      </c>
      <c r="Z109" s="256">
        <f t="shared" si="9"/>
        <v>169128.4662723919</v>
      </c>
    </row>
    <row r="110" spans="1:26">
      <c r="A110" s="124">
        <f>MAX($A$10:A109)+1</f>
        <v>101</v>
      </c>
      <c r="B110" t="s">
        <v>1734</v>
      </c>
      <c r="C110" s="254">
        <f t="shared" ref="C110:N110" si="10">SUM(C108:C109)</f>
        <v>155924.88503789133</v>
      </c>
      <c r="D110" s="254">
        <f t="shared" si="10"/>
        <v>126216.76498734298</v>
      </c>
      <c r="E110" s="254">
        <f t="shared" si="10"/>
        <v>110398.81386483717</v>
      </c>
      <c r="F110" s="254">
        <f t="shared" si="10"/>
        <v>77679.135270471277</v>
      </c>
      <c r="G110" s="254">
        <f t="shared" si="10"/>
        <v>55799.001809085894</v>
      </c>
      <c r="H110" s="254">
        <f t="shared" si="10"/>
        <v>37609.48060552586</v>
      </c>
      <c r="I110" s="254">
        <f t="shared" si="10"/>
        <v>38263.31750401693</v>
      </c>
      <c r="J110" s="254">
        <f t="shared" si="10"/>
        <v>28578.279733477324</v>
      </c>
      <c r="K110" s="254">
        <f t="shared" si="10"/>
        <v>41179.599844282464</v>
      </c>
      <c r="L110" s="254">
        <f t="shared" si="10"/>
        <v>74604.428971653368</v>
      </c>
      <c r="M110" s="254">
        <f t="shared" si="10"/>
        <v>124326.61402087827</v>
      </c>
      <c r="N110" s="254">
        <f t="shared" si="10"/>
        <v>155381.11730330199</v>
      </c>
      <c r="O110" s="254">
        <f t="shared" ref="O110:Z110" si="11">SUM(O108:O109)</f>
        <v>205467.3088590063</v>
      </c>
      <c r="P110" s="254">
        <f t="shared" si="11"/>
        <v>168925.86920726698</v>
      </c>
      <c r="Q110" s="254">
        <f t="shared" si="11"/>
        <v>149469.54866683146</v>
      </c>
      <c r="R110" s="254">
        <f t="shared" si="11"/>
        <v>109223.84618730823</v>
      </c>
      <c r="S110" s="254">
        <f t="shared" si="11"/>
        <v>82310.949137921969</v>
      </c>
      <c r="T110" s="254">
        <f t="shared" si="11"/>
        <v>59937.56131590619</v>
      </c>
      <c r="U110" s="254">
        <f t="shared" si="11"/>
        <v>60741.790648749855</v>
      </c>
      <c r="V110" s="254">
        <f t="shared" si="11"/>
        <v>48829.046839487622</v>
      </c>
      <c r="W110" s="254">
        <f t="shared" si="11"/>
        <v>64328.862296599851</v>
      </c>
      <c r="X110" s="254">
        <f t="shared" si="11"/>
        <v>105441.91066012219</v>
      </c>
      <c r="Y110" s="254">
        <f t="shared" si="11"/>
        <v>166600.95476110798</v>
      </c>
      <c r="Z110" s="254">
        <f t="shared" si="11"/>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2">C79*C99</f>
        <v>5798</v>
      </c>
      <c r="D113" s="566">
        <f t="shared" si="12"/>
        <v>5798</v>
      </c>
      <c r="E113" s="566">
        <f t="shared" si="12"/>
        <v>5798</v>
      </c>
      <c r="F113" s="566">
        <f t="shared" si="12"/>
        <v>5798</v>
      </c>
      <c r="G113" s="566">
        <f t="shared" si="12"/>
        <v>5798</v>
      </c>
      <c r="H113" s="566">
        <f t="shared" si="12"/>
        <v>5798</v>
      </c>
      <c r="I113" s="566">
        <f t="shared" si="12"/>
        <v>5798</v>
      </c>
      <c r="J113" s="566">
        <f t="shared" si="12"/>
        <v>5798</v>
      </c>
      <c r="K113" s="566">
        <f t="shared" si="12"/>
        <v>5798</v>
      </c>
      <c r="L113" s="566">
        <f t="shared" si="12"/>
        <v>5798</v>
      </c>
      <c r="M113" s="566">
        <f t="shared" si="12"/>
        <v>5798</v>
      </c>
      <c r="N113" s="566">
        <f t="shared" si="12"/>
        <v>5798</v>
      </c>
      <c r="O113" s="566">
        <f t="shared" si="12"/>
        <v>8760</v>
      </c>
      <c r="P113" s="566">
        <f t="shared" si="12"/>
        <v>8760</v>
      </c>
      <c r="Q113" s="566">
        <f t="shared" si="12"/>
        <v>8760</v>
      </c>
      <c r="R113" s="566">
        <f t="shared" si="12"/>
        <v>8760</v>
      </c>
      <c r="S113" s="566">
        <f t="shared" si="12"/>
        <v>8760</v>
      </c>
      <c r="T113" s="566">
        <f t="shared" si="12"/>
        <v>8760</v>
      </c>
      <c r="U113" s="566">
        <f t="shared" si="12"/>
        <v>8760</v>
      </c>
      <c r="V113" s="566">
        <f t="shared" si="12"/>
        <v>8760</v>
      </c>
      <c r="W113" s="566">
        <f t="shared" si="12"/>
        <v>8760</v>
      </c>
      <c r="X113" s="566">
        <f t="shared" si="12"/>
        <v>8760</v>
      </c>
      <c r="Y113" s="566">
        <f t="shared" si="12"/>
        <v>8760</v>
      </c>
      <c r="Z113" s="566">
        <f t="shared" si="12"/>
        <v>8760</v>
      </c>
    </row>
    <row r="114" spans="1:26">
      <c r="A114" s="124">
        <f>MAX($A$10:A113)+1</f>
        <v>105</v>
      </c>
      <c r="B114" t="s">
        <v>142</v>
      </c>
      <c r="C114" s="256">
        <f t="shared" ref="C114:Z114" si="13">C91*C100</f>
        <v>70702.660999608197</v>
      </c>
      <c r="D114" s="256">
        <f t="shared" si="13"/>
        <v>56200.914874797083</v>
      </c>
      <c r="E114" s="256">
        <f t="shared" si="13"/>
        <v>45899.792834819949</v>
      </c>
      <c r="F114" s="256">
        <f t="shared" si="13"/>
        <v>29483.953396021661</v>
      </c>
      <c r="G114" s="256">
        <f t="shared" si="13"/>
        <v>20530.517010150121</v>
      </c>
      <c r="H114" s="256">
        <f t="shared" si="13"/>
        <v>13095.100442896215</v>
      </c>
      <c r="I114" s="256">
        <f t="shared" si="13"/>
        <v>13531.128105232214</v>
      </c>
      <c r="J114" s="256">
        <f t="shared" si="13"/>
        <v>13531.319900449129</v>
      </c>
      <c r="K114" s="256">
        <f t="shared" si="13"/>
        <v>19015.577541911745</v>
      </c>
      <c r="L114" s="256">
        <f t="shared" si="13"/>
        <v>34686.372583860015</v>
      </c>
      <c r="M114" s="256">
        <f t="shared" si="13"/>
        <v>51404.41381014503</v>
      </c>
      <c r="N114" s="256">
        <f t="shared" si="13"/>
        <v>69662.17311270973</v>
      </c>
      <c r="O114" s="256">
        <f t="shared" si="13"/>
        <v>76813.390801934147</v>
      </c>
      <c r="P114" s="256">
        <f t="shared" si="13"/>
        <v>61058.279514089925</v>
      </c>
      <c r="Q114" s="256">
        <f t="shared" si="13"/>
        <v>49866.846238904363</v>
      </c>
      <c r="R114" s="256">
        <f t="shared" si="13"/>
        <v>32032.209291347262</v>
      </c>
      <c r="S114" s="256">
        <f t="shared" si="13"/>
        <v>22304.940212577807</v>
      </c>
      <c r="T114" s="256">
        <f t="shared" si="13"/>
        <v>14226.891232797334</v>
      </c>
      <c r="U114" s="256">
        <f t="shared" si="13"/>
        <v>14700.604141957208</v>
      </c>
      <c r="V114" s="256">
        <f t="shared" si="13"/>
        <v>14700.812513760231</v>
      </c>
      <c r="W114" s="256">
        <f t="shared" si="13"/>
        <v>20659.066694242858</v>
      </c>
      <c r="X114" s="256">
        <f t="shared" si="13"/>
        <v>37684.266124018985</v>
      </c>
      <c r="Y114" s="256">
        <f t="shared" si="13"/>
        <v>55847.223727051685</v>
      </c>
      <c r="Z114" s="256">
        <f t="shared" si="13"/>
        <v>75682.975036091142</v>
      </c>
    </row>
    <row r="115" spans="1:26">
      <c r="A115" s="124">
        <f>MAX($A$10:A114)+1</f>
        <v>106</v>
      </c>
      <c r="B115" t="s">
        <v>1735</v>
      </c>
      <c r="C115" s="254">
        <f t="shared" ref="C115:N115" si="14">SUM(C113:C114)</f>
        <v>76500.660999608197</v>
      </c>
      <c r="D115" s="254">
        <f t="shared" si="14"/>
        <v>61998.914874797083</v>
      </c>
      <c r="E115" s="254">
        <f t="shared" si="14"/>
        <v>51697.792834819949</v>
      </c>
      <c r="F115" s="254">
        <f t="shared" si="14"/>
        <v>35281.953396021665</v>
      </c>
      <c r="G115" s="254">
        <f t="shared" si="14"/>
        <v>26328.517010150121</v>
      </c>
      <c r="H115" s="254">
        <f t="shared" si="14"/>
        <v>18893.100442896215</v>
      </c>
      <c r="I115" s="254">
        <f t="shared" si="14"/>
        <v>19329.128105232216</v>
      </c>
      <c r="J115" s="254">
        <f t="shared" si="14"/>
        <v>19329.319900449129</v>
      </c>
      <c r="K115" s="254">
        <f t="shared" si="14"/>
        <v>24813.577541911745</v>
      </c>
      <c r="L115" s="254">
        <f t="shared" si="14"/>
        <v>40484.372583860015</v>
      </c>
      <c r="M115" s="254">
        <f t="shared" si="14"/>
        <v>57202.41381014503</v>
      </c>
      <c r="N115" s="254">
        <f t="shared" si="14"/>
        <v>75460.17311270973</v>
      </c>
      <c r="O115" s="254">
        <f t="shared" ref="O115:Z115" si="15">SUM(O113:O114)</f>
        <v>85573.390801934147</v>
      </c>
      <c r="P115" s="254">
        <f t="shared" si="15"/>
        <v>69818.279514089925</v>
      </c>
      <c r="Q115" s="254">
        <f t="shared" si="15"/>
        <v>58626.846238904363</v>
      </c>
      <c r="R115" s="254">
        <f t="shared" si="15"/>
        <v>40792.209291347259</v>
      </c>
      <c r="S115" s="254">
        <f t="shared" si="15"/>
        <v>31064.940212577807</v>
      </c>
      <c r="T115" s="254">
        <f t="shared" si="15"/>
        <v>22986.891232797334</v>
      </c>
      <c r="U115" s="254">
        <f t="shared" si="15"/>
        <v>23460.604141957207</v>
      </c>
      <c r="V115" s="254">
        <f t="shared" si="15"/>
        <v>23460.812513760233</v>
      </c>
      <c r="W115" s="254">
        <f t="shared" si="15"/>
        <v>29419.066694242858</v>
      </c>
      <c r="X115" s="254">
        <f t="shared" si="15"/>
        <v>46444.266124018985</v>
      </c>
      <c r="Y115" s="254">
        <f t="shared" si="15"/>
        <v>64607.223727051685</v>
      </c>
      <c r="Z115" s="254">
        <f t="shared" si="15"/>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16">C80*C101</f>
        <v>420</v>
      </c>
      <c r="D118" s="566">
        <f t="shared" si="16"/>
        <v>420</v>
      </c>
      <c r="E118" s="566">
        <f t="shared" si="16"/>
        <v>420</v>
      </c>
      <c r="F118" s="566">
        <f t="shared" si="16"/>
        <v>420</v>
      </c>
      <c r="G118" s="566">
        <f t="shared" si="16"/>
        <v>420</v>
      </c>
      <c r="H118" s="566">
        <f t="shared" si="16"/>
        <v>420</v>
      </c>
      <c r="I118" s="566">
        <f t="shared" si="16"/>
        <v>420</v>
      </c>
      <c r="J118" s="566">
        <f t="shared" si="16"/>
        <v>420</v>
      </c>
      <c r="K118" s="566">
        <f t="shared" si="16"/>
        <v>420</v>
      </c>
      <c r="L118" s="566">
        <f t="shared" si="16"/>
        <v>420</v>
      </c>
      <c r="M118" s="566">
        <f t="shared" si="16"/>
        <v>420</v>
      </c>
      <c r="N118" s="566">
        <f t="shared" si="16"/>
        <v>420</v>
      </c>
      <c r="O118" s="566">
        <f t="shared" si="16"/>
        <v>600</v>
      </c>
      <c r="P118" s="566">
        <f t="shared" si="16"/>
        <v>600</v>
      </c>
      <c r="Q118" s="566">
        <f t="shared" si="16"/>
        <v>600</v>
      </c>
      <c r="R118" s="566">
        <f t="shared" si="16"/>
        <v>600</v>
      </c>
      <c r="S118" s="566">
        <f t="shared" si="16"/>
        <v>600</v>
      </c>
      <c r="T118" s="566">
        <f t="shared" si="16"/>
        <v>600</v>
      </c>
      <c r="U118" s="566">
        <f t="shared" si="16"/>
        <v>600</v>
      </c>
      <c r="V118" s="566">
        <f t="shared" si="16"/>
        <v>600</v>
      </c>
      <c r="W118" s="566">
        <f t="shared" si="16"/>
        <v>600</v>
      </c>
      <c r="X118" s="566">
        <f t="shared" si="16"/>
        <v>600</v>
      </c>
      <c r="Y118" s="566">
        <f t="shared" si="16"/>
        <v>600</v>
      </c>
      <c r="Z118" s="566">
        <f t="shared" si="16"/>
        <v>600</v>
      </c>
    </row>
    <row r="119" spans="1:26">
      <c r="A119" s="124">
        <f>MAX($A$10:A118)+1</f>
        <v>110</v>
      </c>
      <c r="B119" t="s">
        <v>160</v>
      </c>
      <c r="C119" s="227">
        <f t="shared" ref="C119:Z121" si="17">C92*C102</f>
        <v>678.10663854838708</v>
      </c>
      <c r="D119" s="227">
        <f t="shared" si="17"/>
        <v>632.42324419354838</v>
      </c>
      <c r="E119" s="227">
        <f t="shared" si="17"/>
        <v>662.37124064646457</v>
      </c>
      <c r="F119" s="227">
        <f t="shared" si="17"/>
        <v>610.86158712830957</v>
      </c>
      <c r="G119" s="227">
        <f t="shared" si="17"/>
        <v>517.40680971428571</v>
      </c>
      <c r="H119" s="227">
        <f t="shared" si="17"/>
        <v>331.37506400000001</v>
      </c>
      <c r="I119" s="227">
        <f t="shared" si="17"/>
        <v>283.84160515337425</v>
      </c>
      <c r="J119" s="227">
        <f t="shared" si="17"/>
        <v>271.62077737704919</v>
      </c>
      <c r="K119" s="227">
        <f t="shared" si="17"/>
        <v>287.22819139344261</v>
      </c>
      <c r="L119" s="227">
        <f t="shared" si="17"/>
        <v>356.08574514285721</v>
      </c>
      <c r="M119" s="227">
        <f t="shared" si="17"/>
        <v>518.6176476267749</v>
      </c>
      <c r="N119" s="227">
        <f t="shared" si="17"/>
        <v>621.58662448484847</v>
      </c>
      <c r="O119" s="227">
        <f t="shared" si="17"/>
        <v>677.05496854838702</v>
      </c>
      <c r="P119" s="227">
        <f t="shared" si="17"/>
        <v>631.44242419354839</v>
      </c>
      <c r="Q119" s="227">
        <f t="shared" si="17"/>
        <v>661.34397454545444</v>
      </c>
      <c r="R119" s="227">
        <f t="shared" si="17"/>
        <v>609.91420692464351</v>
      </c>
      <c r="S119" s="227">
        <f t="shared" si="17"/>
        <v>516.60436775510209</v>
      </c>
      <c r="T119" s="227">
        <f t="shared" si="17"/>
        <v>330.86113714285716</v>
      </c>
      <c r="U119" s="227">
        <f t="shared" si="17"/>
        <v>283.40139754601228</v>
      </c>
      <c r="V119" s="227">
        <f t="shared" si="17"/>
        <v>271.1995229508197</v>
      </c>
      <c r="W119" s="227">
        <f t="shared" si="17"/>
        <v>286.78273155737702</v>
      </c>
      <c r="X119" s="227">
        <f t="shared" si="17"/>
        <v>355.53349469387757</v>
      </c>
      <c r="Y119" s="227">
        <f t="shared" si="17"/>
        <v>517.81332778904664</v>
      </c>
      <c r="Z119" s="227">
        <f t="shared" si="17"/>
        <v>620.62261090909089</v>
      </c>
    </row>
    <row r="120" spans="1:26">
      <c r="A120" s="124">
        <f>MAX($A$10:A119)+1</f>
        <v>111</v>
      </c>
      <c r="B120" t="s">
        <v>161</v>
      </c>
      <c r="C120" s="227">
        <f t="shared" si="17"/>
        <v>2186.7069515120966</v>
      </c>
      <c r="D120" s="227">
        <f t="shared" si="17"/>
        <v>1809.0482781451612</v>
      </c>
      <c r="E120" s="227">
        <f t="shared" si="17"/>
        <v>1978.7292588282828</v>
      </c>
      <c r="F120" s="227">
        <f t="shared" si="17"/>
        <v>1533.8184920366598</v>
      </c>
      <c r="G120" s="227">
        <f t="shared" si="17"/>
        <v>1212.7204730000001</v>
      </c>
      <c r="H120" s="227">
        <f t="shared" si="17"/>
        <v>747.71464757142849</v>
      </c>
      <c r="I120" s="227">
        <f t="shared" si="17"/>
        <v>601.55871312883437</v>
      </c>
      <c r="J120" s="227">
        <f t="shared" si="17"/>
        <v>629.60873170081959</v>
      </c>
      <c r="K120" s="227">
        <f t="shared" si="17"/>
        <v>656.77059014344252</v>
      </c>
      <c r="L120" s="227">
        <f t="shared" si="17"/>
        <v>852.58453071428573</v>
      </c>
      <c r="M120" s="227">
        <f t="shared" si="17"/>
        <v>1192.093678985801</v>
      </c>
      <c r="N120" s="227">
        <f t="shared" si="17"/>
        <v>1707.0361811717171</v>
      </c>
      <c r="O120" s="227">
        <f t="shared" si="17"/>
        <v>2183.320959072581</v>
      </c>
      <c r="P120" s="227">
        <f t="shared" si="17"/>
        <v>1806.247068870968</v>
      </c>
      <c r="Q120" s="227">
        <f t="shared" si="17"/>
        <v>1975.6653081212123</v>
      </c>
      <c r="R120" s="227">
        <f t="shared" si="17"/>
        <v>1531.443460570265</v>
      </c>
      <c r="S120" s="227">
        <f t="shared" si="17"/>
        <v>1210.8426437142859</v>
      </c>
      <c r="T120" s="227">
        <f t="shared" si="17"/>
        <v>746.55685359183667</v>
      </c>
      <c r="U120" s="227">
        <f t="shared" si="17"/>
        <v>600.62723337423313</v>
      </c>
      <c r="V120" s="227">
        <f t="shared" si="17"/>
        <v>628.6338180737705</v>
      </c>
      <c r="W120" s="227">
        <f t="shared" si="17"/>
        <v>655.75361790983607</v>
      </c>
      <c r="X120" s="227">
        <f t="shared" si="17"/>
        <v>851.26435163265319</v>
      </c>
      <c r="Y120" s="227">
        <f t="shared" si="17"/>
        <v>1190.247789127789</v>
      </c>
      <c r="Z120" s="227">
        <f t="shared" si="17"/>
        <v>1704.3929318787877</v>
      </c>
    </row>
    <row r="121" spans="1:26">
      <c r="A121" s="124">
        <f>MAX($A$10:A120)+1</f>
        <v>112</v>
      </c>
      <c r="B121" t="s">
        <v>162</v>
      </c>
      <c r="C121" s="256">
        <f t="shared" si="17"/>
        <v>2115.6247458669354</v>
      </c>
      <c r="D121" s="256">
        <f t="shared" si="17"/>
        <v>1191.8559307459677</v>
      </c>
      <c r="E121" s="256">
        <f t="shared" si="17"/>
        <v>1824.613108888889</v>
      </c>
      <c r="F121" s="256">
        <f t="shared" si="17"/>
        <v>995.81673594704682</v>
      </c>
      <c r="G121" s="256">
        <f t="shared" si="17"/>
        <v>733.62360999999987</v>
      </c>
      <c r="H121" s="256">
        <f t="shared" si="17"/>
        <v>421.76095399999997</v>
      </c>
      <c r="I121" s="256">
        <f t="shared" si="17"/>
        <v>342.70203691206547</v>
      </c>
      <c r="J121" s="256">
        <f t="shared" si="17"/>
        <v>447.79068709016389</v>
      </c>
      <c r="K121" s="256">
        <f t="shared" si="17"/>
        <v>538.80195665983604</v>
      </c>
      <c r="L121" s="256">
        <f t="shared" si="17"/>
        <v>1295.114045</v>
      </c>
      <c r="M121" s="256">
        <f t="shared" si="17"/>
        <v>1002.9745395537525</v>
      </c>
      <c r="N121" s="256">
        <f t="shared" si="17"/>
        <v>1365.08561989899</v>
      </c>
      <c r="O121" s="256">
        <f t="shared" si="17"/>
        <v>2112.3415868951615</v>
      </c>
      <c r="P121" s="256">
        <f t="shared" si="17"/>
        <v>1190.0063340725808</v>
      </c>
      <c r="Q121" s="256">
        <f t="shared" si="17"/>
        <v>1821.7815600000001</v>
      </c>
      <c r="R121" s="256">
        <f t="shared" si="17"/>
        <v>994.27136517311612</v>
      </c>
      <c r="S121" s="256">
        <f t="shared" si="17"/>
        <v>732.48512693877547</v>
      </c>
      <c r="T121" s="256">
        <f t="shared" si="17"/>
        <v>421.10643893877551</v>
      </c>
      <c r="U121" s="256">
        <f t="shared" si="17"/>
        <v>342.17021042944788</v>
      </c>
      <c r="V121" s="256">
        <f t="shared" si="17"/>
        <v>447.09577745901635</v>
      </c>
      <c r="W121" s="256">
        <f t="shared" si="17"/>
        <v>537.96581004098368</v>
      </c>
      <c r="X121" s="256">
        <f t="shared" si="17"/>
        <v>1293.1042059183674</v>
      </c>
      <c r="Y121" s="256">
        <f t="shared" si="17"/>
        <v>1001.418060851927</v>
      </c>
      <c r="Z121" s="256">
        <f t="shared" si="17"/>
        <v>1362.9671945454547</v>
      </c>
    </row>
    <row r="122" spans="1:26">
      <c r="A122" s="124">
        <f>MAX($A$10:A121)+1</f>
        <v>113</v>
      </c>
      <c r="B122" t="s">
        <v>1736</v>
      </c>
      <c r="C122" s="254">
        <f t="shared" ref="C122:N122" si="18">SUM(C118:C121)</f>
        <v>5400.4383359274198</v>
      </c>
      <c r="D122" s="254">
        <f t="shared" si="18"/>
        <v>4053.327453084677</v>
      </c>
      <c r="E122" s="254">
        <f t="shared" si="18"/>
        <v>4885.713608363636</v>
      </c>
      <c r="F122" s="254">
        <f t="shared" si="18"/>
        <v>3560.4968151120161</v>
      </c>
      <c r="G122" s="254">
        <f t="shared" si="18"/>
        <v>2883.7508927142853</v>
      </c>
      <c r="H122" s="254">
        <f t="shared" si="18"/>
        <v>1920.8506655714286</v>
      </c>
      <c r="I122" s="254">
        <f t="shared" si="18"/>
        <v>1648.1023551942742</v>
      </c>
      <c r="J122" s="254">
        <f t="shared" si="18"/>
        <v>1769.0201961680327</v>
      </c>
      <c r="K122" s="254">
        <f t="shared" si="18"/>
        <v>1902.8007381967209</v>
      </c>
      <c r="L122" s="254">
        <f t="shared" si="18"/>
        <v>2923.784320857143</v>
      </c>
      <c r="M122" s="254">
        <f t="shared" si="18"/>
        <v>3133.6858661663287</v>
      </c>
      <c r="N122" s="254">
        <f t="shared" si="18"/>
        <v>4113.7084255555556</v>
      </c>
      <c r="O122" s="254">
        <f t="shared" ref="O122:Z122" si="19">SUM(O118:O121)</f>
        <v>5572.7175145161291</v>
      </c>
      <c r="P122" s="254">
        <f t="shared" si="19"/>
        <v>4227.6958271370977</v>
      </c>
      <c r="Q122" s="254">
        <f t="shared" si="19"/>
        <v>5058.7908426666672</v>
      </c>
      <c r="R122" s="254">
        <f t="shared" si="19"/>
        <v>3735.6290326680246</v>
      </c>
      <c r="S122" s="254">
        <f t="shared" si="19"/>
        <v>3059.9321384081632</v>
      </c>
      <c r="T122" s="254">
        <f t="shared" si="19"/>
        <v>2098.5244296734695</v>
      </c>
      <c r="U122" s="254">
        <f t="shared" si="19"/>
        <v>1826.1988413496933</v>
      </c>
      <c r="V122" s="254">
        <f t="shared" si="19"/>
        <v>1946.9291184836065</v>
      </c>
      <c r="W122" s="254">
        <f t="shared" si="19"/>
        <v>2080.5021595081967</v>
      </c>
      <c r="X122" s="254">
        <f t="shared" si="19"/>
        <v>3099.9020522448982</v>
      </c>
      <c r="Y122" s="254">
        <f t="shared" si="19"/>
        <v>3309.4791777687624</v>
      </c>
      <c r="Z122" s="254">
        <f t="shared" si="19"/>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10:C10"/>
    <mergeCell ref="B22:C22"/>
    <mergeCell ref="B40:C40"/>
    <mergeCell ref="B52:C52"/>
    <mergeCell ref="B70:Z70"/>
    <mergeCell ref="A6:C6"/>
    <mergeCell ref="A1:C1"/>
    <mergeCell ref="A2:C2"/>
    <mergeCell ref="A3:C3"/>
    <mergeCell ref="A4:C4"/>
    <mergeCell ref="A5:C5"/>
  </mergeCells>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9A4AF-9B9F-4065-91C6-17F0482B9999}">
  <sheetPr codeName="Sheet46">
    <pageSetUpPr fitToPage="1"/>
  </sheetPr>
  <dimension ref="A1:AY1048576"/>
  <sheetViews>
    <sheetView view="pageBreakPreview" zoomScale="70" zoomScaleNormal="100" zoomScaleSheetLayoutView="70" workbookViewId="0">
      <selection sqref="A1:L1"/>
    </sheetView>
  </sheetViews>
  <sheetFormatPr defaultColWidth="9.140625" defaultRowHeight="15" outlineLevelRow="1"/>
  <cols>
    <col min="1" max="1" width="6.28515625" style="2" customWidth="1"/>
    <col min="2" max="2" width="14.140625" style="1" bestFit="1" customWidth="1"/>
    <col min="3" max="3" width="17.42578125" style="1" customWidth="1"/>
    <col min="4" max="4" width="60.140625" style="1" bestFit="1" customWidth="1"/>
    <col min="5" max="5" width="13.5703125" style="2" bestFit="1" customWidth="1"/>
    <col min="6" max="6" width="18.85546875" style="1" bestFit="1" customWidth="1"/>
    <col min="7" max="8" width="18.85546875" style="1" customWidth="1"/>
    <col min="9" max="9" width="16.7109375" style="722" bestFit="1" customWidth="1"/>
    <col min="10" max="12" width="18" style="1" customWidth="1"/>
    <col min="13" max="13" width="15.140625" style="1" bestFit="1" customWidth="1"/>
    <col min="14" max="15" width="15.140625" style="1" customWidth="1"/>
    <col min="16" max="16" width="16.5703125" style="1" bestFit="1" customWidth="1"/>
    <col min="17" max="17" width="16.5703125" style="1" customWidth="1"/>
    <col min="18" max="30" width="18.5703125" style="1" customWidth="1"/>
    <col min="31" max="31" width="15" style="1" bestFit="1" customWidth="1"/>
    <col min="32" max="32" width="15" style="1" customWidth="1"/>
    <col min="33" max="33" width="9.140625" style="1"/>
    <col min="34" max="34" width="13.28515625" style="1" customWidth="1"/>
    <col min="35" max="36" width="16.140625" style="1" customWidth="1"/>
    <col min="37" max="37" width="9.140625" style="1"/>
    <col min="38" max="38" width="10.85546875" style="1" customWidth="1"/>
    <col min="39" max="39" width="9.140625" style="1"/>
    <col min="40" max="40" width="15.28515625" style="1" customWidth="1"/>
    <col min="41" max="41" width="14.7109375" style="1" customWidth="1"/>
    <col min="42" max="42" width="9.140625" style="1" customWidth="1"/>
    <col min="43" max="43" width="9.140625" style="1"/>
    <col min="44" max="44" width="13.5703125" style="1" customWidth="1"/>
    <col min="45" max="45" width="15.140625" style="1" customWidth="1"/>
    <col min="46" max="46" width="11.28515625" style="1" bestFit="1" customWidth="1"/>
    <col min="47" max="48" width="9.140625" style="1"/>
    <col min="49" max="49" width="15.7109375" style="1" customWidth="1"/>
    <col min="50" max="50" width="16.85546875" style="1" bestFit="1" customWidth="1"/>
    <col min="51" max="52" width="9.140625" style="1"/>
    <col min="53" max="53" width="9.7109375" style="1" bestFit="1" customWidth="1"/>
    <col min="54" max="16384" width="9.140625" style="1"/>
  </cols>
  <sheetData>
    <row r="1" spans="1:50">
      <c r="A1" s="1405" t="str">
        <f>Company</f>
        <v>Cascade Natural Gas Corp.</v>
      </c>
      <c r="B1" s="1405"/>
      <c r="C1" s="1405"/>
      <c r="D1" s="1405"/>
      <c r="E1" s="1405"/>
      <c r="F1" s="1405"/>
      <c r="G1" s="1405"/>
      <c r="H1" s="1405"/>
      <c r="I1" s="1405"/>
      <c r="J1" s="1405"/>
      <c r="K1" s="1405"/>
      <c r="L1" s="1405"/>
      <c r="M1" s="1275"/>
      <c r="N1" s="1275"/>
      <c r="O1" s="1275"/>
      <c r="P1" s="1" t="s">
        <v>1737</v>
      </c>
    </row>
    <row r="2" spans="1:50">
      <c r="A2" s="1405" t="str">
        <f>Title1</f>
        <v>Washington Jurisdiction</v>
      </c>
      <c r="B2" s="1405"/>
      <c r="C2" s="1405"/>
      <c r="D2" s="1405"/>
      <c r="E2" s="1405"/>
      <c r="F2" s="1405"/>
      <c r="G2" s="1405"/>
      <c r="H2" s="1405"/>
      <c r="I2" s="1405"/>
      <c r="J2" s="1405"/>
      <c r="K2" s="1405"/>
      <c r="L2" s="1405"/>
      <c r="M2" s="1275"/>
      <c r="N2" s="1275"/>
      <c r="O2" s="1275"/>
    </row>
    <row r="3" spans="1:50">
      <c r="A3" s="1405" t="str">
        <f>Title2</f>
        <v>Twelve-Months ended December 31, 2023</v>
      </c>
      <c r="B3" s="1405"/>
      <c r="C3" s="1405"/>
      <c r="D3" s="1405"/>
      <c r="E3" s="1405"/>
      <c r="F3" s="1405"/>
      <c r="G3" s="1405"/>
      <c r="H3" s="1405"/>
      <c r="I3" s="1405"/>
      <c r="J3" s="1405"/>
      <c r="K3" s="1405"/>
      <c r="L3" s="1405"/>
      <c r="M3" s="1275"/>
      <c r="N3" s="1275"/>
      <c r="O3" s="1275"/>
    </row>
    <row r="4" spans="1:50">
      <c r="A4" s="1405" t="str">
        <f>Title8</f>
        <v>UG-240008</v>
      </c>
      <c r="B4" s="1405"/>
      <c r="C4" s="1405"/>
      <c r="D4" s="1405"/>
      <c r="E4" s="1405"/>
      <c r="F4" s="1405"/>
      <c r="G4" s="1405"/>
      <c r="H4" s="1405"/>
      <c r="I4" s="1405"/>
      <c r="J4" s="1405"/>
      <c r="K4" s="1405"/>
      <c r="L4" s="1405"/>
      <c r="M4" s="1275"/>
      <c r="N4" s="1275"/>
      <c r="O4" s="1266"/>
    </row>
    <row r="5" spans="1:50">
      <c r="A5" s="1405" t="s">
        <v>708</v>
      </c>
      <c r="B5" s="1405"/>
      <c r="C5" s="1405"/>
      <c r="D5" s="1405"/>
      <c r="E5" s="1405"/>
      <c r="F5" s="1405"/>
      <c r="G5" s="1405"/>
      <c r="H5" s="1405"/>
      <c r="I5" s="1405"/>
      <c r="J5" s="1405"/>
      <c r="K5" s="1405"/>
      <c r="L5" s="1405"/>
      <c r="M5" s="1275"/>
      <c r="N5" s="1275"/>
      <c r="O5" s="1275"/>
    </row>
    <row r="6" spans="1:50">
      <c r="A6" s="1405" t="s">
        <v>1738</v>
      </c>
      <c r="B6" s="1405"/>
      <c r="C6" s="1405"/>
      <c r="D6" s="1405"/>
      <c r="E6" s="1405"/>
      <c r="F6" s="1405"/>
      <c r="G6" s="1405"/>
      <c r="H6" s="1405"/>
      <c r="I6" s="1405"/>
      <c r="J6" s="1405"/>
      <c r="K6" s="1405"/>
      <c r="L6" s="1405"/>
      <c r="M6" s="1275"/>
      <c r="N6" s="1275"/>
      <c r="O6" s="1275"/>
    </row>
    <row r="7" spans="1:50">
      <c r="D7" s="1274"/>
      <c r="N7" s="1">
        <v>1</v>
      </c>
      <c r="O7" s="1">
        <v>1</v>
      </c>
      <c r="P7" s="1">
        <v>0</v>
      </c>
      <c r="Q7" s="1">
        <v>0</v>
      </c>
      <c r="R7" s="1266">
        <f>+SUM(R10:R259)</f>
        <v>140193437.58551058</v>
      </c>
      <c r="S7" s="1266">
        <f>+SUM(S10:S259)</f>
        <v>107258633.47050503</v>
      </c>
      <c r="T7" s="1266">
        <f>+SUM(T10:T259)</f>
        <v>70238276.422495037</v>
      </c>
      <c r="U7" s="1266">
        <f>+SUM(U10:U259)</f>
        <v>47923572.6538091</v>
      </c>
    </row>
    <row r="8" spans="1:50" ht="45" outlineLevel="1">
      <c r="A8" s="67" t="s">
        <v>504</v>
      </c>
      <c r="B8" s="725" t="s">
        <v>1739</v>
      </c>
      <c r="C8" s="725" t="s">
        <v>1740</v>
      </c>
      <c r="D8" s="725" t="s">
        <v>1741</v>
      </c>
      <c r="E8" s="104" t="s">
        <v>1742</v>
      </c>
      <c r="F8" s="104" t="s">
        <v>1743</v>
      </c>
      <c r="G8" s="725" t="s">
        <v>1744</v>
      </c>
      <c r="H8" s="725" t="s">
        <v>1745</v>
      </c>
      <c r="I8" s="710" t="s">
        <v>1746</v>
      </c>
      <c r="J8" s="725" t="s">
        <v>1747</v>
      </c>
      <c r="K8" s="725" t="s">
        <v>1748</v>
      </c>
      <c r="L8" s="725" t="s">
        <v>1749</v>
      </c>
      <c r="M8"/>
      <c r="N8" s="1298" t="s">
        <v>4170</v>
      </c>
      <c r="O8" s="1298" t="s">
        <v>4171</v>
      </c>
      <c r="P8" s="1298" t="s">
        <v>4172</v>
      </c>
      <c r="Q8" s="1298" t="s">
        <v>4173</v>
      </c>
      <c r="R8" s="556" t="s">
        <v>4175</v>
      </c>
      <c r="S8" s="556" t="s">
        <v>4176</v>
      </c>
      <c r="T8" s="556" t="s">
        <v>4178</v>
      </c>
      <c r="U8" s="556" t="s">
        <v>4177</v>
      </c>
      <c r="V8" s="556"/>
      <c r="W8" s="556"/>
      <c r="X8" s="556"/>
      <c r="Y8" s="556"/>
      <c r="Z8" s="556"/>
      <c r="AA8" s="556"/>
      <c r="AB8" s="556"/>
      <c r="AC8" s="556"/>
      <c r="AD8" s="556"/>
      <c r="AF8" s="1273" t="s">
        <v>1750</v>
      </c>
      <c r="AL8" s="2"/>
    </row>
    <row r="9" spans="1:50" outlineLevel="1">
      <c r="A9" s="67"/>
      <c r="B9" s="725" t="s">
        <v>439</v>
      </c>
      <c r="C9" s="725" t="s">
        <v>208</v>
      </c>
      <c r="D9" s="725" t="s">
        <v>209</v>
      </c>
      <c r="E9" s="104" t="s">
        <v>440</v>
      </c>
      <c r="F9" s="104" t="s">
        <v>441</v>
      </c>
      <c r="G9" s="725" t="s">
        <v>442</v>
      </c>
      <c r="H9" s="725" t="s">
        <v>443</v>
      </c>
      <c r="I9" s="726" t="s">
        <v>444</v>
      </c>
      <c r="J9" s="725" t="s">
        <v>445</v>
      </c>
      <c r="K9" s="725" t="s">
        <v>446</v>
      </c>
      <c r="L9" s="725" t="s">
        <v>447</v>
      </c>
      <c r="M9"/>
      <c r="N9"/>
      <c r="O9"/>
      <c r="P9"/>
      <c r="Q9"/>
      <c r="AF9" s="1272" t="s">
        <v>1751</v>
      </c>
      <c r="AL9" s="2"/>
    </row>
    <row r="10" spans="1:50" ht="14.25" customHeight="1" outlineLevel="1">
      <c r="A10" s="545">
        <v>1</v>
      </c>
      <c r="B10" s="716" t="s">
        <v>1752</v>
      </c>
      <c r="C10" s="727" t="s">
        <v>1753</v>
      </c>
      <c r="D10" s="727" t="s">
        <v>1754</v>
      </c>
      <c r="E10" s="559">
        <v>303</v>
      </c>
      <c r="F10" s="1302" cm="1">
        <f t="array" ref="F10">+IF(SUM(VALUE(N10:Q10)*$N$7:$Q$7)=0,R10,T10)</f>
        <v>3980874.52</v>
      </c>
      <c r="G10" s="103">
        <f>+F10</f>
        <v>3980874.52</v>
      </c>
      <c r="H10" s="990">
        <v>45657</v>
      </c>
      <c r="I10" s="1302" cm="1">
        <f t="array" ref="I10">+IF(SUM(VALUE(N10:Q10)*$N$7:$Q$7)=0,S10,U10)</f>
        <v>1038161.99</v>
      </c>
      <c r="J10" s="103">
        <f t="shared" ref="J10:J30" si="0">+I10</f>
        <v>1038161.99</v>
      </c>
      <c r="K10" s="575">
        <v>46022</v>
      </c>
      <c r="L10" s="6">
        <v>250000</v>
      </c>
      <c r="M10"/>
      <c r="N10" s="1299">
        <v>0</v>
      </c>
      <c r="O10" s="1300">
        <v>0</v>
      </c>
      <c r="P10" s="1300">
        <v>1</v>
      </c>
      <c r="Q10" s="1300">
        <v>0</v>
      </c>
      <c r="R10" s="1266">
        <v>3980874.52</v>
      </c>
      <c r="S10" s="1266">
        <v>1038161.99</v>
      </c>
      <c r="T10" s="1266">
        <f>+IF($Q10=1,$G10,INDEX([1]Summary!$K$5:$K$110,MATCH($C10,[1]Summary!$D$5:$D111,0)))</f>
        <v>3643178.61</v>
      </c>
      <c r="U10" s="1266">
        <f>+IF($Q10=1,$J10,INDEX([1]Summary!$L$5:$L$110,MATCH($C10,[1]Summary!$D$5:$D111,0)))</f>
        <v>0</v>
      </c>
      <c r="AF10" s="1272"/>
      <c r="AL10" s="2"/>
    </row>
    <row r="11" spans="1:50" outlineLevel="1">
      <c r="A11" s="545">
        <f>MAX($A$10:A10)+1</f>
        <v>2</v>
      </c>
      <c r="B11" s="716" t="s">
        <v>1752</v>
      </c>
      <c r="C11" s="716" t="s">
        <v>1755</v>
      </c>
      <c r="D11" s="716" t="s">
        <v>1756</v>
      </c>
      <c r="E11" s="559">
        <v>303</v>
      </c>
      <c r="F11" s="1302" cm="1">
        <f t="array" ref="F11">+IF(SUM(VALUE(N11:Q11)*$N$7:$Q$7)=0,R11,T11)</f>
        <v>148544.66</v>
      </c>
      <c r="G11" s="103">
        <f>+F11</f>
        <v>148544.66</v>
      </c>
      <c r="H11" s="575">
        <v>45657</v>
      </c>
      <c r="I11" s="1302" cm="1">
        <f t="array" ref="I11">+IF(SUM(VALUE(N11:Q11)*$N$7:$Q$7)=0,S11,U11)</f>
        <v>185337.55</v>
      </c>
      <c r="J11" s="103">
        <f t="shared" si="0"/>
        <v>185337.55</v>
      </c>
      <c r="K11" s="575">
        <v>46022</v>
      </c>
      <c r="L11" s="6">
        <v>12500</v>
      </c>
      <c r="M11"/>
      <c r="N11" s="1299">
        <v>0</v>
      </c>
      <c r="O11" s="1300">
        <v>0</v>
      </c>
      <c r="P11" s="1300">
        <v>1</v>
      </c>
      <c r="Q11" s="1300">
        <v>0</v>
      </c>
      <c r="R11" s="1266">
        <v>148544.66</v>
      </c>
      <c r="S11" s="1266">
        <v>185337.55</v>
      </c>
      <c r="T11" s="1266">
        <f>+IF($Q11=1,$G11,INDEX([1]Summary!$K$5:$K$110,MATCH($C11,[1]Summary!$D$5:$D112,0)))</f>
        <v>89593.503333333341</v>
      </c>
      <c r="U11" s="1266">
        <f>+IF($Q11=1,$J11,INDEX([1]Summary!$L$5:$L$110,MATCH($C11,[1]Summary!$D$5:$D112,0)))</f>
        <v>89593.503333333341</v>
      </c>
      <c r="V11" s="721"/>
      <c r="W11" s="721"/>
      <c r="X11" s="721"/>
      <c r="Y11" s="721"/>
      <c r="Z11" s="721"/>
      <c r="AA11" s="721"/>
      <c r="AB11" s="721"/>
      <c r="AC11" s="721"/>
      <c r="AD11" s="721"/>
      <c r="AF11" s="720"/>
      <c r="AI11" s="105"/>
      <c r="AJ11" s="105"/>
      <c r="AL11" s="2"/>
      <c r="AN11" s="105"/>
      <c r="AO11" s="105"/>
      <c r="AP11" s="105"/>
      <c r="AS11" s="105"/>
      <c r="AT11" s="721"/>
      <c r="AW11" s="105"/>
      <c r="AX11" s="721"/>
    </row>
    <row r="12" spans="1:50" outlineLevel="1">
      <c r="A12" s="545">
        <f>MAX($A$10:A11)+1</f>
        <v>3</v>
      </c>
      <c r="B12" s="716" t="s">
        <v>1752</v>
      </c>
      <c r="C12" s="14" t="s">
        <v>1757</v>
      </c>
      <c r="D12" s="14" t="s">
        <v>1758</v>
      </c>
      <c r="E12" s="559">
        <v>303</v>
      </c>
      <c r="F12" s="1302" cm="1">
        <f t="array" ref="F12">+IF(SUM(VALUE(N12:Q12)*$N$7:$Q$7)=0,R12,T12)</f>
        <v>0</v>
      </c>
      <c r="G12" s="103"/>
      <c r="H12" s="103"/>
      <c r="I12" s="1302" cm="1">
        <f t="array" ref="I12">+IF(SUM(VALUE(N12:Q12)*$N$7:$Q$7)=0,S12,U12)</f>
        <v>2616181.56</v>
      </c>
      <c r="J12" s="103">
        <f t="shared" si="0"/>
        <v>2616181.56</v>
      </c>
      <c r="K12" s="575">
        <v>45839</v>
      </c>
      <c r="L12" s="6">
        <v>20000</v>
      </c>
      <c r="M12"/>
      <c r="N12" s="1299">
        <v>0</v>
      </c>
      <c r="O12" s="1300">
        <v>1</v>
      </c>
      <c r="P12" s="1300">
        <v>0</v>
      </c>
      <c r="Q12" s="1300">
        <v>0</v>
      </c>
      <c r="R12" s="1266">
        <v>0</v>
      </c>
      <c r="S12" s="1266">
        <v>2616181.56</v>
      </c>
      <c r="T12" s="1266">
        <f>+IF($Q12=1,$G12,INDEX([1]Summary!$K$5:$K$110,MATCH($C12,[1]Summary!$D$5:$D113,0)))</f>
        <v>0</v>
      </c>
      <c r="U12" s="1266">
        <f>+IF($Q12=1,$J12,INDEX([1]Summary!$L$5:$L$110,MATCH($C12,[1]Summary!$D$5:$D113,0)))</f>
        <v>2616181.56</v>
      </c>
      <c r="V12" s="721"/>
      <c r="W12" s="721"/>
      <c r="X12" s="721"/>
      <c r="Y12" s="721"/>
      <c r="Z12" s="721"/>
      <c r="AA12" s="721"/>
      <c r="AB12" s="721"/>
      <c r="AC12" s="721"/>
      <c r="AD12" s="721"/>
      <c r="AF12" s="720"/>
      <c r="AI12" s="105"/>
      <c r="AJ12" s="105"/>
      <c r="AL12" s="2"/>
      <c r="AN12" s="105"/>
      <c r="AO12" s="105"/>
      <c r="AP12" s="105"/>
      <c r="AS12" s="105"/>
      <c r="AT12" s="721"/>
      <c r="AW12" s="105"/>
      <c r="AX12" s="721"/>
    </row>
    <row r="13" spans="1:50" outlineLevel="1">
      <c r="A13" s="545">
        <f>MAX($A$10:A12)+1</f>
        <v>4</v>
      </c>
      <c r="B13" s="716" t="s">
        <v>1752</v>
      </c>
      <c r="C13" s="716" t="s">
        <v>1759</v>
      </c>
      <c r="D13" s="716" t="s">
        <v>1760</v>
      </c>
      <c r="E13" s="559">
        <v>303</v>
      </c>
      <c r="F13" s="1302" cm="1">
        <f t="array" ref="F13">+IF(SUM(VALUE(N13:Q13)*$N$7:$Q$7)=0,R13,T13)</f>
        <v>109304.13</v>
      </c>
      <c r="G13" s="103">
        <f>+F13</f>
        <v>109304.13</v>
      </c>
      <c r="H13" s="575">
        <v>45657</v>
      </c>
      <c r="I13" s="1302" cm="1">
        <f t="array" ref="I13">+IF(SUM(VALUE(N13:Q13)*$N$7:$Q$7)=0,S13,U13)</f>
        <v>20571.150000000001</v>
      </c>
      <c r="J13" s="103">
        <f t="shared" si="0"/>
        <v>20571.150000000001</v>
      </c>
      <c r="K13" s="575">
        <v>46022</v>
      </c>
      <c r="L13" s="6"/>
      <c r="M13"/>
      <c r="N13" s="1299">
        <v>0</v>
      </c>
      <c r="O13" s="1300">
        <v>0</v>
      </c>
      <c r="P13" s="1300">
        <v>0</v>
      </c>
      <c r="Q13" s="1300">
        <v>1</v>
      </c>
      <c r="R13" s="1266">
        <v>109304.13</v>
      </c>
      <c r="S13" s="1266">
        <v>20571.150000000001</v>
      </c>
      <c r="T13" s="1266">
        <f>+IF($Q13=1,$G13,INDEX([1]Summary!$K$5:$K$110,MATCH($C13,[1]Summary!$D$5:$D114,0)))</f>
        <v>109304.13</v>
      </c>
      <c r="U13" s="1266">
        <f>+IF($Q13=1,$J13,INDEX([1]Summary!$L$5:$L$110,MATCH($C13,[1]Summary!$D$5:$D114,0)))</f>
        <v>20571.150000000001</v>
      </c>
      <c r="V13" s="721"/>
      <c r="W13" s="721"/>
      <c r="X13" s="721"/>
      <c r="Y13" s="721"/>
      <c r="Z13" s="721"/>
      <c r="AA13" s="721"/>
      <c r="AB13" s="721"/>
      <c r="AC13" s="721"/>
      <c r="AD13" s="721"/>
      <c r="AF13" s="720"/>
      <c r="AI13" s="105"/>
      <c r="AJ13" s="105"/>
      <c r="AN13" s="105"/>
      <c r="AO13" s="105"/>
      <c r="AP13" s="105"/>
      <c r="AS13" s="105"/>
      <c r="AT13" s="721"/>
      <c r="AW13" s="105"/>
      <c r="AX13" s="721"/>
    </row>
    <row r="14" spans="1:50" outlineLevel="1">
      <c r="A14" s="545">
        <f>MAX($A$10:A13)+1</f>
        <v>5</v>
      </c>
      <c r="B14" s="716" t="s">
        <v>1752</v>
      </c>
      <c r="C14" s="716" t="s">
        <v>1761</v>
      </c>
      <c r="D14" s="716" t="s">
        <v>1762</v>
      </c>
      <c r="E14" s="559">
        <v>303</v>
      </c>
      <c r="F14" s="1302" cm="1">
        <f t="array" ref="F14">+IF(SUM(VALUE(N14:Q14)*$N$7:$Q$7)=0,R14,T14)</f>
        <v>3016751.45</v>
      </c>
      <c r="G14" s="103">
        <f>+F14</f>
        <v>3016751.45</v>
      </c>
      <c r="H14" s="575">
        <v>45595</v>
      </c>
      <c r="I14" s="1302" cm="1">
        <f t="array" ref="I14">+IF(SUM(VALUE(N14:Q14)*$N$7:$Q$7)=0,S14,U14)</f>
        <v>0</v>
      </c>
      <c r="J14" s="103">
        <f t="shared" si="0"/>
        <v>0</v>
      </c>
      <c r="K14" s="103"/>
      <c r="L14" s="6"/>
      <c r="M14"/>
      <c r="N14" s="1299">
        <v>0</v>
      </c>
      <c r="O14" s="1300">
        <v>1</v>
      </c>
      <c r="P14" s="1300">
        <v>0</v>
      </c>
      <c r="Q14" s="1300">
        <v>0</v>
      </c>
      <c r="R14" s="1266">
        <v>3016751.45</v>
      </c>
      <c r="S14" s="1266">
        <v>0</v>
      </c>
      <c r="T14" s="1266">
        <f>+IF($Q14=1,$G14,INDEX([1]Summary!$K$5:$K$110,MATCH($C14,[1]Summary!$D$5:$D115,0)))</f>
        <v>3016751.45</v>
      </c>
      <c r="U14" s="1266">
        <f>+IF($Q14=1,$J14,INDEX([1]Summary!$L$5:$L$110,MATCH($C14,[1]Summary!$D$5:$D115,0)))</f>
        <v>0</v>
      </c>
      <c r="V14" s="721"/>
      <c r="W14" s="721"/>
      <c r="X14" s="721"/>
      <c r="Y14" s="721"/>
      <c r="Z14" s="721"/>
      <c r="AA14" s="721"/>
      <c r="AB14" s="721"/>
      <c r="AC14" s="721"/>
      <c r="AD14" s="721"/>
      <c r="AF14" s="720"/>
      <c r="AI14" s="105"/>
      <c r="AJ14" s="105"/>
      <c r="AN14" s="105"/>
      <c r="AO14" s="105"/>
      <c r="AP14" s="105"/>
      <c r="AS14" s="105"/>
      <c r="AT14" s="721"/>
      <c r="AW14" s="105"/>
      <c r="AX14" s="721"/>
    </row>
    <row r="15" spans="1:50" outlineLevel="1">
      <c r="A15" s="545">
        <f>MAX($A$10:A14)+1</f>
        <v>6</v>
      </c>
      <c r="B15" s="716" t="s">
        <v>1752</v>
      </c>
      <c r="C15" s="14" t="s">
        <v>1763</v>
      </c>
      <c r="D15" s="14" t="s">
        <v>1764</v>
      </c>
      <c r="E15" s="559">
        <v>303</v>
      </c>
      <c r="F15" s="1302" cm="1">
        <f t="array" ref="F15">+IF(SUM(VALUE(N15:Q15)*$N$7:$Q$7)=0,R15,T15)</f>
        <v>0</v>
      </c>
      <c r="G15" s="103"/>
      <c r="I15" s="1302" cm="1">
        <f t="array" ref="I15">+IF(SUM(VALUE(N15:Q15)*$N$7:$Q$7)=0,S15,U15)</f>
        <v>0</v>
      </c>
      <c r="J15" s="103">
        <f t="shared" si="0"/>
        <v>0</v>
      </c>
      <c r="K15" s="717">
        <v>45962</v>
      </c>
      <c r="L15" s="6"/>
      <c r="M15"/>
      <c r="N15" s="1299">
        <v>0</v>
      </c>
      <c r="O15" s="1300">
        <v>1</v>
      </c>
      <c r="P15" s="1300">
        <v>0</v>
      </c>
      <c r="Q15" s="1300">
        <v>0</v>
      </c>
      <c r="R15" s="1266">
        <v>0</v>
      </c>
      <c r="S15" s="1266">
        <v>5054117.12</v>
      </c>
      <c r="T15" s="1266">
        <f>+IF($Q15=1,$G15,INDEX([1]Summary!$K$5:$K$110,MATCH($C15,[1]Summary!$D$5:$D116,0)))</f>
        <v>0</v>
      </c>
      <c r="U15" s="1266">
        <f>+IF($Q15=1,$J15,INDEX([1]Summary!$L$5:$L$110,MATCH($C15,[1]Summary!$D$5:$D116,0)))</f>
        <v>0</v>
      </c>
      <c r="V15" s="721"/>
      <c r="W15" s="721"/>
      <c r="X15" s="721"/>
      <c r="Y15" s="721"/>
      <c r="Z15" s="721"/>
      <c r="AA15" s="721"/>
      <c r="AB15" s="721"/>
      <c r="AC15" s="721"/>
      <c r="AD15" s="721"/>
      <c r="AF15" s="720"/>
      <c r="AI15" s="105"/>
      <c r="AJ15" s="105"/>
      <c r="AN15" s="105"/>
      <c r="AO15" s="105"/>
      <c r="AP15" s="105"/>
      <c r="AS15" s="105"/>
      <c r="AT15" s="721"/>
      <c r="AW15" s="105"/>
      <c r="AX15" s="721"/>
    </row>
    <row r="16" spans="1:50" outlineLevel="1">
      <c r="A16" s="545">
        <f>MAX($A$10:A15)+1</f>
        <v>7</v>
      </c>
      <c r="B16" s="716" t="s">
        <v>1752</v>
      </c>
      <c r="C16" s="716" t="s">
        <v>1765</v>
      </c>
      <c r="D16" s="716" t="s">
        <v>1766</v>
      </c>
      <c r="E16" s="559">
        <v>303</v>
      </c>
      <c r="F16" s="1302" cm="1">
        <f t="array" ref="F16">+IF(SUM(VALUE(N16:Q16)*$N$7:$Q$7)=0,R16,T16)</f>
        <v>44563.44</v>
      </c>
      <c r="G16" s="103">
        <f t="shared" ref="G16:G25" si="1">+F16</f>
        <v>44563.44</v>
      </c>
      <c r="H16" s="717">
        <v>45657</v>
      </c>
      <c r="I16" s="1302" cm="1">
        <f t="array" ref="I16">+IF(SUM(VALUE(N16:Q16)*$N$7:$Q$7)=0,S16,U16)</f>
        <v>48576.72</v>
      </c>
      <c r="J16" s="103">
        <f t="shared" si="0"/>
        <v>48576.72</v>
      </c>
      <c r="K16" s="575">
        <v>46022</v>
      </c>
      <c r="L16" s="6"/>
      <c r="M16"/>
      <c r="N16" s="1299">
        <v>0</v>
      </c>
      <c r="O16" s="1300">
        <v>0</v>
      </c>
      <c r="P16" s="1300">
        <v>1</v>
      </c>
      <c r="Q16" s="1300">
        <v>0</v>
      </c>
      <c r="R16" s="1266">
        <v>44563.44</v>
      </c>
      <c r="S16" s="1266">
        <v>48576.72</v>
      </c>
      <c r="T16" s="1266">
        <f>+IF($Q16=1,$G16,INDEX([1]Summary!$K$5:$K$110,MATCH($C16,[1]Summary!$D$5:$D117,0)))</f>
        <v>30964.215000000004</v>
      </c>
      <c r="U16" s="1266">
        <f>+IF($Q16=1,$J16,INDEX([1]Summary!$L$5:$L$110,MATCH($C16,[1]Summary!$D$5:$D117,0)))</f>
        <v>30964.215000000004</v>
      </c>
      <c r="V16" s="721"/>
      <c r="W16" s="721"/>
      <c r="X16" s="721"/>
      <c r="Y16" s="721"/>
      <c r="Z16" s="721"/>
      <c r="AA16" s="721"/>
      <c r="AB16" s="721"/>
      <c r="AC16" s="721"/>
      <c r="AD16" s="721"/>
      <c r="AF16" s="720"/>
      <c r="AI16" s="105"/>
      <c r="AJ16" s="105"/>
      <c r="AN16" s="105"/>
      <c r="AO16" s="105"/>
      <c r="AP16" s="105"/>
      <c r="AS16" s="105"/>
      <c r="AT16" s="721"/>
      <c r="AW16" s="105"/>
      <c r="AX16" s="721"/>
    </row>
    <row r="17" spans="1:50" outlineLevel="1">
      <c r="A17" s="545">
        <f>MAX($A$10:A16)+1</f>
        <v>8</v>
      </c>
      <c r="B17" s="716" t="s">
        <v>1752</v>
      </c>
      <c r="C17" s="716" t="s">
        <v>1767</v>
      </c>
      <c r="D17" s="716" t="s">
        <v>1768</v>
      </c>
      <c r="E17" s="559">
        <v>303</v>
      </c>
      <c r="F17" s="1302" cm="1">
        <f t="array" ref="F17">+IF(SUM(VALUE(N17:Q17)*$N$7:$Q$7)=0,R17,T17)</f>
        <v>395808.65</v>
      </c>
      <c r="G17" s="103">
        <f t="shared" si="1"/>
        <v>395808.65</v>
      </c>
      <c r="H17" s="717">
        <v>45505</v>
      </c>
      <c r="I17" s="1302" cm="1">
        <f t="array" ref="I17">+IF(SUM(VALUE(N17:Q17)*$N$7:$Q$7)=0,S17,U17)</f>
        <v>0</v>
      </c>
      <c r="J17" s="103">
        <f t="shared" si="0"/>
        <v>0</v>
      </c>
      <c r="K17" s="103"/>
      <c r="L17" s="6"/>
      <c r="M17"/>
      <c r="N17" s="1299">
        <v>0</v>
      </c>
      <c r="O17" s="1300">
        <v>0</v>
      </c>
      <c r="P17" s="1300">
        <v>0</v>
      </c>
      <c r="Q17" s="1300">
        <v>1</v>
      </c>
      <c r="R17" s="1266">
        <v>395808.65</v>
      </c>
      <c r="S17" s="1266">
        <v>0</v>
      </c>
      <c r="T17" s="1266">
        <f>+IF($Q17=1,$G17,INDEX([1]Summary!$K$5:$K$110,MATCH($C17,[1]Summary!$D$5:$D118,0)))</f>
        <v>395808.65</v>
      </c>
      <c r="U17" s="1266">
        <f>+IF($Q17=1,$J17,INDEX([1]Summary!$L$5:$L$110,MATCH($C17,[1]Summary!$D$5:$D118,0)))</f>
        <v>0</v>
      </c>
      <c r="V17" s="721"/>
      <c r="W17" s="721"/>
      <c r="X17" s="721"/>
      <c r="Y17" s="721"/>
      <c r="Z17" s="721"/>
      <c r="AA17" s="721"/>
      <c r="AB17" s="721"/>
      <c r="AC17" s="721"/>
      <c r="AD17" s="721"/>
      <c r="AF17" s="720"/>
      <c r="AI17" s="105"/>
      <c r="AJ17" s="105"/>
      <c r="AL17" s="2"/>
      <c r="AN17" s="105"/>
      <c r="AO17" s="105"/>
      <c r="AP17" s="105"/>
      <c r="AS17" s="105"/>
      <c r="AT17" s="721"/>
      <c r="AW17" s="105"/>
      <c r="AX17" s="721"/>
    </row>
    <row r="18" spans="1:50" outlineLevel="1">
      <c r="A18" s="545">
        <f>MAX($A$10:A17)+1</f>
        <v>9</v>
      </c>
      <c r="B18" s="716" t="s">
        <v>1752</v>
      </c>
      <c r="C18" s="716" t="s">
        <v>1769</v>
      </c>
      <c r="D18" s="716" t="s">
        <v>1770</v>
      </c>
      <c r="E18" s="559">
        <v>303</v>
      </c>
      <c r="F18" s="1302" cm="1">
        <f t="array" ref="F18">+IF(SUM(VALUE(N18:Q18)*$N$7:$Q$7)=0,R18,T18)</f>
        <v>249076.76</v>
      </c>
      <c r="G18" s="103">
        <f t="shared" si="1"/>
        <v>249076.76</v>
      </c>
      <c r="H18" s="717">
        <v>45565</v>
      </c>
      <c r="I18" s="1302" cm="1">
        <f t="array" ref="I18">+IF(SUM(VALUE(N18:Q18)*$N$7:$Q$7)=0,S18,U18)</f>
        <v>0</v>
      </c>
      <c r="J18" s="103">
        <f t="shared" si="0"/>
        <v>0</v>
      </c>
      <c r="K18" s="103"/>
      <c r="L18" s="6"/>
      <c r="M18"/>
      <c r="N18" s="1299">
        <v>0</v>
      </c>
      <c r="O18" s="1300">
        <v>0</v>
      </c>
      <c r="P18" s="1300">
        <v>0</v>
      </c>
      <c r="Q18" s="1300">
        <v>1</v>
      </c>
      <c r="R18" s="1266">
        <v>249076.76</v>
      </c>
      <c r="S18" s="1266">
        <v>0</v>
      </c>
      <c r="T18" s="1266">
        <f>+IF($Q18=1,$G18,INDEX([1]Summary!$K$5:$K$110,MATCH($C18,[1]Summary!$D$5:$D119,0)))</f>
        <v>249076.76</v>
      </c>
      <c r="U18" s="1266">
        <f>+IF($Q18=1,$J18,INDEX([1]Summary!$L$5:$L$110,MATCH($C18,[1]Summary!$D$5:$D119,0)))</f>
        <v>0</v>
      </c>
      <c r="V18" s="721"/>
      <c r="W18" s="721"/>
      <c r="X18" s="721"/>
      <c r="Y18" s="721"/>
      <c r="Z18" s="721"/>
      <c r="AA18" s="721"/>
      <c r="AB18" s="721"/>
      <c r="AC18" s="721"/>
      <c r="AD18" s="721"/>
      <c r="AF18" s="720"/>
      <c r="AI18" s="105"/>
      <c r="AJ18" s="105"/>
      <c r="AL18" s="2"/>
      <c r="AN18" s="105"/>
      <c r="AO18" s="105"/>
      <c r="AP18" s="105"/>
      <c r="AS18" s="105"/>
      <c r="AT18" s="721"/>
      <c r="AW18" s="105"/>
      <c r="AX18" s="721"/>
    </row>
    <row r="19" spans="1:50" outlineLevel="1">
      <c r="A19" s="545">
        <f>MAX($A$10:A18)+1</f>
        <v>10</v>
      </c>
      <c r="B19" s="716" t="s">
        <v>1752</v>
      </c>
      <c r="C19" s="14" t="s">
        <v>1771</v>
      </c>
      <c r="D19" s="14" t="s">
        <v>1772</v>
      </c>
      <c r="E19" s="559">
        <v>303</v>
      </c>
      <c r="F19" s="1302" cm="1">
        <f t="array" ref="F19">+IF(SUM(VALUE(N19:Q19)*$N$7:$Q$7)=0,R19,T19)</f>
        <v>0</v>
      </c>
      <c r="G19" s="103">
        <f t="shared" si="1"/>
        <v>0</v>
      </c>
      <c r="I19" s="1302" cm="1">
        <f t="array" ref="I19">+IF(SUM(VALUE(N19:Q19)*$N$7:$Q$7)=0,S19,U19)</f>
        <v>870373.19</v>
      </c>
      <c r="J19" s="103">
        <f t="shared" si="0"/>
        <v>870373.19</v>
      </c>
      <c r="K19" s="717">
        <v>45991</v>
      </c>
      <c r="L19" s="6"/>
      <c r="M19"/>
      <c r="N19" s="1299">
        <v>0</v>
      </c>
      <c r="O19" s="1300">
        <v>0</v>
      </c>
      <c r="P19" s="1300">
        <v>0</v>
      </c>
      <c r="Q19" s="1300">
        <v>1</v>
      </c>
      <c r="R19" s="1266">
        <v>0</v>
      </c>
      <c r="S19" s="1266">
        <v>870373.19</v>
      </c>
      <c r="T19" s="1266">
        <f>+IF($Q19=1,$G19,INDEX([1]Summary!$K$5:$K$110,MATCH($C19,[1]Summary!$D$5:$D120,0)))</f>
        <v>0</v>
      </c>
      <c r="U19" s="1266">
        <f>+IF($Q19=1,$J19,INDEX([1]Summary!$L$5:$L$110,MATCH($C19,[1]Summary!$D$5:$D120,0)))</f>
        <v>870373.19</v>
      </c>
      <c r="V19" s="721"/>
      <c r="W19" s="721"/>
      <c r="X19" s="721"/>
      <c r="Y19" s="721"/>
      <c r="Z19" s="721"/>
      <c r="AA19" s="721"/>
      <c r="AB19" s="721"/>
      <c r="AC19" s="721"/>
      <c r="AD19" s="721"/>
      <c r="AF19" s="720"/>
      <c r="AI19" s="105"/>
      <c r="AJ19" s="105"/>
      <c r="AL19" s="2"/>
      <c r="AN19" s="105"/>
      <c r="AO19" s="105"/>
      <c r="AP19" s="105"/>
      <c r="AS19" s="105"/>
      <c r="AT19" s="721"/>
      <c r="AW19" s="105"/>
      <c r="AX19" s="721"/>
    </row>
    <row r="20" spans="1:50" outlineLevel="1">
      <c r="A20" s="545">
        <f>MAX($A$10:A19)+1</f>
        <v>11</v>
      </c>
      <c r="B20" s="716" t="s">
        <v>1752</v>
      </c>
      <c r="C20" s="716" t="s">
        <v>1773</v>
      </c>
      <c r="D20" s="1" t="s">
        <v>1774</v>
      </c>
      <c r="E20" s="559">
        <v>303</v>
      </c>
      <c r="F20" s="1302" cm="1">
        <f t="array" ref="F20">+IF(SUM(VALUE(N20:Q20)*$N$7:$Q$7)=0,R20,T20)</f>
        <v>0</v>
      </c>
      <c r="G20" s="103">
        <f t="shared" si="1"/>
        <v>0</v>
      </c>
      <c r="H20" s="717"/>
      <c r="I20" s="1302" cm="1">
        <f t="array" ref="I20">+IF(SUM(VALUE(N20:Q20)*$N$7:$Q$7)=0,S20,U20)</f>
        <v>52427.32</v>
      </c>
      <c r="J20" s="103">
        <f t="shared" si="0"/>
        <v>52427.32</v>
      </c>
      <c r="K20" s="575">
        <v>45809</v>
      </c>
      <c r="L20" s="6"/>
      <c r="M20"/>
      <c r="N20" s="1299">
        <v>0</v>
      </c>
      <c r="O20" s="1300">
        <v>0</v>
      </c>
      <c r="P20" s="1300">
        <v>0</v>
      </c>
      <c r="Q20" s="1300">
        <v>1</v>
      </c>
      <c r="R20" s="1266">
        <v>0</v>
      </c>
      <c r="S20" s="1266">
        <v>52427.32</v>
      </c>
      <c r="T20" s="1266">
        <f>+IF($Q20=1,$G20,INDEX([1]Summary!$K$5:$K$110,MATCH($C20,[1]Summary!$D$5:$D121,0)))</f>
        <v>0</v>
      </c>
      <c r="U20" s="1266">
        <f>+IF($Q20=1,$J20,INDEX([1]Summary!$L$5:$L$110,MATCH($C20,[1]Summary!$D$5:$D121,0)))</f>
        <v>52427.32</v>
      </c>
      <c r="V20" s="721"/>
      <c r="W20" s="721"/>
      <c r="X20" s="721"/>
      <c r="Y20" s="721"/>
      <c r="Z20" s="721"/>
      <c r="AA20" s="721"/>
      <c r="AB20" s="721"/>
      <c r="AC20" s="721"/>
      <c r="AD20" s="721"/>
      <c r="AF20" s="720"/>
      <c r="AI20" s="105"/>
      <c r="AJ20" s="105"/>
      <c r="AL20" s="2"/>
      <c r="AN20" s="105"/>
      <c r="AO20" s="105"/>
      <c r="AP20" s="105"/>
      <c r="AS20" s="105"/>
      <c r="AT20" s="721"/>
      <c r="AW20" s="105"/>
      <c r="AX20" s="721"/>
    </row>
    <row r="21" spans="1:50" outlineLevel="1">
      <c r="A21" s="545">
        <f>MAX($A$10:A20)+1</f>
        <v>12</v>
      </c>
      <c r="B21" s="716" t="s">
        <v>1752</v>
      </c>
      <c r="C21" s="716" t="s">
        <v>1775</v>
      </c>
      <c r="D21" s="1" t="s">
        <v>1776</v>
      </c>
      <c r="E21" s="559">
        <v>303</v>
      </c>
      <c r="F21" s="1302" cm="1">
        <f t="array" ref="F21">+IF(SUM(VALUE(N21:Q21)*$N$7:$Q$7)=0,R21,T21)</f>
        <v>0</v>
      </c>
      <c r="G21" s="103">
        <f t="shared" si="1"/>
        <v>0</v>
      </c>
      <c r="I21" s="1302" cm="1">
        <f t="array" ref="I21">+IF(SUM(VALUE(N21:Q21)*$N$7:$Q$7)=0,S21,U21)</f>
        <v>267463.90999999997</v>
      </c>
      <c r="J21" s="103">
        <f t="shared" si="0"/>
        <v>267463.90999999997</v>
      </c>
      <c r="K21" s="717">
        <v>46022</v>
      </c>
      <c r="L21" s="6">
        <v>175000</v>
      </c>
      <c r="M21"/>
      <c r="N21" s="1299">
        <v>0</v>
      </c>
      <c r="O21" s="1300">
        <v>0</v>
      </c>
      <c r="P21" s="1300">
        <v>0</v>
      </c>
      <c r="Q21" s="1300">
        <v>1</v>
      </c>
      <c r="R21" s="1266">
        <v>0</v>
      </c>
      <c r="S21" s="1266">
        <v>267463.90999999997</v>
      </c>
      <c r="T21" s="1266">
        <f>+IF($Q21=1,$G21,INDEX([1]Summary!$K$5:$K$110,MATCH($C21,[1]Summary!$D$5:$D122,0)))</f>
        <v>0</v>
      </c>
      <c r="U21" s="1266">
        <f>+IF($Q21=1,$J21,INDEX([1]Summary!$L$5:$L$110,MATCH($C21,[1]Summary!$D$5:$D122,0)))</f>
        <v>267463.90999999997</v>
      </c>
      <c r="V21" s="721"/>
      <c r="W21" s="721"/>
      <c r="X21" s="721"/>
      <c r="Y21" s="721"/>
      <c r="Z21" s="721"/>
      <c r="AA21" s="721"/>
      <c r="AB21" s="721"/>
      <c r="AC21" s="721"/>
      <c r="AD21" s="721"/>
      <c r="AF21" s="720"/>
      <c r="AI21" s="105"/>
      <c r="AJ21" s="105"/>
      <c r="AL21" s="2"/>
      <c r="AN21" s="105"/>
      <c r="AO21" s="105"/>
      <c r="AP21" s="105"/>
      <c r="AS21" s="105"/>
      <c r="AT21" s="721"/>
      <c r="AW21" s="105"/>
      <c r="AX21" s="721"/>
    </row>
    <row r="22" spans="1:50" outlineLevel="1">
      <c r="A22" s="545">
        <f>MAX($A$10:A21)+1</f>
        <v>13</v>
      </c>
      <c r="B22" s="716" t="s">
        <v>1752</v>
      </c>
      <c r="C22" s="716" t="s">
        <v>1777</v>
      </c>
      <c r="D22" s="716" t="s">
        <v>1778</v>
      </c>
      <c r="E22" s="559">
        <v>303</v>
      </c>
      <c r="F22" s="1302" cm="1">
        <f t="array" ref="F22">+IF(SUM(VALUE(N22:Q22)*$N$7:$Q$7)=0,R22,T22)</f>
        <v>41466.040550000005</v>
      </c>
      <c r="G22" s="103">
        <f t="shared" si="1"/>
        <v>41466.040550000005</v>
      </c>
      <c r="H22" s="717">
        <v>45651</v>
      </c>
      <c r="I22" s="1302" cm="1">
        <f t="array" ref="I22">+IF(SUM(VALUE(N22:Q22)*$N$7:$Q$7)=0,S22,U22)</f>
        <v>0</v>
      </c>
      <c r="J22" s="103">
        <f t="shared" si="0"/>
        <v>0</v>
      </c>
      <c r="K22" s="103"/>
      <c r="L22" s="6"/>
      <c r="M22"/>
      <c r="N22" s="1299">
        <v>0</v>
      </c>
      <c r="O22" s="1300">
        <v>0</v>
      </c>
      <c r="P22" s="1300">
        <v>0</v>
      </c>
      <c r="Q22" s="1300">
        <v>1</v>
      </c>
      <c r="R22" s="1266">
        <v>41466.040550000005</v>
      </c>
      <c r="S22" s="1266">
        <v>0</v>
      </c>
      <c r="T22" s="1266">
        <f>+IF($Q22=1,$G22,INDEX([1]Summary!$K$5:$K$110,MATCH($C22,[1]Summary!$D$5:$D123,0)))</f>
        <v>41466.040550000005</v>
      </c>
      <c r="U22" s="1266">
        <f>+IF($Q22=1,$J22,INDEX([1]Summary!$L$5:$L$110,MATCH($C22,[1]Summary!$D$5:$D123,0)))</f>
        <v>0</v>
      </c>
      <c r="V22" s="721"/>
      <c r="W22" s="721"/>
      <c r="X22" s="721"/>
      <c r="Y22" s="721"/>
      <c r="Z22" s="721"/>
      <c r="AA22" s="721"/>
      <c r="AB22" s="721"/>
      <c r="AC22" s="721"/>
      <c r="AD22" s="721"/>
      <c r="AF22" s="720"/>
      <c r="AI22" s="105"/>
      <c r="AJ22" s="105"/>
      <c r="AN22" s="105"/>
      <c r="AO22" s="105"/>
      <c r="AP22" s="105"/>
      <c r="AS22" s="105"/>
      <c r="AT22" s="721"/>
      <c r="AW22" s="105"/>
      <c r="AX22" s="721"/>
    </row>
    <row r="23" spans="1:50" outlineLevel="1">
      <c r="A23" s="545">
        <f>MAX($A$10:A22)+1</f>
        <v>14</v>
      </c>
      <c r="B23" s="716" t="s">
        <v>1752</v>
      </c>
      <c r="C23" s="716" t="s">
        <v>1779</v>
      </c>
      <c r="D23" s="716" t="s">
        <v>1780</v>
      </c>
      <c r="E23" s="559">
        <v>303</v>
      </c>
      <c r="F23" s="1302" cm="1">
        <f t="array" ref="F23">+IF(SUM(VALUE(N23:Q23)*$N$7:$Q$7)=0,R23,T23)</f>
        <v>7539.2800999999999</v>
      </c>
      <c r="G23" s="103">
        <f t="shared" si="1"/>
        <v>7539.2800999999999</v>
      </c>
      <c r="H23" s="717">
        <v>45444</v>
      </c>
      <c r="I23" s="1302" cm="1">
        <f t="array" ref="I23">+IF(SUM(VALUE(N23:Q23)*$N$7:$Q$7)=0,S23,U23)</f>
        <v>0</v>
      </c>
      <c r="J23" s="103">
        <f t="shared" si="0"/>
        <v>0</v>
      </c>
      <c r="K23" s="103"/>
      <c r="L23" s="6"/>
      <c r="M23"/>
      <c r="N23" s="1299">
        <v>0</v>
      </c>
      <c r="O23" s="1300">
        <v>0</v>
      </c>
      <c r="P23" s="1300">
        <v>0</v>
      </c>
      <c r="Q23" s="1300">
        <v>1</v>
      </c>
      <c r="R23" s="1266">
        <v>7539.2800999999999</v>
      </c>
      <c r="S23" s="1266">
        <v>0</v>
      </c>
      <c r="T23" s="1266">
        <f>+IF($Q23=1,$G23,INDEX([1]Summary!$K$5:$K$110,MATCH($C23,[1]Summary!$D$5:$D124,0)))</f>
        <v>7539.2800999999999</v>
      </c>
      <c r="U23" s="1266">
        <f>+IF($Q23=1,$J23,INDEX([1]Summary!$L$5:$L$110,MATCH($C23,[1]Summary!$D$5:$D124,0)))</f>
        <v>0</v>
      </c>
      <c r="V23" s="721"/>
      <c r="W23" s="721"/>
      <c r="X23" s="721"/>
      <c r="Y23" s="721"/>
      <c r="Z23" s="721"/>
      <c r="AA23" s="721"/>
      <c r="AB23" s="721"/>
      <c r="AC23" s="721"/>
      <c r="AD23" s="721"/>
      <c r="AF23" s="720"/>
      <c r="AI23" s="105"/>
      <c r="AJ23" s="105"/>
      <c r="AN23" s="105"/>
      <c r="AO23" s="105"/>
      <c r="AP23" s="105"/>
      <c r="AS23" s="105"/>
      <c r="AT23" s="721"/>
      <c r="AW23" s="105"/>
      <c r="AX23" s="721"/>
    </row>
    <row r="24" spans="1:50" outlineLevel="1">
      <c r="A24" s="545">
        <f>MAX($A$10:A23)+1</f>
        <v>15</v>
      </c>
      <c r="B24" s="716" t="s">
        <v>1752</v>
      </c>
      <c r="C24" s="716" t="s">
        <v>1781</v>
      </c>
      <c r="D24" s="716" t="s">
        <v>1782</v>
      </c>
      <c r="E24" s="559">
        <v>303</v>
      </c>
      <c r="F24" s="1302" cm="1">
        <f t="array" ref="F24">+IF(SUM(VALUE(N24:Q24)*$N$7:$Q$7)=0,R24,T24)</f>
        <v>0</v>
      </c>
      <c r="G24" s="103">
        <f t="shared" si="1"/>
        <v>0</v>
      </c>
      <c r="H24" s="717"/>
      <c r="I24" s="1302" cm="1">
        <f t="array" ref="I24">+IF(SUM(VALUE(N24:Q24)*$N$7:$Q$7)=0,S24,U24)</f>
        <v>24020.778488</v>
      </c>
      <c r="J24" s="103">
        <f t="shared" si="0"/>
        <v>24020.778488</v>
      </c>
      <c r="K24" s="575">
        <v>45992</v>
      </c>
      <c r="L24" s="6"/>
      <c r="M24"/>
      <c r="N24" s="1299">
        <v>0</v>
      </c>
      <c r="O24" s="1300">
        <v>0</v>
      </c>
      <c r="P24" s="1300">
        <v>0</v>
      </c>
      <c r="Q24" s="1300">
        <v>1</v>
      </c>
      <c r="R24" s="1266">
        <v>0</v>
      </c>
      <c r="S24" s="1266">
        <v>24020.778488</v>
      </c>
      <c r="T24" s="1266">
        <f>+IF($Q24=1,$G24,INDEX([1]Summary!$K$5:$K$110,MATCH($C24,[1]Summary!$D$5:$D125,0)))</f>
        <v>0</v>
      </c>
      <c r="U24" s="1266">
        <f>+IF($Q24=1,$J24,INDEX([1]Summary!$L$5:$L$110,MATCH($C24,[1]Summary!$D$5:$D125,0)))</f>
        <v>24020.778488</v>
      </c>
      <c r="V24" s="721"/>
      <c r="W24" s="721"/>
      <c r="X24" s="721"/>
      <c r="Y24" s="721"/>
      <c r="Z24" s="721"/>
      <c r="AA24" s="721"/>
      <c r="AB24" s="721"/>
      <c r="AC24" s="721"/>
      <c r="AD24" s="721"/>
      <c r="AF24" s="720"/>
      <c r="AI24" s="105"/>
      <c r="AJ24" s="105"/>
      <c r="AN24" s="105"/>
      <c r="AO24" s="105"/>
      <c r="AP24" s="105"/>
      <c r="AS24" s="105"/>
      <c r="AT24" s="721"/>
      <c r="AW24" s="105"/>
      <c r="AX24" s="721"/>
    </row>
    <row r="25" spans="1:50" outlineLevel="1">
      <c r="A25" s="545">
        <f>MAX($A$10:A24)+1</f>
        <v>16</v>
      </c>
      <c r="B25" s="716" t="s">
        <v>1752</v>
      </c>
      <c r="C25" s="716" t="s">
        <v>1783</v>
      </c>
      <c r="D25" s="716" t="s">
        <v>1784</v>
      </c>
      <c r="E25" s="559">
        <v>303</v>
      </c>
      <c r="F25" s="1302" cm="1">
        <f t="array" ref="F25">+IF(SUM(VALUE(N25:Q25)*$N$7:$Q$7)=0,R25,T25)</f>
        <v>810507.85611499997</v>
      </c>
      <c r="G25" s="103">
        <f t="shared" si="1"/>
        <v>810507.85611499997</v>
      </c>
      <c r="H25" s="717">
        <v>45382</v>
      </c>
      <c r="I25" s="1302" cm="1">
        <f t="array" ref="I25">+IF(SUM(VALUE(N25:Q25)*$N$7:$Q$7)=0,S25,U25)</f>
        <v>0</v>
      </c>
      <c r="J25" s="103">
        <f t="shared" si="0"/>
        <v>0</v>
      </c>
      <c r="K25" s="103"/>
      <c r="L25" s="6">
        <v>10000</v>
      </c>
      <c r="M25"/>
      <c r="N25" s="1299">
        <v>0</v>
      </c>
      <c r="O25" s="1300">
        <v>0</v>
      </c>
      <c r="P25" s="1300">
        <v>0</v>
      </c>
      <c r="Q25" s="1300">
        <v>1</v>
      </c>
      <c r="R25" s="1266">
        <v>810507.85611499997</v>
      </c>
      <c r="S25" s="1266">
        <v>0</v>
      </c>
      <c r="T25" s="1266">
        <f>+IF($Q25=1,$G25,INDEX([1]Summary!$K$5:$K$110,MATCH($C25,[1]Summary!$D$5:$D126,0)))</f>
        <v>810507.85611499997</v>
      </c>
      <c r="U25" s="1266">
        <f>+IF($Q25=1,$J25,INDEX([1]Summary!$L$5:$L$110,MATCH($C25,[1]Summary!$D$5:$D126,0)))</f>
        <v>0</v>
      </c>
      <c r="V25" s="721"/>
      <c r="W25" s="721"/>
      <c r="X25" s="721"/>
      <c r="Y25" s="721"/>
      <c r="Z25" s="721"/>
      <c r="AA25" s="721"/>
      <c r="AB25" s="721"/>
      <c r="AC25" s="721"/>
      <c r="AD25" s="721"/>
      <c r="AF25" s="720"/>
      <c r="AI25" s="105"/>
      <c r="AJ25" s="105"/>
      <c r="AN25" s="105"/>
      <c r="AO25" s="105"/>
      <c r="AP25" s="105"/>
      <c r="AS25" s="105"/>
      <c r="AT25" s="721"/>
      <c r="AW25" s="105"/>
      <c r="AX25" s="721"/>
    </row>
    <row r="26" spans="1:50" outlineLevel="1">
      <c r="A26" s="545">
        <f>MAX($A$10:A25)+1</f>
        <v>17</v>
      </c>
      <c r="B26" s="716" t="s">
        <v>1752</v>
      </c>
      <c r="C26" s="14" t="s">
        <v>1785</v>
      </c>
      <c r="D26" s="14" t="s">
        <v>1786</v>
      </c>
      <c r="E26" s="559">
        <v>303</v>
      </c>
      <c r="F26" s="1302" cm="1">
        <f t="array" ref="F26">+IF(SUM(VALUE(N26:Q26)*$N$7:$Q$7)=0,R26,T26)</f>
        <v>0</v>
      </c>
      <c r="G26" s="103"/>
      <c r="I26" s="1302" cm="1">
        <f t="array" ref="I26">+IF(SUM(VALUE(N26:Q26)*$N$7:$Q$7)=0,S26,U26)</f>
        <v>61073.288584000002</v>
      </c>
      <c r="J26" s="103">
        <f t="shared" si="0"/>
        <v>61073.288584000002</v>
      </c>
      <c r="K26" s="717">
        <v>46022</v>
      </c>
      <c r="L26" s="6"/>
      <c r="M26"/>
      <c r="N26" s="1299">
        <v>0</v>
      </c>
      <c r="O26" s="1300">
        <v>0</v>
      </c>
      <c r="P26" s="1300">
        <v>0</v>
      </c>
      <c r="Q26" s="1300">
        <v>1</v>
      </c>
      <c r="R26" s="1266">
        <v>0</v>
      </c>
      <c r="S26" s="1266">
        <v>61073.288584000002</v>
      </c>
      <c r="T26" s="1266">
        <f>+IF($Q26=1,$G26,INDEX([1]Summary!$K$5:$K$110,MATCH($C26,[1]Summary!$D$5:$D127,0)))</f>
        <v>0</v>
      </c>
      <c r="U26" s="1266">
        <f>+IF($Q26=1,$J26,INDEX([1]Summary!$L$5:$L$110,MATCH($C26,[1]Summary!$D$5:$D127,0)))</f>
        <v>61073.288584000002</v>
      </c>
      <c r="V26" s="721"/>
      <c r="W26" s="721"/>
      <c r="X26" s="721"/>
      <c r="Y26" s="721"/>
      <c r="Z26" s="721"/>
      <c r="AA26" s="721"/>
      <c r="AB26" s="721"/>
      <c r="AC26" s="721"/>
      <c r="AD26" s="721"/>
      <c r="AF26" s="720"/>
      <c r="AI26" s="105"/>
      <c r="AJ26" s="105"/>
      <c r="AN26" s="105"/>
      <c r="AO26" s="105"/>
      <c r="AP26" s="105"/>
      <c r="AS26" s="105"/>
      <c r="AT26" s="721"/>
      <c r="AW26" s="105"/>
      <c r="AX26" s="721"/>
    </row>
    <row r="27" spans="1:50" outlineLevel="1">
      <c r="A27" s="545">
        <f>MAX($A$10:A26)+1</f>
        <v>18</v>
      </c>
      <c r="B27" s="716" t="s">
        <v>1752</v>
      </c>
      <c r="C27" s="716" t="s">
        <v>1787</v>
      </c>
      <c r="D27" s="716" t="s">
        <v>1788</v>
      </c>
      <c r="E27" s="559">
        <v>303</v>
      </c>
      <c r="F27" s="1302" cm="1">
        <f t="array" ref="F27">+IF(SUM(VALUE(N27:Q27)*$N$7:$Q$7)=0,R27,T27)</f>
        <v>52501.443155000008</v>
      </c>
      <c r="G27" s="103">
        <f>+F27</f>
        <v>52501.443155000008</v>
      </c>
      <c r="H27" s="717">
        <v>45657</v>
      </c>
      <c r="I27" s="1302" cm="1">
        <f t="array" ref="I27">+IF(SUM(VALUE(N27:Q27)*$N$7:$Q$7)=0,S27,U27)</f>
        <v>34898.571628000005</v>
      </c>
      <c r="J27" s="103">
        <f t="shared" si="0"/>
        <v>34898.571628000005</v>
      </c>
      <c r="K27" s="717">
        <v>46022</v>
      </c>
      <c r="L27" s="6"/>
      <c r="M27"/>
      <c r="N27" s="1299">
        <v>0</v>
      </c>
      <c r="O27" s="1300">
        <v>0</v>
      </c>
      <c r="P27" s="1300">
        <v>0</v>
      </c>
      <c r="Q27" s="1300">
        <v>1</v>
      </c>
      <c r="R27" s="1266">
        <v>52501.443155000008</v>
      </c>
      <c r="S27" s="1266">
        <v>34898.571628000005</v>
      </c>
      <c r="T27" s="1266">
        <f>+IF($Q27=1,$G27,INDEX([1]Summary!$K$5:$K$110,MATCH($C27,[1]Summary!$D$5:$D128,0)))</f>
        <v>52501.443155000008</v>
      </c>
      <c r="U27" s="1266">
        <f>+IF($Q27=1,$J27,INDEX([1]Summary!$L$5:$L$110,MATCH($C27,[1]Summary!$D$5:$D128,0)))</f>
        <v>34898.571628000005</v>
      </c>
      <c r="V27" s="721"/>
      <c r="W27" s="721"/>
      <c r="X27" s="721"/>
      <c r="Y27" s="721"/>
      <c r="Z27" s="721"/>
      <c r="AA27" s="721"/>
      <c r="AB27" s="721"/>
      <c r="AC27" s="721"/>
      <c r="AD27" s="721"/>
      <c r="AF27" s="720"/>
      <c r="AI27" s="105"/>
      <c r="AJ27" s="105"/>
      <c r="AN27" s="105"/>
      <c r="AO27" s="105"/>
      <c r="AP27" s="105"/>
      <c r="AS27" s="105"/>
      <c r="AT27" s="721"/>
      <c r="AW27" s="105"/>
      <c r="AX27" s="721"/>
    </row>
    <row r="28" spans="1:50" outlineLevel="1">
      <c r="A28" s="545">
        <f>MAX($A$10:A27)+1</f>
        <v>19</v>
      </c>
      <c r="B28" s="716" t="s">
        <v>1752</v>
      </c>
      <c r="C28" s="716" t="s">
        <v>1789</v>
      </c>
      <c r="D28" s="716" t="s">
        <v>1790</v>
      </c>
      <c r="E28" s="559">
        <v>303</v>
      </c>
      <c r="F28" s="1302" cm="1">
        <f t="array" ref="F28">+IF(SUM(VALUE(N28:Q28)*$N$7:$Q$7)=0,R28,T28)</f>
        <v>149733.94637000002</v>
      </c>
      <c r="G28" s="103">
        <f>+F28</f>
        <v>149733.94637000002</v>
      </c>
      <c r="H28" s="717">
        <v>45383</v>
      </c>
      <c r="I28" s="1302" cm="1">
        <f t="array" ref="I28">+IF(SUM(VALUE(N28:Q28)*$N$7:$Q$7)=0,S28,U28)</f>
        <v>0</v>
      </c>
      <c r="J28" s="103">
        <f t="shared" si="0"/>
        <v>0</v>
      </c>
      <c r="K28" s="103"/>
      <c r="L28" s="6"/>
      <c r="M28"/>
      <c r="N28" s="1299">
        <v>0</v>
      </c>
      <c r="O28" s="1300">
        <v>0</v>
      </c>
      <c r="P28" s="1300">
        <v>0</v>
      </c>
      <c r="Q28" s="1300">
        <v>1</v>
      </c>
      <c r="R28" s="1266">
        <v>149733.94637000002</v>
      </c>
      <c r="S28" s="1266">
        <v>0</v>
      </c>
      <c r="T28" s="1266">
        <f>+IF($Q28=1,$G28,INDEX([1]Summary!$K$5:$K$110,MATCH($C28,[1]Summary!$D$5:$D129,0)))</f>
        <v>149733.94637000002</v>
      </c>
      <c r="U28" s="1266">
        <f>+IF($Q28=1,$J28,INDEX([1]Summary!$L$5:$L$110,MATCH($C28,[1]Summary!$D$5:$D129,0)))</f>
        <v>0</v>
      </c>
      <c r="V28" s="721"/>
      <c r="W28" s="721"/>
      <c r="X28" s="721"/>
      <c r="Y28" s="721"/>
      <c r="Z28" s="721"/>
      <c r="AA28" s="721"/>
      <c r="AB28" s="721"/>
      <c r="AC28" s="721"/>
      <c r="AD28" s="721"/>
      <c r="AF28" s="720"/>
      <c r="AI28" s="105"/>
      <c r="AJ28" s="105"/>
      <c r="AN28" s="105"/>
      <c r="AO28" s="105"/>
      <c r="AP28" s="105"/>
      <c r="AS28" s="105"/>
      <c r="AT28" s="721"/>
      <c r="AW28" s="105"/>
      <c r="AX28" s="721"/>
    </row>
    <row r="29" spans="1:50" outlineLevel="1">
      <c r="A29" s="545">
        <f>MAX($A$10:A28)+1</f>
        <v>20</v>
      </c>
      <c r="B29" s="716" t="s">
        <v>1752</v>
      </c>
      <c r="C29" s="14" t="s">
        <v>1791</v>
      </c>
      <c r="D29" s="14" t="s">
        <v>1792</v>
      </c>
      <c r="E29" s="559">
        <v>303</v>
      </c>
      <c r="F29" s="1302" cm="1">
        <f t="array" ref="F29">+IF(SUM(VALUE(N29:Q29)*$N$7:$Q$7)=0,R29,T29)</f>
        <v>0</v>
      </c>
      <c r="G29" s="103">
        <f>+F29</f>
        <v>0</v>
      </c>
      <c r="I29" s="1302" cm="1">
        <f t="array" ref="I29">+IF(SUM(VALUE(N29:Q29)*$N$7:$Q$7)=0,S29,U29)</f>
        <v>345851.46120300004</v>
      </c>
      <c r="J29" s="103">
        <f t="shared" si="0"/>
        <v>345851.46120300004</v>
      </c>
      <c r="K29" s="717">
        <v>45992</v>
      </c>
      <c r="L29" s="6"/>
      <c r="M29"/>
      <c r="N29" s="1299">
        <v>0</v>
      </c>
      <c r="O29" s="1300">
        <v>0</v>
      </c>
      <c r="P29" s="1300">
        <v>0</v>
      </c>
      <c r="Q29" s="1300">
        <v>1</v>
      </c>
      <c r="R29" s="1266">
        <v>0</v>
      </c>
      <c r="S29" s="1266">
        <v>345851.46120300004</v>
      </c>
      <c r="T29" s="1266">
        <f>+IF($Q29=1,$G29,INDEX([1]Summary!$K$5:$K$110,MATCH($C29,[1]Summary!$D$5:$D130,0)))</f>
        <v>0</v>
      </c>
      <c r="U29" s="1266">
        <f>+IF($Q29=1,$J29,INDEX([1]Summary!$L$5:$L$110,MATCH($C29,[1]Summary!$D$5:$D130,0)))</f>
        <v>345851.46120300004</v>
      </c>
      <c r="V29" s="721"/>
      <c r="W29" s="721"/>
      <c r="X29" s="721"/>
      <c r="Y29" s="721"/>
      <c r="Z29" s="721"/>
      <c r="AA29" s="721"/>
      <c r="AB29" s="721"/>
      <c r="AC29" s="721"/>
      <c r="AD29" s="721"/>
      <c r="AF29" s="720"/>
      <c r="AI29" s="105"/>
      <c r="AJ29" s="105"/>
      <c r="AN29" s="105"/>
      <c r="AO29" s="105"/>
      <c r="AP29" s="105"/>
      <c r="AS29" s="105"/>
      <c r="AT29" s="721"/>
      <c r="AW29" s="105"/>
      <c r="AX29" s="721"/>
    </row>
    <row r="30" spans="1:50" outlineLevel="1">
      <c r="A30" s="545">
        <f>MAX($A$10:A29)+1</f>
        <v>21</v>
      </c>
      <c r="B30" s="716" t="s">
        <v>1752</v>
      </c>
      <c r="C30" s="14" t="s">
        <v>1793</v>
      </c>
      <c r="D30" s="14" t="s">
        <v>1794</v>
      </c>
      <c r="E30" s="559">
        <v>303</v>
      </c>
      <c r="F30" s="1302" cm="1">
        <f t="array" ref="F30">+IF(SUM(VALUE(N30:Q30)*$N$7:$Q$7)=0,R30,T30)</f>
        <v>0</v>
      </c>
      <c r="G30" s="103">
        <f>+F30</f>
        <v>0</v>
      </c>
      <c r="I30" s="1302" cm="1">
        <f t="array" ref="I30">+IF(SUM(VALUE(N30:Q30)*$N$7:$Q$7)=0,S30,U30)</f>
        <v>221968.01196600002</v>
      </c>
      <c r="J30" s="103">
        <f t="shared" si="0"/>
        <v>221968.01196600002</v>
      </c>
      <c r="K30" s="717">
        <v>45992</v>
      </c>
      <c r="L30" s="6"/>
      <c r="M30"/>
      <c r="N30" s="1299">
        <v>0</v>
      </c>
      <c r="O30" s="1300">
        <v>0</v>
      </c>
      <c r="P30" s="1300">
        <v>0</v>
      </c>
      <c r="Q30" s="1300">
        <v>1</v>
      </c>
      <c r="R30" s="1266">
        <v>0</v>
      </c>
      <c r="S30" s="1266">
        <v>221968.01196600002</v>
      </c>
      <c r="T30" s="1266">
        <f>+IF($Q30=1,$G30,INDEX([1]Summary!$K$5:$K$110,MATCH($C30,[1]Summary!$D$5:$D131,0)))</f>
        <v>0</v>
      </c>
      <c r="U30" s="1266">
        <f>+IF($Q30=1,$J30,INDEX([1]Summary!$L$5:$L$110,MATCH($C30,[1]Summary!$D$5:$D131,0)))</f>
        <v>221968.01196600002</v>
      </c>
      <c r="V30" s="721"/>
      <c r="W30" s="721"/>
      <c r="X30" s="721"/>
      <c r="Y30" s="721"/>
      <c r="Z30" s="721"/>
      <c r="AA30" s="721"/>
      <c r="AB30" s="721"/>
      <c r="AC30" s="721"/>
      <c r="AD30" s="721"/>
      <c r="AF30" s="720"/>
      <c r="AI30" s="105"/>
      <c r="AJ30" s="105"/>
      <c r="AN30" s="105"/>
      <c r="AO30" s="105"/>
      <c r="AP30" s="105"/>
      <c r="AS30" s="105"/>
      <c r="AT30" s="721"/>
      <c r="AW30" s="105"/>
      <c r="AX30" s="721"/>
    </row>
    <row r="31" spans="1:50" outlineLevel="1">
      <c r="A31" s="545">
        <f>MAX($A$10:A30)+1</f>
        <v>22</v>
      </c>
      <c r="B31" s="729"/>
      <c r="C31" s="729"/>
      <c r="D31" s="730" t="s">
        <v>1795</v>
      </c>
      <c r="E31" s="560"/>
      <c r="F31" s="495">
        <f>SUM(F10:F30)</f>
        <v>9006672.1762900017</v>
      </c>
      <c r="G31" s="495">
        <f>SUM(G10:G30)</f>
        <v>9006672.1762900017</v>
      </c>
      <c r="H31" s="495"/>
      <c r="I31" s="713">
        <f>SUM(I10:I30)</f>
        <v>5786905.5018690014</v>
      </c>
      <c r="J31" s="495">
        <f>SUM(J10:J30)</f>
        <v>5786905.5018690014</v>
      </c>
      <c r="K31" s="495"/>
      <c r="L31" s="507">
        <f>SUM(L10:L30)</f>
        <v>467500</v>
      </c>
      <c r="M31"/>
      <c r="N31"/>
      <c r="O31" s="449"/>
      <c r="P31" s="449"/>
      <c r="Q31" s="449"/>
      <c r="R31" s="1266"/>
      <c r="S31" s="1266"/>
      <c r="T31" s="1266"/>
      <c r="U31" s="1266"/>
      <c r="V31" s="721"/>
      <c r="W31" s="721"/>
      <c r="X31" s="721"/>
      <c r="Y31" s="721"/>
      <c r="Z31" s="721"/>
      <c r="AA31" s="721"/>
      <c r="AB31" s="721"/>
      <c r="AC31" s="721"/>
      <c r="AD31" s="721"/>
      <c r="AI31" s="105"/>
      <c r="AJ31" s="105"/>
      <c r="AN31" s="105"/>
      <c r="AO31" s="105"/>
      <c r="AP31" s="105"/>
      <c r="AS31" s="105"/>
      <c r="AT31" s="721"/>
      <c r="AW31" s="105"/>
      <c r="AX31" s="721"/>
    </row>
    <row r="32" spans="1:50" outlineLevel="1">
      <c r="A32" s="545">
        <f>MAX($A$10:A31)+1</f>
        <v>23</v>
      </c>
      <c r="B32" s="731"/>
      <c r="C32" s="731"/>
      <c r="D32" s="732"/>
      <c r="E32" s="561"/>
      <c r="F32" s="103"/>
      <c r="G32" s="103"/>
      <c r="H32" s="103"/>
      <c r="I32" s="711"/>
      <c r="J32" s="103"/>
      <c r="K32" s="103"/>
      <c r="L32" s="103"/>
      <c r="M32"/>
      <c r="N32"/>
      <c r="O32" s="449"/>
      <c r="P32" s="449"/>
      <c r="Q32" s="449"/>
      <c r="R32" s="1266"/>
      <c r="S32" s="1266"/>
      <c r="T32" s="1266"/>
      <c r="U32" s="1266"/>
      <c r="V32" s="721"/>
      <c r="W32" s="721"/>
      <c r="X32" s="721"/>
      <c r="Y32" s="721"/>
      <c r="Z32" s="721"/>
      <c r="AA32" s="721"/>
      <c r="AB32" s="721"/>
      <c r="AC32" s="721"/>
      <c r="AD32" s="721"/>
      <c r="AI32" s="105"/>
      <c r="AJ32" s="105"/>
      <c r="AN32" s="105"/>
      <c r="AO32" s="105"/>
      <c r="AP32" s="105"/>
      <c r="AS32" s="105"/>
      <c r="AT32" s="721"/>
      <c r="AW32" s="105"/>
      <c r="AX32" s="721"/>
    </row>
    <row r="33" spans="1:51" outlineLevel="1">
      <c r="A33" s="545">
        <f>MAX($A$10:A32)+1</f>
        <v>24</v>
      </c>
      <c r="B33" s="716" t="s">
        <v>1752</v>
      </c>
      <c r="C33" s="105" t="s">
        <v>1796</v>
      </c>
      <c r="D33" s="105" t="s">
        <v>1797</v>
      </c>
      <c r="E33" s="559">
        <v>333</v>
      </c>
      <c r="G33" s="103"/>
      <c r="I33" s="1302" cm="1">
        <f t="array" ref="I33">+IF(SUM(VALUE(N33:Q33)*$N$7:$Q$7)=0,S33,U33)</f>
        <v>0</v>
      </c>
      <c r="J33" s="103">
        <f>+I33</f>
        <v>0</v>
      </c>
      <c r="K33" s="717">
        <v>45823</v>
      </c>
      <c r="M33"/>
      <c r="N33" s="1300">
        <v>1</v>
      </c>
      <c r="O33" s="1300">
        <v>0</v>
      </c>
      <c r="P33" s="1300">
        <v>0</v>
      </c>
      <c r="Q33" s="1300">
        <v>0</v>
      </c>
      <c r="R33" s="1266">
        <v>0</v>
      </c>
      <c r="S33" s="1266">
        <v>17454194.260000002</v>
      </c>
      <c r="T33" s="1266">
        <f>+IF($Q33=1,$G33,INDEX([1]Summary!$K$5:$K$110,MATCH($C33,[1]Summary!$D$5:$D134,0)))</f>
        <v>0</v>
      </c>
      <c r="U33" s="1266">
        <f>+IF($Q33=1,$J33,INDEX([1]Summary!$L$5:$L$110,MATCH($C33,[1]Summary!$D$5:$D134,0)))</f>
        <v>0</v>
      </c>
      <c r="V33" s="721"/>
      <c r="W33" s="721"/>
      <c r="X33" s="721"/>
      <c r="Y33" s="721"/>
      <c r="Z33" s="721"/>
      <c r="AA33" s="721"/>
      <c r="AB33" s="721"/>
      <c r="AC33" s="721"/>
      <c r="AD33" s="721"/>
      <c r="AF33" s="720"/>
      <c r="AI33" s="105"/>
      <c r="AJ33" s="105"/>
      <c r="AL33" s="2"/>
      <c r="AN33" s="105"/>
      <c r="AO33" s="105"/>
      <c r="AP33" s="105"/>
      <c r="AS33" s="105"/>
      <c r="AT33" s="721"/>
      <c r="AW33" s="105"/>
      <c r="AX33" s="721"/>
    </row>
    <row r="34" spans="1:51" outlineLevel="1">
      <c r="A34" s="545">
        <f>MAX($A$10:A33)+1</f>
        <v>25</v>
      </c>
      <c r="B34" s="729"/>
      <c r="C34" s="729"/>
      <c r="D34" s="730" t="s">
        <v>1798</v>
      </c>
      <c r="E34" s="560"/>
      <c r="F34" s="495">
        <f>F33</f>
        <v>0</v>
      </c>
      <c r="G34" s="495">
        <f>G33</f>
        <v>0</v>
      </c>
      <c r="H34" s="495"/>
      <c r="I34" s="713">
        <f>I33</f>
        <v>0</v>
      </c>
      <c r="J34" s="495">
        <f>J33</f>
        <v>0</v>
      </c>
      <c r="K34" s="495"/>
      <c r="L34" s="495">
        <f>L33</f>
        <v>0</v>
      </c>
      <c r="M34"/>
      <c r="N34"/>
      <c r="O34" s="449"/>
      <c r="P34" s="449"/>
      <c r="Q34" s="449"/>
      <c r="R34" s="1266"/>
      <c r="S34" s="1266"/>
      <c r="T34" s="1266"/>
      <c r="U34" s="1266"/>
      <c r="V34" s="721"/>
      <c r="W34" s="721"/>
      <c r="X34" s="721"/>
      <c r="Y34" s="721"/>
      <c r="Z34" s="721"/>
      <c r="AA34" s="721"/>
      <c r="AB34" s="721"/>
      <c r="AC34" s="721"/>
      <c r="AD34" s="721"/>
      <c r="AI34" s="105"/>
      <c r="AJ34" s="105"/>
      <c r="AN34" s="105"/>
      <c r="AO34" s="105"/>
      <c r="AP34" s="105"/>
      <c r="AS34" s="105"/>
      <c r="AT34" s="721"/>
      <c r="AW34" s="105"/>
      <c r="AX34" s="721"/>
    </row>
    <row r="35" spans="1:51" outlineLevel="1">
      <c r="A35" s="545">
        <f>MAX($A$10:A34)+1</f>
        <v>26</v>
      </c>
      <c r="B35" s="731"/>
      <c r="C35" s="731"/>
      <c r="D35" s="731"/>
      <c r="E35" s="561"/>
      <c r="F35" s="103"/>
      <c r="G35" s="103"/>
      <c r="H35" s="103"/>
      <c r="I35" s="733"/>
      <c r="J35" s="103"/>
      <c r="K35" s="103"/>
      <c r="L35" s="103"/>
      <c r="M35"/>
      <c r="N35"/>
      <c r="O35" s="449"/>
      <c r="P35" s="449"/>
      <c r="Q35" s="449"/>
      <c r="R35" s="1266"/>
      <c r="S35" s="1266"/>
      <c r="T35" s="1266"/>
      <c r="U35" s="1266"/>
      <c r="V35" s="721"/>
      <c r="W35" s="721"/>
      <c r="X35" s="721"/>
      <c r="Y35" s="721"/>
      <c r="Z35" s="721"/>
      <c r="AA35" s="721"/>
      <c r="AB35" s="721"/>
      <c r="AC35" s="721"/>
      <c r="AD35" s="721"/>
      <c r="AI35" s="105"/>
      <c r="AJ35" s="105"/>
      <c r="AN35" s="105"/>
      <c r="AO35" s="105"/>
      <c r="AP35" s="105"/>
      <c r="AS35" s="105"/>
      <c r="AT35" s="721"/>
      <c r="AW35" s="105"/>
      <c r="AX35" s="721"/>
    </row>
    <row r="36" spans="1:51" outlineLevel="1">
      <c r="A36" s="545">
        <f>MAX($A$10:A35)+1</f>
        <v>27</v>
      </c>
      <c r="B36" s="716" t="s">
        <v>1799</v>
      </c>
      <c r="C36" s="716" t="s">
        <v>1800</v>
      </c>
      <c r="D36" s="731" t="s">
        <v>1801</v>
      </c>
      <c r="E36" s="559">
        <v>378</v>
      </c>
      <c r="F36" s="1302" cm="1">
        <f t="array" ref="F36">+IF(SUM(VALUE(N36:Q36)*$N$7:$Q$7)=0,R36,T36)</f>
        <v>242320</v>
      </c>
      <c r="G36" s="103">
        <f t="shared" ref="G36:G86" si="2">+F36</f>
        <v>242320</v>
      </c>
      <c r="H36" s="575">
        <v>45657</v>
      </c>
      <c r="I36" s="1303" cm="1">
        <f t="array" ref="I36">+IF(SUM(VALUE(N36:Q36)*$N$7:$Q$7)=0,S36,U36)</f>
        <v>725580</v>
      </c>
      <c r="J36" s="103">
        <f t="shared" ref="J36:J41" si="3">+I36</f>
        <v>725580</v>
      </c>
      <c r="K36" s="575">
        <v>46022</v>
      </c>
      <c r="M36"/>
      <c r="N36" s="1300">
        <v>0</v>
      </c>
      <c r="O36" s="1300">
        <v>0</v>
      </c>
      <c r="P36" s="1300">
        <v>1</v>
      </c>
      <c r="Q36" s="1300">
        <v>0</v>
      </c>
      <c r="R36" s="1266">
        <v>242320</v>
      </c>
      <c r="S36" s="1266">
        <v>725580</v>
      </c>
      <c r="T36" s="1266">
        <f>+IF($Q36=1,$G36,INDEX([1]Summary!$K$5:$K$110,MATCH($C36,[1]Summary!$D$5:$D137,0)))</f>
        <v>240662.24066667259</v>
      </c>
      <c r="U36" s="1266">
        <f>+IF($Q36=1,$J36,INDEX([1]Summary!$L$5:$L$110,MATCH($C36,[1]Summary!$D$5:$D137,0)))</f>
        <v>267234.101809524</v>
      </c>
      <c r="V36" s="721"/>
      <c r="W36" s="721"/>
      <c r="X36" s="721"/>
      <c r="Y36" s="721"/>
      <c r="Z36" s="721"/>
      <c r="AA36" s="721"/>
      <c r="AB36" s="721"/>
      <c r="AC36" s="721"/>
      <c r="AD36" s="721"/>
      <c r="AI36" s="105"/>
      <c r="AJ36" s="105"/>
      <c r="AN36" s="105"/>
      <c r="AO36" s="105"/>
      <c r="AP36" s="105"/>
      <c r="AS36" s="105"/>
      <c r="AT36" s="721"/>
      <c r="AW36" s="105"/>
      <c r="AX36" s="721"/>
    </row>
    <row r="37" spans="1:51" outlineLevel="1">
      <c r="A37" s="545">
        <f>MAX($A$10:A36)+1</f>
        <v>28</v>
      </c>
      <c r="B37" s="716" t="s">
        <v>1799</v>
      </c>
      <c r="C37" s="716" t="s">
        <v>1802</v>
      </c>
      <c r="D37" s="731" t="s">
        <v>1803</v>
      </c>
      <c r="E37" s="559">
        <v>378</v>
      </c>
      <c r="F37" s="1302" cm="1">
        <f t="array" ref="F37">+IF(SUM(VALUE(N37:Q37)*$N$7:$Q$7)=0,R37,T37)</f>
        <v>498617.42</v>
      </c>
      <c r="G37" s="103">
        <f t="shared" si="2"/>
        <v>498617.42</v>
      </c>
      <c r="H37" s="575">
        <v>45657</v>
      </c>
      <c r="I37" s="1303" cm="1">
        <f t="array" ref="I37">+IF(SUM(VALUE(N37:Q37)*$N$7:$Q$7)=0,S37,U37)</f>
        <v>460976.94</v>
      </c>
      <c r="J37" s="103">
        <f t="shared" si="3"/>
        <v>460976.94</v>
      </c>
      <c r="K37" s="575">
        <v>46022</v>
      </c>
      <c r="M37"/>
      <c r="N37" s="1300">
        <v>0</v>
      </c>
      <c r="O37" s="1300">
        <v>0</v>
      </c>
      <c r="P37" s="1300">
        <v>1</v>
      </c>
      <c r="Q37" s="1300">
        <v>0</v>
      </c>
      <c r="R37" s="1266">
        <v>498617.42</v>
      </c>
      <c r="S37" s="1266">
        <v>460976.94</v>
      </c>
      <c r="T37" s="1266">
        <f>+IF($Q37=1,$G37,INDEX([1]Summary!$K$5:$K$110,MATCH($C37,[1]Summary!$D$5:$D138,0)))</f>
        <v>406860.71</v>
      </c>
      <c r="U37" s="1266">
        <f>+IF($Q37=1,$J37,INDEX([1]Summary!$L$5:$L$110,MATCH($C37,[1]Summary!$D$5:$D138,0)))</f>
        <v>406860.71</v>
      </c>
      <c r="V37" s="721"/>
      <c r="W37" s="721"/>
      <c r="X37" s="721"/>
      <c r="Y37" s="721"/>
      <c r="Z37" s="721"/>
      <c r="AA37" s="721"/>
      <c r="AB37" s="721"/>
      <c r="AC37" s="721"/>
      <c r="AD37" s="721"/>
      <c r="AF37" s="720"/>
      <c r="AI37" s="105"/>
      <c r="AJ37" s="105"/>
      <c r="AN37" s="105"/>
      <c r="AO37" s="105"/>
      <c r="AP37" s="105"/>
      <c r="AS37" s="105"/>
      <c r="AT37" s="721"/>
      <c r="AW37" s="105"/>
      <c r="AX37" s="721"/>
    </row>
    <row r="38" spans="1:51" outlineLevel="1">
      <c r="A38" s="545">
        <f>MAX($A$10:A37)+1</f>
        <v>29</v>
      </c>
      <c r="B38" s="716" t="s">
        <v>1799</v>
      </c>
      <c r="C38" s="716" t="s">
        <v>1804</v>
      </c>
      <c r="D38" s="716" t="s">
        <v>1805</v>
      </c>
      <c r="E38" s="559">
        <v>381</v>
      </c>
      <c r="F38" s="1302" cm="1">
        <f t="array" ref="F38">+IF(SUM(VALUE(N38:Q38)*$N$7:$Q$7)=0,R38,T38)</f>
        <v>5937987.0246250005</v>
      </c>
      <c r="G38" s="103">
        <f t="shared" si="2"/>
        <v>5937987.0246250005</v>
      </c>
      <c r="H38" s="575">
        <v>45657</v>
      </c>
      <c r="I38" s="1303" cm="1">
        <f t="array" ref="I38">+IF(SUM(VALUE(N38:Q38)*$N$7:$Q$7)=0,S38,U38)</f>
        <v>6106833.2000000002</v>
      </c>
      <c r="J38" s="103">
        <f t="shared" si="3"/>
        <v>6106833.2000000002</v>
      </c>
      <c r="K38" s="575">
        <v>46022</v>
      </c>
      <c r="M38"/>
      <c r="N38" s="1300">
        <v>0</v>
      </c>
      <c r="O38" s="1300">
        <v>0</v>
      </c>
      <c r="P38" s="1300">
        <v>1</v>
      </c>
      <c r="Q38" s="1300">
        <v>0</v>
      </c>
      <c r="R38" s="1266">
        <v>5937987.0246250005</v>
      </c>
      <c r="S38" s="1266">
        <v>6106833.2000000002</v>
      </c>
      <c r="T38" s="1266">
        <f>+IF($Q38=1,$G38,INDEX([1]Summary!$K$5:$K$110,MATCH($C38,[1]Summary!$D$5:$D139,0)))</f>
        <v>3195561.9529540865</v>
      </c>
      <c r="U38" s="1266">
        <f>+IF($Q38=1,$J38,INDEX([1]Summary!$L$5:$L$110,MATCH($C38,[1]Summary!$D$5:$D139,0)))</f>
        <v>4750341.8353332281</v>
      </c>
      <c r="V38" s="721"/>
      <c r="W38" s="721"/>
      <c r="X38" s="721"/>
      <c r="Y38" s="721"/>
      <c r="Z38" s="721"/>
      <c r="AA38" s="721"/>
      <c r="AB38" s="721"/>
      <c r="AC38" s="721"/>
      <c r="AD38" s="721"/>
      <c r="AF38" s="720"/>
      <c r="AI38" s="105"/>
      <c r="AJ38" s="105"/>
      <c r="AN38" s="105"/>
      <c r="AO38" s="105"/>
      <c r="AP38" s="105"/>
    </row>
    <row r="39" spans="1:51" outlineLevel="1">
      <c r="A39" s="545">
        <f>MAX($A$10:A38)+1</f>
        <v>30</v>
      </c>
      <c r="B39" s="716" t="s">
        <v>1799</v>
      </c>
      <c r="C39" s="716" t="s">
        <v>1806</v>
      </c>
      <c r="D39" s="716" t="s">
        <v>1807</v>
      </c>
      <c r="E39" s="559">
        <v>383</v>
      </c>
      <c r="F39" s="1302" cm="1">
        <f t="array" ref="F39">+IF(SUM(VALUE(N39:Q39)*$N$7:$Q$7)=0,R39,T39)</f>
        <v>547264.69999999995</v>
      </c>
      <c r="G39" s="103">
        <f t="shared" si="2"/>
        <v>547264.69999999995</v>
      </c>
      <c r="H39" s="575">
        <v>45657</v>
      </c>
      <c r="I39" s="1303" cm="1">
        <f t="array" ref="I39">+IF(SUM(VALUE(N39:Q39)*$N$7:$Q$7)=0,S39,U39)</f>
        <v>562922.22</v>
      </c>
      <c r="J39" s="103">
        <f t="shared" si="3"/>
        <v>562922.22</v>
      </c>
      <c r="K39" s="575">
        <v>46022</v>
      </c>
      <c r="M39"/>
      <c r="N39" s="1300">
        <v>0</v>
      </c>
      <c r="O39" s="1300">
        <v>0</v>
      </c>
      <c r="P39" s="1300">
        <v>1</v>
      </c>
      <c r="Q39" s="1300">
        <v>0</v>
      </c>
      <c r="R39" s="1266">
        <v>547264.69999999995</v>
      </c>
      <c r="S39" s="1266">
        <v>562922.22</v>
      </c>
      <c r="T39" s="1266">
        <f>+IF($Q39=1,$G39,INDEX([1]Summary!$K$5:$K$110,MATCH($C39,[1]Summary!$D$5:$D140,0)))</f>
        <v>533478.22499999998</v>
      </c>
      <c r="U39" s="1266">
        <f>+IF($Q39=1,$J39,INDEX([1]Summary!$L$5:$L$110,MATCH($C39,[1]Summary!$D$5:$D140,0)))</f>
        <v>533478.22499999998</v>
      </c>
      <c r="V39" s="721"/>
      <c r="W39" s="721"/>
      <c r="X39" s="721"/>
      <c r="Y39" s="721"/>
      <c r="Z39" s="721"/>
      <c r="AA39" s="721"/>
      <c r="AB39" s="721"/>
      <c r="AC39" s="721"/>
      <c r="AD39" s="721"/>
      <c r="AE39" s="716"/>
      <c r="AF39" s="720"/>
      <c r="AI39" s="105"/>
      <c r="AJ39" s="105"/>
      <c r="AN39" s="105"/>
      <c r="AO39" s="105"/>
      <c r="AP39" s="105"/>
      <c r="AS39" s="105"/>
      <c r="AU39" s="106"/>
      <c r="AW39" s="105"/>
      <c r="AY39" s="106"/>
    </row>
    <row r="40" spans="1:51" outlineLevel="1">
      <c r="A40" s="545">
        <f>MAX($A$10:A39)+1</f>
        <v>31</v>
      </c>
      <c r="B40" s="716" t="s">
        <v>1799</v>
      </c>
      <c r="C40" s="716" t="s">
        <v>1808</v>
      </c>
      <c r="D40" s="716" t="s">
        <v>1809</v>
      </c>
      <c r="E40" s="559">
        <v>376.1</v>
      </c>
      <c r="F40" s="1302" cm="1">
        <f t="array" ref="F40">+IF(SUM(VALUE(N40:Q40)*$N$7:$Q$7)=0,R40,T40)</f>
        <v>602782.14</v>
      </c>
      <c r="G40" s="103">
        <f t="shared" si="2"/>
        <v>602782.14</v>
      </c>
      <c r="H40" s="575">
        <v>45657</v>
      </c>
      <c r="I40" s="1303" cm="1">
        <f t="array" ref="I40">+IF(SUM(VALUE(N40:Q40)*$N$7:$Q$7)=0,S40,U40)</f>
        <v>576860.29</v>
      </c>
      <c r="J40" s="103">
        <f t="shared" si="3"/>
        <v>576860.29</v>
      </c>
      <c r="K40" s="575">
        <v>46022</v>
      </c>
      <c r="M40"/>
      <c r="N40" s="1300">
        <v>0</v>
      </c>
      <c r="O40" s="1300">
        <v>0</v>
      </c>
      <c r="P40" s="1300">
        <v>1</v>
      </c>
      <c r="Q40" s="1300">
        <v>0</v>
      </c>
      <c r="R40" s="1266">
        <v>602782.14</v>
      </c>
      <c r="S40" s="1266">
        <v>576860.29</v>
      </c>
      <c r="T40" s="1266">
        <f>+IF($Q40=1,$G40,INDEX([1]Summary!$K$5:$K$110,MATCH($C40,[1]Summary!$D$5:$D141,0)))</f>
        <v>296728.8033333334</v>
      </c>
      <c r="U40" s="1266">
        <f>+IF($Q40=1,$J40,INDEX([1]Summary!$L$5:$L$110,MATCH($C40,[1]Summary!$D$5:$D141,0)))</f>
        <v>296728.8033333334</v>
      </c>
      <c r="V40" s="721"/>
      <c r="W40" s="721"/>
      <c r="X40" s="721"/>
      <c r="Y40" s="721"/>
      <c r="Z40" s="721"/>
      <c r="AA40" s="721"/>
      <c r="AB40" s="721"/>
      <c r="AC40" s="721"/>
      <c r="AD40" s="721"/>
      <c r="AF40" s="720"/>
      <c r="AI40" s="105"/>
      <c r="AJ40" s="105"/>
      <c r="AK40" s="105"/>
      <c r="AN40" s="105"/>
      <c r="AO40" s="105"/>
      <c r="AP40" s="105"/>
      <c r="AW40" s="105"/>
      <c r="AY40" s="106"/>
    </row>
    <row r="41" spans="1:51" outlineLevel="1">
      <c r="A41" s="545">
        <f>MAX($A$10:A40)+1</f>
        <v>32</v>
      </c>
      <c r="B41" s="716" t="s">
        <v>1799</v>
      </c>
      <c r="C41" s="716" t="s">
        <v>1810</v>
      </c>
      <c r="D41" s="716" t="s">
        <v>1811</v>
      </c>
      <c r="E41" s="559">
        <v>376.2</v>
      </c>
      <c r="F41" s="1302" cm="1">
        <f t="array" ref="F41">+IF(SUM(VALUE(N41:Q41)*$N$7:$Q$7)=0,R41,T41)</f>
        <v>0</v>
      </c>
      <c r="G41" s="103">
        <f t="shared" si="2"/>
        <v>0</v>
      </c>
      <c r="I41" s="1303" cm="1">
        <f t="array" ref="I41">+IF(SUM(VALUE(N41:Q41)*$N$7:$Q$7)=0,S41,U41)</f>
        <v>0</v>
      </c>
      <c r="J41" s="103">
        <f t="shared" si="3"/>
        <v>0</v>
      </c>
      <c r="K41" s="717">
        <v>45961</v>
      </c>
      <c r="M41"/>
      <c r="N41" s="1300">
        <v>0</v>
      </c>
      <c r="O41" s="1300">
        <v>1</v>
      </c>
      <c r="P41" s="1300">
        <v>0</v>
      </c>
      <c r="Q41" s="1300">
        <v>0</v>
      </c>
      <c r="R41" s="1266">
        <v>0</v>
      </c>
      <c r="S41" s="1266">
        <v>5827349.1699999999</v>
      </c>
      <c r="T41" s="1266">
        <f>+IF($Q41=1,$G41,INDEX([1]Summary!$K$5:$K$110,MATCH($C41,[1]Summary!$D$5:$D142,0)))</f>
        <v>0</v>
      </c>
      <c r="U41" s="1266">
        <f>+IF($Q41=1,$J41,INDEX([1]Summary!$L$5:$L$110,MATCH($C41,[1]Summary!$D$5:$D142,0)))</f>
        <v>0</v>
      </c>
      <c r="V41" s="721"/>
      <c r="W41" s="721"/>
      <c r="X41" s="721"/>
      <c r="Y41" s="721"/>
      <c r="Z41" s="721"/>
      <c r="AA41" s="721"/>
      <c r="AB41" s="721"/>
      <c r="AC41" s="721"/>
      <c r="AD41" s="721"/>
      <c r="AF41" s="720"/>
      <c r="AI41" s="105"/>
      <c r="AJ41" s="105"/>
      <c r="AK41" s="105"/>
      <c r="AN41" s="105"/>
      <c r="AO41" s="105"/>
      <c r="AP41" s="105"/>
      <c r="AW41" s="105"/>
      <c r="AY41" s="106"/>
    </row>
    <row r="42" spans="1:51" outlineLevel="1">
      <c r="A42" s="545">
        <f>MAX($A$10:A41)+1</f>
        <v>33</v>
      </c>
      <c r="B42" s="716" t="s">
        <v>1799</v>
      </c>
      <c r="C42" s="716" t="s">
        <v>1812</v>
      </c>
      <c r="D42" s="716" t="s">
        <v>1813</v>
      </c>
      <c r="E42" s="559">
        <v>376.2</v>
      </c>
      <c r="F42" s="1302" cm="1">
        <f t="array" ref="F42">+IF(SUM(VALUE(N42:Q42)*$N$7:$Q$7)=0,R42,T42)</f>
        <v>2430742.7749890001</v>
      </c>
      <c r="G42" s="103">
        <f t="shared" si="2"/>
        <v>2430742.7749890001</v>
      </c>
      <c r="H42" s="575">
        <v>45342</v>
      </c>
      <c r="I42" s="1303" cm="1">
        <f t="array" ref="I42">+IF(SUM(VALUE(N42:Q42)*$N$7:$Q$7)=0,S42,U42)</f>
        <v>0</v>
      </c>
      <c r="J42" s="103"/>
      <c r="K42" s="717"/>
      <c r="M42"/>
      <c r="N42" s="1300">
        <v>0</v>
      </c>
      <c r="O42" s="1300">
        <v>1</v>
      </c>
      <c r="P42" s="1300">
        <v>0</v>
      </c>
      <c r="Q42" s="1300">
        <v>0</v>
      </c>
      <c r="R42" s="1266">
        <v>2430742.7749890001</v>
      </c>
      <c r="S42" s="1266">
        <v>0</v>
      </c>
      <c r="T42" s="1266">
        <f>+IF($Q42=1,$G42,INDEX([1]Summary!$K$5:$K$110,MATCH($C42,[1]Summary!$D$5:$D143,0)))</f>
        <v>2430742.7749890001</v>
      </c>
      <c r="U42" s="1266">
        <f>+IF($Q42=1,$J42,INDEX([1]Summary!$L$5:$L$110,MATCH($C42,[1]Summary!$D$5:$D143,0)))</f>
        <v>0</v>
      </c>
      <c r="V42" s="721"/>
      <c r="W42" s="721"/>
      <c r="X42" s="721"/>
      <c r="Y42" s="721"/>
      <c r="Z42" s="721"/>
      <c r="AA42" s="721"/>
      <c r="AB42" s="721"/>
      <c r="AC42" s="721"/>
      <c r="AD42" s="721"/>
      <c r="AF42" s="720"/>
      <c r="AI42" s="105"/>
      <c r="AJ42" s="105"/>
      <c r="AK42" s="105"/>
      <c r="AN42" s="105"/>
      <c r="AO42" s="105"/>
      <c r="AP42" s="105"/>
      <c r="AW42" s="105"/>
      <c r="AY42" s="106"/>
    </row>
    <row r="43" spans="1:51" outlineLevel="1">
      <c r="A43" s="545">
        <f>MAX($A$10:A42)+1</f>
        <v>34</v>
      </c>
      <c r="B43" s="716" t="s">
        <v>1799</v>
      </c>
      <c r="C43" s="716" t="s">
        <v>1814</v>
      </c>
      <c r="D43" s="716" t="s">
        <v>1815</v>
      </c>
      <c r="E43" s="559">
        <v>376.2</v>
      </c>
      <c r="F43" s="1302" cm="1">
        <f t="array" ref="F43">+IF(SUM(VALUE(N43:Q43)*$N$7:$Q$7)=0,R43,T43)</f>
        <v>427000</v>
      </c>
      <c r="G43" s="103">
        <f t="shared" si="2"/>
        <v>427000</v>
      </c>
      <c r="H43" s="575">
        <v>45443</v>
      </c>
      <c r="I43" s="1303" cm="1">
        <f t="array" ref="I43">+IF(SUM(VALUE(N43:Q43)*$N$7:$Q$7)=0,S43,U43)</f>
        <v>0</v>
      </c>
      <c r="J43" s="103"/>
      <c r="K43" s="717"/>
      <c r="M43"/>
      <c r="N43" s="1300">
        <v>0</v>
      </c>
      <c r="O43" s="1300">
        <v>0</v>
      </c>
      <c r="P43" s="1300">
        <v>0</v>
      </c>
      <c r="Q43" s="1300">
        <v>1</v>
      </c>
      <c r="R43" s="1266">
        <v>427000</v>
      </c>
      <c r="S43" s="1266">
        <v>0</v>
      </c>
      <c r="T43" s="1266">
        <f>+IF($Q43=1,$G43,INDEX([1]Summary!$K$5:$K$110,MATCH($C43,[1]Summary!$D$5:$D144,0)))</f>
        <v>427000</v>
      </c>
      <c r="U43" s="1266">
        <f>+IF($Q43=1,$J43,INDEX([1]Summary!$L$5:$L$110,MATCH($C43,[1]Summary!$D$5:$D144,0)))</f>
        <v>0</v>
      </c>
      <c r="V43" s="721"/>
      <c r="W43" s="721"/>
      <c r="X43" s="721"/>
      <c r="Y43" s="721"/>
      <c r="Z43" s="721"/>
      <c r="AA43" s="721"/>
      <c r="AB43" s="721"/>
      <c r="AC43" s="721"/>
      <c r="AD43" s="721"/>
      <c r="AF43" s="720"/>
      <c r="AI43" s="105"/>
      <c r="AJ43" s="105"/>
      <c r="AK43" s="105"/>
      <c r="AN43" s="105"/>
      <c r="AO43" s="105"/>
      <c r="AP43" s="105"/>
      <c r="AW43" s="105"/>
      <c r="AY43" s="106"/>
    </row>
    <row r="44" spans="1:51" outlineLevel="1">
      <c r="A44" s="545">
        <f>MAX($A$10:A43)+1</f>
        <v>35</v>
      </c>
      <c r="B44" s="716" t="s">
        <v>1799</v>
      </c>
      <c r="C44" s="716" t="s">
        <v>1816</v>
      </c>
      <c r="D44" s="716" t="s">
        <v>1817</v>
      </c>
      <c r="E44" s="559">
        <v>376.2</v>
      </c>
      <c r="F44" s="1302" cm="1">
        <f t="array" ref="F44">+IF(SUM(VALUE(N44:Q44)*$N$7:$Q$7)=0,R44,T44)</f>
        <v>0</v>
      </c>
      <c r="G44" s="103">
        <f t="shared" si="2"/>
        <v>0</v>
      </c>
      <c r="H44" s="717">
        <v>0</v>
      </c>
      <c r="I44" s="1303" cm="1">
        <f t="array" ref="I44">+IF(SUM(VALUE(N44:Q44)*$N$7:$Q$7)=0,S44,U44)</f>
        <v>0</v>
      </c>
      <c r="J44" s="103">
        <f>+I44</f>
        <v>0</v>
      </c>
      <c r="K44" s="575">
        <v>45961</v>
      </c>
      <c r="M44"/>
      <c r="N44" s="1300">
        <v>0</v>
      </c>
      <c r="O44" s="1300">
        <v>1</v>
      </c>
      <c r="P44" s="1300">
        <v>0</v>
      </c>
      <c r="Q44" s="1300">
        <v>0</v>
      </c>
      <c r="R44" s="1266">
        <v>0</v>
      </c>
      <c r="S44" s="1266">
        <v>1191031.1399999999</v>
      </c>
      <c r="T44" s="1266">
        <f>+IF($Q44=1,$G44,INDEX([1]Summary!$K$5:$K$110,MATCH($C44,[1]Summary!$D$5:$D145,0)))</f>
        <v>0</v>
      </c>
      <c r="U44" s="1266">
        <f>+IF($Q44=1,$J44,INDEX([1]Summary!$L$5:$L$110,MATCH($C44,[1]Summary!$D$5:$D145,0)))</f>
        <v>0</v>
      </c>
      <c r="V44" s="721"/>
      <c r="W44" s="721"/>
      <c r="X44" s="721"/>
      <c r="Y44" s="721"/>
      <c r="Z44" s="721"/>
      <c r="AA44" s="721"/>
      <c r="AB44" s="721"/>
      <c r="AC44" s="721"/>
      <c r="AD44" s="721"/>
      <c r="AF44" s="720"/>
      <c r="AI44" s="105"/>
      <c r="AJ44" s="105"/>
      <c r="AN44" s="105"/>
      <c r="AO44" s="105"/>
      <c r="AP44" s="105"/>
    </row>
    <row r="45" spans="1:51" outlineLevel="1">
      <c r="A45" s="545">
        <f>MAX($A$10:A44)+1</f>
        <v>36</v>
      </c>
      <c r="B45" s="716" t="s">
        <v>1799</v>
      </c>
      <c r="C45" s="716" t="s">
        <v>1818</v>
      </c>
      <c r="D45" s="716" t="s">
        <v>1819</v>
      </c>
      <c r="E45" s="559">
        <v>376.2</v>
      </c>
      <c r="F45" s="1302" cm="1">
        <f t="array" ref="F45">+IF(SUM(VALUE(N45:Q45)*$N$7:$Q$7)=0,R45,T45)</f>
        <v>3037182.6</v>
      </c>
      <c r="G45" s="103">
        <f t="shared" si="2"/>
        <v>3037182.6</v>
      </c>
      <c r="H45" s="717">
        <v>45566</v>
      </c>
      <c r="I45" s="1303" cm="1">
        <f t="array" ref="I45">+IF(SUM(VALUE(N45:Q45)*$N$7:$Q$7)=0,S45,U45)</f>
        <v>0</v>
      </c>
      <c r="J45" s="103">
        <f>+I45</f>
        <v>0</v>
      </c>
      <c r="K45" s="103"/>
      <c r="M45"/>
      <c r="N45" s="1300">
        <v>0</v>
      </c>
      <c r="O45" s="1300">
        <v>1</v>
      </c>
      <c r="P45" s="1300">
        <v>0</v>
      </c>
      <c r="Q45" s="1300">
        <v>0</v>
      </c>
      <c r="R45" s="1266">
        <v>3037182.6</v>
      </c>
      <c r="S45" s="1266">
        <v>0</v>
      </c>
      <c r="T45" s="1266">
        <f>+IF($Q45=1,$G45,INDEX([1]Summary!$K$5:$K$110,MATCH($C45,[1]Summary!$D$5:$D146,0)))</f>
        <v>3037182.6</v>
      </c>
      <c r="U45" s="1266">
        <f>+IF($Q45=1,$J45,INDEX([1]Summary!$L$5:$L$110,MATCH($C45,[1]Summary!$D$5:$D146,0)))</f>
        <v>0</v>
      </c>
      <c r="V45" s="721"/>
      <c r="W45" s="721"/>
      <c r="X45" s="721"/>
      <c r="Y45" s="721"/>
      <c r="Z45" s="721"/>
      <c r="AA45" s="721"/>
      <c r="AB45" s="721"/>
      <c r="AC45" s="721"/>
      <c r="AD45" s="721"/>
      <c r="AF45" s="720"/>
      <c r="AI45" s="105"/>
      <c r="AJ45" s="105"/>
      <c r="AN45" s="105"/>
      <c r="AO45" s="105"/>
      <c r="AP45" s="105"/>
    </row>
    <row r="46" spans="1:51" outlineLevel="1">
      <c r="A46" s="545">
        <f>MAX($A$10:A45)+1</f>
        <v>37</v>
      </c>
      <c r="B46" s="716" t="s">
        <v>1799</v>
      </c>
      <c r="C46" s="716" t="s">
        <v>1820</v>
      </c>
      <c r="D46" s="716" t="s">
        <v>1821</v>
      </c>
      <c r="E46" s="559">
        <v>376.2</v>
      </c>
      <c r="F46" s="1302" cm="1">
        <f t="array" ref="F46">+IF(SUM(VALUE(N46:Q46)*$N$7:$Q$7)=0,R46,T46)</f>
        <v>750000</v>
      </c>
      <c r="G46" s="103">
        <f t="shared" si="2"/>
        <v>750000</v>
      </c>
      <c r="H46" s="717">
        <v>45535</v>
      </c>
      <c r="I46" s="1303" cm="1">
        <f t="array" ref="I46">+IF(SUM(VALUE(N46:Q46)*$N$7:$Q$7)=0,S46,U46)</f>
        <v>0</v>
      </c>
      <c r="J46" s="103"/>
      <c r="K46" s="103"/>
      <c r="M46"/>
      <c r="N46" s="1300">
        <v>0</v>
      </c>
      <c r="O46" s="1300">
        <v>0</v>
      </c>
      <c r="P46" s="1300">
        <v>0</v>
      </c>
      <c r="Q46" s="1300">
        <v>1</v>
      </c>
      <c r="R46" s="1266">
        <v>750000</v>
      </c>
      <c r="S46" s="1266">
        <v>0</v>
      </c>
      <c r="T46" s="1266">
        <f>+IF($Q46=1,$G46,INDEX([1]Summary!$K$5:$K$110,MATCH($C46,[1]Summary!$D$5:$D147,0)))</f>
        <v>750000</v>
      </c>
      <c r="U46" s="1266">
        <f>+IF($Q46=1,$J46,INDEX([1]Summary!$L$5:$L$110,MATCH($C46,[1]Summary!$D$5:$D147,0)))</f>
        <v>0</v>
      </c>
      <c r="V46" s="721"/>
      <c r="W46" s="721"/>
      <c r="X46" s="721"/>
      <c r="Y46" s="721"/>
      <c r="Z46" s="721"/>
      <c r="AA46" s="721"/>
      <c r="AB46" s="721"/>
      <c r="AC46" s="721"/>
      <c r="AD46" s="721"/>
      <c r="AF46" s="720"/>
      <c r="AI46" s="105"/>
      <c r="AJ46" s="105"/>
      <c r="AN46" s="105"/>
      <c r="AO46" s="105"/>
      <c r="AP46" s="105"/>
    </row>
    <row r="47" spans="1:51" outlineLevel="1">
      <c r="A47" s="545">
        <f>MAX($A$10:A46)+1</f>
        <v>38</v>
      </c>
      <c r="B47" s="716" t="s">
        <v>1799</v>
      </c>
      <c r="C47" s="716" t="s">
        <v>1822</v>
      </c>
      <c r="D47" s="716" t="s">
        <v>1823</v>
      </c>
      <c r="E47" s="559">
        <v>376.3</v>
      </c>
      <c r="F47" s="1302" cm="1">
        <f t="array" ref="F47">+IF(SUM(VALUE(N47:Q47)*$N$7:$Q$7)=0,R47,T47)</f>
        <v>87598.680000000008</v>
      </c>
      <c r="G47" s="103">
        <f t="shared" si="2"/>
        <v>87598.680000000008</v>
      </c>
      <c r="H47" s="575">
        <v>45657</v>
      </c>
      <c r="I47" s="1303" cm="1">
        <f t="array" ref="I47">+IF(SUM(VALUE(N47:Q47)*$N$7:$Q$7)=0,S47,U47)</f>
        <v>90059.04</v>
      </c>
      <c r="J47" s="103">
        <f t="shared" ref="J47:J85" si="4">+I47</f>
        <v>90059.04</v>
      </c>
      <c r="K47" s="575">
        <v>46022</v>
      </c>
      <c r="M47"/>
      <c r="N47" s="1300">
        <v>0</v>
      </c>
      <c r="O47" s="1300">
        <v>0</v>
      </c>
      <c r="P47" s="1300">
        <v>1</v>
      </c>
      <c r="Q47" s="1300">
        <v>0</v>
      </c>
      <c r="R47" s="1266">
        <v>87598.680000000008</v>
      </c>
      <c r="S47" s="1266">
        <v>90059.04</v>
      </c>
      <c r="T47" s="1266">
        <f>+IF($Q47=1,$G47,INDEX([1]Summary!$K$5:$K$110,MATCH($C47,[1]Summary!$D$5:$D148,0)))</f>
        <v>143661.82750000001</v>
      </c>
      <c r="U47" s="1266">
        <f>+IF($Q47=1,$J47,INDEX([1]Summary!$L$5:$L$110,MATCH($C47,[1]Summary!$D$5:$D148,0)))</f>
        <v>143661.82750000001</v>
      </c>
      <c r="V47" s="721"/>
      <c r="W47" s="721"/>
      <c r="X47" s="721"/>
      <c r="Y47" s="721"/>
      <c r="Z47" s="721"/>
      <c r="AA47" s="721"/>
      <c r="AB47" s="721"/>
      <c r="AC47" s="721"/>
      <c r="AD47" s="721"/>
      <c r="AF47" s="720"/>
      <c r="AI47" s="105"/>
      <c r="AJ47" s="105"/>
      <c r="AN47" s="105"/>
      <c r="AO47" s="105"/>
      <c r="AP47" s="105"/>
      <c r="AS47" s="105"/>
    </row>
    <row r="48" spans="1:51" outlineLevel="1">
      <c r="A48" s="545">
        <f>MAX($A$10:A47)+1</f>
        <v>39</v>
      </c>
      <c r="B48" s="716" t="s">
        <v>1799</v>
      </c>
      <c r="C48" s="716" t="s">
        <v>1824</v>
      </c>
      <c r="D48" s="716" t="s">
        <v>1825</v>
      </c>
      <c r="E48" s="559">
        <v>376.3</v>
      </c>
      <c r="F48" s="1302" cm="1">
        <f t="array" ref="F48">+IF(SUM(VALUE(N48:Q48)*$N$7:$Q$7)=0,R48,T48)</f>
        <v>260834.37784400009</v>
      </c>
      <c r="G48" s="103">
        <f t="shared" si="2"/>
        <v>260834.37784400009</v>
      </c>
      <c r="H48" s="575">
        <v>45657</v>
      </c>
      <c r="I48" s="1303" cm="1">
        <f t="array" ref="I48">+IF(SUM(VALUE(N48:Q48)*$N$7:$Q$7)=0,S48,U48)</f>
        <v>224689.91446899995</v>
      </c>
      <c r="J48" s="103">
        <f t="shared" si="4"/>
        <v>224689.91446899995</v>
      </c>
      <c r="K48" s="575">
        <v>46022</v>
      </c>
      <c r="M48"/>
      <c r="N48" s="1300">
        <v>0</v>
      </c>
      <c r="O48" s="1300">
        <v>0</v>
      </c>
      <c r="P48" s="1300">
        <v>1</v>
      </c>
      <c r="Q48" s="1300">
        <v>0</v>
      </c>
      <c r="R48" s="1266">
        <v>260834.37784400009</v>
      </c>
      <c r="S48" s="1266">
        <v>224689.91446899995</v>
      </c>
      <c r="T48" s="1266">
        <f>+IF($Q48=1,$G48,INDEX([1]Summary!$K$5:$K$110,MATCH($C48,[1]Summary!$D$5:$D149,0)))</f>
        <v>84544.570000000298</v>
      </c>
      <c r="U48" s="1266">
        <f>+IF($Q48=1,$J48,INDEX([1]Summary!$L$5:$L$110,MATCH($C48,[1]Summary!$D$5:$D149,0)))</f>
        <v>69125.594999998808</v>
      </c>
      <c r="V48" s="721"/>
      <c r="W48" s="721"/>
      <c r="X48" s="721"/>
      <c r="Y48" s="721"/>
      <c r="Z48" s="721"/>
      <c r="AA48" s="721"/>
      <c r="AB48" s="721"/>
      <c r="AC48" s="721"/>
      <c r="AD48" s="721"/>
      <c r="AF48" s="720"/>
      <c r="AI48" s="105"/>
      <c r="AJ48" s="105"/>
      <c r="AN48" s="105"/>
      <c r="AO48" s="105"/>
      <c r="AP48" s="105"/>
      <c r="AS48" s="105"/>
    </row>
    <row r="49" spans="1:45" outlineLevel="1">
      <c r="A49" s="545">
        <f>MAX($A$10:A48)+1</f>
        <v>40</v>
      </c>
      <c r="B49" s="716" t="s">
        <v>1799</v>
      </c>
      <c r="C49" s="716" t="s">
        <v>1826</v>
      </c>
      <c r="D49" s="716" t="s">
        <v>1827</v>
      </c>
      <c r="E49" s="559">
        <v>380.3</v>
      </c>
      <c r="F49" s="1302" cm="1">
        <f t="array" ref="F49">+IF(SUM(VALUE(N49:Q49)*$N$7:$Q$7)=0,R49,T49)</f>
        <v>432802.92000000016</v>
      </c>
      <c r="G49" s="103">
        <f t="shared" si="2"/>
        <v>432802.92000000016</v>
      </c>
      <c r="H49" s="575">
        <v>45657</v>
      </c>
      <c r="I49" s="1303" cm="1">
        <f t="array" ref="I49">+IF(SUM(VALUE(N49:Q49)*$N$7:$Q$7)=0,S49,U49)</f>
        <v>444940.08000000013</v>
      </c>
      <c r="J49" s="103">
        <f t="shared" si="4"/>
        <v>444940.08000000013</v>
      </c>
      <c r="K49" s="575">
        <v>46022</v>
      </c>
      <c r="M49"/>
      <c r="N49" s="1300">
        <v>0</v>
      </c>
      <c r="O49" s="1300">
        <v>0</v>
      </c>
      <c r="P49" s="1300">
        <v>1</v>
      </c>
      <c r="Q49" s="1300">
        <v>0</v>
      </c>
      <c r="R49" s="1266">
        <v>432802.92000000016</v>
      </c>
      <c r="S49" s="1266">
        <v>444940.08000000013</v>
      </c>
      <c r="T49" s="1266">
        <f>+IF($Q49=1,$G49,INDEX([1]Summary!$K$5:$K$110,MATCH($C49,[1]Summary!$D$5:$D150,0)))</f>
        <v>421666.68799999997</v>
      </c>
      <c r="U49" s="1266">
        <f>+IF($Q49=1,$J49,INDEX([1]Summary!$L$5:$L$110,MATCH($C49,[1]Summary!$D$5:$D150,0)))</f>
        <v>421666.68799999997</v>
      </c>
      <c r="V49" s="721"/>
      <c r="W49" s="721"/>
      <c r="X49" s="721"/>
      <c r="Y49" s="721"/>
      <c r="Z49" s="721"/>
      <c r="AA49" s="721"/>
      <c r="AB49" s="721"/>
      <c r="AC49" s="721"/>
      <c r="AD49" s="721"/>
      <c r="AF49" s="720"/>
      <c r="AI49" s="105"/>
      <c r="AJ49" s="105"/>
      <c r="AK49" s="105"/>
      <c r="AN49" s="105"/>
      <c r="AO49" s="105"/>
      <c r="AP49" s="105"/>
      <c r="AS49" s="105"/>
    </row>
    <row r="50" spans="1:45" outlineLevel="1">
      <c r="A50" s="545">
        <f>MAX($A$10:A49)+1</f>
        <v>41</v>
      </c>
      <c r="B50" s="716" t="s">
        <v>1799</v>
      </c>
      <c r="C50" s="716" t="s">
        <v>1828</v>
      </c>
      <c r="D50" s="716" t="s">
        <v>1829</v>
      </c>
      <c r="E50" s="559">
        <v>380.3</v>
      </c>
      <c r="F50" s="1302" cm="1">
        <f t="array" ref="F50">+IF(SUM(VALUE(N50:Q50)*$N$7:$Q$7)=0,R50,T50)</f>
        <v>230492.44047400006</v>
      </c>
      <c r="G50" s="103">
        <f t="shared" si="2"/>
        <v>230492.44047400006</v>
      </c>
      <c r="H50" s="575">
        <v>45657</v>
      </c>
      <c r="I50" s="1303" cm="1">
        <f t="array" ref="I50">+IF(SUM(VALUE(N50:Q50)*$N$7:$Q$7)=0,S50,U50)</f>
        <v>178839.24196299998</v>
      </c>
      <c r="J50" s="103">
        <f t="shared" si="4"/>
        <v>178839.24196299998</v>
      </c>
      <c r="K50" s="575">
        <v>46022</v>
      </c>
      <c r="M50"/>
      <c r="N50" s="1300">
        <v>0</v>
      </c>
      <c r="O50" s="1300">
        <v>0</v>
      </c>
      <c r="P50" s="1300">
        <v>1</v>
      </c>
      <c r="Q50" s="1300">
        <v>0</v>
      </c>
      <c r="R50" s="1266">
        <v>230492.44047400006</v>
      </c>
      <c r="S50" s="1266">
        <v>178839.24196299998</v>
      </c>
      <c r="T50" s="1266">
        <f>+IF($Q50=1,$G50,INDEX([1]Summary!$K$5:$K$110,MATCH($C50,[1]Summary!$D$5:$D151,0)))</f>
        <v>184523.08750000002</v>
      </c>
      <c r="U50" s="1266">
        <f>+IF($Q50=1,$J50,INDEX([1]Summary!$L$5:$L$110,MATCH($C50,[1]Summary!$D$5:$D151,0)))</f>
        <v>184523.08750000002</v>
      </c>
      <c r="V50" s="721"/>
      <c r="W50" s="721"/>
      <c r="X50" s="721"/>
      <c r="Y50" s="721"/>
      <c r="Z50" s="721"/>
      <c r="AA50" s="721"/>
      <c r="AB50" s="721"/>
      <c r="AC50" s="721"/>
      <c r="AD50" s="721"/>
      <c r="AF50" s="720"/>
      <c r="AI50" s="105"/>
      <c r="AJ50" s="105"/>
      <c r="AN50" s="105"/>
      <c r="AO50" s="105"/>
      <c r="AP50" s="105"/>
      <c r="AS50" s="105"/>
    </row>
    <row r="51" spans="1:45" outlineLevel="1">
      <c r="A51" s="545">
        <f>MAX($A$10:A50)+1</f>
        <v>42</v>
      </c>
      <c r="B51" s="716" t="s">
        <v>1799</v>
      </c>
      <c r="C51" s="716" t="s">
        <v>1830</v>
      </c>
      <c r="D51" s="716" t="s">
        <v>1831</v>
      </c>
      <c r="E51" s="559">
        <v>376.3</v>
      </c>
      <c r="F51" s="1302" cm="1">
        <f t="array" ref="F51">+IF(SUM(VALUE(N51:Q51)*$N$7:$Q$7)=0,R51,T51)</f>
        <v>14539.2</v>
      </c>
      <c r="G51" s="103">
        <f t="shared" si="2"/>
        <v>14539.2</v>
      </c>
      <c r="H51" s="575">
        <v>45657</v>
      </c>
      <c r="I51" s="1303" cm="1">
        <f t="array" ref="I51">+IF(SUM(VALUE(N51:Q51)*$N$7:$Q$7)=0,S51,U51)</f>
        <v>14511.600000000002</v>
      </c>
      <c r="J51" s="103">
        <f t="shared" si="4"/>
        <v>14511.600000000002</v>
      </c>
      <c r="K51" s="575">
        <v>46022</v>
      </c>
      <c r="M51"/>
      <c r="N51" s="1300">
        <v>0</v>
      </c>
      <c r="O51" s="1300">
        <v>0</v>
      </c>
      <c r="P51" s="1300">
        <v>1</v>
      </c>
      <c r="Q51" s="1300">
        <v>0</v>
      </c>
      <c r="R51" s="1266">
        <v>14539.2</v>
      </c>
      <c r="S51" s="1266">
        <v>14511.600000000002</v>
      </c>
      <c r="T51" s="1266">
        <f>+IF($Q51=1,$G51,INDEX([1]Summary!$K$5:$K$110,MATCH($C51,[1]Summary!$D$5:$D152,0)))</f>
        <v>4725.4375</v>
      </c>
      <c r="U51" s="1266">
        <f>+IF($Q51=1,$J51,INDEX([1]Summary!$L$5:$L$110,MATCH($C51,[1]Summary!$D$5:$D152,0)))</f>
        <v>4725.4375</v>
      </c>
      <c r="V51" s="721"/>
      <c r="W51" s="721"/>
      <c r="X51" s="721"/>
      <c r="Y51" s="721"/>
      <c r="Z51" s="721"/>
      <c r="AA51" s="721"/>
      <c r="AB51" s="721"/>
      <c r="AC51" s="721"/>
      <c r="AD51" s="721"/>
      <c r="AF51" s="720"/>
      <c r="AI51" s="105"/>
      <c r="AJ51" s="105"/>
      <c r="AN51" s="105"/>
      <c r="AO51" s="105"/>
      <c r="AP51" s="105"/>
      <c r="AS51" s="105"/>
    </row>
    <row r="52" spans="1:45" outlineLevel="1">
      <c r="A52" s="545">
        <f>MAX($A$10:A51)+1</f>
        <v>43</v>
      </c>
      <c r="B52" s="716" t="s">
        <v>1799</v>
      </c>
      <c r="C52" s="716" t="s">
        <v>1832</v>
      </c>
      <c r="D52" s="716" t="s">
        <v>1833</v>
      </c>
      <c r="E52" s="559">
        <v>376.3</v>
      </c>
      <c r="F52" s="1302" cm="1">
        <f t="array" ref="F52">+IF(SUM(VALUE(N52:Q52)*$N$7:$Q$7)=0,R52,T52)</f>
        <v>19699.351382000001</v>
      </c>
      <c r="G52" s="103">
        <f t="shared" si="2"/>
        <v>19699.351382000001</v>
      </c>
      <c r="H52" s="575">
        <v>45657</v>
      </c>
      <c r="I52" s="1303" cm="1">
        <f t="array" ref="I52">+IF(SUM(VALUE(N52:Q52)*$N$7:$Q$7)=0,S52,U52)</f>
        <v>18350.622632999999</v>
      </c>
      <c r="J52" s="103">
        <f t="shared" si="4"/>
        <v>18350.622632999999</v>
      </c>
      <c r="K52" s="575">
        <v>46022</v>
      </c>
      <c r="M52"/>
      <c r="N52" s="1300">
        <v>0</v>
      </c>
      <c r="O52" s="1300">
        <v>0</v>
      </c>
      <c r="P52" s="1300">
        <v>1</v>
      </c>
      <c r="Q52" s="1300">
        <v>0</v>
      </c>
      <c r="R52" s="1266">
        <v>19699.351382000001</v>
      </c>
      <c r="S52" s="1266">
        <v>18350.622632999999</v>
      </c>
      <c r="T52" s="1266">
        <f>+IF($Q52=1,$G52,INDEX([1]Summary!$K$5:$K$110,MATCH($C52,[1]Summary!$D$5:$D153,0)))</f>
        <v>13623.474999999999</v>
      </c>
      <c r="U52" s="1266">
        <f>+IF($Q52=1,$J52,INDEX([1]Summary!$L$5:$L$110,MATCH($C52,[1]Summary!$D$5:$D153,0)))</f>
        <v>13623.474999999999</v>
      </c>
      <c r="V52" s="721"/>
      <c r="W52" s="721"/>
      <c r="X52" s="721"/>
      <c r="Y52" s="721"/>
      <c r="Z52" s="721"/>
      <c r="AA52" s="721"/>
      <c r="AB52" s="721"/>
      <c r="AC52" s="721"/>
      <c r="AD52" s="721"/>
      <c r="AF52" s="720"/>
      <c r="AI52" s="105"/>
      <c r="AJ52" s="105"/>
      <c r="AN52" s="105"/>
      <c r="AO52" s="105"/>
      <c r="AP52" s="105"/>
      <c r="AS52" s="105"/>
    </row>
    <row r="53" spans="1:45" outlineLevel="1">
      <c r="A53" s="545">
        <f>MAX($A$10:A52)+1</f>
        <v>44</v>
      </c>
      <c r="B53" s="716" t="s">
        <v>1799</v>
      </c>
      <c r="C53" s="716" t="s">
        <v>1834</v>
      </c>
      <c r="D53" s="716" t="s">
        <v>1835</v>
      </c>
      <c r="E53" s="559">
        <v>380.3</v>
      </c>
      <c r="F53" s="1302" cm="1">
        <f t="array" ref="F53">+IF(SUM(VALUE(N53:Q53)*$N$7:$Q$7)=0,R53,T53)</f>
        <v>54194.889999999992</v>
      </c>
      <c r="G53" s="103">
        <f t="shared" si="2"/>
        <v>54194.889999999992</v>
      </c>
      <c r="H53" s="575">
        <v>45657</v>
      </c>
      <c r="I53" s="1303" cm="1">
        <f t="array" ref="I53">+IF(SUM(VALUE(N53:Q53)*$N$7:$Q$7)=0,S53,U53)</f>
        <v>58743</v>
      </c>
      <c r="J53" s="103">
        <f t="shared" si="4"/>
        <v>58743</v>
      </c>
      <c r="K53" s="575">
        <v>46022</v>
      </c>
      <c r="M53"/>
      <c r="N53" s="1300">
        <v>0</v>
      </c>
      <c r="O53" s="1300">
        <v>0</v>
      </c>
      <c r="P53" s="1300">
        <v>1</v>
      </c>
      <c r="Q53" s="1300">
        <v>0</v>
      </c>
      <c r="R53" s="1266">
        <v>54194.889999999992</v>
      </c>
      <c r="S53" s="1266">
        <v>58743</v>
      </c>
      <c r="T53" s="1266">
        <f>+IF($Q53=1,$G53,INDEX([1]Summary!$K$5:$K$110,MATCH($C53,[1]Summary!$D$5:$D154,0)))</f>
        <v>106420.70333333332</v>
      </c>
      <c r="U53" s="1266">
        <f>+IF($Q53=1,$J53,INDEX([1]Summary!$L$5:$L$110,MATCH($C53,[1]Summary!$D$5:$D154,0)))</f>
        <v>106420.70333333332</v>
      </c>
      <c r="V53" s="721"/>
      <c r="W53" s="721"/>
      <c r="X53" s="721"/>
      <c r="Y53" s="721"/>
      <c r="Z53" s="721"/>
      <c r="AA53" s="721"/>
      <c r="AB53" s="721"/>
      <c r="AC53" s="721"/>
      <c r="AD53" s="721"/>
      <c r="AF53" s="720"/>
      <c r="AI53" s="105"/>
      <c r="AJ53" s="105"/>
      <c r="AN53" s="105"/>
      <c r="AO53" s="105"/>
      <c r="AP53" s="105"/>
      <c r="AS53" s="105"/>
    </row>
    <row r="54" spans="1:45" outlineLevel="1">
      <c r="A54" s="545">
        <f>MAX($A$10:A53)+1</f>
        <v>45</v>
      </c>
      <c r="B54" s="716" t="s">
        <v>1799</v>
      </c>
      <c r="C54" s="716" t="s">
        <v>1836</v>
      </c>
      <c r="D54" s="716" t="s">
        <v>1837</v>
      </c>
      <c r="E54" s="559">
        <v>380.3</v>
      </c>
      <c r="F54" s="1302" cm="1">
        <f t="array" ref="F54">+IF(SUM(VALUE(N54:Q54)*$N$7:$Q$7)=0,R54,T54)</f>
        <v>64673.637801999997</v>
      </c>
      <c r="G54" s="103">
        <f t="shared" si="2"/>
        <v>64673.637801999997</v>
      </c>
      <c r="H54" s="575">
        <v>45657</v>
      </c>
      <c r="I54" s="1303" cm="1">
        <f t="array" ref="I54">+IF(SUM(VALUE(N54:Q54)*$N$7:$Q$7)=0,S54,U54)</f>
        <v>52841.280960999982</v>
      </c>
      <c r="J54" s="103">
        <f t="shared" si="4"/>
        <v>52841.280960999982</v>
      </c>
      <c r="K54" s="575">
        <v>46022</v>
      </c>
      <c r="M54"/>
      <c r="N54" s="1300">
        <v>0</v>
      </c>
      <c r="O54" s="1300">
        <v>0</v>
      </c>
      <c r="P54" s="1300">
        <v>1</v>
      </c>
      <c r="Q54" s="1300">
        <v>0</v>
      </c>
      <c r="R54" s="1266">
        <v>64673.637801999997</v>
      </c>
      <c r="S54" s="1266">
        <v>52841.280960999982</v>
      </c>
      <c r="T54" s="1266">
        <f>+IF($Q54=1,$G54,INDEX([1]Summary!$K$5:$K$110,MATCH($C54,[1]Summary!$D$5:$D155,0)))</f>
        <v>1010.115</v>
      </c>
      <c r="U54" s="1266">
        <f>+IF($Q54=1,$J54,INDEX([1]Summary!$L$5:$L$110,MATCH($C54,[1]Summary!$D$5:$D155,0)))</f>
        <v>1010.115</v>
      </c>
      <c r="V54" s="721"/>
      <c r="W54" s="721"/>
      <c r="X54" s="721"/>
      <c r="Y54" s="721"/>
      <c r="Z54" s="721"/>
      <c r="AA54" s="721"/>
      <c r="AB54" s="721"/>
      <c r="AC54" s="721"/>
      <c r="AD54" s="721"/>
      <c r="AF54" s="720"/>
      <c r="AI54" s="105"/>
      <c r="AJ54" s="105"/>
      <c r="AN54" s="105"/>
      <c r="AO54" s="105"/>
      <c r="AP54" s="105"/>
      <c r="AS54" s="105"/>
    </row>
    <row r="55" spans="1:45" outlineLevel="1">
      <c r="A55" s="545">
        <f>MAX($A$10:A54)+1</f>
        <v>46</v>
      </c>
      <c r="B55" s="716" t="s">
        <v>1799</v>
      </c>
      <c r="C55" s="716" t="s">
        <v>1838</v>
      </c>
      <c r="D55" s="716" t="s">
        <v>1839</v>
      </c>
      <c r="E55" s="559">
        <v>376.3</v>
      </c>
      <c r="F55" s="1302" cm="1">
        <f t="array" ref="F55">+IF(SUM(VALUE(N55:Q55)*$N$7:$Q$7)=0,R55,T55)</f>
        <v>102137.88000000002</v>
      </c>
      <c r="G55" s="103">
        <f t="shared" si="2"/>
        <v>102137.88000000002</v>
      </c>
      <c r="H55" s="575">
        <v>45657</v>
      </c>
      <c r="I55" s="1303" cm="1">
        <f t="array" ref="I55">+IF(SUM(VALUE(N55:Q55)*$N$7:$Q$7)=0,S55,U55)</f>
        <v>104991.36</v>
      </c>
      <c r="J55" s="103">
        <f t="shared" si="4"/>
        <v>104991.36</v>
      </c>
      <c r="K55" s="575">
        <v>46022</v>
      </c>
      <c r="M55"/>
      <c r="N55" s="1300">
        <v>0</v>
      </c>
      <c r="O55" s="1300">
        <v>0</v>
      </c>
      <c r="P55" s="1300">
        <v>1</v>
      </c>
      <c r="Q55" s="1300">
        <v>0</v>
      </c>
      <c r="R55" s="1266">
        <v>102137.88000000002</v>
      </c>
      <c r="S55" s="1266">
        <v>104991.36</v>
      </c>
      <c r="T55" s="1266">
        <f>+IF($Q55=1,$G55,INDEX([1]Summary!$K$5:$K$110,MATCH($C55,[1]Summary!$D$5:$D156,0)))</f>
        <v>247300.73250000001</v>
      </c>
      <c r="U55" s="1266">
        <f>+IF($Q55=1,$J55,INDEX([1]Summary!$L$5:$L$110,MATCH($C55,[1]Summary!$D$5:$D156,0)))</f>
        <v>247300.73250000001</v>
      </c>
      <c r="V55" s="721"/>
      <c r="W55" s="721"/>
      <c r="X55" s="721"/>
      <c r="Y55" s="721"/>
      <c r="Z55" s="721"/>
      <c r="AA55" s="721"/>
      <c r="AB55" s="721"/>
      <c r="AC55" s="721"/>
      <c r="AD55" s="721"/>
      <c r="AF55" s="720"/>
      <c r="AI55" s="105"/>
      <c r="AJ55" s="105"/>
      <c r="AN55" s="105"/>
      <c r="AO55" s="105"/>
      <c r="AP55" s="105"/>
      <c r="AS55" s="105"/>
    </row>
    <row r="56" spans="1:45" outlineLevel="1">
      <c r="A56" s="545">
        <f>MAX($A$10:A55)+1</f>
        <v>47</v>
      </c>
      <c r="B56" s="716" t="s">
        <v>1799</v>
      </c>
      <c r="C56" s="716" t="s">
        <v>1840</v>
      </c>
      <c r="D56" s="716" t="s">
        <v>1841</v>
      </c>
      <c r="E56" s="559">
        <v>376.3</v>
      </c>
      <c r="F56" s="1302" cm="1">
        <f t="array" ref="F56">+IF(SUM(VALUE(N56:Q56)*$N$7:$Q$7)=0,R56,T56)</f>
        <v>183118.15119299997</v>
      </c>
      <c r="G56" s="103">
        <f t="shared" si="2"/>
        <v>183118.15119299997</v>
      </c>
      <c r="H56" s="575">
        <v>45657</v>
      </c>
      <c r="I56" s="1303" cm="1">
        <f t="array" ref="I56">+IF(SUM(VALUE(N56:Q56)*$N$7:$Q$7)=0,S56,U56)</f>
        <v>188332.45476299999</v>
      </c>
      <c r="J56" s="103">
        <f t="shared" si="4"/>
        <v>188332.45476299999</v>
      </c>
      <c r="K56" s="575">
        <v>46022</v>
      </c>
      <c r="M56"/>
      <c r="N56" s="1300">
        <v>0</v>
      </c>
      <c r="O56" s="1300">
        <v>0</v>
      </c>
      <c r="P56" s="1300">
        <v>1</v>
      </c>
      <c r="Q56" s="1300">
        <v>0</v>
      </c>
      <c r="R56" s="1266">
        <v>183118.15119299997</v>
      </c>
      <c r="S56" s="1266">
        <v>188332.45476299999</v>
      </c>
      <c r="T56" s="1266">
        <f>+IF($Q56=1,$G56,INDEX([1]Summary!$K$5:$K$110,MATCH($C56,[1]Summary!$D$5:$D157,0)))</f>
        <v>201854.49000000209</v>
      </c>
      <c r="U56" s="1266">
        <f>+IF($Q56=1,$J56,INDEX([1]Summary!$L$5:$L$110,MATCH($C56,[1]Summary!$D$5:$D157,0)))</f>
        <v>224484.68599999696</v>
      </c>
      <c r="V56" s="721"/>
      <c r="W56" s="721"/>
      <c r="X56" s="721"/>
      <c r="Y56" s="721"/>
      <c r="Z56" s="721"/>
      <c r="AA56" s="721"/>
      <c r="AB56" s="721"/>
      <c r="AC56" s="721"/>
      <c r="AD56" s="721"/>
      <c r="AF56" s="720"/>
      <c r="AI56" s="105"/>
      <c r="AJ56" s="105"/>
      <c r="AN56" s="105"/>
      <c r="AO56" s="105"/>
      <c r="AP56" s="105"/>
      <c r="AS56" s="105"/>
    </row>
    <row r="57" spans="1:45" outlineLevel="1">
      <c r="A57" s="545">
        <f>MAX($A$10:A56)+1</f>
        <v>48</v>
      </c>
      <c r="B57" s="716" t="s">
        <v>1799</v>
      </c>
      <c r="C57" s="716" t="s">
        <v>1842</v>
      </c>
      <c r="D57" s="716" t="s">
        <v>1843</v>
      </c>
      <c r="E57" s="559">
        <v>380.3</v>
      </c>
      <c r="F57" s="1302" cm="1">
        <f t="array" ref="F57">+IF(SUM(VALUE(N57:Q57)*$N$7:$Q$7)=0,R57,T57)</f>
        <v>674851.56</v>
      </c>
      <c r="G57" s="103">
        <f t="shared" si="2"/>
        <v>674851.56</v>
      </c>
      <c r="H57" s="575">
        <v>45657</v>
      </c>
      <c r="I57" s="1303" cm="1">
        <f t="array" ref="I57">+IF(SUM(VALUE(N57:Q57)*$N$7:$Q$7)=0,S57,U57)</f>
        <v>693785.04</v>
      </c>
      <c r="J57" s="103">
        <f t="shared" si="4"/>
        <v>693785.04</v>
      </c>
      <c r="K57" s="575">
        <v>46022</v>
      </c>
      <c r="M57"/>
      <c r="N57" s="1300">
        <v>0</v>
      </c>
      <c r="O57" s="1300">
        <v>0</v>
      </c>
      <c r="P57" s="1300">
        <v>1</v>
      </c>
      <c r="Q57" s="1300">
        <v>0</v>
      </c>
      <c r="R57" s="1266">
        <v>674851.56</v>
      </c>
      <c r="S57" s="1266">
        <v>693785.04</v>
      </c>
      <c r="T57" s="1266">
        <f>+IF($Q57=1,$G57,INDEX([1]Summary!$K$5:$K$110,MATCH($C57,[1]Summary!$D$5:$D158,0)))</f>
        <v>481502.20266669989</v>
      </c>
      <c r="U57" s="1266">
        <f>+IF($Q57=1,$J57,INDEX([1]Summary!$L$5:$L$110,MATCH($C57,[1]Summary!$D$5:$D158,0)))</f>
        <v>327047.00009524822</v>
      </c>
      <c r="V57" s="721"/>
      <c r="W57" s="721"/>
      <c r="X57" s="721"/>
      <c r="Y57" s="721"/>
      <c r="Z57" s="721"/>
      <c r="AA57" s="721"/>
      <c r="AB57" s="721"/>
      <c r="AC57" s="721"/>
      <c r="AD57" s="721"/>
      <c r="AF57" s="720"/>
      <c r="AI57" s="105"/>
      <c r="AJ57" s="105"/>
      <c r="AN57" s="105"/>
      <c r="AO57" s="105"/>
      <c r="AP57" s="105"/>
      <c r="AS57" s="105"/>
    </row>
    <row r="58" spans="1:45" outlineLevel="1">
      <c r="A58" s="545">
        <f>MAX($A$10:A57)+1</f>
        <v>49</v>
      </c>
      <c r="B58" s="716" t="s">
        <v>1799</v>
      </c>
      <c r="C58" s="716" t="s">
        <v>1844</v>
      </c>
      <c r="D58" s="716" t="s">
        <v>1845</v>
      </c>
      <c r="E58" s="559">
        <v>380.3</v>
      </c>
      <c r="F58" s="1302" cm="1">
        <f t="array" ref="F58">+IF(SUM(VALUE(N58:Q58)*$N$7:$Q$7)=0,R58,T58)</f>
        <v>315682.85518500005</v>
      </c>
      <c r="G58" s="103">
        <f t="shared" si="2"/>
        <v>315682.85518500005</v>
      </c>
      <c r="H58" s="575">
        <v>45657</v>
      </c>
      <c r="I58" s="1303" cm="1">
        <f t="array" ref="I58">+IF(SUM(VALUE(N58:Q58)*$N$7:$Q$7)=0,S58,U58)</f>
        <v>293445.8054769999</v>
      </c>
      <c r="J58" s="103">
        <f t="shared" si="4"/>
        <v>293445.8054769999</v>
      </c>
      <c r="K58" s="575">
        <v>46022</v>
      </c>
      <c r="M58"/>
      <c r="N58" s="1300">
        <v>0</v>
      </c>
      <c r="O58" s="1300">
        <v>0</v>
      </c>
      <c r="P58" s="1300">
        <v>1</v>
      </c>
      <c r="Q58" s="1300">
        <v>0</v>
      </c>
      <c r="R58" s="1266">
        <v>315682.85518500005</v>
      </c>
      <c r="S58" s="1266">
        <v>293445.8054769999</v>
      </c>
      <c r="T58" s="1266">
        <f>+IF($Q58=1,$G58,INDEX([1]Summary!$K$5:$K$110,MATCH($C58,[1]Summary!$D$5:$D159,0)))</f>
        <v>91630.605000000447</v>
      </c>
      <c r="U58" s="1266">
        <f>+IF($Q58=1,$J58,INDEX([1]Summary!$L$5:$L$110,MATCH($C58,[1]Summary!$D$5:$D159,0)))</f>
        <v>105890.96400000155</v>
      </c>
      <c r="V58" s="721"/>
      <c r="W58" s="721"/>
      <c r="X58" s="721"/>
      <c r="Y58" s="721"/>
      <c r="Z58" s="721"/>
      <c r="AA58" s="721"/>
      <c r="AB58" s="721"/>
      <c r="AC58" s="721"/>
      <c r="AD58" s="721"/>
      <c r="AF58" s="720"/>
      <c r="AI58" s="105"/>
      <c r="AJ58" s="105"/>
      <c r="AN58" s="105"/>
      <c r="AO58" s="105"/>
      <c r="AP58" s="105"/>
      <c r="AS58" s="105"/>
    </row>
    <row r="59" spans="1:45" outlineLevel="1">
      <c r="A59" s="545">
        <f>MAX($A$10:A58)+1</f>
        <v>50</v>
      </c>
      <c r="B59" s="716" t="s">
        <v>1799</v>
      </c>
      <c r="C59" s="716" t="s">
        <v>1846</v>
      </c>
      <c r="D59" s="716" t="s">
        <v>1847</v>
      </c>
      <c r="E59" s="559">
        <v>376.3</v>
      </c>
      <c r="F59" s="1302" cm="1">
        <f t="array" ref="F59">+IF(SUM(VALUE(N59:Q59)*$N$7:$Q$7)=0,R59,T59)</f>
        <v>167040.84000000005</v>
      </c>
      <c r="G59" s="103">
        <f t="shared" si="2"/>
        <v>167040.84000000005</v>
      </c>
      <c r="H59" s="575">
        <v>45657</v>
      </c>
      <c r="I59" s="1303" cm="1">
        <f t="array" ref="I59">+IF(SUM(VALUE(N59:Q59)*$N$7:$Q$7)=0,S59,U59)</f>
        <v>171725.36000000002</v>
      </c>
      <c r="J59" s="103">
        <f t="shared" si="4"/>
        <v>171725.36000000002</v>
      </c>
      <c r="K59" s="575">
        <v>46022</v>
      </c>
      <c r="M59"/>
      <c r="N59" s="1300">
        <v>0</v>
      </c>
      <c r="O59" s="1300">
        <v>0</v>
      </c>
      <c r="P59" s="1300">
        <v>1</v>
      </c>
      <c r="Q59" s="1300">
        <v>0</v>
      </c>
      <c r="R59" s="1266">
        <v>167040.84000000005</v>
      </c>
      <c r="S59" s="1266">
        <v>171725.36000000002</v>
      </c>
      <c r="T59" s="1266">
        <f>+IF($Q59=1,$G59,INDEX([1]Summary!$K$5:$K$110,MATCH($C59,[1]Summary!$D$5:$D160,0)))</f>
        <v>103605.74499999732</v>
      </c>
      <c r="U59" s="1266">
        <f>+IF($Q59=1,$J59,INDEX([1]Summary!$L$5:$L$110,MATCH($C59,[1]Summary!$D$5:$D160,0)))</f>
        <v>125973.51999999583</v>
      </c>
      <c r="V59" s="721"/>
      <c r="W59" s="721"/>
      <c r="X59" s="721"/>
      <c r="Y59" s="721"/>
      <c r="Z59" s="721"/>
      <c r="AA59" s="721"/>
      <c r="AB59" s="721"/>
      <c r="AC59" s="721"/>
      <c r="AD59" s="721"/>
      <c r="AF59" s="720"/>
      <c r="AI59" s="105"/>
      <c r="AJ59" s="105"/>
      <c r="AN59" s="105"/>
      <c r="AO59" s="105"/>
      <c r="AP59" s="105"/>
      <c r="AS59" s="105"/>
    </row>
    <row r="60" spans="1:45" outlineLevel="1">
      <c r="A60" s="545">
        <f>MAX($A$10:A59)+1</f>
        <v>51</v>
      </c>
      <c r="B60" s="716" t="s">
        <v>1799</v>
      </c>
      <c r="C60" s="716" t="s">
        <v>1848</v>
      </c>
      <c r="D60" s="1" t="s">
        <v>1849</v>
      </c>
      <c r="E60" s="559">
        <v>376.3</v>
      </c>
      <c r="F60" s="1302" cm="1">
        <f t="array" ref="F60">+IF(SUM(VALUE(N60:Q60)*$N$7:$Q$7)=0,R60,T60)</f>
        <v>53179.953616999999</v>
      </c>
      <c r="G60" s="103">
        <f t="shared" si="2"/>
        <v>53179.953616999999</v>
      </c>
      <c r="H60" s="575">
        <v>45657</v>
      </c>
      <c r="I60" s="1303" cm="1">
        <f t="array" ref="I60">+IF(SUM(VALUE(N60:Q60)*$N$7:$Q$7)=0,S60,U60)</f>
        <v>51291.966120000005</v>
      </c>
      <c r="J60" s="103">
        <f t="shared" si="4"/>
        <v>51291.966120000005</v>
      </c>
      <c r="K60" s="575">
        <v>46022</v>
      </c>
      <c r="M60"/>
      <c r="N60" s="1300">
        <v>0</v>
      </c>
      <c r="O60" s="1300">
        <v>0</v>
      </c>
      <c r="P60" s="1300">
        <v>1</v>
      </c>
      <c r="Q60" s="1300">
        <v>0</v>
      </c>
      <c r="R60" s="1266">
        <v>53179.953616999999</v>
      </c>
      <c r="S60" s="1266">
        <v>51291.966120000005</v>
      </c>
      <c r="T60" s="1266">
        <f>+IF($Q60=1,$G60,INDEX([1]Summary!$K$5:$K$110,MATCH($C60,[1]Summary!$D$5:$D161,0)))</f>
        <v>88272.780000001192</v>
      </c>
      <c r="U60" s="1266">
        <f>+IF($Q60=1,$J60,INDEX([1]Summary!$L$5:$L$110,MATCH($C60,[1]Summary!$D$5:$D161,0)))</f>
        <v>120934.13000000268</v>
      </c>
      <c r="V60" s="721"/>
      <c r="W60" s="721"/>
      <c r="X60" s="721"/>
      <c r="Y60" s="721"/>
      <c r="Z60" s="721"/>
      <c r="AA60" s="721"/>
      <c r="AB60" s="721"/>
      <c r="AC60" s="721"/>
      <c r="AD60" s="721"/>
      <c r="AF60" s="720"/>
      <c r="AI60" s="105"/>
      <c r="AJ60" s="105"/>
      <c r="AN60" s="105"/>
      <c r="AO60" s="105"/>
      <c r="AP60" s="105"/>
      <c r="AS60" s="105"/>
    </row>
    <row r="61" spans="1:45" outlineLevel="1">
      <c r="A61" s="545">
        <f>MAX($A$10:A60)+1</f>
        <v>52</v>
      </c>
      <c r="B61" s="716" t="s">
        <v>1799</v>
      </c>
      <c r="C61" s="716" t="s">
        <v>1850</v>
      </c>
      <c r="D61" s="1" t="s">
        <v>1851</v>
      </c>
      <c r="E61" s="734">
        <v>380.3</v>
      </c>
      <c r="F61" s="1302" cm="1">
        <f t="array" ref="F61">+IF(SUM(VALUE(N61:Q61)*$N$7:$Q$7)=0,R61,T61)</f>
        <v>266465.95999999996</v>
      </c>
      <c r="G61" s="103">
        <f t="shared" si="2"/>
        <v>266465.95999999996</v>
      </c>
      <c r="H61" s="575">
        <v>45657</v>
      </c>
      <c r="I61" s="1303" cm="1">
        <f t="array" ref="I61">+IF(SUM(VALUE(N61:Q61)*$N$7:$Q$7)=0,S61,U61)</f>
        <v>273939.12000000005</v>
      </c>
      <c r="J61" s="103">
        <f t="shared" si="4"/>
        <v>273939.12000000005</v>
      </c>
      <c r="K61" s="575">
        <v>46022</v>
      </c>
      <c r="M61"/>
      <c r="N61" s="1300">
        <v>0</v>
      </c>
      <c r="O61" s="1300">
        <v>0</v>
      </c>
      <c r="P61" s="1300">
        <v>1</v>
      </c>
      <c r="Q61" s="1300">
        <v>0</v>
      </c>
      <c r="R61" s="1266">
        <v>266465.95999999996</v>
      </c>
      <c r="S61" s="1266">
        <v>273939.12000000005</v>
      </c>
      <c r="T61" s="1266">
        <f>+IF($Q61=1,$G61,INDEX([1]Summary!$K$5:$K$110,MATCH($C61,[1]Summary!$D$5:$D162,0)))</f>
        <v>122716.02933332324</v>
      </c>
      <c r="U61" s="1266">
        <f>+IF($Q61=1,$J61,INDEX([1]Summary!$L$5:$L$110,MATCH($C61,[1]Summary!$D$5:$D162,0)))</f>
        <v>66874.709619045258</v>
      </c>
      <c r="V61" s="721"/>
      <c r="W61" s="721"/>
      <c r="X61" s="721"/>
      <c r="Y61" s="721"/>
      <c r="Z61" s="721"/>
      <c r="AA61" s="721"/>
      <c r="AB61" s="721"/>
      <c r="AC61" s="721"/>
      <c r="AD61" s="721"/>
      <c r="AF61" s="720"/>
      <c r="AI61" s="105"/>
      <c r="AJ61" s="105"/>
      <c r="AN61" s="105"/>
      <c r="AO61" s="105"/>
      <c r="AP61" s="105"/>
      <c r="AS61" s="105"/>
    </row>
    <row r="62" spans="1:45" outlineLevel="1">
      <c r="A62" s="545">
        <f>MAX($A$10:A61)+1</f>
        <v>53</v>
      </c>
      <c r="B62" s="716" t="s">
        <v>1799</v>
      </c>
      <c r="C62" s="716" t="s">
        <v>1852</v>
      </c>
      <c r="D62" s="716" t="s">
        <v>1853</v>
      </c>
      <c r="E62" s="559">
        <v>380.3</v>
      </c>
      <c r="F62" s="1302" cm="1">
        <f t="array" ref="F62">+IF(SUM(VALUE(N62:Q62)*$N$7:$Q$7)=0,R62,T62)</f>
        <v>282029.444426</v>
      </c>
      <c r="G62" s="103">
        <f t="shared" si="2"/>
        <v>282029.444426</v>
      </c>
      <c r="H62" s="575">
        <v>45657</v>
      </c>
      <c r="I62" s="1303" cm="1">
        <f t="array" ref="I62">+IF(SUM(VALUE(N62:Q62)*$N$7:$Q$7)=0,S62,U62)</f>
        <v>265057.40761200001</v>
      </c>
      <c r="J62" s="103">
        <f t="shared" si="4"/>
        <v>265057.40761200001</v>
      </c>
      <c r="K62" s="575">
        <v>46022</v>
      </c>
      <c r="M62"/>
      <c r="N62" s="1300">
        <v>0</v>
      </c>
      <c r="O62" s="1300">
        <v>0</v>
      </c>
      <c r="P62" s="1300">
        <v>1</v>
      </c>
      <c r="Q62" s="1300">
        <v>0</v>
      </c>
      <c r="R62" s="1266">
        <v>282029.444426</v>
      </c>
      <c r="S62" s="1266">
        <v>265057.40761200001</v>
      </c>
      <c r="T62" s="1266">
        <f>+IF($Q62=1,$G62,INDEX([1]Summary!$K$5:$K$110,MATCH($C62,[1]Summary!$D$5:$D163,0)))</f>
        <v>90396.394999999553</v>
      </c>
      <c r="U62" s="1266">
        <f>+IF($Q62=1,$J62,INDEX([1]Summary!$L$5:$L$110,MATCH($C62,[1]Summary!$D$5:$D163,0)))</f>
        <v>106121.63399999961</v>
      </c>
      <c r="V62" s="721"/>
      <c r="W62" s="721"/>
      <c r="X62" s="721"/>
      <c r="Y62" s="721"/>
      <c r="Z62" s="721"/>
      <c r="AA62" s="721"/>
      <c r="AB62" s="721"/>
      <c r="AC62" s="721"/>
      <c r="AD62" s="721"/>
      <c r="AF62" s="720"/>
      <c r="AI62" s="105"/>
      <c r="AJ62" s="105"/>
      <c r="AN62" s="105"/>
      <c r="AO62" s="105"/>
      <c r="AP62" s="105"/>
      <c r="AS62" s="105"/>
    </row>
    <row r="63" spans="1:45" outlineLevel="1">
      <c r="A63" s="545">
        <f>MAX($A$10:A62)+1</f>
        <v>54</v>
      </c>
      <c r="B63" s="716" t="s">
        <v>1799</v>
      </c>
      <c r="C63" s="716" t="s">
        <v>1854</v>
      </c>
      <c r="D63" s="716" t="s">
        <v>1855</v>
      </c>
      <c r="E63" s="559">
        <v>376.3</v>
      </c>
      <c r="F63" s="1302" cm="1">
        <f t="array" ref="F63">+IF(SUM(VALUE(N63:Q63)*$N$7:$Q$7)=0,R63,T63)</f>
        <v>808875.54000000015</v>
      </c>
      <c r="G63" s="103">
        <f t="shared" si="2"/>
        <v>808875.54000000015</v>
      </c>
      <c r="H63" s="575">
        <v>45657</v>
      </c>
      <c r="I63" s="1303" cm="1">
        <f t="array" ref="I63">+IF(SUM(VALUE(N63:Q63)*$N$7:$Q$7)=0,S63,U63)</f>
        <v>802352.47</v>
      </c>
      <c r="J63" s="103">
        <f t="shared" si="4"/>
        <v>802352.47</v>
      </c>
      <c r="K63" s="575">
        <v>46022</v>
      </c>
      <c r="M63"/>
      <c r="N63" s="1300">
        <v>0</v>
      </c>
      <c r="O63" s="1300">
        <v>0</v>
      </c>
      <c r="P63" s="1300">
        <v>1</v>
      </c>
      <c r="Q63" s="1300">
        <v>0</v>
      </c>
      <c r="R63" s="1266">
        <v>808875.54000000015</v>
      </c>
      <c r="S63" s="1266">
        <v>802352.47</v>
      </c>
      <c r="T63" s="1266">
        <f>+IF($Q63=1,$G63,INDEX([1]Summary!$K$5:$K$110,MATCH($C63,[1]Summary!$D$5:$D164,0)))</f>
        <v>312546.42500000447</v>
      </c>
      <c r="U63" s="1266">
        <f>+IF($Q63=1,$J63,INDEX([1]Summary!$L$5:$L$110,MATCH($C63,[1]Summary!$D$5:$D164,0)))</f>
        <v>285193.96500000358</v>
      </c>
      <c r="V63" s="721"/>
      <c r="W63" s="721"/>
      <c r="X63" s="721"/>
      <c r="Y63" s="721"/>
      <c r="Z63" s="721"/>
      <c r="AA63" s="721"/>
      <c r="AB63" s="721"/>
      <c r="AC63" s="721"/>
      <c r="AD63" s="721"/>
      <c r="AF63" s="720"/>
      <c r="AI63" s="105"/>
      <c r="AJ63" s="105"/>
      <c r="AN63" s="105"/>
      <c r="AO63" s="105"/>
      <c r="AP63" s="105"/>
      <c r="AS63" s="105"/>
    </row>
    <row r="64" spans="1:45" outlineLevel="1">
      <c r="A64" s="545">
        <f>MAX($A$10:A63)+1</f>
        <v>55</v>
      </c>
      <c r="B64" s="716" t="s">
        <v>1799</v>
      </c>
      <c r="C64" s="716" t="s">
        <v>1856</v>
      </c>
      <c r="D64" s="716" t="s">
        <v>1857</v>
      </c>
      <c r="E64" s="559">
        <v>376.3</v>
      </c>
      <c r="F64" s="1302" cm="1">
        <f t="array" ref="F64">+IF(SUM(VALUE(N64:Q64)*$N$7:$Q$7)=0,R64,T64)</f>
        <v>386986.508164</v>
      </c>
      <c r="G64" s="103">
        <f t="shared" si="2"/>
        <v>386986.508164</v>
      </c>
      <c r="H64" s="575">
        <v>45657</v>
      </c>
      <c r="I64" s="1303" cm="1">
        <f t="array" ref="I64">+IF(SUM(VALUE(N64:Q64)*$N$7:$Q$7)=0,S64,U64)</f>
        <v>332380.73159999988</v>
      </c>
      <c r="J64" s="103">
        <f t="shared" si="4"/>
        <v>332380.73159999988</v>
      </c>
      <c r="K64" s="575">
        <v>46022</v>
      </c>
      <c r="M64"/>
      <c r="N64" s="1300">
        <v>0</v>
      </c>
      <c r="O64" s="1300">
        <v>0</v>
      </c>
      <c r="P64" s="1300">
        <v>1</v>
      </c>
      <c r="Q64" s="1300">
        <v>0</v>
      </c>
      <c r="R64" s="1266">
        <v>386986.508164</v>
      </c>
      <c r="S64" s="1266">
        <v>332380.73159999988</v>
      </c>
      <c r="T64" s="1266">
        <f>+IF($Q64=1,$G64,INDEX([1]Summary!$K$5:$K$110,MATCH($C64,[1]Summary!$D$5:$D165,0)))</f>
        <v>268742.82999999914</v>
      </c>
      <c r="U64" s="1266">
        <f>+IF($Q64=1,$J64,INDEX([1]Summary!$L$5:$L$110,MATCH($C64,[1]Summary!$D$5:$D165,0)))</f>
        <v>271558.39899999928</v>
      </c>
      <c r="V64" s="721"/>
      <c r="W64" s="721"/>
      <c r="X64" s="721"/>
      <c r="Y64" s="721"/>
      <c r="Z64" s="721"/>
      <c r="AA64" s="721"/>
      <c r="AB64" s="721"/>
      <c r="AC64" s="721"/>
      <c r="AD64" s="721"/>
      <c r="AF64" s="720"/>
      <c r="AI64" s="105"/>
      <c r="AJ64" s="105"/>
      <c r="AN64" s="105"/>
      <c r="AO64" s="105"/>
      <c r="AP64" s="105"/>
      <c r="AS64" s="105"/>
    </row>
    <row r="65" spans="1:45" outlineLevel="1">
      <c r="A65" s="545">
        <f>MAX($A$10:A64)+1</f>
        <v>56</v>
      </c>
      <c r="B65" s="716" t="s">
        <v>1799</v>
      </c>
      <c r="C65" s="716" t="s">
        <v>1858</v>
      </c>
      <c r="D65" s="716" t="s">
        <v>1859</v>
      </c>
      <c r="E65" s="559">
        <v>380.3</v>
      </c>
      <c r="F65" s="1302" cm="1">
        <f t="array" ref="F65">+IF(SUM(VALUE(N65:Q65)*$N$7:$Q$7)=0,R65,T65)</f>
        <v>1278711.4899999998</v>
      </c>
      <c r="G65" s="103">
        <f t="shared" si="2"/>
        <v>1278711.4899999998</v>
      </c>
      <c r="H65" s="575">
        <v>45657</v>
      </c>
      <c r="I65" s="1303" cm="1">
        <f t="array" ref="I65">+IF(SUM(VALUE(N65:Q65)*$N$7:$Q$7)=0,S65,U65)</f>
        <v>1314530.92</v>
      </c>
      <c r="J65" s="103">
        <f t="shared" si="4"/>
        <v>1314530.92</v>
      </c>
      <c r="K65" s="575">
        <v>46022</v>
      </c>
      <c r="M65"/>
      <c r="N65" s="1300">
        <v>0</v>
      </c>
      <c r="O65" s="1300">
        <v>0</v>
      </c>
      <c r="P65" s="1300">
        <v>1</v>
      </c>
      <c r="Q65" s="1300">
        <v>0</v>
      </c>
      <c r="R65" s="1266">
        <v>1278711.4899999998</v>
      </c>
      <c r="S65" s="1266">
        <v>1314530.92</v>
      </c>
      <c r="T65" s="1266">
        <f>+IF($Q65=1,$G65,INDEX([1]Summary!$K$5:$K$110,MATCH($C65,[1]Summary!$D$5:$D166,0)))</f>
        <v>690700.33266669512</v>
      </c>
      <c r="U65" s="1266">
        <f>+IF($Q65=1,$J65,INDEX([1]Summary!$L$5:$L$110,MATCH($C65,[1]Summary!$D$5:$D166,0)))</f>
        <v>504010.32866668701</v>
      </c>
      <c r="V65" s="721"/>
      <c r="W65" s="721"/>
      <c r="X65" s="721"/>
      <c r="Y65" s="721"/>
      <c r="Z65" s="721"/>
      <c r="AA65" s="721"/>
      <c r="AB65" s="721"/>
      <c r="AC65" s="721"/>
      <c r="AD65" s="721"/>
      <c r="AF65" s="720"/>
      <c r="AI65" s="105"/>
      <c r="AJ65" s="105"/>
      <c r="AN65" s="105"/>
      <c r="AO65" s="105"/>
      <c r="AP65" s="105"/>
      <c r="AS65" s="105"/>
    </row>
    <row r="66" spans="1:45" outlineLevel="1">
      <c r="A66" s="545">
        <f>MAX($A$10:A65)+1</f>
        <v>57</v>
      </c>
      <c r="B66" s="716" t="s">
        <v>1799</v>
      </c>
      <c r="C66" s="716" t="s">
        <v>1860</v>
      </c>
      <c r="D66" s="716" t="s">
        <v>1861</v>
      </c>
      <c r="E66" s="559">
        <v>380.3</v>
      </c>
      <c r="F66" s="1302" cm="1">
        <f t="array" ref="F66">+IF(SUM(VALUE(N66:Q66)*$N$7:$Q$7)=0,R66,T66)</f>
        <v>338345.28705900005</v>
      </c>
      <c r="G66" s="103">
        <f t="shared" si="2"/>
        <v>338345.28705900005</v>
      </c>
      <c r="H66" s="575">
        <v>45657</v>
      </c>
      <c r="I66" s="1303" cm="1">
        <f t="array" ref="I66">+IF(SUM(VALUE(N66:Q66)*$N$7:$Q$7)=0,S66,U66)</f>
        <v>253990.75584</v>
      </c>
      <c r="J66" s="103">
        <f t="shared" si="4"/>
        <v>253990.75584</v>
      </c>
      <c r="K66" s="575">
        <v>46022</v>
      </c>
      <c r="M66"/>
      <c r="N66" s="1300">
        <v>0</v>
      </c>
      <c r="O66" s="1300">
        <v>0</v>
      </c>
      <c r="P66" s="1300">
        <v>1</v>
      </c>
      <c r="Q66" s="1300">
        <v>0</v>
      </c>
      <c r="R66" s="1266">
        <v>338345.28705900005</v>
      </c>
      <c r="S66" s="1266">
        <v>253990.75584</v>
      </c>
      <c r="T66" s="1266">
        <f>+IF($Q66=1,$G66,INDEX([1]Summary!$K$5:$K$110,MATCH($C66,[1]Summary!$D$5:$D167,0)))</f>
        <v>122634.6400000006</v>
      </c>
      <c r="U66" s="1266">
        <f>+IF($Q66=1,$J66,INDEX([1]Summary!$L$5:$L$110,MATCH($C66,[1]Summary!$D$5:$D167,0)))</f>
        <v>130637.57599999942</v>
      </c>
      <c r="V66" s="721"/>
      <c r="W66" s="721"/>
      <c r="X66" s="721"/>
      <c r="Y66" s="721"/>
      <c r="Z66" s="721"/>
      <c r="AA66" s="721"/>
      <c r="AB66" s="721"/>
      <c r="AC66" s="721"/>
      <c r="AD66" s="721"/>
      <c r="AF66" s="720"/>
      <c r="AI66" s="105"/>
      <c r="AJ66" s="105"/>
      <c r="AN66" s="105"/>
      <c r="AO66" s="105"/>
      <c r="AP66" s="105"/>
      <c r="AS66" s="105"/>
    </row>
    <row r="67" spans="1:45" outlineLevel="1">
      <c r="A67" s="545">
        <f>MAX($A$10:A66)+1</f>
        <v>58</v>
      </c>
      <c r="B67" s="716" t="s">
        <v>1799</v>
      </c>
      <c r="C67" s="716" t="s">
        <v>1862</v>
      </c>
      <c r="D67" s="1" t="s">
        <v>1863</v>
      </c>
      <c r="E67" s="559">
        <v>376.3</v>
      </c>
      <c r="F67" s="1302" cm="1">
        <f t="array" ref="F67">+IF(SUM(VALUE(N67:Q67)*$N$7:$Q$7)=0,R67,T67)</f>
        <v>910308.31000000029</v>
      </c>
      <c r="G67" s="103">
        <f t="shared" si="2"/>
        <v>910308.31000000029</v>
      </c>
      <c r="H67" s="575">
        <v>45657</v>
      </c>
      <c r="I67" s="1303" cm="1">
        <f t="array" ref="I67">+IF(SUM(VALUE(N67:Q67)*$N$7:$Q$7)=0,S67,U67)</f>
        <v>989922.18000000017</v>
      </c>
      <c r="J67" s="103">
        <f t="shared" si="4"/>
        <v>989922.18000000017</v>
      </c>
      <c r="K67" s="575">
        <v>46022</v>
      </c>
      <c r="M67"/>
      <c r="N67" s="1300">
        <v>0</v>
      </c>
      <c r="O67" s="1300">
        <v>0</v>
      </c>
      <c r="P67" s="1300">
        <v>1</v>
      </c>
      <c r="Q67" s="1300">
        <v>0</v>
      </c>
      <c r="R67" s="1266">
        <v>910308.31000000029</v>
      </c>
      <c r="S67" s="1266">
        <v>989922.18000000017</v>
      </c>
      <c r="T67" s="1266">
        <f>+IF($Q67=1,$G67,INDEX([1]Summary!$K$5:$K$110,MATCH($C67,[1]Summary!$D$5:$D168,0)))</f>
        <v>379746.03999999911</v>
      </c>
      <c r="U67" s="1266">
        <f>+IF($Q67=1,$J67,INDEX([1]Summary!$L$5:$L$110,MATCH($C67,[1]Summary!$D$5:$D168,0)))</f>
        <v>399297.27099999785</v>
      </c>
      <c r="V67" s="721"/>
      <c r="W67" s="721"/>
      <c r="X67" s="721"/>
      <c r="Y67" s="721"/>
      <c r="Z67" s="721"/>
      <c r="AA67" s="721"/>
      <c r="AB67" s="721"/>
      <c r="AC67" s="721"/>
      <c r="AD67" s="721"/>
      <c r="AI67" s="105"/>
      <c r="AJ67" s="105"/>
      <c r="AN67" s="105"/>
      <c r="AO67" s="105"/>
      <c r="AP67" s="105"/>
      <c r="AS67" s="105"/>
    </row>
    <row r="68" spans="1:45" outlineLevel="1">
      <c r="A68" s="545">
        <f>MAX($A$10:A67)+1</f>
        <v>59</v>
      </c>
      <c r="B68" s="716" t="s">
        <v>1799</v>
      </c>
      <c r="C68" s="716" t="s">
        <v>1864</v>
      </c>
      <c r="D68" s="716" t="s">
        <v>1865</v>
      </c>
      <c r="E68" s="559">
        <v>376.3</v>
      </c>
      <c r="F68" s="1302" cm="1">
        <f t="array" ref="F68">+IF(SUM(VALUE(N68:Q68)*$N$7:$Q$7)=0,R68,T68)</f>
        <v>209100.09783299998</v>
      </c>
      <c r="G68" s="103">
        <f t="shared" si="2"/>
        <v>209100.09783299998</v>
      </c>
      <c r="H68" s="575">
        <v>45657</v>
      </c>
      <c r="I68" s="1303" cm="1">
        <f t="array" ref="I68">+IF(SUM(VALUE(N68:Q68)*$N$7:$Q$7)=0,S68,U68)</f>
        <v>191980.12066799999</v>
      </c>
      <c r="J68" s="103">
        <f t="shared" si="4"/>
        <v>191980.12066799999</v>
      </c>
      <c r="K68" s="575">
        <v>46022</v>
      </c>
      <c r="M68"/>
      <c r="N68" s="1300">
        <v>0</v>
      </c>
      <c r="O68" s="1300">
        <v>0</v>
      </c>
      <c r="P68" s="1300">
        <v>1</v>
      </c>
      <c r="Q68" s="1300">
        <v>0</v>
      </c>
      <c r="R68" s="1266">
        <v>209100.09783299998</v>
      </c>
      <c r="S68" s="1266">
        <v>191980.12066799999</v>
      </c>
      <c r="T68" s="1266">
        <f>+IF($Q68=1,$G68,INDEX([1]Summary!$K$5:$K$110,MATCH($C68,[1]Summary!$D$5:$D169,0)))</f>
        <v>100617.66500000004</v>
      </c>
      <c r="U68" s="1266">
        <f>+IF($Q68=1,$J68,INDEX([1]Summary!$L$5:$L$110,MATCH($C68,[1]Summary!$D$5:$D169,0)))</f>
        <v>103594.5</v>
      </c>
      <c r="V68" s="721"/>
      <c r="W68" s="721"/>
      <c r="X68" s="721"/>
      <c r="Y68" s="721"/>
      <c r="Z68" s="721"/>
      <c r="AA68" s="721"/>
      <c r="AB68" s="721"/>
      <c r="AC68" s="721"/>
      <c r="AD68" s="721"/>
      <c r="AF68" s="105"/>
      <c r="AI68" s="105"/>
      <c r="AJ68" s="105"/>
      <c r="AN68" s="105"/>
      <c r="AO68" s="105"/>
      <c r="AP68" s="105"/>
      <c r="AS68" s="105"/>
    </row>
    <row r="69" spans="1:45" outlineLevel="1">
      <c r="A69" s="545">
        <f>MAX($A$10:A68)+1</f>
        <v>60</v>
      </c>
      <c r="B69" s="716" t="s">
        <v>1799</v>
      </c>
      <c r="C69" s="716" t="s">
        <v>1866</v>
      </c>
      <c r="D69" s="716" t="s">
        <v>1867</v>
      </c>
      <c r="E69" s="559">
        <v>380.3</v>
      </c>
      <c r="F69" s="1302" cm="1">
        <f t="array" ref="F69">+IF(SUM(VALUE(N69:Q69)*$N$7:$Q$7)=0,R69,T69)</f>
        <v>1179967.52</v>
      </c>
      <c r="G69" s="103">
        <f t="shared" si="2"/>
        <v>1179967.52</v>
      </c>
      <c r="H69" s="575">
        <v>45657</v>
      </c>
      <c r="I69" s="1303" cm="1">
        <f t="array" ref="I69">+IF(SUM(VALUE(N69:Q69)*$N$7:$Q$7)=0,S69,U69)</f>
        <v>1213059.6800000004</v>
      </c>
      <c r="J69" s="103">
        <f t="shared" si="4"/>
        <v>1213059.6800000004</v>
      </c>
      <c r="K69" s="575">
        <v>46022</v>
      </c>
      <c r="M69"/>
      <c r="N69" s="1300">
        <v>0</v>
      </c>
      <c r="O69" s="1300">
        <v>0</v>
      </c>
      <c r="P69" s="1300">
        <v>1</v>
      </c>
      <c r="Q69" s="1300">
        <v>0</v>
      </c>
      <c r="R69" s="1266">
        <v>1179967.52</v>
      </c>
      <c r="S69" s="1266">
        <v>1213059.6800000004</v>
      </c>
      <c r="T69" s="1266">
        <f>+IF($Q69=1,$G69,INDEX([1]Summary!$K$5:$K$110,MATCH($C69,[1]Summary!$D$5:$D170,0)))</f>
        <v>878460.73133337498</v>
      </c>
      <c r="U69" s="1266">
        <f>+IF($Q69=1,$J69,INDEX([1]Summary!$L$5:$L$110,MATCH($C69,[1]Summary!$D$5:$D170,0)))</f>
        <v>528919.24504756927</v>
      </c>
      <c r="V69" s="721"/>
      <c r="W69" s="721"/>
      <c r="X69" s="721"/>
      <c r="Y69" s="721"/>
      <c r="Z69" s="721"/>
      <c r="AA69" s="721"/>
      <c r="AB69" s="721"/>
      <c r="AC69" s="721"/>
      <c r="AD69" s="721"/>
      <c r="AI69" s="105"/>
      <c r="AJ69" s="105"/>
      <c r="AN69" s="105"/>
      <c r="AO69" s="105"/>
      <c r="AP69" s="105"/>
      <c r="AS69" s="105"/>
    </row>
    <row r="70" spans="1:45" outlineLevel="1">
      <c r="A70" s="545">
        <f>MAX($A$10:A69)+1</f>
        <v>61</v>
      </c>
      <c r="B70" s="716" t="s">
        <v>1799</v>
      </c>
      <c r="C70" s="716" t="s">
        <v>1868</v>
      </c>
      <c r="D70" s="716" t="s">
        <v>1869</v>
      </c>
      <c r="E70" s="559">
        <v>380.3</v>
      </c>
      <c r="F70" s="1302" cm="1">
        <f t="array" ref="F70">+IF(SUM(VALUE(N70:Q70)*$N$7:$Q$7)=0,R70,T70)</f>
        <v>127046.58327200002</v>
      </c>
      <c r="G70" s="103">
        <f t="shared" si="2"/>
        <v>127046.58327200002</v>
      </c>
      <c r="H70" s="575">
        <v>45657</v>
      </c>
      <c r="I70" s="1303" cm="1">
        <f t="array" ref="I70">+IF(SUM(VALUE(N70:Q70)*$N$7:$Q$7)=0,S70,U70)</f>
        <v>94866.156276000023</v>
      </c>
      <c r="J70" s="103">
        <f t="shared" si="4"/>
        <v>94866.156276000023</v>
      </c>
      <c r="K70" s="575">
        <v>46022</v>
      </c>
      <c r="M70"/>
      <c r="N70" s="1300">
        <v>0</v>
      </c>
      <c r="O70" s="1300">
        <v>0</v>
      </c>
      <c r="P70" s="1300">
        <v>1</v>
      </c>
      <c r="Q70" s="1300">
        <v>0</v>
      </c>
      <c r="R70" s="1266">
        <v>127046.58327200002</v>
      </c>
      <c r="S70" s="1266">
        <v>94866.156276000023</v>
      </c>
      <c r="T70" s="1266">
        <f>+IF($Q70=1,$G70,INDEX([1]Summary!$K$5:$K$110,MATCH($C70,[1]Summary!$D$5:$D171,0)))</f>
        <v>30673.550000000745</v>
      </c>
      <c r="U70" s="1266">
        <f>+IF($Q70=1,$J70,INDEX([1]Summary!$L$5:$L$110,MATCH($C70,[1]Summary!$D$5:$D171,0)))</f>
        <v>36571.064999999478</v>
      </c>
      <c r="V70" s="721"/>
      <c r="W70" s="721"/>
      <c r="X70" s="721"/>
      <c r="Y70" s="721"/>
      <c r="Z70" s="721"/>
      <c r="AA70" s="721"/>
      <c r="AB70" s="721"/>
      <c r="AC70" s="721"/>
      <c r="AD70" s="721"/>
      <c r="AI70" s="105"/>
      <c r="AJ70" s="105"/>
      <c r="AN70" s="105"/>
      <c r="AO70" s="105"/>
      <c r="AP70" s="105"/>
      <c r="AS70" s="105"/>
    </row>
    <row r="71" spans="1:45" outlineLevel="1">
      <c r="A71" s="545">
        <f>MAX($A$10:A70)+1</f>
        <v>62</v>
      </c>
      <c r="B71" s="716" t="s">
        <v>1799</v>
      </c>
      <c r="C71" s="716" t="s">
        <v>1870</v>
      </c>
      <c r="D71" s="716" t="s">
        <v>1871</v>
      </c>
      <c r="E71" s="559">
        <v>376.3</v>
      </c>
      <c r="F71" s="1302" cm="1">
        <f t="array" ref="F71">+IF(SUM(VALUE(N71:Q71)*$N$7:$Q$7)=0,R71,T71)</f>
        <v>6249.8099999999995</v>
      </c>
      <c r="G71" s="103">
        <f t="shared" si="2"/>
        <v>6249.8099999999995</v>
      </c>
      <c r="H71" s="575">
        <v>45657</v>
      </c>
      <c r="I71" s="1303" cm="1">
        <f t="array" ref="I71">+IF(SUM(VALUE(N71:Q71)*$N$7:$Q$7)=0,S71,U71)</f>
        <v>20139.649999999994</v>
      </c>
      <c r="J71" s="103">
        <f t="shared" si="4"/>
        <v>20139.649999999994</v>
      </c>
      <c r="K71" s="575">
        <v>46022</v>
      </c>
      <c r="M71"/>
      <c r="N71" s="1300">
        <v>0</v>
      </c>
      <c r="O71" s="1300">
        <v>0</v>
      </c>
      <c r="P71" s="1300">
        <v>1</v>
      </c>
      <c r="Q71" s="1300">
        <v>0</v>
      </c>
      <c r="R71" s="1266">
        <v>6249.8099999999995</v>
      </c>
      <c r="S71" s="1266">
        <v>20139.649999999994</v>
      </c>
      <c r="T71" s="1266">
        <f>+IF($Q71=1,$G71,INDEX([1]Summary!$K$5:$K$110,MATCH($C71,[1]Summary!$D$5:$D172,0)))</f>
        <v>43225.069999992847</v>
      </c>
      <c r="U71" s="1266">
        <f>+IF($Q71=1,$J71,INDEX([1]Summary!$L$5:$L$110,MATCH($C71,[1]Summary!$D$5:$D172,0)))</f>
        <v>1510.777999997139</v>
      </c>
      <c r="V71" s="721"/>
      <c r="W71" s="721"/>
      <c r="X71" s="721"/>
      <c r="Y71" s="721"/>
      <c r="Z71" s="721"/>
      <c r="AA71" s="721"/>
      <c r="AB71" s="721"/>
      <c r="AC71" s="721"/>
      <c r="AD71" s="721"/>
      <c r="AI71" s="105"/>
      <c r="AJ71" s="105"/>
      <c r="AN71" s="105"/>
      <c r="AO71" s="105"/>
      <c r="AP71" s="105"/>
      <c r="AS71" s="105"/>
    </row>
    <row r="72" spans="1:45" outlineLevel="1">
      <c r="A72" s="545">
        <f>MAX($A$10:A71)+1</f>
        <v>63</v>
      </c>
      <c r="B72" s="716" t="s">
        <v>1799</v>
      </c>
      <c r="C72" s="716" t="s">
        <v>1872</v>
      </c>
      <c r="D72" s="716" t="s">
        <v>1873</v>
      </c>
      <c r="E72" s="559">
        <v>376.3</v>
      </c>
      <c r="F72" s="1302" cm="1">
        <f t="array" ref="F72">+IF(SUM(VALUE(N72:Q72)*$N$7:$Q$7)=0,R72,T72)</f>
        <v>294068.29199999996</v>
      </c>
      <c r="G72" s="103">
        <f t="shared" si="2"/>
        <v>294068.29199999996</v>
      </c>
      <c r="H72" s="575">
        <v>45657</v>
      </c>
      <c r="I72" s="1303" cm="1">
        <f t="array" ref="I72">+IF(SUM(VALUE(N72:Q72)*$N$7:$Q$7)=0,S72,U72)</f>
        <v>300913.47839999996</v>
      </c>
      <c r="J72" s="103">
        <f t="shared" si="4"/>
        <v>300913.47839999996</v>
      </c>
      <c r="K72" s="575">
        <v>46022</v>
      </c>
      <c r="M72"/>
      <c r="N72" s="1300">
        <v>0</v>
      </c>
      <c r="O72" s="1300">
        <v>0</v>
      </c>
      <c r="P72" s="1300">
        <v>1</v>
      </c>
      <c r="Q72" s="1300">
        <v>0</v>
      </c>
      <c r="R72" s="1266">
        <v>294068.29199999996</v>
      </c>
      <c r="S72" s="1266">
        <v>300913.47839999996</v>
      </c>
      <c r="T72" s="1266">
        <f>+IF($Q72=1,$G72,INDEX([1]Summary!$K$5:$K$110,MATCH($C72,[1]Summary!$D$5:$D173,0)))</f>
        <v>340327.31000000238</v>
      </c>
      <c r="U72" s="1266">
        <f>+IF($Q72=1,$J72,INDEX([1]Summary!$L$5:$L$110,MATCH($C72,[1]Summary!$D$5:$D173,0)))</f>
        <v>456767.68999999762</v>
      </c>
      <c r="V72" s="721"/>
      <c r="W72" s="721"/>
      <c r="X72" s="721"/>
      <c r="Y72" s="721"/>
      <c r="Z72" s="721"/>
      <c r="AA72" s="721"/>
      <c r="AB72" s="721"/>
      <c r="AC72" s="721"/>
      <c r="AD72" s="721"/>
      <c r="AI72" s="105"/>
      <c r="AJ72" s="105"/>
      <c r="AN72" s="105"/>
      <c r="AO72" s="105"/>
      <c r="AP72" s="105"/>
      <c r="AS72" s="105"/>
    </row>
    <row r="73" spans="1:45" outlineLevel="1">
      <c r="A73" s="545">
        <f>MAX($A$10:A72)+1</f>
        <v>64</v>
      </c>
      <c r="B73" s="716" t="s">
        <v>1799</v>
      </c>
      <c r="C73" s="716" t="s">
        <v>1874</v>
      </c>
      <c r="D73" s="716" t="s">
        <v>1875</v>
      </c>
      <c r="E73" s="559">
        <v>380.3</v>
      </c>
      <c r="F73" s="1302" cm="1">
        <f t="array" ref="F73">+IF(SUM(VALUE(N73:Q73)*$N$7:$Q$7)=0,R73,T73)</f>
        <v>344511.1700000001</v>
      </c>
      <c r="G73" s="103">
        <f t="shared" si="2"/>
        <v>344511.1700000001</v>
      </c>
      <c r="H73" s="575">
        <v>45657</v>
      </c>
      <c r="I73" s="1303" cm="1">
        <f t="array" ref="I73">+IF(SUM(VALUE(N73:Q73)*$N$7:$Q$7)=0,S73,U73)</f>
        <v>354172.51</v>
      </c>
      <c r="J73" s="103">
        <f t="shared" si="4"/>
        <v>354172.51</v>
      </c>
      <c r="K73" s="575">
        <v>46022</v>
      </c>
      <c r="M73"/>
      <c r="N73" s="1300">
        <v>0</v>
      </c>
      <c r="O73" s="1300">
        <v>0</v>
      </c>
      <c r="P73" s="1300">
        <v>1</v>
      </c>
      <c r="Q73" s="1300">
        <v>0</v>
      </c>
      <c r="R73" s="1266">
        <v>344511.1700000001</v>
      </c>
      <c r="S73" s="1266">
        <v>354172.51</v>
      </c>
      <c r="T73" s="1266">
        <f>+IF($Q73=1,$G73,INDEX([1]Summary!$K$5:$K$110,MATCH($C73,[1]Summary!$D$5:$D174,0)))</f>
        <v>196882.61866667867</v>
      </c>
      <c r="U73" s="1266">
        <f>+IF($Q73=1,$J73,INDEX([1]Summary!$L$5:$L$110,MATCH($C73,[1]Summary!$D$5:$D174,0)))</f>
        <v>91313.063523828983</v>
      </c>
      <c r="V73" s="721"/>
      <c r="W73" s="721"/>
      <c r="X73" s="721"/>
      <c r="Y73" s="721"/>
      <c r="Z73" s="721"/>
      <c r="AA73" s="721"/>
      <c r="AB73" s="721"/>
      <c r="AC73" s="721"/>
      <c r="AD73" s="721"/>
      <c r="AI73" s="105"/>
      <c r="AJ73" s="105"/>
      <c r="AN73" s="105"/>
      <c r="AO73" s="105"/>
      <c r="AP73" s="105"/>
      <c r="AS73" s="105"/>
    </row>
    <row r="74" spans="1:45" outlineLevel="1">
      <c r="A74" s="545">
        <f>MAX($A$10:A73)+1</f>
        <v>65</v>
      </c>
      <c r="B74" s="716" t="s">
        <v>1799</v>
      </c>
      <c r="C74" s="716" t="s">
        <v>1876</v>
      </c>
      <c r="D74" s="716" t="s">
        <v>1877</v>
      </c>
      <c r="E74" s="559">
        <v>380.3</v>
      </c>
      <c r="F74" s="1302" cm="1">
        <f t="array" ref="F74">+IF(SUM(VALUE(N74:Q74)*$N$7:$Q$7)=0,R74,T74)</f>
        <v>100146.05000999998</v>
      </c>
      <c r="G74" s="103">
        <f t="shared" si="2"/>
        <v>100146.05000999998</v>
      </c>
      <c r="H74" s="575">
        <v>45657</v>
      </c>
      <c r="I74" s="1303" cm="1">
        <f t="array" ref="I74">+IF(SUM(VALUE(N74:Q74)*$N$7:$Q$7)=0,S74,U74)</f>
        <v>94811.555040000021</v>
      </c>
      <c r="J74" s="103">
        <f t="shared" si="4"/>
        <v>94811.555040000021</v>
      </c>
      <c r="K74" s="575">
        <v>46022</v>
      </c>
      <c r="M74"/>
      <c r="N74" s="1300">
        <v>0</v>
      </c>
      <c r="O74" s="1300">
        <v>0</v>
      </c>
      <c r="P74" s="1300">
        <v>1</v>
      </c>
      <c r="Q74" s="1300">
        <v>0</v>
      </c>
      <c r="R74" s="1266">
        <v>100146.05000999998</v>
      </c>
      <c r="S74" s="1266">
        <v>94811.555040000021</v>
      </c>
      <c r="T74" s="1266">
        <f>+IF($Q74=1,$G74,INDEX([1]Summary!$K$5:$K$110,MATCH($C74,[1]Summary!$D$5:$D175,0)))</f>
        <v>16580.8475</v>
      </c>
      <c r="U74" s="1266">
        <f>+IF($Q74=1,$J74,INDEX([1]Summary!$L$5:$L$110,MATCH($C74,[1]Summary!$D$5:$D175,0)))</f>
        <v>16580.8475</v>
      </c>
      <c r="V74" s="721"/>
      <c r="W74" s="721"/>
      <c r="X74" s="721"/>
      <c r="Y74" s="721"/>
      <c r="Z74" s="721"/>
      <c r="AA74" s="721"/>
      <c r="AB74" s="721"/>
      <c r="AC74" s="721"/>
      <c r="AD74" s="721"/>
      <c r="AI74" s="105"/>
      <c r="AJ74" s="105"/>
      <c r="AN74" s="105"/>
      <c r="AO74" s="105"/>
      <c r="AP74" s="105"/>
      <c r="AS74" s="105"/>
    </row>
    <row r="75" spans="1:45" outlineLevel="1">
      <c r="A75" s="545">
        <f>MAX($A$10:A74)+1</f>
        <v>66</v>
      </c>
      <c r="B75" s="716" t="s">
        <v>1799</v>
      </c>
      <c r="C75" s="716" t="s">
        <v>1878</v>
      </c>
      <c r="D75" s="716" t="s">
        <v>1879</v>
      </c>
      <c r="E75" s="559">
        <v>376.3</v>
      </c>
      <c r="F75" s="1302" cm="1">
        <f t="array" ref="F75">+IF(SUM(VALUE(N75:Q75)*$N$7:$Q$7)=0,R75,T75)</f>
        <v>502438.18999999989</v>
      </c>
      <c r="G75" s="103">
        <f t="shared" si="2"/>
        <v>502438.18999999989</v>
      </c>
      <c r="H75" s="575">
        <v>45657</v>
      </c>
      <c r="I75" s="1303" cm="1">
        <f t="array" ref="I75">+IF(SUM(VALUE(N75:Q75)*$N$7:$Q$7)=0,S75,U75)</f>
        <v>574643.58999999985</v>
      </c>
      <c r="J75" s="103">
        <f t="shared" si="4"/>
        <v>574643.58999999985</v>
      </c>
      <c r="K75" s="575">
        <v>46022</v>
      </c>
      <c r="M75"/>
      <c r="N75" s="1300">
        <v>0</v>
      </c>
      <c r="O75" s="1300">
        <v>0</v>
      </c>
      <c r="P75" s="1300">
        <v>1</v>
      </c>
      <c r="Q75" s="1300">
        <v>0</v>
      </c>
      <c r="R75" s="1266">
        <v>502438.18999999989</v>
      </c>
      <c r="S75" s="1266">
        <v>574643.58999999985</v>
      </c>
      <c r="T75" s="1266">
        <f>+IF($Q75=1,$G75,INDEX([1]Summary!$K$5:$K$110,MATCH($C75,[1]Summary!$D$5:$D176,0)))</f>
        <v>323725.55750000005</v>
      </c>
      <c r="U75" s="1266">
        <f>+IF($Q75=1,$J75,INDEX([1]Summary!$L$5:$L$110,MATCH($C75,[1]Summary!$D$5:$D176,0)))</f>
        <v>323725.55750000005</v>
      </c>
      <c r="V75" s="721"/>
      <c r="W75" s="721"/>
      <c r="X75" s="721"/>
      <c r="Y75" s="721"/>
      <c r="Z75" s="721"/>
      <c r="AA75" s="721"/>
      <c r="AB75" s="721"/>
      <c r="AC75" s="721"/>
      <c r="AD75" s="721"/>
      <c r="AI75" s="105"/>
      <c r="AJ75" s="105"/>
      <c r="AN75" s="105"/>
      <c r="AO75" s="105"/>
      <c r="AP75" s="105"/>
      <c r="AS75" s="105"/>
    </row>
    <row r="76" spans="1:45" outlineLevel="1">
      <c r="A76" s="545">
        <f>MAX($A$10:A75)+1</f>
        <v>67</v>
      </c>
      <c r="B76" s="716" t="s">
        <v>1799</v>
      </c>
      <c r="C76" s="716" t="s">
        <v>1880</v>
      </c>
      <c r="D76" s="716" t="s">
        <v>1881</v>
      </c>
      <c r="E76" s="559">
        <v>376.3</v>
      </c>
      <c r="F76" s="1302" cm="1">
        <f t="array" ref="F76">+IF(SUM(VALUE(N76:Q76)*$N$7:$Q$7)=0,R76,T76)</f>
        <v>270192.07960999996</v>
      </c>
      <c r="G76" s="103">
        <f t="shared" si="2"/>
        <v>270192.07960999996</v>
      </c>
      <c r="H76" s="575">
        <v>45657</v>
      </c>
      <c r="I76" s="1303" cm="1">
        <f t="array" ref="I76">+IF(SUM(VALUE(N76:Q76)*$N$7:$Q$7)=0,S76,U76)</f>
        <v>199395.12877200003</v>
      </c>
      <c r="J76" s="103">
        <f t="shared" si="4"/>
        <v>199395.12877200003</v>
      </c>
      <c r="K76" s="575">
        <v>46022</v>
      </c>
      <c r="M76"/>
      <c r="N76" s="1300">
        <v>0</v>
      </c>
      <c r="O76" s="1300">
        <v>0</v>
      </c>
      <c r="P76" s="1300">
        <v>1</v>
      </c>
      <c r="Q76" s="1300">
        <v>0</v>
      </c>
      <c r="R76" s="1266">
        <v>270192.07960999996</v>
      </c>
      <c r="S76" s="1266">
        <v>199395.12877200003</v>
      </c>
      <c r="T76" s="1266">
        <f>+IF($Q76=1,$G76,INDEX([1]Summary!$K$5:$K$110,MATCH($C76,[1]Summary!$D$5:$D177,0)))</f>
        <v>150820.62</v>
      </c>
      <c r="U76" s="1266">
        <f>+IF($Q76=1,$J76,INDEX([1]Summary!$L$5:$L$110,MATCH($C76,[1]Summary!$D$5:$D177,0)))</f>
        <v>150820.62</v>
      </c>
      <c r="V76" s="721"/>
      <c r="W76" s="721"/>
      <c r="X76" s="721"/>
      <c r="Y76" s="721"/>
      <c r="Z76" s="721"/>
      <c r="AA76" s="721"/>
      <c r="AB76" s="721"/>
      <c r="AC76" s="721"/>
      <c r="AD76" s="721"/>
      <c r="AI76" s="105"/>
      <c r="AJ76" s="105"/>
      <c r="AN76" s="105"/>
      <c r="AO76" s="105"/>
      <c r="AP76" s="105"/>
      <c r="AS76" s="105"/>
    </row>
    <row r="77" spans="1:45" outlineLevel="1">
      <c r="A77" s="545">
        <f>MAX($A$10:A76)+1</f>
        <v>68</v>
      </c>
      <c r="B77" s="716" t="s">
        <v>1799</v>
      </c>
      <c r="C77" s="716" t="s">
        <v>1882</v>
      </c>
      <c r="D77" s="716" t="s">
        <v>1883</v>
      </c>
      <c r="E77" s="559">
        <v>380.3</v>
      </c>
      <c r="F77" s="1302" cm="1">
        <f t="array" ref="F77">+IF(SUM(VALUE(N77:Q77)*$N$7:$Q$7)=0,R77,T77)</f>
        <v>1103684.1000000003</v>
      </c>
      <c r="G77" s="103">
        <f t="shared" si="2"/>
        <v>1103684.1000000003</v>
      </c>
      <c r="H77" s="575">
        <v>45657</v>
      </c>
      <c r="I77" s="1303" cm="1">
        <f t="array" ref="I77">+IF(SUM(VALUE(N77:Q77)*$N$7:$Q$7)=0,S77,U77)</f>
        <v>1123492.8500000001</v>
      </c>
      <c r="J77" s="103">
        <f t="shared" si="4"/>
        <v>1123492.8500000001</v>
      </c>
      <c r="K77" s="575">
        <v>46022</v>
      </c>
      <c r="M77"/>
      <c r="N77" s="1300">
        <v>0</v>
      </c>
      <c r="O77" s="1300">
        <v>0</v>
      </c>
      <c r="P77" s="1300">
        <v>1</v>
      </c>
      <c r="Q77" s="1300">
        <v>0</v>
      </c>
      <c r="R77" s="1266">
        <v>1103684.1000000003</v>
      </c>
      <c r="S77" s="1266">
        <v>1123492.8500000001</v>
      </c>
      <c r="T77" s="1266">
        <f>+IF($Q77=1,$G77,INDEX([1]Summary!$K$5:$K$110,MATCH($C77,[1]Summary!$D$5:$D178,0)))</f>
        <v>425175.603333354</v>
      </c>
      <c r="U77" s="1266">
        <f>+IF($Q77=1,$J77,INDEX([1]Summary!$L$5:$L$110,MATCH($C77,[1]Summary!$D$5:$D178,0)))</f>
        <v>196913.94190478325</v>
      </c>
      <c r="V77" s="721"/>
      <c r="W77" s="721"/>
      <c r="X77" s="721"/>
      <c r="Y77" s="721"/>
      <c r="Z77" s="721"/>
      <c r="AA77" s="721"/>
      <c r="AB77" s="721"/>
      <c r="AC77" s="721"/>
      <c r="AD77" s="721"/>
      <c r="AI77" s="105"/>
      <c r="AJ77" s="105"/>
      <c r="AN77" s="105"/>
      <c r="AO77" s="105"/>
      <c r="AP77" s="105"/>
      <c r="AS77" s="105"/>
    </row>
    <row r="78" spans="1:45" outlineLevel="1">
      <c r="A78" s="545">
        <f>MAX($A$10:A77)+1</f>
        <v>69</v>
      </c>
      <c r="B78" s="716" t="s">
        <v>1799</v>
      </c>
      <c r="C78" s="716" t="s">
        <v>1884</v>
      </c>
      <c r="D78" s="716" t="s">
        <v>1885</v>
      </c>
      <c r="E78" s="559">
        <v>380.3</v>
      </c>
      <c r="F78" s="1302" cm="1">
        <f t="array" ref="F78">+IF(SUM(VALUE(N78:Q78)*$N$7:$Q$7)=0,R78,T78)</f>
        <v>231192.58399599997</v>
      </c>
      <c r="G78" s="103">
        <f t="shared" si="2"/>
        <v>231192.58399599997</v>
      </c>
      <c r="H78" s="575">
        <v>45657</v>
      </c>
      <c r="I78" s="1303" cm="1">
        <f t="array" ref="I78">+IF(SUM(VALUE(N78:Q78)*$N$7:$Q$7)=0,S78,U78)</f>
        <v>207994.88067599997</v>
      </c>
      <c r="J78" s="103">
        <f t="shared" si="4"/>
        <v>207994.88067599997</v>
      </c>
      <c r="K78" s="575">
        <v>46022</v>
      </c>
      <c r="M78"/>
      <c r="N78" s="1300">
        <v>0</v>
      </c>
      <c r="O78" s="1300">
        <v>0</v>
      </c>
      <c r="P78" s="1300">
        <v>1</v>
      </c>
      <c r="Q78" s="1300">
        <v>0</v>
      </c>
      <c r="R78" s="1266">
        <v>231192.58399599997</v>
      </c>
      <c r="S78" s="1266">
        <v>207994.88067599997</v>
      </c>
      <c r="T78" s="1266">
        <f>+IF($Q78=1,$G78,INDEX([1]Summary!$K$5:$K$110,MATCH($C78,[1]Summary!$D$5:$D179,0)))</f>
        <v>120608.11749999999</v>
      </c>
      <c r="U78" s="1266">
        <f>+IF($Q78=1,$J78,INDEX([1]Summary!$L$5:$L$110,MATCH($C78,[1]Summary!$D$5:$D179,0)))</f>
        <v>120608.11749999999</v>
      </c>
      <c r="V78" s="721"/>
      <c r="W78" s="721"/>
      <c r="X78" s="721"/>
      <c r="Y78" s="721"/>
      <c r="Z78" s="721"/>
      <c r="AA78" s="721"/>
      <c r="AB78" s="721"/>
      <c r="AC78" s="721"/>
      <c r="AD78" s="721"/>
      <c r="AI78" s="105"/>
      <c r="AJ78" s="105"/>
      <c r="AN78" s="105"/>
      <c r="AO78" s="105"/>
      <c r="AP78" s="105"/>
      <c r="AS78" s="105"/>
    </row>
    <row r="79" spans="1:45" outlineLevel="1">
      <c r="A79" s="545">
        <f>MAX($A$10:A78)+1</f>
        <v>70</v>
      </c>
      <c r="B79" s="716" t="s">
        <v>1799</v>
      </c>
      <c r="C79" s="716" t="s">
        <v>1886</v>
      </c>
      <c r="D79" s="716" t="s">
        <v>1887</v>
      </c>
      <c r="E79" s="559">
        <v>376.3</v>
      </c>
      <c r="F79" s="1302" cm="1">
        <f t="array" ref="F79">+IF(SUM(VALUE(N79:Q79)*$N$7:$Q$7)=0,R79,T79)</f>
        <v>1222711.99</v>
      </c>
      <c r="G79" s="103">
        <f t="shared" si="2"/>
        <v>1222711.99</v>
      </c>
      <c r="H79" s="575">
        <v>45657</v>
      </c>
      <c r="I79" s="1303" cm="1">
        <f t="array" ref="I79">+IF(SUM(VALUE(N79:Q79)*$N$7:$Q$7)=0,S79,U79)</f>
        <v>1161647.57</v>
      </c>
      <c r="J79" s="103">
        <f t="shared" si="4"/>
        <v>1161647.57</v>
      </c>
      <c r="K79" s="575">
        <v>46022</v>
      </c>
      <c r="M79"/>
      <c r="N79" s="1300">
        <v>0</v>
      </c>
      <c r="O79" s="1300">
        <v>0</v>
      </c>
      <c r="P79" s="1300">
        <v>1</v>
      </c>
      <c r="Q79" s="1300">
        <v>0</v>
      </c>
      <c r="R79" s="1266">
        <v>1222711.99</v>
      </c>
      <c r="S79" s="1266">
        <v>1161647.57</v>
      </c>
      <c r="T79" s="1266">
        <f>+IF($Q79=1,$G79,INDEX([1]Summary!$K$5:$K$110,MATCH($C79,[1]Summary!$D$5:$D180,0)))</f>
        <v>1127764.46</v>
      </c>
      <c r="U79" s="1266">
        <f>+IF($Q79=1,$J79,INDEX([1]Summary!$L$5:$L$110,MATCH($C79,[1]Summary!$D$5:$D180,0)))</f>
        <v>1127764.46</v>
      </c>
      <c r="V79" s="721"/>
      <c r="W79" s="721"/>
      <c r="X79" s="721"/>
      <c r="Y79" s="721"/>
      <c r="Z79" s="721"/>
      <c r="AA79" s="721"/>
      <c r="AB79" s="721"/>
      <c r="AC79" s="721"/>
      <c r="AD79" s="721"/>
      <c r="AI79" s="105"/>
      <c r="AJ79" s="105"/>
      <c r="AN79" s="105"/>
      <c r="AO79" s="105"/>
      <c r="AP79" s="105"/>
      <c r="AS79" s="105"/>
    </row>
    <row r="80" spans="1:45" outlineLevel="1">
      <c r="A80" s="545">
        <f>MAX($A$10:A79)+1</f>
        <v>71</v>
      </c>
      <c r="B80" s="716" t="s">
        <v>1799</v>
      </c>
      <c r="C80" s="1" t="s">
        <v>1888</v>
      </c>
      <c r="D80" s="1" t="s">
        <v>1889</v>
      </c>
      <c r="E80" s="559">
        <v>376.3</v>
      </c>
      <c r="F80" s="1302" cm="1">
        <f t="array" ref="F80">+IF(SUM(VALUE(N80:Q80)*$N$7:$Q$7)=0,R80,T80)</f>
        <v>121240.83308500001</v>
      </c>
      <c r="G80" s="103">
        <f t="shared" si="2"/>
        <v>121240.83308500001</v>
      </c>
      <c r="H80" s="575">
        <v>45657</v>
      </c>
      <c r="I80" s="1303" cm="1">
        <f t="array" ref="I80">+IF(SUM(VALUE(N80:Q80)*$N$7:$Q$7)=0,S80,U80)</f>
        <v>124081.232498</v>
      </c>
      <c r="J80" s="103">
        <f t="shared" si="4"/>
        <v>124081.232498</v>
      </c>
      <c r="K80" s="575">
        <v>46022</v>
      </c>
      <c r="M80"/>
      <c r="N80" s="1300">
        <v>0</v>
      </c>
      <c r="O80" s="1300">
        <v>0</v>
      </c>
      <c r="P80" s="1300">
        <v>1</v>
      </c>
      <c r="Q80" s="1300">
        <v>0</v>
      </c>
      <c r="R80" s="1266">
        <v>121240.83308500001</v>
      </c>
      <c r="S80" s="1266">
        <v>124081.232498</v>
      </c>
      <c r="T80" s="1266">
        <f>+IF($Q80=1,$G80,INDEX([1]Summary!$K$5:$K$110,MATCH($C80,[1]Summary!$D$5:$D181,0)))</f>
        <v>130715.46500000078</v>
      </c>
      <c r="U80" s="1266">
        <f>+IF($Q80=1,$J80,INDEX([1]Summary!$L$5:$L$110,MATCH($C80,[1]Summary!$D$5:$D181,0)))</f>
        <v>134134.77600000054</v>
      </c>
      <c r="V80" s="721"/>
      <c r="W80" s="721"/>
      <c r="X80" s="721"/>
      <c r="Y80" s="721"/>
      <c r="Z80" s="721"/>
      <c r="AA80" s="721"/>
      <c r="AB80" s="721"/>
      <c r="AC80" s="721"/>
      <c r="AD80" s="721"/>
      <c r="AI80" s="105"/>
      <c r="AJ80" s="105"/>
      <c r="AN80" s="105"/>
      <c r="AO80" s="105"/>
      <c r="AP80" s="105"/>
    </row>
    <row r="81" spans="1:45" outlineLevel="1">
      <c r="A81" s="545">
        <f>MAX($A$10:A80)+1</f>
        <v>72</v>
      </c>
      <c r="B81" s="716" t="s">
        <v>1799</v>
      </c>
      <c r="C81" s="716" t="s">
        <v>1890</v>
      </c>
      <c r="D81" s="716" t="s">
        <v>1891</v>
      </c>
      <c r="E81" s="559">
        <v>380.3</v>
      </c>
      <c r="F81" s="1302" cm="1">
        <f t="array" ref="F81">+IF(SUM(VALUE(N81:Q81)*$N$7:$Q$7)=0,R81,T81)</f>
        <v>1692514.2700000005</v>
      </c>
      <c r="G81" s="103">
        <f t="shared" si="2"/>
        <v>1692514.2700000005</v>
      </c>
      <c r="H81" s="575">
        <v>45657</v>
      </c>
      <c r="I81" s="1303" cm="1">
        <f t="array" ref="I81">+IF(SUM(VALUE(N81:Q81)*$N$7:$Q$7)=0,S81,U81)</f>
        <v>1739980.7999999996</v>
      </c>
      <c r="J81" s="103">
        <f t="shared" si="4"/>
        <v>1739980.7999999996</v>
      </c>
      <c r="K81" s="575">
        <v>46022</v>
      </c>
      <c r="M81"/>
      <c r="N81" s="1300">
        <v>0</v>
      </c>
      <c r="O81" s="1300">
        <v>0</v>
      </c>
      <c r="P81" s="1300">
        <v>1</v>
      </c>
      <c r="Q81" s="1300">
        <v>0</v>
      </c>
      <c r="R81" s="1266">
        <v>1692514.2700000005</v>
      </c>
      <c r="S81" s="1266">
        <v>1739980.7999999996</v>
      </c>
      <c r="T81" s="1266">
        <f>+IF($Q81=1,$G81,INDEX([1]Summary!$K$5:$K$110,MATCH($C81,[1]Summary!$D$5:$D182,0)))</f>
        <v>1058346.5406666994</v>
      </c>
      <c r="U81" s="1266">
        <f>+IF($Q81=1,$J81,INDEX([1]Summary!$L$5:$L$110,MATCH($C81,[1]Summary!$D$5:$D182,0)))</f>
        <v>707665.09752380848</v>
      </c>
      <c r="V81" s="721"/>
      <c r="W81" s="721"/>
      <c r="X81" s="721"/>
      <c r="Y81" s="721"/>
      <c r="Z81" s="721"/>
      <c r="AA81" s="721"/>
      <c r="AB81" s="721"/>
      <c r="AC81" s="721"/>
      <c r="AD81" s="721"/>
      <c r="AI81" s="105"/>
      <c r="AJ81" s="105"/>
      <c r="AN81" s="105"/>
      <c r="AO81" s="105"/>
      <c r="AP81" s="105"/>
      <c r="AS81" s="105"/>
    </row>
    <row r="82" spans="1:45" outlineLevel="1">
      <c r="A82" s="545">
        <f>MAX($A$10:A81)+1</f>
        <v>73</v>
      </c>
      <c r="B82" s="716" t="s">
        <v>1799</v>
      </c>
      <c r="C82" s="716" t="s">
        <v>1892</v>
      </c>
      <c r="D82" s="716" t="s">
        <v>1893</v>
      </c>
      <c r="E82" s="559">
        <v>380.3</v>
      </c>
      <c r="F82" s="1302" cm="1">
        <f t="array" ref="F82">+IF(SUM(VALUE(N82:Q82)*$N$7:$Q$7)=0,R82,T82)</f>
        <v>88759.269398000004</v>
      </c>
      <c r="G82" s="103">
        <f t="shared" si="2"/>
        <v>88759.269398000004</v>
      </c>
      <c r="H82" s="575">
        <v>45657</v>
      </c>
      <c r="I82" s="1303" cm="1">
        <f t="array" ref="I82">+IF(SUM(VALUE(N82:Q82)*$N$7:$Q$7)=0,S82,U82)</f>
        <v>86246.944812000016</v>
      </c>
      <c r="J82" s="103">
        <f t="shared" si="4"/>
        <v>86246.944812000016</v>
      </c>
      <c r="K82" s="575">
        <v>46022</v>
      </c>
      <c r="M82"/>
      <c r="N82" s="1300">
        <v>0</v>
      </c>
      <c r="O82" s="1300">
        <v>0</v>
      </c>
      <c r="P82" s="1300">
        <v>0</v>
      </c>
      <c r="Q82" s="1300">
        <v>1</v>
      </c>
      <c r="R82" s="1266">
        <v>88759.269398000004</v>
      </c>
      <c r="S82" s="1266">
        <v>86246.944812000016</v>
      </c>
      <c r="T82" s="1266">
        <f>+IF($Q82=1,$G82,INDEX([1]Summary!$K$5:$K$110,MATCH($C82,[1]Summary!$D$5:$D183,0)))</f>
        <v>88759.269398000004</v>
      </c>
      <c r="U82" s="1266">
        <f>+IF($Q82=1,$J82,INDEX([1]Summary!$L$5:$L$110,MATCH($C82,[1]Summary!$D$5:$D183,0)))</f>
        <v>86246.944812000016</v>
      </c>
      <c r="V82" s="721"/>
      <c r="W82" s="721"/>
      <c r="X82" s="721"/>
      <c r="Y82" s="721"/>
      <c r="Z82" s="721"/>
      <c r="AA82" s="721"/>
      <c r="AB82" s="721"/>
      <c r="AC82" s="721"/>
      <c r="AD82" s="721"/>
      <c r="AI82" s="105"/>
      <c r="AJ82" s="105"/>
      <c r="AN82" s="105"/>
      <c r="AO82" s="105"/>
      <c r="AP82" s="105"/>
    </row>
    <row r="83" spans="1:45" outlineLevel="1">
      <c r="A83" s="545">
        <f>MAX($A$10:A82)+1</f>
        <v>74</v>
      </c>
      <c r="B83" s="716" t="s">
        <v>1799</v>
      </c>
      <c r="C83" s="716" t="s">
        <v>1894</v>
      </c>
      <c r="D83" s="716" t="s">
        <v>1895</v>
      </c>
      <c r="E83" s="559">
        <v>376.3</v>
      </c>
      <c r="F83" s="1302" cm="1">
        <f t="array" ref="F83">+IF(SUM(VALUE(N83:Q83)*$N$7:$Q$7)=0,R83,T83)</f>
        <v>111603.304754</v>
      </c>
      <c r="G83" s="103">
        <f t="shared" si="2"/>
        <v>111603.304754</v>
      </c>
      <c r="H83" s="575">
        <v>45657</v>
      </c>
      <c r="I83" s="1303" cm="1">
        <f t="array" ref="I83">+IF(SUM(VALUE(N83:Q83)*$N$7:$Q$7)=0,S83,U83)</f>
        <v>230710.25399999999</v>
      </c>
      <c r="J83" s="103">
        <f t="shared" si="4"/>
        <v>230710.25399999999</v>
      </c>
      <c r="K83" s="575">
        <v>46022</v>
      </c>
      <c r="M83"/>
      <c r="N83" s="1300">
        <v>0</v>
      </c>
      <c r="O83" s="1300">
        <v>0</v>
      </c>
      <c r="P83" s="1300">
        <v>1</v>
      </c>
      <c r="Q83" s="1300">
        <v>0</v>
      </c>
      <c r="R83" s="1266">
        <v>111603.304754</v>
      </c>
      <c r="S83" s="1266">
        <v>230710.25399999999</v>
      </c>
      <c r="T83" s="1266">
        <f>+IF($Q83=1,$G83,INDEX([1]Summary!$K$5:$K$110,MATCH($C83,[1]Summary!$D$5:$D184,0)))</f>
        <v>120281.75666666665</v>
      </c>
      <c r="U83" s="1266">
        <f>+IF($Q83=1,$J83,INDEX([1]Summary!$L$5:$L$110,MATCH($C83,[1]Summary!$D$5:$D184,0)))</f>
        <v>120281.75666666665</v>
      </c>
      <c r="V83" s="721"/>
      <c r="W83" s="721"/>
      <c r="X83" s="721"/>
      <c r="Y83" s="721"/>
      <c r="Z83" s="721"/>
      <c r="AA83" s="721"/>
      <c r="AB83" s="721"/>
      <c r="AC83" s="721"/>
      <c r="AD83" s="721"/>
      <c r="AF83" s="105"/>
      <c r="AI83" s="105"/>
      <c r="AJ83" s="105"/>
      <c r="AN83" s="105"/>
      <c r="AO83" s="105"/>
      <c r="AP83" s="105"/>
    </row>
    <row r="84" spans="1:45" outlineLevel="1">
      <c r="A84" s="545">
        <f>MAX($A$10:A83)+1</f>
        <v>75</v>
      </c>
      <c r="B84" s="716" t="s">
        <v>1799</v>
      </c>
      <c r="C84" s="716" t="s">
        <v>1896</v>
      </c>
      <c r="D84" s="716" t="s">
        <v>1897</v>
      </c>
      <c r="E84" s="559">
        <v>376.3</v>
      </c>
      <c r="F84" s="1302" cm="1">
        <f t="array" ref="F84">+IF(SUM(VALUE(N84:Q84)*$N$7:$Q$7)=0,R84,T84)</f>
        <v>3504094.9597229999</v>
      </c>
      <c r="G84" s="103">
        <f t="shared" si="2"/>
        <v>3504094.9597229999</v>
      </c>
      <c r="H84" s="575">
        <v>45657</v>
      </c>
      <c r="I84" s="1303" cm="1">
        <f t="array" ref="I84">+IF(SUM(VALUE(N84:Q84)*$N$7:$Q$7)=0,S84,U84)</f>
        <v>3997962.8722509998</v>
      </c>
      <c r="J84" s="103">
        <f t="shared" si="4"/>
        <v>3997962.8722509998</v>
      </c>
      <c r="K84" s="575">
        <v>46022</v>
      </c>
      <c r="M84"/>
      <c r="N84" s="1300">
        <v>0</v>
      </c>
      <c r="O84" s="1300">
        <v>0</v>
      </c>
      <c r="P84" s="1300">
        <v>1</v>
      </c>
      <c r="Q84" s="1300">
        <v>0</v>
      </c>
      <c r="R84" s="1266">
        <v>3504094.9597229999</v>
      </c>
      <c r="S84" s="1266">
        <v>3997962.8722509998</v>
      </c>
      <c r="T84" s="1266">
        <f>+IF($Q84=1,$G84,INDEX([1]Summary!$K$5:$K$110,MATCH($C84,[1]Summary!$D$5:$D185,0)))</f>
        <v>3518348.4725000006</v>
      </c>
      <c r="U84" s="1266">
        <f>+IF($Q84=1,$J84,INDEX([1]Summary!$L$5:$L$110,MATCH($C84,[1]Summary!$D$5:$D185,0)))</f>
        <v>3518348.4725000006</v>
      </c>
      <c r="V84" s="721"/>
      <c r="W84" s="721"/>
      <c r="X84" s="721"/>
      <c r="Y84" s="721"/>
      <c r="Z84" s="721"/>
      <c r="AA84" s="721"/>
      <c r="AB84" s="721"/>
      <c r="AC84" s="721"/>
      <c r="AD84" s="721"/>
      <c r="AE84" s="105"/>
      <c r="AI84" s="105"/>
      <c r="AJ84" s="105"/>
      <c r="AN84" s="105"/>
      <c r="AO84" s="105"/>
      <c r="AP84" s="105"/>
    </row>
    <row r="85" spans="1:45" outlineLevel="1">
      <c r="A85" s="545">
        <f>MAX($A$10:A84)+1</f>
        <v>76</v>
      </c>
      <c r="B85" s="716" t="s">
        <v>1799</v>
      </c>
      <c r="C85" s="716" t="s">
        <v>1898</v>
      </c>
      <c r="D85" s="716" t="s">
        <v>1899</v>
      </c>
      <c r="E85" s="559">
        <v>380.3</v>
      </c>
      <c r="F85" s="1302" cm="1">
        <f t="array" ref="F85">+IF(SUM(VALUE(N85:Q85)*$N$7:$Q$7)=0,R85,T85)</f>
        <v>3511692.4775140001</v>
      </c>
      <c r="G85" s="103">
        <f t="shared" si="2"/>
        <v>3511692.4775140001</v>
      </c>
      <c r="H85" s="575">
        <v>45657</v>
      </c>
      <c r="I85" s="1303" cm="1">
        <f t="array" ref="I85">+IF(SUM(VALUE(N85:Q85)*$N$7:$Q$7)=0,S85,U85)</f>
        <v>3997962.8722509998</v>
      </c>
      <c r="J85" s="103">
        <f t="shared" si="4"/>
        <v>3997962.8722509998</v>
      </c>
      <c r="K85" s="575">
        <v>46022</v>
      </c>
      <c r="M85"/>
      <c r="N85" s="1300">
        <v>0</v>
      </c>
      <c r="O85" s="1300">
        <v>0</v>
      </c>
      <c r="P85" s="1300">
        <v>1</v>
      </c>
      <c r="Q85" s="1300">
        <v>0</v>
      </c>
      <c r="R85" s="1266">
        <v>3511692.4775140001</v>
      </c>
      <c r="S85" s="1266">
        <v>3997962.8722509998</v>
      </c>
      <c r="T85" s="1266">
        <f>+IF($Q85=1,$G85,INDEX([1]Summary!$K$5:$K$110,MATCH($C85,[1]Summary!$D$5:$D186,0)))</f>
        <v>926264.08999999613</v>
      </c>
      <c r="U85" s="1266">
        <f>+IF($Q85=1,$J85,INDEX([1]Summary!$L$5:$L$110,MATCH($C85,[1]Summary!$D$5:$D186,0)))</f>
        <v>943597.51099999994</v>
      </c>
      <c r="V85" s="721"/>
      <c r="W85" s="721"/>
      <c r="X85" s="721"/>
      <c r="Y85" s="721"/>
      <c r="Z85" s="721"/>
      <c r="AA85" s="721"/>
      <c r="AB85" s="721"/>
      <c r="AC85" s="721"/>
      <c r="AD85" s="721"/>
      <c r="AE85" s="105"/>
      <c r="AI85" s="105"/>
      <c r="AJ85" s="105"/>
      <c r="AN85" s="105"/>
      <c r="AO85" s="105"/>
      <c r="AP85" s="105"/>
    </row>
    <row r="86" spans="1:45" outlineLevel="1">
      <c r="A86" s="545">
        <f>MAX($A$10:A85)+1</f>
        <v>77</v>
      </c>
      <c r="B86" s="716" t="s">
        <v>1799</v>
      </c>
      <c r="C86" s="716" t="s">
        <v>1900</v>
      </c>
      <c r="D86" s="716" t="s">
        <v>1901</v>
      </c>
      <c r="E86" s="559">
        <v>376.3</v>
      </c>
      <c r="F86" s="1302" cm="1">
        <f t="array" ref="F86">+IF(SUM(VALUE(N86:Q86)*$N$7:$Q$7)=0,R86,T86)</f>
        <v>0</v>
      </c>
      <c r="G86" s="103">
        <f t="shared" si="2"/>
        <v>0</v>
      </c>
      <c r="H86" s="575">
        <v>45626</v>
      </c>
      <c r="I86" s="1303" cm="1">
        <f t="array" ref="I86">+IF(SUM(VALUE(N86:Q86)*$N$7:$Q$7)=0,S86,U86)</f>
        <v>1403134.75</v>
      </c>
      <c r="J86" s="103"/>
      <c r="K86" s="575"/>
      <c r="M86"/>
      <c r="N86" s="1300">
        <v>0</v>
      </c>
      <c r="O86" s="1300">
        <v>1</v>
      </c>
      <c r="P86" s="1300">
        <v>0</v>
      </c>
      <c r="Q86" s="1300">
        <v>0</v>
      </c>
      <c r="R86" s="1266">
        <v>1403134.75</v>
      </c>
      <c r="S86" s="1266">
        <v>0</v>
      </c>
      <c r="T86" s="1266">
        <f>+IF($Q86=1,$G86,INDEX([1]Summary!$K$5:$K$110,MATCH($C86,[1]Summary!$D$5:$D187,0)))</f>
        <v>0</v>
      </c>
      <c r="U86" s="1266">
        <f>+IF($Q86=1,$J86,INDEX([1]Summary!$L$5:$L$110,MATCH($C86,[1]Summary!$D$5:$D187,0)))</f>
        <v>1403134.75</v>
      </c>
      <c r="V86" s="721"/>
      <c r="W86" s="721"/>
      <c r="X86" s="721"/>
      <c r="Y86" s="721"/>
      <c r="Z86" s="721"/>
      <c r="AA86" s="721"/>
      <c r="AB86" s="721"/>
      <c r="AC86" s="721"/>
      <c r="AD86" s="721"/>
      <c r="AE86" s="105"/>
      <c r="AI86" s="105"/>
      <c r="AJ86" s="105"/>
      <c r="AN86" s="105"/>
      <c r="AO86" s="105"/>
      <c r="AP86" s="105"/>
    </row>
    <row r="87" spans="1:45" outlineLevel="1">
      <c r="A87" s="545">
        <f>MAX($A$10:A86)+1</f>
        <v>78</v>
      </c>
      <c r="B87" s="716" t="s">
        <v>1799</v>
      </c>
      <c r="C87" s="720" t="s">
        <v>1902</v>
      </c>
      <c r="D87" s="720" t="s">
        <v>1903</v>
      </c>
      <c r="E87" s="559">
        <v>376.1</v>
      </c>
      <c r="F87" s="1302" cm="1">
        <f t="array" ref="F87">+IF(SUM(VALUE(N87:Q87)*$N$7:$Q$7)=0,R87,T87)</f>
        <v>0</v>
      </c>
      <c r="G87" s="103"/>
      <c r="I87" s="1303" cm="1">
        <f t="array" ref="I87">+IF(SUM(VALUE(N87:Q87)*$N$7:$Q$7)=0,S87,U87)</f>
        <v>57633.22</v>
      </c>
      <c r="J87" s="103">
        <f t="shared" ref="J87:J95" si="5">+I87</f>
        <v>57633.22</v>
      </c>
      <c r="K87" s="717">
        <v>45961</v>
      </c>
      <c r="M87"/>
      <c r="N87" s="1300">
        <v>0</v>
      </c>
      <c r="O87" s="1300">
        <v>0</v>
      </c>
      <c r="P87" s="1300">
        <v>0</v>
      </c>
      <c r="Q87" s="1300">
        <v>1</v>
      </c>
      <c r="R87" s="1266">
        <v>0</v>
      </c>
      <c r="S87" s="1266">
        <v>57633.22</v>
      </c>
      <c r="T87" s="1266">
        <f>+IF($Q87=1,$G87,INDEX([1]Summary!$K$5:$K$110,MATCH($C87,[1]Summary!$D$5:$D188,0)))</f>
        <v>0</v>
      </c>
      <c r="U87" s="1266">
        <f>+IF($Q87=1,$J87,INDEX([1]Summary!$L$5:$L$110,MATCH($C87,[1]Summary!$D$5:$D188,0)))</f>
        <v>57633.22</v>
      </c>
      <c r="V87" s="721"/>
      <c r="W87" s="721"/>
      <c r="X87" s="721"/>
      <c r="Y87" s="721"/>
      <c r="Z87" s="721"/>
      <c r="AA87" s="721"/>
      <c r="AB87" s="721"/>
      <c r="AC87" s="721"/>
      <c r="AD87" s="721"/>
      <c r="AE87" s="105"/>
      <c r="AI87" s="105"/>
      <c r="AJ87" s="105"/>
      <c r="AN87" s="105"/>
      <c r="AO87" s="105"/>
      <c r="AP87" s="105"/>
    </row>
    <row r="88" spans="1:45" outlineLevel="1">
      <c r="A88" s="545">
        <f>MAX($A$10:A87)+1</f>
        <v>79</v>
      </c>
      <c r="B88" s="716" t="s">
        <v>1799</v>
      </c>
      <c r="C88" s="716" t="s">
        <v>1904</v>
      </c>
      <c r="D88" s="716" t="s">
        <v>1905</v>
      </c>
      <c r="E88" s="559">
        <v>367.1</v>
      </c>
      <c r="F88" s="1302" cm="1">
        <f t="array" ref="F88">+IF(SUM(VALUE(N88:Q88)*$N$7:$Q$7)=0,R88,T88)</f>
        <v>533956.21821900003</v>
      </c>
      <c r="G88" s="103">
        <f>+F88</f>
        <v>533956.21821900003</v>
      </c>
      <c r="H88" s="717">
        <v>45534</v>
      </c>
      <c r="I88" s="1303" cm="1">
        <f t="array" ref="I88">+IF(SUM(VALUE(N88:Q88)*$N$7:$Q$7)=0,S88,U88)</f>
        <v>0</v>
      </c>
      <c r="J88" s="103">
        <f t="shared" si="5"/>
        <v>0</v>
      </c>
      <c r="K88" s="103"/>
      <c r="M88"/>
      <c r="N88" s="1300">
        <v>0</v>
      </c>
      <c r="O88" s="1300">
        <v>0</v>
      </c>
      <c r="P88" s="1300">
        <v>0</v>
      </c>
      <c r="Q88" s="1300">
        <v>1</v>
      </c>
      <c r="R88" s="1266">
        <v>533956.21821900003</v>
      </c>
      <c r="S88" s="1266">
        <v>0</v>
      </c>
      <c r="T88" s="1266">
        <f>+IF($Q88=1,$G88,INDEX([1]Summary!$K$5:$K$110,MATCH($C88,[1]Summary!$D$5:$D189,0)))</f>
        <v>533956.21821900003</v>
      </c>
      <c r="U88" s="1266">
        <f>+IF($Q88=1,$J88,INDEX([1]Summary!$L$5:$L$110,MATCH($C88,[1]Summary!$D$5:$D189,0)))</f>
        <v>0</v>
      </c>
      <c r="V88" s="721"/>
      <c r="W88" s="721"/>
      <c r="X88" s="721"/>
      <c r="Y88" s="721"/>
      <c r="Z88" s="721"/>
      <c r="AA88" s="721"/>
      <c r="AB88" s="721"/>
      <c r="AC88" s="721"/>
      <c r="AD88" s="721"/>
      <c r="AE88" s="105"/>
      <c r="AI88" s="105"/>
      <c r="AJ88" s="105"/>
      <c r="AN88" s="105"/>
      <c r="AO88" s="105"/>
      <c r="AP88" s="105"/>
    </row>
    <row r="89" spans="1:45" outlineLevel="1">
      <c r="A89" s="545">
        <f>MAX($A$10:A88)+1</f>
        <v>80</v>
      </c>
      <c r="B89" s="716" t="s">
        <v>1799</v>
      </c>
      <c r="C89" s="716" t="s">
        <v>1906</v>
      </c>
      <c r="D89" s="716" t="s">
        <v>1907</v>
      </c>
      <c r="E89" s="559">
        <v>378</v>
      </c>
      <c r="F89" s="1302" cm="1">
        <f t="array" ref="F89">+IF(SUM(VALUE(N89:Q89)*$N$7:$Q$7)=0,R89,T89)</f>
        <v>1901518.06</v>
      </c>
      <c r="G89" s="103">
        <f>+F89</f>
        <v>1901518.06</v>
      </c>
      <c r="H89" s="717">
        <v>45626</v>
      </c>
      <c r="I89" s="1303" cm="1">
        <f t="array" ref="I89">+IF(SUM(VALUE(N89:Q89)*$N$7:$Q$7)=0,S89,U89)</f>
        <v>0</v>
      </c>
      <c r="J89" s="103">
        <f t="shared" si="5"/>
        <v>0</v>
      </c>
      <c r="K89" s="103"/>
      <c r="M89"/>
      <c r="N89" s="1300">
        <v>0</v>
      </c>
      <c r="O89" s="1300">
        <v>1</v>
      </c>
      <c r="P89" s="1300">
        <v>0</v>
      </c>
      <c r="Q89" s="1300">
        <v>0</v>
      </c>
      <c r="R89" s="1266">
        <v>1901518.06</v>
      </c>
      <c r="S89" s="1266">
        <v>0</v>
      </c>
      <c r="T89" s="1266">
        <f>+IF($Q89=1,$G89,INDEX([1]Summary!$K$5:$K$110,MATCH($C89,[1]Summary!$D$5:$D190,0)))</f>
        <v>1901518.06</v>
      </c>
      <c r="U89" s="1266">
        <f>+IF($Q89=1,$J89,INDEX([1]Summary!$L$5:$L$110,MATCH($C89,[1]Summary!$D$5:$D190,0)))</f>
        <v>0</v>
      </c>
      <c r="V89" s="721"/>
      <c r="W89" s="721"/>
      <c r="X89" s="721"/>
      <c r="Y89" s="721"/>
      <c r="Z89" s="721"/>
      <c r="AA89" s="721"/>
      <c r="AB89" s="721"/>
      <c r="AC89" s="721"/>
      <c r="AD89" s="721"/>
      <c r="AE89" s="105"/>
      <c r="AI89" s="105"/>
      <c r="AJ89" s="105"/>
      <c r="AN89" s="105"/>
      <c r="AO89" s="105"/>
      <c r="AP89" s="105"/>
    </row>
    <row r="90" spans="1:45" outlineLevel="1">
      <c r="A90" s="545">
        <f>MAX($A$10:A89)+1</f>
        <v>81</v>
      </c>
      <c r="B90" s="716" t="s">
        <v>1799</v>
      </c>
      <c r="C90" s="716" t="s">
        <v>1908</v>
      </c>
      <c r="D90" s="716" t="s">
        <v>1909</v>
      </c>
      <c r="E90" s="559">
        <v>376.3</v>
      </c>
      <c r="F90" s="1302" cm="1">
        <f t="array" ref="F90">+IF(SUM(VALUE(N90:Q90)*$N$7:$Q$7)=0,R90,T90)</f>
        <v>0</v>
      </c>
      <c r="G90" s="103">
        <f>+F90</f>
        <v>0</v>
      </c>
      <c r="H90" s="717">
        <v>45566</v>
      </c>
      <c r="I90" s="1303" cm="1">
        <f t="array" ref="I90">+IF(SUM(VALUE(N90:Q90)*$N$7:$Q$7)=0,S90,U90)</f>
        <v>2258569</v>
      </c>
      <c r="J90" s="103">
        <f t="shared" si="5"/>
        <v>2258569</v>
      </c>
      <c r="K90" s="103"/>
      <c r="M90"/>
      <c r="N90" s="1300">
        <v>0</v>
      </c>
      <c r="O90" s="1300">
        <v>1</v>
      </c>
      <c r="P90" s="1300">
        <v>0</v>
      </c>
      <c r="Q90" s="1300">
        <v>0</v>
      </c>
      <c r="R90" s="1266">
        <v>2258569</v>
      </c>
      <c r="S90" s="1266">
        <v>0</v>
      </c>
      <c r="T90" s="1266">
        <f>+IF($Q90=1,$G90,INDEX([1]Summary!$K$5:$K$110,MATCH($C90,[1]Summary!$D$5:$D191,0)))</f>
        <v>0</v>
      </c>
      <c r="U90" s="1266">
        <f>+IF($Q90=1,$J90,INDEX([1]Summary!$L$5:$L$110,MATCH($C90,[1]Summary!$D$5:$D191,0)))</f>
        <v>2258569</v>
      </c>
      <c r="V90" s="721"/>
      <c r="W90" s="721"/>
      <c r="X90" s="721"/>
      <c r="Y90" s="721"/>
      <c r="Z90" s="721"/>
      <c r="AA90" s="721"/>
      <c r="AB90" s="721"/>
      <c r="AC90" s="721"/>
      <c r="AD90" s="721"/>
      <c r="AE90" s="105"/>
      <c r="AI90" s="105"/>
      <c r="AJ90" s="105"/>
      <c r="AN90" s="105"/>
      <c r="AO90" s="105"/>
      <c r="AP90" s="105"/>
    </row>
    <row r="91" spans="1:45" outlineLevel="1">
      <c r="A91" s="545">
        <f>MAX($A$10:A90)+1</f>
        <v>82</v>
      </c>
      <c r="B91" s="716" t="s">
        <v>1799</v>
      </c>
      <c r="C91" s="720" t="s">
        <v>1910</v>
      </c>
      <c r="D91" s="720" t="s">
        <v>1911</v>
      </c>
      <c r="E91" s="559">
        <v>376.2</v>
      </c>
      <c r="F91" s="1302" cm="1">
        <f t="array" ref="F91">+IF(SUM(VALUE(N91:Q91)*$N$7:$Q$7)=0,R91,T91)</f>
        <v>0</v>
      </c>
      <c r="G91" s="103"/>
      <c r="I91" s="1303" cm="1">
        <f t="array" ref="I91">+IF(SUM(VALUE(N91:Q91)*$N$7:$Q$7)=0,S91,U91)</f>
        <v>543633.23800999997</v>
      </c>
      <c r="J91" s="103">
        <f t="shared" si="5"/>
        <v>543633.23800999997</v>
      </c>
      <c r="K91" s="717">
        <v>45991</v>
      </c>
      <c r="M91"/>
      <c r="N91" s="1300">
        <v>0</v>
      </c>
      <c r="O91" s="1300">
        <v>0</v>
      </c>
      <c r="P91" s="1300">
        <v>0</v>
      </c>
      <c r="Q91" s="1300">
        <v>1</v>
      </c>
      <c r="R91" s="1266">
        <v>0</v>
      </c>
      <c r="S91" s="1266">
        <v>543633.23800999997</v>
      </c>
      <c r="T91" s="1266">
        <f>+IF($Q91=1,$G91,INDEX([1]Summary!$K$5:$K$110,MATCH($C91,[1]Summary!$D$5:$D192,0)))</f>
        <v>0</v>
      </c>
      <c r="U91" s="1266">
        <f>+IF($Q91=1,$J91,INDEX([1]Summary!$L$5:$L$110,MATCH($C91,[1]Summary!$D$5:$D192,0)))</f>
        <v>543633.23800999997</v>
      </c>
      <c r="V91" s="721"/>
      <c r="W91" s="721"/>
      <c r="X91" s="721"/>
      <c r="Y91" s="721"/>
      <c r="Z91" s="721"/>
      <c r="AA91" s="721"/>
      <c r="AB91" s="721"/>
      <c r="AC91" s="721"/>
      <c r="AD91" s="721"/>
      <c r="AE91" s="105"/>
      <c r="AI91" s="105"/>
      <c r="AJ91" s="105"/>
      <c r="AN91" s="105"/>
      <c r="AO91" s="105"/>
      <c r="AP91" s="105"/>
    </row>
    <row r="92" spans="1:45" outlineLevel="1">
      <c r="A92" s="545">
        <f>MAX($A$10:A91)+1</f>
        <v>83</v>
      </c>
      <c r="B92" s="716" t="s">
        <v>1799</v>
      </c>
      <c r="C92" s="720" t="s">
        <v>1912</v>
      </c>
      <c r="D92" s="720" t="s">
        <v>1913</v>
      </c>
      <c r="E92" s="559">
        <v>378</v>
      </c>
      <c r="F92" s="1302" cm="1">
        <f t="array" ref="F92">+IF(SUM(VALUE(N92:Q92)*$N$7:$Q$7)=0,R92,T92)</f>
        <v>0</v>
      </c>
      <c r="G92" s="103"/>
      <c r="I92" s="1303" cm="1">
        <f t="array" ref="I92">+IF(SUM(VALUE(N92:Q92)*$N$7:$Q$7)=0,S92,U92)</f>
        <v>377211.26529000001</v>
      </c>
      <c r="J92" s="103">
        <f t="shared" si="5"/>
        <v>377211.26529000001</v>
      </c>
      <c r="K92" s="717">
        <v>45960</v>
      </c>
      <c r="M92"/>
      <c r="N92" s="1300">
        <v>0</v>
      </c>
      <c r="O92" s="1300">
        <v>0</v>
      </c>
      <c r="P92" s="1300">
        <v>0</v>
      </c>
      <c r="Q92" s="1300">
        <v>1</v>
      </c>
      <c r="R92" s="1266">
        <v>0</v>
      </c>
      <c r="S92" s="1266">
        <v>377211.26529000001</v>
      </c>
      <c r="T92" s="1266">
        <f>+IF($Q92=1,$G92,INDEX([1]Summary!$K$5:$K$110,MATCH($C92,[1]Summary!$D$5:$D193,0)))</f>
        <v>0</v>
      </c>
      <c r="U92" s="1266">
        <f>+IF($Q92=1,$J92,INDEX([1]Summary!$L$5:$L$110,MATCH($C92,[1]Summary!$D$5:$D193,0)))</f>
        <v>377211.26529000001</v>
      </c>
      <c r="V92" s="721"/>
      <c r="W92" s="721"/>
      <c r="X92" s="721"/>
      <c r="Y92" s="721"/>
      <c r="Z92" s="721"/>
      <c r="AA92" s="721"/>
      <c r="AB92" s="721"/>
      <c r="AC92" s="721"/>
      <c r="AD92" s="721"/>
      <c r="AE92" s="105"/>
      <c r="AI92" s="105"/>
      <c r="AJ92" s="105"/>
      <c r="AN92" s="105"/>
      <c r="AO92" s="105"/>
      <c r="AP92" s="105"/>
    </row>
    <row r="93" spans="1:45" outlineLevel="1">
      <c r="A93" s="545">
        <f>MAX($A$10:A92)+1</f>
        <v>84</v>
      </c>
      <c r="B93" s="716" t="s">
        <v>1799</v>
      </c>
      <c r="C93" s="716" t="s">
        <v>1914</v>
      </c>
      <c r="D93" s="716" t="s">
        <v>1915</v>
      </c>
      <c r="E93" s="559">
        <v>376.3</v>
      </c>
      <c r="F93" s="1302" cm="1">
        <f t="array" ref="F93">+IF(SUM(VALUE(N93:Q93)*$N$7:$Q$7)=0,R93,T93)</f>
        <v>3610320.72</v>
      </c>
      <c r="G93" s="103">
        <f t="shared" ref="G93:G99" si="6">+F93</f>
        <v>3610320.72</v>
      </c>
      <c r="H93" s="575">
        <v>45657</v>
      </c>
      <c r="I93" s="1303" cm="1">
        <f t="array" ref="I93">+IF(SUM(VALUE(N93:Q93)*$N$7:$Q$7)=0,S93,U93)</f>
        <v>5910841.3118439987</v>
      </c>
      <c r="J93" s="103">
        <f t="shared" si="5"/>
        <v>5910841.3118439987</v>
      </c>
      <c r="K93" s="575">
        <v>46022</v>
      </c>
      <c r="M93"/>
      <c r="N93" s="1300">
        <v>0</v>
      </c>
      <c r="O93" s="1300">
        <v>0</v>
      </c>
      <c r="P93" s="1300">
        <v>1</v>
      </c>
      <c r="Q93" s="1300">
        <v>0</v>
      </c>
      <c r="R93" s="1266">
        <v>3610320.72</v>
      </c>
      <c r="S93" s="1266">
        <v>5910841.3118439987</v>
      </c>
      <c r="T93" s="1266">
        <f>+IF($Q93=1,$G93,INDEX([1]Summary!$K$5:$K$110,MATCH($C93,[1]Summary!$D$5:$D194,0)))</f>
        <v>153338.53499999997</v>
      </c>
      <c r="U93" s="1266">
        <f>+IF($Q93=1,$J93,INDEX([1]Summary!$L$5:$L$110,MATCH($C93,[1]Summary!$D$5:$D194,0)))</f>
        <v>153338.53499999997</v>
      </c>
      <c r="V93" s="721"/>
      <c r="W93" s="721"/>
      <c r="X93" s="721"/>
      <c r="Y93" s="721"/>
      <c r="Z93" s="721"/>
      <c r="AA93" s="721"/>
      <c r="AB93" s="721"/>
      <c r="AC93" s="721"/>
      <c r="AD93" s="721"/>
      <c r="AE93" s="105"/>
      <c r="AI93" s="105"/>
      <c r="AJ93" s="105"/>
      <c r="AN93" s="105"/>
      <c r="AO93" s="105"/>
      <c r="AP93" s="105"/>
    </row>
    <row r="94" spans="1:45" outlineLevel="1">
      <c r="A94" s="545">
        <f>MAX($A$10:A93)+1</f>
        <v>85</v>
      </c>
      <c r="B94" s="716" t="s">
        <v>1799</v>
      </c>
      <c r="C94" s="716" t="s">
        <v>1916</v>
      </c>
      <c r="D94" s="716" t="s">
        <v>1917</v>
      </c>
      <c r="E94" s="559">
        <v>380.3</v>
      </c>
      <c r="F94" s="1302" cm="1">
        <f t="array" ref="F94">+IF(SUM(VALUE(N94:Q94)*$N$7:$Q$7)=0,R94,T94)</f>
        <v>375340.57199999999</v>
      </c>
      <c r="G94" s="103">
        <f t="shared" si="6"/>
        <v>375340.57199999999</v>
      </c>
      <c r="H94" s="575">
        <v>45657</v>
      </c>
      <c r="I94" s="1303" cm="1">
        <f t="array" ref="I94">+IF(SUM(VALUE(N94:Q94)*$N$7:$Q$7)=0,S94,U94)</f>
        <v>912858.45250000001</v>
      </c>
      <c r="J94" s="103">
        <f t="shared" si="5"/>
        <v>912858.45250000001</v>
      </c>
      <c r="K94" s="575">
        <v>46022</v>
      </c>
      <c r="M94"/>
      <c r="N94" s="1300">
        <v>0</v>
      </c>
      <c r="O94" s="1300">
        <v>0</v>
      </c>
      <c r="P94" s="1300">
        <v>1</v>
      </c>
      <c r="Q94" s="1300">
        <v>0</v>
      </c>
      <c r="R94" s="1266">
        <v>375340.57199999999</v>
      </c>
      <c r="S94" s="1266">
        <v>912858.45250000001</v>
      </c>
      <c r="T94" s="1266">
        <f>+IF($Q94=1,$G94,INDEX([1]Summary!$K$5:$K$110,MATCH($C94,[1]Summary!$D$5:$D195,0)))</f>
        <v>128877.07666666668</v>
      </c>
      <c r="U94" s="1266">
        <f>+IF($Q94=1,$J94,INDEX([1]Summary!$L$5:$L$110,MATCH($C94,[1]Summary!$D$5:$D195,0)))</f>
        <v>128877.07666666668</v>
      </c>
      <c r="V94" s="721"/>
      <c r="W94" s="721"/>
      <c r="X94" s="721"/>
      <c r="Y94" s="721"/>
      <c r="Z94" s="721"/>
      <c r="AA94" s="721"/>
      <c r="AB94" s="721"/>
      <c r="AC94" s="721"/>
      <c r="AD94" s="721"/>
      <c r="AE94" s="105"/>
      <c r="AI94" s="105"/>
      <c r="AJ94" s="105"/>
      <c r="AN94" s="105"/>
      <c r="AO94" s="105"/>
      <c r="AP94" s="105"/>
    </row>
    <row r="95" spans="1:45" outlineLevel="1">
      <c r="A95" s="545">
        <f>MAX($A$10:A94)+1</f>
        <v>86</v>
      </c>
      <c r="B95" s="716" t="s">
        <v>1799</v>
      </c>
      <c r="C95" s="720" t="s">
        <v>1918</v>
      </c>
      <c r="D95" s="720" t="s">
        <v>1919</v>
      </c>
      <c r="E95" s="559">
        <v>376.2</v>
      </c>
      <c r="F95" s="1302" cm="1">
        <f t="array" ref="F95">+IF(SUM(VALUE(N95:Q95)*$N$7:$Q$7)=0,R95,T95)</f>
        <v>0</v>
      </c>
      <c r="G95" s="103">
        <f t="shared" si="6"/>
        <v>0</v>
      </c>
      <c r="H95" s="103"/>
      <c r="I95" s="1303" cm="1">
        <f t="array" ref="I95">+IF(SUM(VALUE(N95:Q95)*$N$7:$Q$7)=0,S95,U95)</f>
        <v>1796668.1126259998</v>
      </c>
      <c r="J95" s="103">
        <f t="shared" si="5"/>
        <v>1796668.1126259998</v>
      </c>
      <c r="K95" s="717">
        <v>45961</v>
      </c>
      <c r="M95"/>
      <c r="N95" s="1300">
        <v>0</v>
      </c>
      <c r="O95" s="1300">
        <v>1</v>
      </c>
      <c r="P95" s="1300">
        <v>0</v>
      </c>
      <c r="Q95" s="1300">
        <v>0</v>
      </c>
      <c r="R95" s="1266">
        <v>0</v>
      </c>
      <c r="S95" s="1266">
        <v>1796668.1126259998</v>
      </c>
      <c r="T95" s="1266">
        <f>+IF($Q95=1,$G95,INDEX([1]Summary!$K$5:$K$110,MATCH($C95,[1]Summary!$D$5:$D196,0)))</f>
        <v>0</v>
      </c>
      <c r="U95" s="1266">
        <f>+IF($Q95=1,$J95,INDEX([1]Summary!$L$5:$L$110,MATCH($C95,[1]Summary!$D$5:$D196,0)))</f>
        <v>1796668.1126259998</v>
      </c>
      <c r="V95" s="721"/>
      <c r="W95" s="721"/>
      <c r="X95" s="721"/>
      <c r="Y95" s="721"/>
      <c r="Z95" s="721"/>
      <c r="AA95" s="721"/>
      <c r="AB95" s="721"/>
      <c r="AC95" s="721"/>
      <c r="AD95" s="721"/>
      <c r="AE95" s="105"/>
      <c r="AI95" s="105"/>
      <c r="AJ95" s="105"/>
      <c r="AN95" s="105"/>
      <c r="AO95" s="105"/>
      <c r="AP95" s="105"/>
    </row>
    <row r="96" spans="1:45" outlineLevel="1">
      <c r="A96" s="545">
        <f>MAX($A$10:A95)+1</f>
        <v>87</v>
      </c>
      <c r="B96" s="716" t="s">
        <v>1799</v>
      </c>
      <c r="C96" s="720" t="s">
        <v>1920</v>
      </c>
      <c r="D96" s="720" t="s">
        <v>1921</v>
      </c>
      <c r="E96" s="559">
        <v>376.2</v>
      </c>
      <c r="F96" s="1302" cm="1">
        <f t="array" ref="F96">+IF(SUM(VALUE(N96:Q96)*$N$7:$Q$7)=0,R96,T96)</f>
        <v>0</v>
      </c>
      <c r="G96" s="103">
        <f t="shared" si="6"/>
        <v>0</v>
      </c>
      <c r="H96" s="575">
        <v>45412</v>
      </c>
      <c r="I96" s="1303" cm="1">
        <f t="array" ref="I96">+IF(SUM(VALUE(N96:Q96)*$N$7:$Q$7)=0,S96,U96)</f>
        <v>1069397.6499999999</v>
      </c>
      <c r="J96" s="103"/>
      <c r="K96" s="717"/>
      <c r="M96"/>
      <c r="N96" s="1300">
        <v>0</v>
      </c>
      <c r="O96" s="1300">
        <v>1</v>
      </c>
      <c r="P96" s="1300">
        <v>0</v>
      </c>
      <c r="Q96" s="1300">
        <v>0</v>
      </c>
      <c r="R96" s="1266">
        <v>1069397.6499999999</v>
      </c>
      <c r="S96" s="1266">
        <v>0</v>
      </c>
      <c r="T96" s="1266">
        <f>+IF($Q96=1,$G96,INDEX([1]Summary!$K$5:$K$110,MATCH($C96,[1]Summary!$D$5:$D197,0)))</f>
        <v>0</v>
      </c>
      <c r="U96" s="1266">
        <f>+IF($Q96=1,$J96,INDEX([1]Summary!$L$5:$L$110,MATCH($C96,[1]Summary!$D$5:$D197,0)))</f>
        <v>1069397.6499999999</v>
      </c>
      <c r="V96" s="721"/>
      <c r="W96" s="721"/>
      <c r="X96" s="721"/>
      <c r="Y96" s="721"/>
      <c r="Z96" s="721"/>
      <c r="AA96" s="721"/>
      <c r="AB96" s="721"/>
      <c r="AC96" s="721"/>
      <c r="AD96" s="721"/>
      <c r="AE96" s="105"/>
      <c r="AI96" s="105"/>
      <c r="AJ96" s="105"/>
      <c r="AN96" s="105"/>
      <c r="AO96" s="105"/>
      <c r="AP96" s="105"/>
    </row>
    <row r="97" spans="1:42" outlineLevel="1">
      <c r="A97" s="545">
        <f>MAX($A$10:A96)+1</f>
        <v>88</v>
      </c>
      <c r="B97" s="716" t="s">
        <v>1799</v>
      </c>
      <c r="C97" s="716" t="s">
        <v>1922</v>
      </c>
      <c r="D97" s="716" t="s">
        <v>1923</v>
      </c>
      <c r="E97" s="559">
        <v>376.2</v>
      </c>
      <c r="F97" s="1302" cm="1">
        <f t="array" ref="F97">+IF(SUM(VALUE(N97:Q97)*$N$7:$Q$7)=0,R97,T97)</f>
        <v>930867.84602499998</v>
      </c>
      <c r="G97" s="103">
        <f t="shared" si="6"/>
        <v>930867.84602499998</v>
      </c>
      <c r="H97" s="575">
        <v>45412</v>
      </c>
      <c r="I97" s="1303" cm="1">
        <f t="array" ref="I97">+IF(SUM(VALUE(N97:Q97)*$N$7:$Q$7)=0,S97,U97)</f>
        <v>0</v>
      </c>
      <c r="J97" s="103">
        <f>+I97</f>
        <v>0</v>
      </c>
      <c r="K97" s="103"/>
      <c r="M97"/>
      <c r="N97" s="1300">
        <v>0</v>
      </c>
      <c r="O97" s="1300">
        <v>0</v>
      </c>
      <c r="P97" s="1300">
        <v>0</v>
      </c>
      <c r="Q97" s="1300">
        <v>1</v>
      </c>
      <c r="R97" s="1266">
        <v>930867.84602499998</v>
      </c>
      <c r="S97" s="1266">
        <v>0</v>
      </c>
      <c r="T97" s="1266">
        <f>+IF($Q97=1,$G97,INDEX([1]Summary!$K$5:$K$110,MATCH($C97,[1]Summary!$D$5:$D198,0)))</f>
        <v>930867.84602499998</v>
      </c>
      <c r="U97" s="1266">
        <f>+IF($Q97=1,$J97,INDEX([1]Summary!$L$5:$L$110,MATCH($C97,[1]Summary!$D$5:$D198,0)))</f>
        <v>0</v>
      </c>
      <c r="V97" s="721"/>
      <c r="W97" s="721"/>
      <c r="X97" s="721"/>
      <c r="Y97" s="721"/>
      <c r="Z97" s="721"/>
      <c r="AA97" s="721"/>
      <c r="AB97" s="721"/>
      <c r="AC97" s="721"/>
      <c r="AD97" s="721"/>
      <c r="AE97" s="105"/>
      <c r="AI97" s="105"/>
      <c r="AJ97" s="105"/>
      <c r="AN97" s="105"/>
      <c r="AO97" s="105"/>
      <c r="AP97" s="105"/>
    </row>
    <row r="98" spans="1:42" outlineLevel="1">
      <c r="A98" s="545">
        <f>MAX($A$10:A97)+1</f>
        <v>89</v>
      </c>
      <c r="B98" s="716" t="s">
        <v>1799</v>
      </c>
      <c r="C98" s="716" t="s">
        <v>1924</v>
      </c>
      <c r="D98" s="520" t="s">
        <v>1925</v>
      </c>
      <c r="E98" s="559">
        <v>376.2</v>
      </c>
      <c r="F98" s="1302" cm="1">
        <f t="array" ref="F98">+IF(SUM(VALUE(N98:Q98)*$N$7:$Q$7)=0,R98,T98)</f>
        <v>0</v>
      </c>
      <c r="G98" s="103">
        <f t="shared" si="6"/>
        <v>0</v>
      </c>
      <c r="H98" s="575">
        <v>45597</v>
      </c>
      <c r="I98" s="1303" cm="1">
        <f t="array" ref="I98">+IF(SUM(VALUE(N98:Q98)*$N$7:$Q$7)=0,S98,U98)</f>
        <v>1829249.22</v>
      </c>
      <c r="J98" s="103"/>
      <c r="K98" s="103"/>
      <c r="M98"/>
      <c r="N98" s="1300">
        <v>0</v>
      </c>
      <c r="O98" s="1300">
        <v>1</v>
      </c>
      <c r="P98" s="1300">
        <v>0</v>
      </c>
      <c r="Q98" s="1300">
        <v>0</v>
      </c>
      <c r="R98" s="1266">
        <v>1829249.22</v>
      </c>
      <c r="S98" s="1266">
        <v>0</v>
      </c>
      <c r="T98" s="1266">
        <f>+IF($Q98=1,$G98,INDEX([1]Summary!$K$5:$K$110,MATCH($C98,[1]Summary!$D$5:$D199,0)))</f>
        <v>0</v>
      </c>
      <c r="U98" s="1266">
        <f>+IF($Q98=1,$J98,INDEX([1]Summary!$L$5:$L$110,MATCH($C98,[1]Summary!$D$5:$D199,0)))</f>
        <v>1829249.22</v>
      </c>
      <c r="V98" s="721"/>
      <c r="W98" s="721"/>
      <c r="X98" s="721"/>
      <c r="Y98" s="721"/>
      <c r="Z98" s="721"/>
      <c r="AA98" s="721"/>
      <c r="AB98" s="721"/>
      <c r="AC98" s="721"/>
      <c r="AD98" s="721"/>
      <c r="AE98" s="105"/>
      <c r="AI98" s="105"/>
      <c r="AJ98" s="105"/>
      <c r="AN98" s="105"/>
      <c r="AO98" s="105"/>
      <c r="AP98" s="105"/>
    </row>
    <row r="99" spans="1:42" outlineLevel="1">
      <c r="A99" s="545">
        <f>MAX($A$10:A98)+1</f>
        <v>90</v>
      </c>
      <c r="B99" s="716" t="s">
        <v>1799</v>
      </c>
      <c r="C99" s="716" t="s">
        <v>1926</v>
      </c>
      <c r="D99" s="716" t="s">
        <v>1927</v>
      </c>
      <c r="E99" s="559">
        <v>378</v>
      </c>
      <c r="F99" s="1302" cm="1">
        <f t="array" ref="F99">+IF(SUM(VALUE(N99:Q99)*$N$7:$Q$7)=0,R99,T99)</f>
        <v>240690.43</v>
      </c>
      <c r="G99" s="103">
        <f t="shared" si="6"/>
        <v>240690.43</v>
      </c>
      <c r="H99" s="575">
        <v>45626</v>
      </c>
      <c r="I99" s="1303" cm="1">
        <f t="array" ref="I99">+IF(SUM(VALUE(N99:Q99)*$N$7:$Q$7)=0,S99,U99)</f>
        <v>0</v>
      </c>
      <c r="J99" s="103">
        <f>+I99</f>
        <v>0</v>
      </c>
      <c r="K99" s="103"/>
      <c r="M99"/>
      <c r="N99" s="1300">
        <v>0</v>
      </c>
      <c r="O99" s="1300">
        <v>0</v>
      </c>
      <c r="P99" s="1300">
        <v>0</v>
      </c>
      <c r="Q99" s="1300">
        <v>1</v>
      </c>
      <c r="R99" s="1266">
        <v>240690.43</v>
      </c>
      <c r="S99" s="1266">
        <v>0</v>
      </c>
      <c r="T99" s="1266">
        <f>+IF($Q99=1,$G99,INDEX([1]Summary!$K$5:$K$110,MATCH($C99,[1]Summary!$D$5:$D200,0)))</f>
        <v>240690.43</v>
      </c>
      <c r="U99" s="1266">
        <f>+IF($Q99=1,$J99,INDEX([1]Summary!$L$5:$L$110,MATCH($C99,[1]Summary!$D$5:$D200,0)))</f>
        <v>0</v>
      </c>
      <c r="V99" s="721"/>
      <c r="W99" s="721"/>
      <c r="X99" s="721"/>
      <c r="Y99" s="721"/>
      <c r="Z99" s="721"/>
      <c r="AA99" s="721"/>
      <c r="AB99" s="721"/>
      <c r="AC99" s="721"/>
      <c r="AD99" s="721"/>
      <c r="AE99" s="105"/>
      <c r="AI99" s="105"/>
      <c r="AJ99" s="105"/>
      <c r="AN99" s="105"/>
      <c r="AO99" s="105"/>
      <c r="AP99" s="105"/>
    </row>
    <row r="100" spans="1:42" outlineLevel="1">
      <c r="A100" s="545">
        <f>MAX($A$10:A99)+1</f>
        <v>91</v>
      </c>
      <c r="B100" s="716" t="s">
        <v>1799</v>
      </c>
      <c r="C100" s="720" t="s">
        <v>1928</v>
      </c>
      <c r="D100" s="720" t="s">
        <v>1929</v>
      </c>
      <c r="E100" s="559">
        <v>379</v>
      </c>
      <c r="F100" s="1302" cm="1">
        <f t="array" ref="F100">+IF(SUM(VALUE(N100:Q100)*$N$7:$Q$7)=0,R100,T100)</f>
        <v>0</v>
      </c>
      <c r="G100" s="103"/>
      <c r="I100" s="1303" cm="1">
        <f t="array" ref="I100">+IF(SUM(VALUE(N100:Q100)*$N$7:$Q$7)=0,S100,U100)</f>
        <v>2531049.7000000002</v>
      </c>
      <c r="J100" s="103">
        <f>+I100</f>
        <v>2531049.7000000002</v>
      </c>
      <c r="K100" s="717">
        <v>45991</v>
      </c>
      <c r="M100"/>
      <c r="N100" s="1300">
        <v>0</v>
      </c>
      <c r="O100" s="1300">
        <v>1</v>
      </c>
      <c r="P100" s="1300">
        <v>0</v>
      </c>
      <c r="Q100" s="1300">
        <v>0</v>
      </c>
      <c r="R100" s="1266">
        <v>0</v>
      </c>
      <c r="S100" s="1266">
        <v>2531049.7000000002</v>
      </c>
      <c r="T100" s="1266">
        <f>+IF($Q100=1,$G100,INDEX([1]Summary!$K$5:$K$110,MATCH($C100,[1]Summary!$D$5:$D201,0)))</f>
        <v>0</v>
      </c>
      <c r="U100" s="1266">
        <f>+IF($Q100=1,$J100,INDEX([1]Summary!$L$5:$L$110,MATCH($C100,[1]Summary!$D$5:$D201,0)))</f>
        <v>2531049.7000000002</v>
      </c>
      <c r="V100" s="721"/>
      <c r="W100" s="721"/>
      <c r="X100" s="721"/>
      <c r="Y100" s="721"/>
      <c r="Z100" s="721"/>
      <c r="AA100" s="721"/>
      <c r="AB100" s="721"/>
      <c r="AC100" s="721"/>
      <c r="AD100" s="721"/>
      <c r="AE100" s="105"/>
      <c r="AI100" s="105"/>
      <c r="AJ100" s="105"/>
      <c r="AN100" s="105"/>
      <c r="AO100" s="105"/>
      <c r="AP100" s="105"/>
    </row>
    <row r="101" spans="1:42" outlineLevel="1">
      <c r="A101" s="545">
        <f>MAX($A$10:A100)+1</f>
        <v>92</v>
      </c>
      <c r="B101" s="716" t="s">
        <v>1799</v>
      </c>
      <c r="C101" s="720" t="s">
        <v>1930</v>
      </c>
      <c r="D101" s="720" t="s">
        <v>1931</v>
      </c>
      <c r="E101" s="559">
        <v>376.2</v>
      </c>
      <c r="F101" s="1302" cm="1">
        <f t="array" ref="F101">+IF(SUM(VALUE(N101:Q101)*$N$7:$Q$7)=0,R101,T101)</f>
        <v>0</v>
      </c>
      <c r="G101" s="103"/>
      <c r="I101" s="1303" cm="1">
        <f t="array" ref="I101">+IF(SUM(VALUE(N101:Q101)*$N$7:$Q$7)=0,S101,U101)</f>
        <v>0</v>
      </c>
      <c r="J101" s="103">
        <f>+I101</f>
        <v>0</v>
      </c>
      <c r="K101" s="717">
        <v>45991</v>
      </c>
      <c r="M101"/>
      <c r="N101" s="1300">
        <v>0</v>
      </c>
      <c r="O101" s="1300">
        <v>1</v>
      </c>
      <c r="P101" s="1300">
        <v>0</v>
      </c>
      <c r="Q101" s="1300">
        <v>0</v>
      </c>
      <c r="R101" s="1266">
        <v>0</v>
      </c>
      <c r="S101" s="1266">
        <v>8810449.4399999995</v>
      </c>
      <c r="T101" s="1266">
        <f>+IF($Q101=1,$G101,INDEX([1]Summary!$K$5:$K$110,MATCH($C101,[1]Summary!$D$5:$D202,0)))</f>
        <v>0</v>
      </c>
      <c r="U101" s="1266">
        <f>+IF($Q101=1,$J101,INDEX([1]Summary!$L$5:$L$110,MATCH($C101,[1]Summary!$D$5:$D202,0)))</f>
        <v>0</v>
      </c>
      <c r="V101" s="721"/>
      <c r="W101" s="721"/>
      <c r="X101" s="721"/>
      <c r="Y101" s="721"/>
      <c r="Z101" s="721"/>
      <c r="AA101" s="721"/>
      <c r="AB101" s="721"/>
      <c r="AC101" s="721"/>
      <c r="AD101" s="721"/>
      <c r="AE101" s="105"/>
      <c r="AI101" s="105"/>
      <c r="AJ101" s="105"/>
      <c r="AN101" s="105"/>
      <c r="AO101" s="105"/>
      <c r="AP101" s="105"/>
    </row>
    <row r="102" spans="1:42" outlineLevel="1">
      <c r="A102" s="545">
        <f>MAX($A$10:A101)+1</f>
        <v>93</v>
      </c>
      <c r="B102" s="716" t="s">
        <v>1799</v>
      </c>
      <c r="C102" s="716" t="s">
        <v>1932</v>
      </c>
      <c r="D102" s="716" t="s">
        <v>1933</v>
      </c>
      <c r="E102" s="559">
        <v>385</v>
      </c>
      <c r="F102" s="1302" cm="1">
        <f t="array" ref="F102">+IF(SUM(VALUE(N102:Q102)*$N$7:$Q$7)=0,R102,T102)</f>
        <v>63609</v>
      </c>
      <c r="G102" s="103">
        <f t="shared" ref="G102:G148" si="7">+F102</f>
        <v>63609</v>
      </c>
      <c r="H102" s="575">
        <v>45657</v>
      </c>
      <c r="I102" s="1303" cm="1">
        <f t="array" ref="I102">+IF(SUM(VALUE(N102:Q102)*$N$7:$Q$7)=0,S102,U102)</f>
        <v>63488.280000000021</v>
      </c>
      <c r="J102" s="103">
        <f>+I102</f>
        <v>63488.280000000021</v>
      </c>
      <c r="K102" s="575">
        <v>46022</v>
      </c>
      <c r="M102"/>
      <c r="N102" s="1300">
        <v>0</v>
      </c>
      <c r="O102" s="1300">
        <v>0</v>
      </c>
      <c r="P102" s="1300">
        <v>0</v>
      </c>
      <c r="Q102" s="1300">
        <v>1</v>
      </c>
      <c r="R102" s="1266">
        <v>63609</v>
      </c>
      <c r="S102" s="1266">
        <v>63488.280000000021</v>
      </c>
      <c r="T102" s="1266">
        <f>+IF($Q102=1,$G102,INDEX([1]Summary!$K$5:$K$110,MATCH($C102,[1]Summary!$D$5:$D203,0)))</f>
        <v>63609</v>
      </c>
      <c r="U102" s="1266">
        <f>+IF($Q102=1,$J102,INDEX([1]Summary!$L$5:$L$110,MATCH($C102,[1]Summary!$D$5:$D203,0)))</f>
        <v>63488.280000000021</v>
      </c>
      <c r="V102" s="721"/>
      <c r="W102" s="721"/>
      <c r="X102" s="721"/>
      <c r="Y102" s="721"/>
      <c r="Z102" s="721"/>
      <c r="AA102" s="721"/>
      <c r="AB102" s="721"/>
      <c r="AC102" s="721"/>
      <c r="AD102" s="721"/>
      <c r="AE102" s="105"/>
      <c r="AI102" s="105"/>
      <c r="AJ102" s="105"/>
      <c r="AN102" s="105"/>
      <c r="AO102" s="105"/>
      <c r="AP102" s="105"/>
    </row>
    <row r="103" spans="1:42" outlineLevel="1">
      <c r="A103" s="545">
        <f>MAX($A$10:A102)+1</f>
        <v>94</v>
      </c>
      <c r="B103" s="716" t="s">
        <v>1799</v>
      </c>
      <c r="C103" s="716" t="s">
        <v>1934</v>
      </c>
      <c r="D103" s="716" t="s">
        <v>1935</v>
      </c>
      <c r="E103" s="559">
        <v>385</v>
      </c>
      <c r="F103" s="1302" cm="1">
        <f t="array" ref="F103">+IF(SUM(VALUE(N103:Q103)*$N$7:$Q$7)=0,R103,T103)</f>
        <v>60676.625099999997</v>
      </c>
      <c r="G103" s="103">
        <f t="shared" si="7"/>
        <v>60676.625099999997</v>
      </c>
      <c r="H103" s="575">
        <v>45657</v>
      </c>
      <c r="I103" s="1303" cm="1">
        <f t="array" ref="I103">+IF(SUM(VALUE(N103:Q103)*$N$7:$Q$7)=0,S103,U103)</f>
        <v>60561.47029200002</v>
      </c>
      <c r="J103" s="103">
        <f>+I103</f>
        <v>60561.47029200002</v>
      </c>
      <c r="K103" s="575">
        <v>46022</v>
      </c>
      <c r="M103"/>
      <c r="N103" s="1300">
        <v>0</v>
      </c>
      <c r="O103" s="1300">
        <v>0</v>
      </c>
      <c r="P103" s="1300">
        <v>0</v>
      </c>
      <c r="Q103" s="1300">
        <v>1</v>
      </c>
      <c r="R103" s="1266">
        <v>60676.625099999997</v>
      </c>
      <c r="S103" s="1266">
        <v>60561.47029200002</v>
      </c>
      <c r="T103" s="1266">
        <f>+IF($Q103=1,$G103,INDEX([1]Summary!$K$5:$K$110,MATCH($C103,[1]Summary!$D$5:$D204,0)))</f>
        <v>60676.625099999997</v>
      </c>
      <c r="U103" s="1266">
        <f>+IF($Q103=1,$J103,INDEX([1]Summary!$L$5:$L$110,MATCH($C103,[1]Summary!$D$5:$D204,0)))</f>
        <v>60561.47029200002</v>
      </c>
      <c r="V103" s="721"/>
      <c r="W103" s="721"/>
      <c r="X103" s="721"/>
      <c r="Y103" s="721"/>
      <c r="Z103" s="721"/>
      <c r="AA103" s="721"/>
      <c r="AB103" s="721"/>
      <c r="AC103" s="721"/>
      <c r="AD103" s="721"/>
      <c r="AE103" s="105"/>
      <c r="AI103" s="105"/>
      <c r="AJ103" s="105"/>
      <c r="AN103" s="105"/>
      <c r="AO103" s="105"/>
      <c r="AP103" s="105"/>
    </row>
    <row r="104" spans="1:42" outlineLevel="1">
      <c r="A104" s="545">
        <f>MAX($A$10:A103)+1</f>
        <v>95</v>
      </c>
      <c r="B104" s="716" t="s">
        <v>1799</v>
      </c>
      <c r="C104" s="716" t="s">
        <v>1936</v>
      </c>
      <c r="D104" s="716" t="s">
        <v>1937</v>
      </c>
      <c r="E104" s="559">
        <v>376.2</v>
      </c>
      <c r="F104" s="1302" cm="1">
        <f t="array" ref="F104">+IF(SUM(VALUE(N104:Q104)*$N$7:$Q$7)=0,R104,T104)</f>
        <v>16645248.84</v>
      </c>
      <c r="G104" s="103">
        <f t="shared" si="7"/>
        <v>16645248.84</v>
      </c>
      <c r="H104" s="575">
        <v>45450</v>
      </c>
      <c r="I104" s="1303" cm="1">
        <f t="array" ref="I104">+IF(SUM(VALUE(N104:Q104)*$N$7:$Q$7)=0,S104,U104)</f>
        <v>0</v>
      </c>
      <c r="J104" s="103"/>
      <c r="K104" s="575"/>
      <c r="M104"/>
      <c r="N104" s="1300">
        <v>0</v>
      </c>
      <c r="O104" s="1300">
        <v>1</v>
      </c>
      <c r="P104" s="1300">
        <v>0</v>
      </c>
      <c r="Q104" s="1300">
        <v>0</v>
      </c>
      <c r="R104" s="1266">
        <v>16645248.84</v>
      </c>
      <c r="S104" s="1266">
        <v>0</v>
      </c>
      <c r="T104" s="1266">
        <f>+IF($Q104=1,$G104,INDEX([1]Summary!$K$5:$K$110,MATCH($C104,[1]Summary!$D$5:$D205,0)))</f>
        <v>16645248.84</v>
      </c>
      <c r="U104" s="1266">
        <f>+IF($Q104=1,$J104,INDEX([1]Summary!$L$5:$L$110,MATCH($C104,[1]Summary!$D$5:$D205,0)))</f>
        <v>0</v>
      </c>
      <c r="V104" s="721"/>
      <c r="W104" s="721"/>
      <c r="X104" s="721"/>
      <c r="Y104" s="721"/>
      <c r="Z104" s="721"/>
      <c r="AA104" s="721"/>
      <c r="AB104" s="721"/>
      <c r="AC104" s="721"/>
      <c r="AD104" s="721"/>
      <c r="AE104" s="105"/>
      <c r="AI104" s="105"/>
      <c r="AJ104" s="105"/>
      <c r="AN104" s="105"/>
      <c r="AO104" s="105"/>
      <c r="AP104" s="105"/>
    </row>
    <row r="105" spans="1:42" outlineLevel="1">
      <c r="A105" s="545">
        <f>MAX($A$10:A104)+1</f>
        <v>96</v>
      </c>
      <c r="B105" s="716" t="s">
        <v>1799</v>
      </c>
      <c r="C105" s="716" t="s">
        <v>1938</v>
      </c>
      <c r="D105" s="716" t="s">
        <v>1939</v>
      </c>
      <c r="E105" s="559">
        <v>376.2</v>
      </c>
      <c r="F105" s="1302" cm="1">
        <f t="array" ref="F105">+IF(SUM(VALUE(N105:Q105)*$N$7:$Q$7)=0,R105,T105)</f>
        <v>1111422.1399999999</v>
      </c>
      <c r="G105" s="103">
        <f t="shared" si="7"/>
        <v>1111422.1399999999</v>
      </c>
      <c r="H105" s="575">
        <v>45303</v>
      </c>
      <c r="I105" s="1303" cm="1">
        <f t="array" ref="I105">+IF(SUM(VALUE(N105:Q105)*$N$7:$Q$7)=0,S105,U105)</f>
        <v>0</v>
      </c>
      <c r="J105" s="103"/>
      <c r="K105" s="575"/>
      <c r="M105"/>
      <c r="N105" s="1300">
        <v>0</v>
      </c>
      <c r="O105" s="1300">
        <v>1</v>
      </c>
      <c r="P105" s="1300">
        <v>0</v>
      </c>
      <c r="Q105" s="1300">
        <v>0</v>
      </c>
      <c r="R105" s="1266">
        <v>1111422.1399999999</v>
      </c>
      <c r="S105" s="1266">
        <v>0</v>
      </c>
      <c r="T105" s="1266">
        <f>+IF($Q105=1,$G105,INDEX([1]Summary!$K$5:$K$110,MATCH($C105,[1]Summary!$D$5:$D206,0)))</f>
        <v>1111422.1399999999</v>
      </c>
      <c r="U105" s="1266">
        <f>+IF($Q105=1,$J105,INDEX([1]Summary!$L$5:$L$110,MATCH($C105,[1]Summary!$D$5:$D206,0)))</f>
        <v>0</v>
      </c>
      <c r="V105" s="721"/>
      <c r="W105" s="721"/>
      <c r="X105" s="721"/>
      <c r="Y105" s="721"/>
      <c r="Z105" s="721"/>
      <c r="AA105" s="721"/>
      <c r="AB105" s="721"/>
      <c r="AC105" s="721"/>
      <c r="AD105" s="721"/>
      <c r="AE105" s="105"/>
      <c r="AI105" s="105"/>
      <c r="AJ105" s="105"/>
      <c r="AN105" s="105"/>
      <c r="AO105" s="105"/>
      <c r="AP105" s="105"/>
    </row>
    <row r="106" spans="1:42" outlineLevel="1">
      <c r="A106" s="545">
        <f>MAX($A$10:A105)+1</f>
        <v>97</v>
      </c>
      <c r="B106" s="716" t="s">
        <v>1799</v>
      </c>
      <c r="C106" s="720" t="s">
        <v>1940</v>
      </c>
      <c r="D106" s="720" t="s">
        <v>1941</v>
      </c>
      <c r="E106" s="559">
        <v>376.2</v>
      </c>
      <c r="F106" s="1302" cm="1">
        <f t="array" ref="F106">+IF(SUM(VALUE(N106:Q106)*$N$7:$Q$7)=0,R106,T106)</f>
        <v>0</v>
      </c>
      <c r="G106" s="103">
        <f t="shared" si="7"/>
        <v>0</v>
      </c>
      <c r="I106" s="1303" cm="1">
        <f t="array" ref="I106">+IF(SUM(VALUE(N106:Q106)*$N$7:$Q$7)=0,S106,U106)</f>
        <v>0</v>
      </c>
      <c r="J106" s="103">
        <f>+I106</f>
        <v>0</v>
      </c>
      <c r="K106" s="717">
        <v>45960</v>
      </c>
      <c r="M106"/>
      <c r="N106" s="1300">
        <v>0</v>
      </c>
      <c r="O106" s="1300">
        <v>1</v>
      </c>
      <c r="P106" s="1300">
        <v>0</v>
      </c>
      <c r="Q106" s="1300">
        <v>0</v>
      </c>
      <c r="R106" s="1266">
        <v>0</v>
      </c>
      <c r="S106" s="1266">
        <v>5365866.16</v>
      </c>
      <c r="T106" s="1266">
        <f>+IF($Q106=1,$G106,INDEX([1]Summary!$K$5:$K$110,MATCH($C106,[1]Summary!$D$5:$D207,0)))</f>
        <v>0</v>
      </c>
      <c r="U106" s="1266">
        <f>+IF($Q106=1,$J106,INDEX([1]Summary!$L$5:$L$110,MATCH($C106,[1]Summary!$D$5:$D207,0)))</f>
        <v>0</v>
      </c>
      <c r="V106" s="721"/>
      <c r="W106" s="721"/>
      <c r="X106" s="721"/>
      <c r="Y106" s="721"/>
      <c r="Z106" s="721"/>
      <c r="AA106" s="721"/>
      <c r="AB106" s="721"/>
      <c r="AC106" s="721"/>
      <c r="AD106" s="721"/>
      <c r="AE106" s="105"/>
      <c r="AI106" s="105"/>
      <c r="AJ106" s="105"/>
      <c r="AN106" s="105"/>
      <c r="AO106" s="105"/>
      <c r="AP106" s="105"/>
    </row>
    <row r="107" spans="1:42" outlineLevel="1">
      <c r="A107" s="545">
        <f>MAX($A$10:A106)+1</f>
        <v>98</v>
      </c>
      <c r="B107" s="716" t="s">
        <v>1799</v>
      </c>
      <c r="C107" s="720" t="s">
        <v>1942</v>
      </c>
      <c r="D107" s="720" t="s">
        <v>1943</v>
      </c>
      <c r="E107" s="559">
        <v>376.1</v>
      </c>
      <c r="F107" s="1302" cm="1">
        <f t="array" ref="F107">+IF(SUM(VALUE(N107:Q107)*$N$7:$Q$7)=0,R107,T107)</f>
        <v>166245.634766</v>
      </c>
      <c r="G107" s="103">
        <f t="shared" si="7"/>
        <v>166245.634766</v>
      </c>
      <c r="H107" s="721">
        <v>45381</v>
      </c>
      <c r="I107" s="1303" cm="1">
        <f t="array" ref="I107">+IF(SUM(VALUE(N107:Q107)*$N$7:$Q$7)=0,S107,U107)</f>
        <v>0</v>
      </c>
      <c r="J107" s="103"/>
      <c r="K107" s="717"/>
      <c r="M107"/>
      <c r="N107" s="1300">
        <v>0</v>
      </c>
      <c r="O107" s="1300">
        <v>0</v>
      </c>
      <c r="P107" s="1300">
        <v>0</v>
      </c>
      <c r="Q107" s="1300">
        <v>1</v>
      </c>
      <c r="R107" s="1266">
        <v>166245.634766</v>
      </c>
      <c r="S107" s="1266">
        <v>0</v>
      </c>
      <c r="T107" s="1266">
        <f>+IF($Q107=1,$G107,INDEX([1]Summary!$K$5:$K$110,MATCH($C107,[1]Summary!$D$5:$D208,0)))</f>
        <v>166245.634766</v>
      </c>
      <c r="U107" s="1266">
        <f>+IF($Q107=1,$J107,INDEX([1]Summary!$L$5:$L$110,MATCH($C107,[1]Summary!$D$5:$D208,0)))</f>
        <v>0</v>
      </c>
      <c r="V107" s="721"/>
      <c r="W107" s="721"/>
      <c r="X107" s="721"/>
      <c r="Y107" s="721"/>
      <c r="Z107" s="721"/>
      <c r="AA107" s="721"/>
      <c r="AB107" s="721"/>
      <c r="AC107" s="721"/>
      <c r="AD107" s="721"/>
      <c r="AE107" s="105"/>
      <c r="AI107" s="105"/>
      <c r="AJ107" s="105"/>
      <c r="AN107" s="105"/>
      <c r="AO107" s="105"/>
      <c r="AP107" s="105"/>
    </row>
    <row r="108" spans="1:42" outlineLevel="1">
      <c r="A108" s="545">
        <f>MAX($A$10:A107)+1</f>
        <v>99</v>
      </c>
      <c r="B108" s="716" t="s">
        <v>1799</v>
      </c>
      <c r="C108" s="720" t="s">
        <v>1944</v>
      </c>
      <c r="D108" s="720" t="s">
        <v>1945</v>
      </c>
      <c r="E108" s="559">
        <v>376.3</v>
      </c>
      <c r="F108" s="1302" cm="1">
        <f t="array" ref="F108">+IF(SUM(VALUE(N108:Q108)*$N$7:$Q$7)=0,R108,T108)</f>
        <v>31306.04</v>
      </c>
      <c r="G108" s="103">
        <f t="shared" si="7"/>
        <v>31306.04</v>
      </c>
      <c r="H108" s="721">
        <v>45397</v>
      </c>
      <c r="I108" s="1303" cm="1">
        <f t="array" ref="I108">+IF(SUM(VALUE(N108:Q108)*$N$7:$Q$7)=0,S108,U108)</f>
        <v>0</v>
      </c>
      <c r="J108" s="103"/>
      <c r="K108" s="717"/>
      <c r="M108"/>
      <c r="N108" s="1300">
        <v>0</v>
      </c>
      <c r="O108" s="1300">
        <v>0</v>
      </c>
      <c r="P108" s="1300">
        <v>0</v>
      </c>
      <c r="Q108" s="1300">
        <v>1</v>
      </c>
      <c r="R108" s="1266">
        <v>31306.04</v>
      </c>
      <c r="S108" s="1266">
        <v>0</v>
      </c>
      <c r="T108" s="1266">
        <f>+IF($Q108=1,$G108,INDEX([1]Summary!$K$5:$K$110,MATCH($C108,[1]Summary!$D$5:$D209,0)))</f>
        <v>31306.04</v>
      </c>
      <c r="U108" s="1266">
        <f>+IF($Q108=1,$J108,INDEX([1]Summary!$L$5:$L$110,MATCH($C108,[1]Summary!$D$5:$D209,0)))</f>
        <v>0</v>
      </c>
      <c r="V108" s="721"/>
      <c r="W108" s="721"/>
      <c r="X108" s="721"/>
      <c r="Y108" s="721"/>
      <c r="Z108" s="721"/>
      <c r="AA108" s="721"/>
      <c r="AB108" s="721"/>
      <c r="AC108" s="721"/>
      <c r="AD108" s="721"/>
      <c r="AE108" s="105"/>
      <c r="AI108" s="105"/>
      <c r="AJ108" s="105"/>
      <c r="AN108" s="105"/>
      <c r="AO108" s="105"/>
      <c r="AP108" s="105"/>
    </row>
    <row r="109" spans="1:42" outlineLevel="1">
      <c r="A109" s="545">
        <f>MAX($A$10:A108)+1</f>
        <v>100</v>
      </c>
      <c r="B109" s="716" t="s">
        <v>1799</v>
      </c>
      <c r="C109" s="716" t="s">
        <v>1946</v>
      </c>
      <c r="D109" s="716" t="s">
        <v>1947</v>
      </c>
      <c r="E109" s="559">
        <v>376.2</v>
      </c>
      <c r="F109" s="1302" cm="1">
        <f t="array" ref="F109">+IF(SUM(VALUE(N109:Q109)*$N$7:$Q$7)=0,R109,T109)</f>
        <v>0</v>
      </c>
      <c r="G109" s="103">
        <f t="shared" si="7"/>
        <v>0</v>
      </c>
      <c r="H109" s="717">
        <v>45565</v>
      </c>
      <c r="I109" s="1303" cm="1">
        <f t="array" ref="I109">+IF(SUM(VALUE(N109:Q109)*$N$7:$Q$7)=0,S109,U109)</f>
        <v>0</v>
      </c>
      <c r="J109" s="103">
        <f>+I109</f>
        <v>0</v>
      </c>
      <c r="K109" s="103"/>
      <c r="M109"/>
      <c r="N109" s="1300">
        <v>0</v>
      </c>
      <c r="O109" s="1300">
        <v>1</v>
      </c>
      <c r="P109" s="1300">
        <v>0</v>
      </c>
      <c r="Q109" s="1300">
        <v>0</v>
      </c>
      <c r="R109" s="1266">
        <v>3973423.27</v>
      </c>
      <c r="S109" s="1266">
        <v>0</v>
      </c>
      <c r="T109" s="1266">
        <f>+IF($Q109=1,$G109,INDEX([1]Summary!$K$5:$K$110,MATCH($C109,[1]Summary!$D$5:$D210,0)))</f>
        <v>0</v>
      </c>
      <c r="U109" s="1266">
        <f>+IF($Q109=1,$J109,INDEX([1]Summary!$L$5:$L$110,MATCH($C109,[1]Summary!$D$5:$D210,0)))</f>
        <v>0</v>
      </c>
      <c r="V109" s="721"/>
      <c r="W109" s="721"/>
      <c r="X109" s="721"/>
      <c r="Y109" s="721"/>
      <c r="Z109" s="721"/>
      <c r="AA109" s="721"/>
      <c r="AB109" s="721"/>
      <c r="AC109" s="721"/>
      <c r="AD109" s="721"/>
      <c r="AE109" s="105"/>
      <c r="AI109" s="105"/>
      <c r="AJ109" s="105"/>
      <c r="AN109" s="105"/>
      <c r="AO109" s="105"/>
      <c r="AP109" s="105"/>
    </row>
    <row r="110" spans="1:42" outlineLevel="1">
      <c r="A110" s="545">
        <f>MAX($A$10:A109)+1</f>
        <v>101</v>
      </c>
      <c r="B110" s="716" t="s">
        <v>1799</v>
      </c>
      <c r="C110" s="716" t="s">
        <v>1948</v>
      </c>
      <c r="D110" s="716" t="s">
        <v>1949</v>
      </c>
      <c r="E110" s="559">
        <v>376.3</v>
      </c>
      <c r="F110" s="1302" cm="1">
        <f t="array" ref="F110">+IF(SUM(VALUE(N110:Q110)*$N$7:$Q$7)=0,R110,T110)</f>
        <v>20447.11</v>
      </c>
      <c r="G110" s="103">
        <f t="shared" si="7"/>
        <v>20447.11</v>
      </c>
      <c r="H110" s="717">
        <v>38001</v>
      </c>
      <c r="I110" s="1303" cm="1">
        <f t="array" ref="I110">+IF(SUM(VALUE(N110:Q110)*$N$7:$Q$7)=0,S110,U110)</f>
        <v>0</v>
      </c>
      <c r="J110" s="103"/>
      <c r="K110" s="103"/>
      <c r="M110"/>
      <c r="N110" s="1300">
        <v>0</v>
      </c>
      <c r="O110" s="1300">
        <v>0</v>
      </c>
      <c r="P110" s="1300">
        <v>0</v>
      </c>
      <c r="Q110" s="1300">
        <v>1</v>
      </c>
      <c r="R110" s="1266">
        <v>20447.11</v>
      </c>
      <c r="S110" s="1266">
        <v>0</v>
      </c>
      <c r="T110" s="1266">
        <f>+IF($Q110=1,$G110,INDEX([1]Summary!$K$5:$K$110,MATCH($C110,[1]Summary!$D$5:$D211,0)))</f>
        <v>20447.11</v>
      </c>
      <c r="U110" s="1266">
        <f>+IF($Q110=1,$J110,INDEX([1]Summary!$L$5:$L$110,MATCH($C110,[1]Summary!$D$5:$D211,0)))</f>
        <v>0</v>
      </c>
      <c r="V110" s="721"/>
      <c r="W110" s="721"/>
      <c r="X110" s="721"/>
      <c r="Y110" s="721"/>
      <c r="Z110" s="721"/>
      <c r="AA110" s="721"/>
      <c r="AB110" s="721"/>
      <c r="AC110" s="721"/>
      <c r="AD110" s="721"/>
      <c r="AE110" s="105"/>
      <c r="AI110" s="105"/>
      <c r="AJ110" s="105"/>
      <c r="AN110" s="105"/>
      <c r="AO110" s="105"/>
      <c r="AP110" s="105"/>
    </row>
    <row r="111" spans="1:42" outlineLevel="1">
      <c r="A111" s="545">
        <f>MAX($A$10:A110)+1</f>
        <v>102</v>
      </c>
      <c r="B111" s="716" t="s">
        <v>1799</v>
      </c>
      <c r="C111" s="716" t="s">
        <v>1950</v>
      </c>
      <c r="D111" s="716" t="s">
        <v>1951</v>
      </c>
      <c r="E111" s="559">
        <v>376.2</v>
      </c>
      <c r="F111" s="1302" cm="1">
        <f t="array" ref="F111">+IF(SUM(VALUE(N111:Q111)*$N$7:$Q$7)=0,R111,T111)</f>
        <v>340437.40915599995</v>
      </c>
      <c r="G111" s="103">
        <f t="shared" si="7"/>
        <v>340437.40915599995</v>
      </c>
      <c r="H111" s="717">
        <v>45595</v>
      </c>
      <c r="I111" s="1303" cm="1">
        <f t="array" ref="I111">+IF(SUM(VALUE(N111:Q111)*$N$7:$Q$7)=0,S111,U111)</f>
        <v>0</v>
      </c>
      <c r="J111" s="103">
        <f>+I111</f>
        <v>0</v>
      </c>
      <c r="K111" s="103"/>
      <c r="M111"/>
      <c r="N111" s="1300">
        <v>0</v>
      </c>
      <c r="O111" s="1300">
        <v>0</v>
      </c>
      <c r="P111" s="1300">
        <v>0</v>
      </c>
      <c r="Q111" s="1300">
        <v>1</v>
      </c>
      <c r="R111" s="1266">
        <v>340437.40915599995</v>
      </c>
      <c r="S111" s="1266">
        <v>0</v>
      </c>
      <c r="T111" s="1266">
        <f>+IF($Q111=1,$G111,INDEX([1]Summary!$K$5:$K$110,MATCH($C111,[1]Summary!$D$5:$D212,0)))</f>
        <v>340437.40915599995</v>
      </c>
      <c r="U111" s="1266">
        <f>+IF($Q111=1,$J111,INDEX([1]Summary!$L$5:$L$110,MATCH($C111,[1]Summary!$D$5:$D212,0)))</f>
        <v>0</v>
      </c>
      <c r="V111" s="721"/>
      <c r="W111" s="721"/>
      <c r="X111" s="721"/>
      <c r="Y111" s="721"/>
      <c r="Z111" s="721"/>
      <c r="AA111" s="721"/>
      <c r="AB111" s="721"/>
      <c r="AC111" s="721"/>
      <c r="AD111" s="721"/>
      <c r="AE111" s="105"/>
      <c r="AI111" s="105"/>
      <c r="AJ111" s="105"/>
      <c r="AN111" s="105"/>
      <c r="AO111" s="105"/>
      <c r="AP111" s="105"/>
    </row>
    <row r="112" spans="1:42" outlineLevel="1">
      <c r="A112" s="545">
        <f>MAX($A$10:A111)+1</f>
        <v>103</v>
      </c>
      <c r="B112" s="716" t="s">
        <v>1799</v>
      </c>
      <c r="C112" s="716" t="s">
        <v>1952</v>
      </c>
      <c r="D112" s="716" t="s">
        <v>1953</v>
      </c>
      <c r="E112" s="559">
        <v>376.3</v>
      </c>
      <c r="F112" s="1302" cm="1">
        <f t="array" ref="F112">+IF(SUM(VALUE(N112:Q112)*$N$7:$Q$7)=0,R112,T112)</f>
        <v>377277.10000000003</v>
      </c>
      <c r="G112" s="103">
        <f t="shared" si="7"/>
        <v>377277.10000000003</v>
      </c>
      <c r="H112" s="717">
        <v>45536</v>
      </c>
      <c r="I112" s="1303" cm="1">
        <f t="array" ref="I112">+IF(SUM(VALUE(N112:Q112)*$N$7:$Q$7)=0,S112,U112)</f>
        <v>0</v>
      </c>
      <c r="J112" s="103">
        <f>+I112</f>
        <v>0</v>
      </c>
      <c r="K112" s="103"/>
      <c r="M112"/>
      <c r="N112" s="1300">
        <v>0</v>
      </c>
      <c r="O112" s="1300">
        <v>0</v>
      </c>
      <c r="P112" s="1300">
        <v>0</v>
      </c>
      <c r="Q112" s="1300">
        <v>1</v>
      </c>
      <c r="R112" s="1266">
        <v>377277.10000000003</v>
      </c>
      <c r="S112" s="1266">
        <v>0</v>
      </c>
      <c r="T112" s="1266">
        <f>+IF($Q112=1,$G112,INDEX([1]Summary!$K$5:$K$110,MATCH($C112,[1]Summary!$D$5:$D213,0)))</f>
        <v>377277.10000000003</v>
      </c>
      <c r="U112" s="1266">
        <f>+IF($Q112=1,$J112,INDEX([1]Summary!$L$5:$L$110,MATCH($C112,[1]Summary!$D$5:$D213,0)))</f>
        <v>0</v>
      </c>
      <c r="V112" s="721"/>
      <c r="W112" s="721"/>
      <c r="X112" s="721"/>
      <c r="Y112" s="721"/>
      <c r="Z112" s="721"/>
      <c r="AA112" s="721"/>
      <c r="AB112" s="721"/>
      <c r="AC112" s="721"/>
      <c r="AD112" s="721"/>
      <c r="AE112" s="105"/>
      <c r="AI112" s="105"/>
      <c r="AJ112" s="105"/>
      <c r="AN112" s="105"/>
      <c r="AO112" s="105"/>
      <c r="AP112" s="105"/>
    </row>
    <row r="113" spans="1:42" outlineLevel="1">
      <c r="A113" s="545">
        <f>MAX($A$10:A112)+1</f>
        <v>104</v>
      </c>
      <c r="B113" s="716" t="s">
        <v>1799</v>
      </c>
      <c r="C113" s="716" t="s">
        <v>1954</v>
      </c>
      <c r="D113" s="716" t="s">
        <v>1955</v>
      </c>
      <c r="E113" s="559">
        <v>378</v>
      </c>
      <c r="F113" s="1302" cm="1">
        <f t="array" ref="F113">+IF(SUM(VALUE(N113:Q113)*$N$7:$Q$7)=0,R113,T113)</f>
        <v>103522.560301</v>
      </c>
      <c r="G113" s="103">
        <f t="shared" si="7"/>
        <v>103522.560301</v>
      </c>
      <c r="H113" s="717">
        <v>45412</v>
      </c>
      <c r="I113" s="1303" cm="1">
        <f t="array" ref="I113">+IF(SUM(VALUE(N113:Q113)*$N$7:$Q$7)=0,S113,U113)</f>
        <v>0</v>
      </c>
      <c r="J113" s="103">
        <f>+I113</f>
        <v>0</v>
      </c>
      <c r="K113" s="103"/>
      <c r="M113"/>
      <c r="N113" s="1300">
        <v>0</v>
      </c>
      <c r="O113" s="1300">
        <v>0</v>
      </c>
      <c r="P113" s="1300">
        <v>0</v>
      </c>
      <c r="Q113" s="1300">
        <v>1</v>
      </c>
      <c r="R113" s="1266">
        <v>103522.560301</v>
      </c>
      <c r="S113" s="1266">
        <v>0</v>
      </c>
      <c r="T113" s="1266">
        <f>+IF($Q113=1,$G113,INDEX([1]Summary!$K$5:$K$110,MATCH($C113,[1]Summary!$D$5:$D214,0)))</f>
        <v>103522.560301</v>
      </c>
      <c r="U113" s="1266">
        <f>+IF($Q113=1,$J113,INDEX([1]Summary!$L$5:$L$110,MATCH($C113,[1]Summary!$D$5:$D214,0)))</f>
        <v>0</v>
      </c>
      <c r="V113" s="721"/>
      <c r="W113" s="721"/>
      <c r="X113" s="721"/>
      <c r="Y113" s="721"/>
      <c r="Z113" s="721"/>
      <c r="AA113" s="721"/>
      <c r="AB113" s="721"/>
      <c r="AC113" s="721"/>
      <c r="AD113" s="721"/>
      <c r="AE113" s="105"/>
      <c r="AI113" s="105"/>
      <c r="AJ113" s="105"/>
      <c r="AN113" s="105"/>
      <c r="AO113" s="105"/>
      <c r="AP113" s="105"/>
    </row>
    <row r="114" spans="1:42" outlineLevel="1">
      <c r="A114" s="545">
        <f>MAX($A$10:A113)+1</f>
        <v>105</v>
      </c>
      <c r="B114" s="716" t="s">
        <v>1799</v>
      </c>
      <c r="C114" s="716" t="s">
        <v>1956</v>
      </c>
      <c r="D114" s="716" t="s">
        <v>1957</v>
      </c>
      <c r="E114" s="559">
        <v>378</v>
      </c>
      <c r="F114" s="1302" cm="1">
        <f t="array" ref="F114">+IF(SUM(VALUE(N114:Q114)*$N$7:$Q$7)=0,R114,T114)</f>
        <v>200464.85</v>
      </c>
      <c r="G114" s="103">
        <f t="shared" si="7"/>
        <v>200464.85</v>
      </c>
      <c r="H114" s="717">
        <v>45412</v>
      </c>
      <c r="I114" s="1303" cm="1">
        <f t="array" ref="I114">+IF(SUM(VALUE(N114:Q114)*$N$7:$Q$7)=0,S114,U114)</f>
        <v>0</v>
      </c>
      <c r="J114" s="103">
        <f>+I114</f>
        <v>0</v>
      </c>
      <c r="K114" s="103"/>
      <c r="M114"/>
      <c r="N114" s="1300">
        <v>0</v>
      </c>
      <c r="O114" s="1300">
        <v>0</v>
      </c>
      <c r="P114" s="1300">
        <v>0</v>
      </c>
      <c r="Q114" s="1300">
        <v>1</v>
      </c>
      <c r="R114" s="1266">
        <v>200464.85</v>
      </c>
      <c r="S114" s="1266">
        <v>0</v>
      </c>
      <c r="T114" s="1266">
        <f>+IF($Q114=1,$G114,INDEX([1]Summary!$K$5:$K$110,MATCH($C114,[1]Summary!$D$5:$D215,0)))</f>
        <v>200464.85</v>
      </c>
      <c r="U114" s="1266">
        <f>+IF($Q114=1,$J114,INDEX([1]Summary!$L$5:$L$110,MATCH($C114,[1]Summary!$D$5:$D215,0)))</f>
        <v>0</v>
      </c>
      <c r="V114" s="721"/>
      <c r="W114" s="721"/>
      <c r="X114" s="721"/>
      <c r="Y114" s="721"/>
      <c r="Z114" s="721"/>
      <c r="AA114" s="721"/>
      <c r="AB114" s="721"/>
      <c r="AC114" s="721"/>
      <c r="AD114" s="721"/>
      <c r="AE114" s="105"/>
      <c r="AI114" s="105"/>
      <c r="AJ114" s="105"/>
      <c r="AN114" s="105"/>
      <c r="AO114" s="105"/>
      <c r="AP114" s="105"/>
    </row>
    <row r="115" spans="1:42" outlineLevel="1">
      <c r="A115" s="545">
        <f>MAX($A$10:A114)+1</f>
        <v>106</v>
      </c>
      <c r="B115" s="716" t="s">
        <v>1799</v>
      </c>
      <c r="C115" s="720" t="s">
        <v>1958</v>
      </c>
      <c r="D115" s="720" t="s">
        <v>1959</v>
      </c>
      <c r="E115" s="559">
        <v>376.2</v>
      </c>
      <c r="F115" s="1302" cm="1">
        <f t="array" ref="F115">+IF(SUM(VALUE(N115:Q115)*$N$7:$Q$7)=0,R115,T115)</f>
        <v>0</v>
      </c>
      <c r="G115" s="103">
        <f t="shared" si="7"/>
        <v>0</v>
      </c>
      <c r="I115" s="1303" cm="1">
        <f t="array" ref="I115">+IF(SUM(VALUE(N115:Q115)*$N$7:$Q$7)=0,S115,U115)</f>
        <v>0</v>
      </c>
      <c r="J115" s="103">
        <f>+I115</f>
        <v>0</v>
      </c>
      <c r="K115" s="717">
        <v>45992</v>
      </c>
      <c r="M115"/>
      <c r="N115" s="1300">
        <v>0</v>
      </c>
      <c r="O115" s="1300">
        <v>1</v>
      </c>
      <c r="P115" s="1300">
        <v>0</v>
      </c>
      <c r="Q115" s="1300">
        <v>0</v>
      </c>
      <c r="R115" s="1266">
        <v>0</v>
      </c>
      <c r="S115" s="1266">
        <v>5604681.3499999996</v>
      </c>
      <c r="T115" s="1266">
        <f>+IF($Q115=1,$G115,INDEX([1]Summary!$K$5:$K$110,MATCH($C115,[1]Summary!$D$5:$D216,0)))</f>
        <v>0</v>
      </c>
      <c r="U115" s="1266">
        <f>+IF($Q115=1,$J115,INDEX([1]Summary!$L$5:$L$110,MATCH($C115,[1]Summary!$D$5:$D216,0)))</f>
        <v>0</v>
      </c>
      <c r="V115" s="721"/>
      <c r="W115" s="721"/>
      <c r="X115" s="721"/>
      <c r="Y115" s="721"/>
      <c r="Z115" s="721"/>
      <c r="AA115" s="721"/>
      <c r="AB115" s="721"/>
      <c r="AC115" s="721"/>
      <c r="AD115" s="721"/>
      <c r="AE115" s="105"/>
      <c r="AI115" s="105"/>
      <c r="AJ115" s="105"/>
      <c r="AN115" s="105"/>
      <c r="AO115" s="105"/>
      <c r="AP115" s="105"/>
    </row>
    <row r="116" spans="1:42" outlineLevel="1">
      <c r="A116" s="545">
        <f>MAX($A$10:A115)+1</f>
        <v>107</v>
      </c>
      <c r="B116" s="716" t="s">
        <v>1799</v>
      </c>
      <c r="C116" s="720" t="s">
        <v>1960</v>
      </c>
      <c r="D116" s="720" t="s">
        <v>1961</v>
      </c>
      <c r="E116" s="559">
        <v>376.2</v>
      </c>
      <c r="F116" s="1302" cm="1">
        <f t="array" ref="F116">+IF(SUM(VALUE(N116:Q116)*$N$7:$Q$7)=0,R116,T116)</f>
        <v>212141.98</v>
      </c>
      <c r="G116" s="103">
        <f t="shared" si="7"/>
        <v>212141.98</v>
      </c>
      <c r="H116" s="721">
        <v>45534</v>
      </c>
      <c r="I116" s="1303" cm="1">
        <f t="array" ref="I116">+IF(SUM(VALUE(N116:Q116)*$N$7:$Q$7)=0,S116,U116)</f>
        <v>0</v>
      </c>
      <c r="J116" s="103"/>
      <c r="K116" s="717"/>
      <c r="M116"/>
      <c r="N116" s="1300">
        <v>0</v>
      </c>
      <c r="O116" s="1300">
        <v>0</v>
      </c>
      <c r="P116" s="1300">
        <v>0</v>
      </c>
      <c r="Q116" s="1300">
        <v>1</v>
      </c>
      <c r="R116" s="1266">
        <v>212141.98</v>
      </c>
      <c r="S116" s="1266">
        <v>0</v>
      </c>
      <c r="T116" s="1266">
        <f>+IF($Q116=1,$G116,INDEX([1]Summary!$K$5:$K$110,MATCH($C116,[1]Summary!$D$5:$D217,0)))</f>
        <v>212141.98</v>
      </c>
      <c r="U116" s="1266">
        <f>+IF($Q116=1,$J116,INDEX([1]Summary!$L$5:$L$110,MATCH($C116,[1]Summary!$D$5:$D217,0)))</f>
        <v>0</v>
      </c>
      <c r="V116" s="721"/>
      <c r="W116" s="721"/>
      <c r="X116" s="721"/>
      <c r="Y116" s="721"/>
      <c r="Z116" s="721"/>
      <c r="AA116" s="721"/>
      <c r="AB116" s="721"/>
      <c r="AC116" s="721"/>
      <c r="AD116" s="721"/>
      <c r="AE116" s="105"/>
      <c r="AI116" s="105"/>
      <c r="AJ116" s="105"/>
      <c r="AN116" s="105"/>
      <c r="AO116" s="105"/>
      <c r="AP116" s="105"/>
    </row>
    <row r="117" spans="1:42" outlineLevel="1">
      <c r="A117" s="545">
        <f>MAX($A$10:A116)+1</f>
        <v>108</v>
      </c>
      <c r="B117" s="716" t="s">
        <v>1799</v>
      </c>
      <c r="C117" s="720" t="s">
        <v>1962</v>
      </c>
      <c r="D117" s="720" t="s">
        <v>1963</v>
      </c>
      <c r="E117" s="559">
        <v>376.2</v>
      </c>
      <c r="F117" s="1302" cm="1">
        <f t="array" ref="F117">+IF(SUM(VALUE(N117:Q117)*$N$7:$Q$7)=0,R117,T117)</f>
        <v>0</v>
      </c>
      <c r="G117" s="103">
        <f t="shared" si="7"/>
        <v>0</v>
      </c>
      <c r="I117" s="1303" cm="1">
        <f t="array" ref="I117">+IF(SUM(VALUE(N117:Q117)*$N$7:$Q$7)=0,S117,U117)</f>
        <v>1220755.99</v>
      </c>
      <c r="J117" s="103">
        <f>+I117</f>
        <v>1220755.99</v>
      </c>
      <c r="K117" s="717">
        <v>46022</v>
      </c>
      <c r="M117"/>
      <c r="N117" s="1300">
        <v>0</v>
      </c>
      <c r="O117" s="1300">
        <v>1</v>
      </c>
      <c r="P117" s="1300">
        <v>0</v>
      </c>
      <c r="Q117" s="1300">
        <v>0</v>
      </c>
      <c r="R117" s="1266">
        <v>0</v>
      </c>
      <c r="S117" s="1266">
        <v>1220755.99</v>
      </c>
      <c r="T117" s="1266">
        <f>+IF($Q117=1,$G117,INDEX([1]Summary!$K$5:$K$110,MATCH($C117,[1]Summary!$D$5:$D218,0)))</f>
        <v>0</v>
      </c>
      <c r="U117" s="1266">
        <f>+IF($Q117=1,$J117,INDEX([1]Summary!$L$5:$L$110,MATCH($C117,[1]Summary!$D$5:$D218,0)))</f>
        <v>1220755.99</v>
      </c>
      <c r="V117" s="721"/>
      <c r="W117" s="721"/>
      <c r="X117" s="721"/>
      <c r="Y117" s="721"/>
      <c r="Z117" s="721"/>
      <c r="AA117" s="721"/>
      <c r="AB117" s="721"/>
      <c r="AC117" s="721"/>
      <c r="AD117" s="721"/>
      <c r="AE117" s="105"/>
      <c r="AI117" s="105"/>
      <c r="AJ117" s="105"/>
      <c r="AN117" s="105"/>
      <c r="AO117" s="105"/>
      <c r="AP117" s="105"/>
    </row>
    <row r="118" spans="1:42" outlineLevel="1">
      <c r="A118" s="545">
        <f>MAX($A$10:A117)+1</f>
        <v>109</v>
      </c>
      <c r="B118" s="716" t="s">
        <v>1799</v>
      </c>
      <c r="C118" s="720" t="s">
        <v>1964</v>
      </c>
      <c r="D118" s="720" t="s">
        <v>1965</v>
      </c>
      <c r="E118" s="559">
        <v>378</v>
      </c>
      <c r="F118" s="1302" cm="1">
        <f t="array" ref="F118">+IF(SUM(VALUE(N118:Q118)*$N$7:$Q$7)=0,R118,T118)</f>
        <v>0</v>
      </c>
      <c r="G118" s="103">
        <f t="shared" si="7"/>
        <v>0</v>
      </c>
      <c r="I118" s="1303" cm="1">
        <f t="array" ref="I118">+IF(SUM(VALUE(N118:Q118)*$N$7:$Q$7)=0,S118,U118)</f>
        <v>249531.79</v>
      </c>
      <c r="J118" s="103">
        <f>+I118</f>
        <v>249531.79</v>
      </c>
      <c r="K118" s="717">
        <v>45899</v>
      </c>
      <c r="M118"/>
      <c r="N118" s="1300">
        <v>0</v>
      </c>
      <c r="O118" s="1300">
        <v>0</v>
      </c>
      <c r="P118" s="1300">
        <v>0</v>
      </c>
      <c r="Q118" s="1300">
        <v>1</v>
      </c>
      <c r="R118" s="1266">
        <v>0</v>
      </c>
      <c r="S118" s="1266">
        <v>249531.79</v>
      </c>
      <c r="T118" s="1266">
        <f>+IF($Q118=1,$G118,INDEX([1]Summary!$K$5:$K$110,MATCH($C118,[1]Summary!$D$5:$D219,0)))</f>
        <v>0</v>
      </c>
      <c r="U118" s="1266">
        <f>+IF($Q118=1,$J118,INDEX([1]Summary!$L$5:$L$110,MATCH($C118,[1]Summary!$D$5:$D219,0)))</f>
        <v>249531.79</v>
      </c>
      <c r="V118" s="721"/>
      <c r="W118" s="721"/>
      <c r="X118" s="721"/>
      <c r="Y118" s="721"/>
      <c r="Z118" s="721"/>
      <c r="AA118" s="721"/>
      <c r="AB118" s="721"/>
      <c r="AC118" s="721"/>
      <c r="AD118" s="721"/>
      <c r="AE118" s="105"/>
      <c r="AI118" s="105"/>
      <c r="AJ118" s="105"/>
      <c r="AN118" s="105"/>
      <c r="AO118" s="105"/>
      <c r="AP118" s="105"/>
    </row>
    <row r="119" spans="1:42" outlineLevel="1">
      <c r="A119" s="545">
        <f>MAX($A$10:A118)+1</f>
        <v>110</v>
      </c>
      <c r="B119" s="716" t="s">
        <v>1799</v>
      </c>
      <c r="C119" s="716" t="s">
        <v>1966</v>
      </c>
      <c r="D119" s="716" t="s">
        <v>1967</v>
      </c>
      <c r="E119" s="559">
        <v>376.2</v>
      </c>
      <c r="F119" s="1302" cm="1">
        <f t="array" ref="F119">+IF(SUM(VALUE(N119:Q119)*$N$7:$Q$7)=0,R119,T119)</f>
        <v>0</v>
      </c>
      <c r="G119" s="103">
        <f t="shared" si="7"/>
        <v>0</v>
      </c>
      <c r="H119" s="717">
        <v>45595</v>
      </c>
      <c r="I119" s="1303" cm="1">
        <f t="array" ref="I119">+IF(SUM(VALUE(N119:Q119)*$N$7:$Q$7)=0,S119,U119)</f>
        <v>0</v>
      </c>
      <c r="J119" s="103">
        <f>+I119</f>
        <v>0</v>
      </c>
      <c r="K119" s="103"/>
      <c r="M119"/>
      <c r="N119" s="1300">
        <v>0</v>
      </c>
      <c r="O119" s="1300">
        <v>1</v>
      </c>
      <c r="P119" s="1300">
        <v>0</v>
      </c>
      <c r="Q119" s="1300">
        <v>0</v>
      </c>
      <c r="R119" s="1266">
        <v>29040773.440000001</v>
      </c>
      <c r="S119" s="1266">
        <v>0</v>
      </c>
      <c r="T119" s="1266">
        <f>+IF($Q119=1,$G119,INDEX([1]Summary!$K$5:$K$110,MATCH($C119,[1]Summary!$D$5:$D220,0)))</f>
        <v>0</v>
      </c>
      <c r="U119" s="1266">
        <f>+IF($Q119=1,$J119,INDEX([1]Summary!$L$5:$L$110,MATCH($C119,[1]Summary!$D$5:$D220,0)))</f>
        <v>0</v>
      </c>
      <c r="V119" s="721"/>
      <c r="W119" s="721"/>
      <c r="X119" s="721"/>
      <c r="Y119" s="721"/>
      <c r="Z119" s="721"/>
      <c r="AA119" s="721"/>
      <c r="AB119" s="721"/>
      <c r="AC119" s="721"/>
      <c r="AD119" s="721"/>
      <c r="AE119" s="105"/>
      <c r="AI119" s="105"/>
      <c r="AJ119" s="105"/>
      <c r="AN119" s="105"/>
      <c r="AO119" s="105"/>
      <c r="AP119" s="105"/>
    </row>
    <row r="120" spans="1:42" outlineLevel="1">
      <c r="A120" s="545">
        <f>MAX($A$10:A119)+1</f>
        <v>111</v>
      </c>
      <c r="B120" s="716" t="s">
        <v>1799</v>
      </c>
      <c r="C120" s="716" t="s">
        <v>1968</v>
      </c>
      <c r="D120" s="716" t="s">
        <v>1969</v>
      </c>
      <c r="E120" s="559">
        <v>374.1</v>
      </c>
      <c r="F120" s="1302" cm="1">
        <f t="array" ref="F120">+IF(SUM(VALUE(N120:Q120)*$N$7:$Q$7)=0,R120,T120)</f>
        <v>119146.94</v>
      </c>
      <c r="G120" s="103">
        <f t="shared" si="7"/>
        <v>119146.94</v>
      </c>
      <c r="H120" s="717">
        <v>45321</v>
      </c>
      <c r="I120" s="1303" cm="1">
        <f t="array" ref="I120">+IF(SUM(VALUE(N120:Q120)*$N$7:$Q$7)=0,S120,U120)</f>
        <v>0</v>
      </c>
      <c r="J120" s="103"/>
      <c r="K120" s="103"/>
      <c r="M120"/>
      <c r="N120" s="1300">
        <v>0</v>
      </c>
      <c r="O120" s="1300">
        <v>0</v>
      </c>
      <c r="P120" s="1300">
        <v>0</v>
      </c>
      <c r="Q120" s="1300">
        <v>1</v>
      </c>
      <c r="R120" s="1266">
        <v>119146.94</v>
      </c>
      <c r="S120" s="1266">
        <v>0</v>
      </c>
      <c r="T120" s="1266">
        <f>+IF($Q120=1,$G120,INDEX([1]Summary!$K$5:$K$110,MATCH($C120,[1]Summary!$D$5:$D221,0)))</f>
        <v>119146.94</v>
      </c>
      <c r="U120" s="1266">
        <f>+IF($Q120=1,$J120,INDEX([1]Summary!$L$5:$L$110,MATCH($C120,[1]Summary!$D$5:$D221,0)))</f>
        <v>0</v>
      </c>
      <c r="V120" s="721"/>
      <c r="W120" s="721"/>
      <c r="X120" s="721"/>
      <c r="Y120" s="721"/>
      <c r="Z120" s="721"/>
      <c r="AA120" s="721"/>
      <c r="AB120" s="721"/>
      <c r="AC120" s="721"/>
      <c r="AD120" s="721"/>
      <c r="AE120" s="105"/>
      <c r="AI120" s="105"/>
      <c r="AJ120" s="105"/>
      <c r="AN120" s="105"/>
      <c r="AO120" s="105"/>
      <c r="AP120" s="105"/>
    </row>
    <row r="121" spans="1:42" outlineLevel="1">
      <c r="A121" s="545">
        <f>MAX($A$10:A120)+1</f>
        <v>112</v>
      </c>
      <c r="B121" s="716" t="s">
        <v>1799</v>
      </c>
      <c r="C121" s="716" t="s">
        <v>1970</v>
      </c>
      <c r="D121" s="716" t="s">
        <v>1971</v>
      </c>
      <c r="E121" s="559">
        <v>378</v>
      </c>
      <c r="F121" s="1302" cm="1">
        <f t="array" ref="F121">+IF(SUM(VALUE(N121:Q121)*$N$7:$Q$7)=0,R121,T121)</f>
        <v>498151.91</v>
      </c>
      <c r="G121" s="103">
        <f t="shared" si="7"/>
        <v>498151.91</v>
      </c>
      <c r="H121" s="717">
        <v>45595</v>
      </c>
      <c r="I121" s="1303" cm="1">
        <f t="array" ref="I121">+IF(SUM(VALUE(N121:Q121)*$N$7:$Q$7)=0,S121,U121)</f>
        <v>0</v>
      </c>
      <c r="J121" s="103">
        <f>+I121</f>
        <v>0</v>
      </c>
      <c r="K121" s="103"/>
      <c r="M121"/>
      <c r="N121" s="1300">
        <v>0</v>
      </c>
      <c r="O121" s="1300">
        <v>0</v>
      </c>
      <c r="P121" s="1300">
        <v>0</v>
      </c>
      <c r="Q121" s="1300">
        <v>1</v>
      </c>
      <c r="R121" s="1266">
        <v>498151.91</v>
      </c>
      <c r="S121" s="1266">
        <v>0</v>
      </c>
      <c r="T121" s="1266">
        <f>+IF($Q121=1,$G121,INDEX([1]Summary!$K$5:$K$110,MATCH($C121,[1]Summary!$D$5:$D222,0)))</f>
        <v>498151.91</v>
      </c>
      <c r="U121" s="1266">
        <f>+IF($Q121=1,$J121,INDEX([1]Summary!$L$5:$L$110,MATCH($C121,[1]Summary!$D$5:$D222,0)))</f>
        <v>0</v>
      </c>
      <c r="V121" s="721"/>
      <c r="W121" s="721"/>
      <c r="X121" s="721"/>
      <c r="Y121" s="721"/>
      <c r="Z121" s="721"/>
      <c r="AA121" s="721"/>
      <c r="AB121" s="721"/>
      <c r="AC121" s="721"/>
      <c r="AD121" s="721"/>
      <c r="AE121" s="105"/>
      <c r="AI121" s="105"/>
      <c r="AJ121" s="105"/>
      <c r="AN121" s="105"/>
      <c r="AO121" s="105"/>
      <c r="AP121" s="105"/>
    </row>
    <row r="122" spans="1:42" outlineLevel="1">
      <c r="A122" s="545">
        <f>MAX($A$10:A121)+1</f>
        <v>113</v>
      </c>
      <c r="B122" s="716" t="s">
        <v>1799</v>
      </c>
      <c r="C122" s="716" t="s">
        <v>1972</v>
      </c>
      <c r="D122" s="716" t="s">
        <v>1973</v>
      </c>
      <c r="E122" s="559">
        <v>378</v>
      </c>
      <c r="F122" s="1302" cm="1">
        <f t="array" ref="F122">+IF(SUM(VALUE(N122:Q122)*$N$7:$Q$7)=0,R122,T122)</f>
        <v>67326.149999999994</v>
      </c>
      <c r="G122" s="103">
        <f t="shared" si="7"/>
        <v>67326.149999999994</v>
      </c>
      <c r="H122" s="717">
        <v>45458</v>
      </c>
      <c r="I122" s="1303" cm="1">
        <f t="array" ref="I122">+IF(SUM(VALUE(N122:Q122)*$N$7:$Q$7)=0,S122,U122)</f>
        <v>0</v>
      </c>
      <c r="J122" s="103"/>
      <c r="K122" s="103"/>
      <c r="M122"/>
      <c r="N122" s="1300">
        <v>0</v>
      </c>
      <c r="O122" s="1300">
        <v>0</v>
      </c>
      <c r="P122" s="1300">
        <v>0</v>
      </c>
      <c r="Q122" s="1300">
        <v>1</v>
      </c>
      <c r="R122" s="1266">
        <v>67326.149999999994</v>
      </c>
      <c r="S122" s="1266">
        <v>0</v>
      </c>
      <c r="T122" s="1266">
        <f>+IF($Q122=1,$G122,INDEX([1]Summary!$K$5:$K$110,MATCH($C122,[1]Summary!$D$5:$D223,0)))</f>
        <v>67326.149999999994</v>
      </c>
      <c r="U122" s="1266">
        <f>+IF($Q122=1,$J122,INDEX([1]Summary!$L$5:$L$110,MATCH($C122,[1]Summary!$D$5:$D223,0)))</f>
        <v>0</v>
      </c>
      <c r="V122" s="721"/>
      <c r="W122" s="721"/>
      <c r="X122" s="721"/>
      <c r="Y122" s="721"/>
      <c r="Z122" s="721"/>
      <c r="AA122" s="721"/>
      <c r="AB122" s="721"/>
      <c r="AC122" s="721"/>
      <c r="AD122" s="721"/>
      <c r="AE122" s="105"/>
      <c r="AI122" s="105"/>
      <c r="AJ122" s="105"/>
      <c r="AN122" s="105"/>
      <c r="AO122" s="105"/>
      <c r="AP122" s="105"/>
    </row>
    <row r="123" spans="1:42" outlineLevel="1">
      <c r="A123" s="545">
        <f>MAX($A$10:A122)+1</f>
        <v>114</v>
      </c>
      <c r="B123" s="716" t="s">
        <v>1799</v>
      </c>
      <c r="C123" s="716" t="s">
        <v>1974</v>
      </c>
      <c r="D123" s="716" t="s">
        <v>1975</v>
      </c>
      <c r="E123" s="559">
        <v>376.1</v>
      </c>
      <c r="F123" s="1302" cm="1">
        <f t="array" ref="F123">+IF(SUM(VALUE(N123:Q123)*$N$7:$Q$7)=0,R123,T123)</f>
        <v>344834.96</v>
      </c>
      <c r="G123" s="103">
        <f t="shared" si="7"/>
        <v>344834.96</v>
      </c>
      <c r="H123" s="575">
        <v>45657</v>
      </c>
      <c r="I123" s="1303" cm="1">
        <f t="array" ref="I123">+IF(SUM(VALUE(N123:Q123)*$N$7:$Q$7)=0,S123,U123)</f>
        <v>515149.42</v>
      </c>
      <c r="J123" s="103">
        <f t="shared" ref="J123:J128" si="8">+I123</f>
        <v>515149.42</v>
      </c>
      <c r="K123" s="717">
        <v>46022</v>
      </c>
      <c r="M123"/>
      <c r="N123" s="1300">
        <v>0</v>
      </c>
      <c r="O123" s="1300">
        <v>0</v>
      </c>
      <c r="P123" s="1300">
        <v>0</v>
      </c>
      <c r="Q123" s="1300">
        <v>1</v>
      </c>
      <c r="R123" s="1266">
        <v>344834.96</v>
      </c>
      <c r="S123" s="1266">
        <v>515149.42</v>
      </c>
      <c r="T123" s="1266">
        <f>+IF($Q123=1,$G123,INDEX([1]Summary!$K$5:$K$110,MATCH($C123,[1]Summary!$D$5:$D224,0)))</f>
        <v>344834.96</v>
      </c>
      <c r="U123" s="1266">
        <f>+IF($Q123=1,$J123,INDEX([1]Summary!$L$5:$L$110,MATCH($C123,[1]Summary!$D$5:$D224,0)))</f>
        <v>515149.42</v>
      </c>
      <c r="V123" s="721"/>
      <c r="W123" s="721"/>
      <c r="X123" s="721"/>
      <c r="Y123" s="721"/>
      <c r="Z123" s="721"/>
      <c r="AA123" s="721"/>
      <c r="AB123" s="721"/>
      <c r="AC123" s="721"/>
      <c r="AD123" s="721"/>
      <c r="AE123" s="105"/>
      <c r="AI123" s="105"/>
      <c r="AJ123" s="105"/>
      <c r="AN123" s="105"/>
      <c r="AO123" s="105"/>
      <c r="AP123" s="105"/>
    </row>
    <row r="124" spans="1:42" outlineLevel="1">
      <c r="A124" s="545">
        <f>MAX($A$10:A123)+1</f>
        <v>115</v>
      </c>
      <c r="B124" s="716" t="s">
        <v>1799</v>
      </c>
      <c r="C124" s="716" t="s">
        <v>1976</v>
      </c>
      <c r="D124" s="716" t="s">
        <v>1977</v>
      </c>
      <c r="E124" s="559">
        <v>376.2</v>
      </c>
      <c r="F124" s="1302" cm="1">
        <f t="array" ref="F124">+IF(SUM(VALUE(N124:Q124)*$N$7:$Q$7)=0,R124,T124)</f>
        <v>0</v>
      </c>
      <c r="G124" s="103">
        <f t="shared" si="7"/>
        <v>0</v>
      </c>
      <c r="H124" s="717">
        <v>45624</v>
      </c>
      <c r="I124" s="1303" cm="1">
        <f t="array" ref="I124">+IF(SUM(VALUE(N124:Q124)*$N$7:$Q$7)=0,S124,U124)</f>
        <v>0</v>
      </c>
      <c r="J124" s="103">
        <f t="shared" si="8"/>
        <v>0</v>
      </c>
      <c r="K124" s="103"/>
      <c r="M124"/>
      <c r="N124" s="1300">
        <v>1</v>
      </c>
      <c r="O124" s="1300">
        <v>0</v>
      </c>
      <c r="P124" s="1300">
        <v>0</v>
      </c>
      <c r="Q124" s="1300">
        <v>0</v>
      </c>
      <c r="R124" s="1266">
        <v>237521.69</v>
      </c>
      <c r="S124" s="1266">
        <v>0</v>
      </c>
      <c r="T124" s="1266">
        <f>+IF($Q124=1,$G124,INDEX([1]Summary!$K$5:$K$110,MATCH($C124,[1]Summary!$D$5:$D225,0)))</f>
        <v>0</v>
      </c>
      <c r="U124" s="1266">
        <f>+IF($Q124=1,$J124,INDEX([1]Summary!$L$5:$L$110,MATCH($C124,[1]Summary!$D$5:$D225,0)))</f>
        <v>0</v>
      </c>
      <c r="V124" s="721"/>
      <c r="W124" s="721"/>
      <c r="X124" s="721"/>
      <c r="Y124" s="721"/>
      <c r="Z124" s="721"/>
      <c r="AA124" s="721"/>
      <c r="AB124" s="721"/>
      <c r="AC124" s="721"/>
      <c r="AD124" s="721"/>
      <c r="AE124" s="105"/>
      <c r="AI124" s="105"/>
      <c r="AJ124" s="105"/>
      <c r="AN124" s="105"/>
      <c r="AO124" s="105"/>
      <c r="AP124" s="105"/>
    </row>
    <row r="125" spans="1:42" outlineLevel="1">
      <c r="A125" s="545">
        <f>MAX($A$10:A124)+1</f>
        <v>116</v>
      </c>
      <c r="B125" s="716" t="s">
        <v>1799</v>
      </c>
      <c r="C125" s="716" t="s">
        <v>1978</v>
      </c>
      <c r="D125" s="716" t="s">
        <v>1979</v>
      </c>
      <c r="E125" s="559">
        <v>378</v>
      </c>
      <c r="F125" s="1302" cm="1">
        <f t="array" ref="F125">+IF(SUM(VALUE(N125:Q125)*$N$7:$Q$7)=0,R125,T125)</f>
        <v>0</v>
      </c>
      <c r="G125" s="103">
        <f t="shared" si="7"/>
        <v>0</v>
      </c>
      <c r="H125" s="717">
        <v>45624</v>
      </c>
      <c r="I125" s="1303" cm="1">
        <f t="array" ref="I125">+IF(SUM(VALUE(N125:Q125)*$N$7:$Q$7)=0,S125,U125)</f>
        <v>0</v>
      </c>
      <c r="J125" s="103">
        <f t="shared" si="8"/>
        <v>0</v>
      </c>
      <c r="K125" s="103"/>
      <c r="M125"/>
      <c r="N125" s="1300">
        <v>1</v>
      </c>
      <c r="O125" s="1300">
        <v>0</v>
      </c>
      <c r="P125" s="1300">
        <v>0</v>
      </c>
      <c r="Q125" s="1300">
        <v>0</v>
      </c>
      <c r="R125" s="1266">
        <v>582324.92000000004</v>
      </c>
      <c r="S125" s="1266">
        <v>0</v>
      </c>
      <c r="T125" s="1266">
        <f>+IF($Q125=1,$G125,INDEX([1]Summary!$K$5:$K$110,MATCH($C125,[1]Summary!$D$5:$D226,0)))</f>
        <v>0</v>
      </c>
      <c r="U125" s="1266">
        <f>+IF($Q125=1,$J125,INDEX([1]Summary!$L$5:$L$110,MATCH($C125,[1]Summary!$D$5:$D226,0)))</f>
        <v>0</v>
      </c>
      <c r="V125" s="721"/>
      <c r="W125" s="721"/>
      <c r="X125" s="721"/>
      <c r="Y125" s="721"/>
      <c r="Z125" s="721"/>
      <c r="AA125" s="721"/>
      <c r="AB125" s="721"/>
      <c r="AC125" s="721"/>
      <c r="AD125" s="721"/>
      <c r="AE125" s="105"/>
      <c r="AI125" s="105"/>
      <c r="AJ125" s="105"/>
      <c r="AN125" s="105"/>
      <c r="AO125" s="105"/>
      <c r="AP125" s="105"/>
    </row>
    <row r="126" spans="1:42" outlineLevel="1">
      <c r="A126" s="545">
        <f>MAX($A$10:A125)+1</f>
        <v>117</v>
      </c>
      <c r="B126" s="716" t="s">
        <v>1799</v>
      </c>
      <c r="C126" s="716" t="s">
        <v>1980</v>
      </c>
      <c r="D126" s="716" t="s">
        <v>1981</v>
      </c>
      <c r="E126" s="559">
        <v>378</v>
      </c>
      <c r="F126" s="1302" cm="1">
        <f t="array" ref="F126">+IF(SUM(VALUE(N126:Q126)*$N$7:$Q$7)=0,R126,T126)</f>
        <v>0</v>
      </c>
      <c r="G126" s="103">
        <f t="shared" si="7"/>
        <v>0</v>
      </c>
      <c r="H126" s="717">
        <v>45624</v>
      </c>
      <c r="I126" s="1303" cm="1">
        <f t="array" ref="I126">+IF(SUM(VALUE(N126:Q126)*$N$7:$Q$7)=0,S126,U126)</f>
        <v>0</v>
      </c>
      <c r="J126" s="103">
        <f t="shared" si="8"/>
        <v>0</v>
      </c>
      <c r="K126" s="103"/>
      <c r="M126"/>
      <c r="N126" s="1300">
        <v>1</v>
      </c>
      <c r="O126" s="1300">
        <v>0</v>
      </c>
      <c r="P126" s="1300">
        <v>0</v>
      </c>
      <c r="Q126" s="1300">
        <v>0</v>
      </c>
      <c r="R126" s="1266">
        <v>1181773.33</v>
      </c>
      <c r="S126" s="1266">
        <v>0</v>
      </c>
      <c r="T126" s="1266">
        <f>+IF($Q126=1,$G126,INDEX([1]Summary!$K$5:$K$110,MATCH($C126,[1]Summary!$D$5:$D227,0)))</f>
        <v>0</v>
      </c>
      <c r="U126" s="1266">
        <f>+IF($Q126=1,$J126,INDEX([1]Summary!$L$5:$L$110,MATCH($C126,[1]Summary!$D$5:$D227,0)))</f>
        <v>0</v>
      </c>
      <c r="V126" s="721"/>
      <c r="W126" s="721"/>
      <c r="X126" s="721"/>
      <c r="Y126" s="721"/>
      <c r="Z126" s="721"/>
      <c r="AA126" s="721"/>
      <c r="AB126" s="721"/>
      <c r="AC126" s="721"/>
      <c r="AD126" s="721"/>
      <c r="AE126" s="105"/>
      <c r="AI126" s="105"/>
      <c r="AJ126" s="105"/>
      <c r="AN126" s="105"/>
      <c r="AO126" s="105"/>
      <c r="AP126" s="105"/>
    </row>
    <row r="127" spans="1:42" outlineLevel="1">
      <c r="A127" s="545">
        <f>MAX($A$10:A126)+1</f>
        <v>118</v>
      </c>
      <c r="B127" s="716" t="s">
        <v>1799</v>
      </c>
      <c r="C127" s="716" t="s">
        <v>1982</v>
      </c>
      <c r="D127" s="716" t="s">
        <v>1983</v>
      </c>
      <c r="E127" s="559">
        <v>385</v>
      </c>
      <c r="F127" s="1302" cm="1">
        <f t="array" ref="F127">+IF(SUM(VALUE(N127:Q127)*$N$7:$Q$7)=0,R127,T127)</f>
        <v>0</v>
      </c>
      <c r="G127" s="103">
        <f t="shared" si="7"/>
        <v>0</v>
      </c>
      <c r="H127" s="717">
        <v>45624</v>
      </c>
      <c r="I127" s="1303" cm="1">
        <f t="array" ref="I127">+IF(SUM(VALUE(N127:Q127)*$N$7:$Q$7)=0,S127,U127)</f>
        <v>0</v>
      </c>
      <c r="J127" s="103">
        <f t="shared" si="8"/>
        <v>0</v>
      </c>
      <c r="K127" s="103"/>
      <c r="M127"/>
      <c r="N127" s="1300">
        <v>1</v>
      </c>
      <c r="O127" s="1300">
        <v>0</v>
      </c>
      <c r="P127" s="1300">
        <v>0</v>
      </c>
      <c r="Q127" s="1300">
        <v>0</v>
      </c>
      <c r="R127" s="1266">
        <v>97718.88</v>
      </c>
      <c r="S127" s="1266">
        <v>0</v>
      </c>
      <c r="T127" s="1266">
        <f>+IF($Q127=1,$G127,INDEX([1]Summary!$K$5:$K$110,MATCH($C127,[1]Summary!$D$5:$D228,0)))</f>
        <v>0</v>
      </c>
      <c r="U127" s="1266">
        <f>+IF($Q127=1,$J127,INDEX([1]Summary!$L$5:$L$110,MATCH($C127,[1]Summary!$D$5:$D228,0)))</f>
        <v>0</v>
      </c>
      <c r="V127" s="721"/>
      <c r="W127" s="721"/>
      <c r="X127" s="721"/>
      <c r="Y127" s="721"/>
      <c r="Z127" s="721"/>
      <c r="AA127" s="721"/>
      <c r="AB127" s="721"/>
      <c r="AC127" s="721"/>
      <c r="AD127" s="721"/>
      <c r="AE127" s="105"/>
      <c r="AI127" s="105"/>
      <c r="AJ127" s="105"/>
      <c r="AN127" s="105"/>
      <c r="AO127" s="105"/>
      <c r="AP127" s="105"/>
    </row>
    <row r="128" spans="1:42" outlineLevel="1">
      <c r="A128" s="545">
        <f>MAX($A$10:A127)+1</f>
        <v>119</v>
      </c>
      <c r="B128" s="716" t="s">
        <v>1799</v>
      </c>
      <c r="C128" s="716" t="s">
        <v>1984</v>
      </c>
      <c r="D128" s="716" t="s">
        <v>1985</v>
      </c>
      <c r="E128" s="559">
        <v>378</v>
      </c>
      <c r="F128" s="1302" cm="1">
        <f t="array" ref="F128">+IF(SUM(VALUE(N128:Q128)*$N$7:$Q$7)=0,R128,T128)</f>
        <v>0</v>
      </c>
      <c r="G128" s="103">
        <f t="shared" si="7"/>
        <v>0</v>
      </c>
      <c r="H128" s="717">
        <v>45327</v>
      </c>
      <c r="I128" s="1303" cm="1">
        <f t="array" ref="I128">+IF(SUM(VALUE(N128:Q128)*$N$7:$Q$7)=0,S128,U128)</f>
        <v>0</v>
      </c>
      <c r="J128" s="103">
        <f t="shared" si="8"/>
        <v>0</v>
      </c>
      <c r="K128" s="103"/>
      <c r="M128"/>
      <c r="N128" s="1300">
        <v>1</v>
      </c>
      <c r="O128" s="1300">
        <v>0</v>
      </c>
      <c r="P128" s="1300">
        <v>0</v>
      </c>
      <c r="Q128" s="1300">
        <v>0</v>
      </c>
      <c r="R128" s="1266">
        <v>1117240.8899999999</v>
      </c>
      <c r="S128" s="1266">
        <v>0</v>
      </c>
      <c r="T128" s="1266">
        <f>+IF($Q128=1,$G128,INDEX([1]Summary!$K$5:$K$110,MATCH($C128,[1]Summary!$D$5:$D229,0)))</f>
        <v>0</v>
      </c>
      <c r="U128" s="1266">
        <f>+IF($Q128=1,$J128,INDEX([1]Summary!$L$5:$L$110,MATCH($C128,[1]Summary!$D$5:$D229,0)))</f>
        <v>0</v>
      </c>
      <c r="V128" s="721"/>
      <c r="W128" s="721"/>
      <c r="X128" s="721"/>
      <c r="Y128" s="721"/>
      <c r="Z128" s="721"/>
      <c r="AA128" s="721"/>
      <c r="AB128" s="721"/>
      <c r="AC128" s="721"/>
      <c r="AD128" s="721"/>
      <c r="AE128" s="105"/>
      <c r="AI128" s="105"/>
      <c r="AJ128" s="105"/>
      <c r="AN128" s="105"/>
      <c r="AO128" s="105"/>
      <c r="AP128" s="105"/>
    </row>
    <row r="129" spans="1:42" outlineLevel="1">
      <c r="A129" s="545">
        <f>MAX($A$10:A128)+1</f>
        <v>120</v>
      </c>
      <c r="B129" s="716" t="s">
        <v>1799</v>
      </c>
      <c r="C129" s="716" t="s">
        <v>1986</v>
      </c>
      <c r="D129" s="716" t="s">
        <v>1987</v>
      </c>
      <c r="E129" s="559">
        <v>378</v>
      </c>
      <c r="F129" s="1302" cm="1">
        <f t="array" ref="F129">+IF(SUM(VALUE(N129:Q129)*$N$7:$Q$7)=0,R129,T129)</f>
        <v>0</v>
      </c>
      <c r="G129" s="103">
        <f t="shared" si="7"/>
        <v>0</v>
      </c>
      <c r="H129" s="717">
        <v>45327</v>
      </c>
      <c r="I129" s="1303" cm="1">
        <f t="array" ref="I129">+IF(SUM(VALUE(N129:Q129)*$N$7:$Q$7)=0,S129,U129)</f>
        <v>0</v>
      </c>
      <c r="J129" s="103"/>
      <c r="K129" s="103"/>
      <c r="M129"/>
      <c r="N129" s="1300">
        <v>1</v>
      </c>
      <c r="O129" s="1300">
        <v>0</v>
      </c>
      <c r="P129" s="1300">
        <v>0</v>
      </c>
      <c r="Q129" s="1300">
        <v>0</v>
      </c>
      <c r="R129" s="1266">
        <v>365957.98</v>
      </c>
      <c r="S129" s="1266">
        <v>0</v>
      </c>
      <c r="T129" s="1266">
        <f>+IF($Q129=1,$G129,INDEX([1]Summary!$K$5:$K$110,MATCH($C129,[1]Summary!$D$5:$D230,0)))</f>
        <v>0</v>
      </c>
      <c r="U129" s="1266">
        <f>+IF($Q129=1,$J129,INDEX([1]Summary!$L$5:$L$110,MATCH($C129,[1]Summary!$D$5:$D230,0)))</f>
        <v>0</v>
      </c>
      <c r="V129" s="721"/>
      <c r="W129" s="721"/>
      <c r="X129" s="721"/>
      <c r="Y129" s="721"/>
      <c r="Z129" s="721"/>
      <c r="AA129" s="721"/>
      <c r="AB129" s="721"/>
      <c r="AC129" s="721"/>
      <c r="AD129" s="721"/>
      <c r="AE129" s="105"/>
      <c r="AI129" s="105"/>
      <c r="AJ129" s="105"/>
      <c r="AN129" s="105"/>
      <c r="AO129" s="105"/>
      <c r="AP129" s="105"/>
    </row>
    <row r="130" spans="1:42" outlineLevel="1">
      <c r="A130" s="545">
        <f>MAX($A$10:A129)+1</f>
        <v>121</v>
      </c>
      <c r="B130" s="716" t="s">
        <v>1799</v>
      </c>
      <c r="C130" s="716" t="s">
        <v>1988</v>
      </c>
      <c r="D130" s="716" t="s">
        <v>1989</v>
      </c>
      <c r="E130" s="559">
        <v>385</v>
      </c>
      <c r="F130" s="1302" cm="1">
        <f t="array" ref="F130">+IF(SUM(VALUE(N130:Q130)*$N$7:$Q$7)=0,R130,T130)</f>
        <v>0</v>
      </c>
      <c r="G130" s="103">
        <f t="shared" si="7"/>
        <v>0</v>
      </c>
      <c r="H130" s="717">
        <v>45327</v>
      </c>
      <c r="I130" s="1303" cm="1">
        <f t="array" ref="I130">+IF(SUM(VALUE(N130:Q130)*$N$7:$Q$7)=0,S130,U130)</f>
        <v>0</v>
      </c>
      <c r="J130" s="103"/>
      <c r="K130" s="103"/>
      <c r="M130"/>
      <c r="N130" s="1300">
        <v>1</v>
      </c>
      <c r="O130" s="1300">
        <v>0</v>
      </c>
      <c r="P130" s="1300">
        <v>0</v>
      </c>
      <c r="Q130" s="1300">
        <v>0</v>
      </c>
      <c r="R130" s="1266">
        <v>43012.79</v>
      </c>
      <c r="S130" s="1266">
        <v>0</v>
      </c>
      <c r="T130" s="1266">
        <f>+IF($Q130=1,$G130,INDEX([1]Summary!$K$5:$K$110,MATCH($C130,[1]Summary!$D$5:$D231,0)))</f>
        <v>0</v>
      </c>
      <c r="U130" s="1266">
        <f>+IF($Q130=1,$J130,INDEX([1]Summary!$L$5:$L$110,MATCH($C130,[1]Summary!$D$5:$D231,0)))</f>
        <v>0</v>
      </c>
      <c r="V130" s="721"/>
      <c r="W130" s="721"/>
      <c r="X130" s="721"/>
      <c r="Y130" s="721"/>
      <c r="Z130" s="721"/>
      <c r="AA130" s="721"/>
      <c r="AB130" s="721"/>
      <c r="AC130" s="721"/>
      <c r="AD130" s="721"/>
      <c r="AE130" s="105"/>
      <c r="AI130" s="105"/>
      <c r="AJ130" s="105"/>
      <c r="AN130" s="105"/>
      <c r="AO130" s="105"/>
      <c r="AP130" s="105"/>
    </row>
    <row r="131" spans="1:42" outlineLevel="1">
      <c r="A131" s="545">
        <f>MAX($A$10:A130)+1</f>
        <v>122</v>
      </c>
      <c r="B131" s="716" t="s">
        <v>1799</v>
      </c>
      <c r="C131" s="716" t="s">
        <v>1990</v>
      </c>
      <c r="D131" s="716" t="s">
        <v>1991</v>
      </c>
      <c r="E131" s="559">
        <v>385</v>
      </c>
      <c r="F131" s="1302" cm="1">
        <f t="array" ref="F131">+IF(SUM(VALUE(N131:Q131)*$N$7:$Q$7)=0,R131,T131)</f>
        <v>0</v>
      </c>
      <c r="G131" s="103">
        <f t="shared" si="7"/>
        <v>0</v>
      </c>
      <c r="H131" s="717">
        <v>45327</v>
      </c>
      <c r="I131" s="1303" cm="1">
        <f t="array" ref="I131">+IF(SUM(VALUE(N131:Q131)*$N$7:$Q$7)=0,S131,U131)</f>
        <v>0</v>
      </c>
      <c r="J131" s="103"/>
      <c r="K131" s="103"/>
      <c r="M131"/>
      <c r="N131" s="1300">
        <v>1</v>
      </c>
      <c r="O131" s="1300">
        <v>0</v>
      </c>
      <c r="P131" s="1300">
        <v>0</v>
      </c>
      <c r="Q131" s="1300">
        <v>0</v>
      </c>
      <c r="R131" s="1266">
        <v>56595.090000000004</v>
      </c>
      <c r="S131" s="1266">
        <v>0</v>
      </c>
      <c r="T131" s="1266">
        <f>+IF($Q131=1,$G131,INDEX([1]Summary!$K$5:$K$110,MATCH($C131,[1]Summary!$D$5:$D232,0)))</f>
        <v>0</v>
      </c>
      <c r="U131" s="1266">
        <f>+IF($Q131=1,$J131,INDEX([1]Summary!$L$5:$L$110,MATCH($C131,[1]Summary!$D$5:$D232,0)))</f>
        <v>0</v>
      </c>
      <c r="V131" s="721"/>
      <c r="W131" s="721"/>
      <c r="X131" s="721"/>
      <c r="Y131" s="721"/>
      <c r="Z131" s="721"/>
      <c r="AA131" s="721"/>
      <c r="AB131" s="721"/>
      <c r="AC131" s="721"/>
      <c r="AD131" s="721"/>
      <c r="AE131" s="105"/>
      <c r="AI131" s="105"/>
      <c r="AJ131" s="105"/>
      <c r="AN131" s="105"/>
      <c r="AO131" s="105"/>
      <c r="AP131" s="105"/>
    </row>
    <row r="132" spans="1:42" outlineLevel="1">
      <c r="A132" s="545">
        <f>MAX($A$10:A131)+1</f>
        <v>123</v>
      </c>
      <c r="B132" s="716" t="s">
        <v>1799</v>
      </c>
      <c r="C132" s="716" t="s">
        <v>1992</v>
      </c>
      <c r="D132" s="716" t="s">
        <v>1993</v>
      </c>
      <c r="E132" s="559">
        <v>378</v>
      </c>
      <c r="F132" s="1302" cm="1">
        <f t="array" ref="F132">+IF(SUM(VALUE(N132:Q132)*$N$7:$Q$7)=0,R132,T132)</f>
        <v>0</v>
      </c>
      <c r="G132" s="103">
        <f t="shared" si="7"/>
        <v>0</v>
      </c>
      <c r="H132" s="717">
        <v>45327</v>
      </c>
      <c r="I132" s="1303" cm="1">
        <f t="array" ref="I132">+IF(SUM(VALUE(N132:Q132)*$N$7:$Q$7)=0,S132,U132)</f>
        <v>0</v>
      </c>
      <c r="J132" s="103"/>
      <c r="K132" s="103"/>
      <c r="M132"/>
      <c r="N132" s="1300">
        <v>1</v>
      </c>
      <c r="O132" s="1300">
        <v>0</v>
      </c>
      <c r="P132" s="1300">
        <v>0</v>
      </c>
      <c r="Q132" s="1300">
        <v>0</v>
      </c>
      <c r="R132" s="1266">
        <v>1117315.6200000001</v>
      </c>
      <c r="S132" s="1266">
        <v>0</v>
      </c>
      <c r="T132" s="1266">
        <f>+IF($Q132=1,$G132,INDEX([1]Summary!$K$5:$K$110,MATCH($C132,[1]Summary!$D$5:$D233,0)))</f>
        <v>0</v>
      </c>
      <c r="U132" s="1266">
        <f>+IF($Q132=1,$J132,INDEX([1]Summary!$L$5:$L$110,MATCH($C132,[1]Summary!$D$5:$D233,0)))</f>
        <v>0</v>
      </c>
      <c r="V132" s="721"/>
      <c r="W132" s="721"/>
      <c r="X132" s="721"/>
      <c r="Y132" s="721"/>
      <c r="Z132" s="721"/>
      <c r="AA132" s="721"/>
      <c r="AB132" s="721"/>
      <c r="AC132" s="721"/>
      <c r="AD132" s="721"/>
      <c r="AE132" s="105"/>
      <c r="AI132" s="105"/>
      <c r="AJ132" s="105"/>
      <c r="AN132" s="105"/>
      <c r="AO132" s="105"/>
      <c r="AP132" s="105"/>
    </row>
    <row r="133" spans="1:42" outlineLevel="1">
      <c r="A133" s="545">
        <f>MAX($A$10:A132)+1</f>
        <v>124</v>
      </c>
      <c r="B133" s="716" t="s">
        <v>1799</v>
      </c>
      <c r="C133" s="716" t="s">
        <v>1994</v>
      </c>
      <c r="D133" s="716" t="s">
        <v>1995</v>
      </c>
      <c r="E133" s="559">
        <v>378</v>
      </c>
      <c r="F133" s="1302" cm="1">
        <f t="array" ref="F133">+IF(SUM(VALUE(N133:Q133)*$N$7:$Q$7)=0,R133,T133)</f>
        <v>0</v>
      </c>
      <c r="G133" s="103">
        <f t="shared" si="7"/>
        <v>0</v>
      </c>
      <c r="H133" s="717">
        <v>45327</v>
      </c>
      <c r="I133" s="1303" cm="1">
        <f t="array" ref="I133">+IF(SUM(VALUE(N133:Q133)*$N$7:$Q$7)=0,S133,U133)</f>
        <v>0</v>
      </c>
      <c r="J133" s="103"/>
      <c r="K133" s="103"/>
      <c r="M133"/>
      <c r="N133" s="1300">
        <v>1</v>
      </c>
      <c r="O133" s="1300">
        <v>0</v>
      </c>
      <c r="P133" s="1300">
        <v>0</v>
      </c>
      <c r="Q133" s="1300">
        <v>0</v>
      </c>
      <c r="R133" s="1266">
        <v>540060.30000000005</v>
      </c>
      <c r="S133" s="1266">
        <v>0</v>
      </c>
      <c r="T133" s="1266">
        <f>+IF($Q133=1,$G133,INDEX([1]Summary!$K$5:$K$110,MATCH($C133,[1]Summary!$D$5:$D234,0)))</f>
        <v>0</v>
      </c>
      <c r="U133" s="1266">
        <f>+IF($Q133=1,$J133,INDEX([1]Summary!$L$5:$L$110,MATCH($C133,[1]Summary!$D$5:$D234,0)))</f>
        <v>0</v>
      </c>
      <c r="V133" s="721"/>
      <c r="W133" s="721"/>
      <c r="X133" s="721"/>
      <c r="Y133" s="721"/>
      <c r="Z133" s="721"/>
      <c r="AA133" s="721"/>
      <c r="AB133" s="721"/>
      <c r="AC133" s="721"/>
      <c r="AD133" s="721"/>
      <c r="AE133" s="105"/>
      <c r="AI133" s="105"/>
      <c r="AJ133" s="105"/>
      <c r="AN133" s="105"/>
      <c r="AO133" s="105"/>
      <c r="AP133" s="105"/>
    </row>
    <row r="134" spans="1:42" outlineLevel="1">
      <c r="A134" s="545">
        <f>MAX($A$10:A133)+1</f>
        <v>125</v>
      </c>
      <c r="B134" s="716" t="s">
        <v>1799</v>
      </c>
      <c r="C134" s="716" t="s">
        <v>1996</v>
      </c>
      <c r="D134" s="716" t="s">
        <v>1997</v>
      </c>
      <c r="E134" s="559">
        <v>376.3</v>
      </c>
      <c r="F134" s="1302" cm="1">
        <f t="array" ref="F134">+IF(SUM(VALUE(N134:Q134)*$N$7:$Q$7)=0,R134,T134)</f>
        <v>131189.38</v>
      </c>
      <c r="G134" s="103">
        <f t="shared" si="7"/>
        <v>131189.38</v>
      </c>
      <c r="H134" s="717">
        <v>45352</v>
      </c>
      <c r="I134" s="1303" cm="1">
        <f t="array" ref="I134">+IF(SUM(VALUE(N134:Q134)*$N$7:$Q$7)=0,S134,U134)</f>
        <v>0</v>
      </c>
      <c r="J134" s="103"/>
      <c r="K134" s="103"/>
      <c r="M134"/>
      <c r="N134" s="1300">
        <v>0</v>
      </c>
      <c r="O134" s="1300">
        <v>0</v>
      </c>
      <c r="P134" s="1300">
        <v>0</v>
      </c>
      <c r="Q134" s="1300">
        <v>1</v>
      </c>
      <c r="R134" s="1266">
        <v>131189.38</v>
      </c>
      <c r="S134" s="1266">
        <v>0</v>
      </c>
      <c r="T134" s="1266">
        <f>+IF($Q134=1,$G134,INDEX([1]Summary!$K$5:$K$110,MATCH($C134,[1]Summary!$D$5:$D235,0)))</f>
        <v>131189.38</v>
      </c>
      <c r="U134" s="1266">
        <f>+IF($Q134=1,$J134,INDEX([1]Summary!$L$5:$L$110,MATCH($C134,[1]Summary!$D$5:$D235,0)))</f>
        <v>0</v>
      </c>
      <c r="V134" s="721"/>
      <c r="W134" s="721"/>
      <c r="X134" s="721"/>
      <c r="Y134" s="721"/>
      <c r="Z134" s="721"/>
      <c r="AA134" s="721"/>
      <c r="AB134" s="721"/>
      <c r="AC134" s="721"/>
      <c r="AD134" s="721"/>
      <c r="AE134" s="105"/>
      <c r="AI134" s="105"/>
      <c r="AJ134" s="105"/>
      <c r="AN134" s="105"/>
      <c r="AO134" s="105"/>
      <c r="AP134" s="105"/>
    </row>
    <row r="135" spans="1:42" outlineLevel="1">
      <c r="A135" s="545">
        <f>MAX($A$10:A134)+1</f>
        <v>126</v>
      </c>
      <c r="B135" s="716" t="s">
        <v>1799</v>
      </c>
      <c r="C135" s="716" t="s">
        <v>1998</v>
      </c>
      <c r="D135" s="716" t="s">
        <v>1999</v>
      </c>
      <c r="E135" s="559">
        <v>376.3</v>
      </c>
      <c r="F135" s="1302" cm="1">
        <f t="array" ref="F135">+IF(SUM(VALUE(N135:Q135)*$N$7:$Q$7)=0,R135,T135)</f>
        <v>343875.48</v>
      </c>
      <c r="G135" s="103">
        <f t="shared" si="7"/>
        <v>343875.48</v>
      </c>
      <c r="H135" s="717">
        <v>45536</v>
      </c>
      <c r="I135" s="1303" cm="1">
        <f t="array" ref="I135">+IF(SUM(VALUE(N135:Q135)*$N$7:$Q$7)=0,S135,U135)</f>
        <v>0</v>
      </c>
      <c r="J135" s="103">
        <f>+I135</f>
        <v>0</v>
      </c>
      <c r="K135" s="103"/>
      <c r="M135"/>
      <c r="N135" s="1300">
        <v>0</v>
      </c>
      <c r="O135" s="1300">
        <v>0</v>
      </c>
      <c r="P135" s="1300">
        <v>0</v>
      </c>
      <c r="Q135" s="1300">
        <v>1</v>
      </c>
      <c r="R135" s="1266">
        <v>343875.48</v>
      </c>
      <c r="S135" s="1266">
        <v>0</v>
      </c>
      <c r="T135" s="1266">
        <f>+IF($Q135=1,$G135,INDEX([1]Summary!$K$5:$K$110,MATCH($C135,[1]Summary!$D$5:$D236,0)))</f>
        <v>343875.48</v>
      </c>
      <c r="U135" s="1266">
        <f>+IF($Q135=1,$J135,INDEX([1]Summary!$L$5:$L$110,MATCH($C135,[1]Summary!$D$5:$D236,0)))</f>
        <v>0</v>
      </c>
      <c r="V135" s="721"/>
      <c r="W135" s="721"/>
      <c r="X135" s="721"/>
      <c r="Y135" s="721"/>
      <c r="Z135" s="721"/>
      <c r="AA135" s="721"/>
      <c r="AB135" s="721"/>
      <c r="AC135" s="721"/>
      <c r="AD135" s="721"/>
      <c r="AE135" s="105"/>
      <c r="AI135" s="105"/>
      <c r="AJ135" s="105"/>
      <c r="AN135" s="105"/>
      <c r="AO135" s="105"/>
      <c r="AP135" s="105"/>
    </row>
    <row r="136" spans="1:42" outlineLevel="1">
      <c r="A136" s="545">
        <f>MAX($A$10:A135)+1</f>
        <v>127</v>
      </c>
      <c r="B136" s="716" t="s">
        <v>1799</v>
      </c>
      <c r="C136" s="716" t="s">
        <v>2000</v>
      </c>
      <c r="D136" s="716" t="s">
        <v>2001</v>
      </c>
      <c r="E136" s="559">
        <v>376.2</v>
      </c>
      <c r="F136" s="1302" cm="1">
        <f t="array" ref="F136">+IF(SUM(VALUE(N136:Q136)*$N$7:$Q$7)=0,R136,T136)</f>
        <v>63627.04733899999</v>
      </c>
      <c r="G136" s="103">
        <f t="shared" si="7"/>
        <v>63627.04733899999</v>
      </c>
      <c r="H136" s="717">
        <v>45534</v>
      </c>
      <c r="I136" s="1303" cm="1">
        <f t="array" ref="I136">+IF(SUM(VALUE(N136:Q136)*$N$7:$Q$7)=0,S136,U136)</f>
        <v>0</v>
      </c>
      <c r="J136" s="103"/>
      <c r="K136" s="103"/>
      <c r="M136"/>
      <c r="N136" s="1300">
        <v>0</v>
      </c>
      <c r="O136" s="1300">
        <v>0</v>
      </c>
      <c r="P136" s="1300">
        <v>0</v>
      </c>
      <c r="Q136" s="1300">
        <v>1</v>
      </c>
      <c r="R136" s="1266">
        <v>63627.04733899999</v>
      </c>
      <c r="S136" s="1266">
        <v>0</v>
      </c>
      <c r="T136" s="1266">
        <f>+IF($Q136=1,$G136,INDEX([1]Summary!$K$5:$K$110,MATCH($C136,[1]Summary!$D$5:$D237,0)))</f>
        <v>63627.04733899999</v>
      </c>
      <c r="U136" s="1266">
        <f>+IF($Q136=1,$J136,INDEX([1]Summary!$L$5:$L$110,MATCH($C136,[1]Summary!$D$5:$D237,0)))</f>
        <v>0</v>
      </c>
      <c r="V136" s="721"/>
      <c r="W136" s="721"/>
      <c r="X136" s="721"/>
      <c r="Y136" s="721"/>
      <c r="Z136" s="721"/>
      <c r="AA136" s="721"/>
      <c r="AB136" s="721"/>
      <c r="AC136" s="721"/>
      <c r="AD136" s="721"/>
      <c r="AE136" s="105"/>
      <c r="AI136" s="105"/>
      <c r="AJ136" s="105"/>
      <c r="AN136" s="105"/>
      <c r="AO136" s="105"/>
      <c r="AP136" s="105"/>
    </row>
    <row r="137" spans="1:42" outlineLevel="1">
      <c r="A137" s="545">
        <f>MAX($A$10:A136)+1</f>
        <v>128</v>
      </c>
      <c r="B137" s="716" t="s">
        <v>1799</v>
      </c>
      <c r="C137" s="716" t="s">
        <v>2002</v>
      </c>
      <c r="D137" s="716" t="s">
        <v>2003</v>
      </c>
      <c r="E137" s="559">
        <v>378</v>
      </c>
      <c r="F137" s="1302" cm="1">
        <f t="array" ref="F137">+IF(SUM(VALUE(N137:Q137)*$N$7:$Q$7)=0,R137,T137)</f>
        <v>206332.31882699998</v>
      </c>
      <c r="G137" s="103">
        <f t="shared" si="7"/>
        <v>206332.31882699998</v>
      </c>
      <c r="H137" s="717">
        <v>45596</v>
      </c>
      <c r="I137" s="1303" cm="1">
        <f t="array" ref="I137">+IF(SUM(VALUE(N137:Q137)*$N$7:$Q$7)=0,S137,U137)</f>
        <v>0</v>
      </c>
      <c r="J137" s="103"/>
      <c r="K137" s="103"/>
      <c r="M137"/>
      <c r="N137" s="1300">
        <v>0</v>
      </c>
      <c r="O137" s="1300">
        <v>0</v>
      </c>
      <c r="P137" s="1300">
        <v>0</v>
      </c>
      <c r="Q137" s="1300">
        <v>1</v>
      </c>
      <c r="R137" s="1266">
        <v>206332.31882699998</v>
      </c>
      <c r="S137" s="1266">
        <v>0</v>
      </c>
      <c r="T137" s="1266">
        <f>+IF($Q137=1,$G137,INDEX([1]Summary!$K$5:$K$110,MATCH($C137,[1]Summary!$D$5:$D238,0)))</f>
        <v>206332.31882699998</v>
      </c>
      <c r="U137" s="1266">
        <f>+IF($Q137=1,$J137,INDEX([1]Summary!$L$5:$L$110,MATCH($C137,[1]Summary!$D$5:$D238,0)))</f>
        <v>0</v>
      </c>
      <c r="V137" s="721"/>
      <c r="W137" s="721"/>
      <c r="X137" s="721"/>
      <c r="Y137" s="721"/>
      <c r="Z137" s="721"/>
      <c r="AA137" s="721"/>
      <c r="AB137" s="721"/>
      <c r="AC137" s="721"/>
      <c r="AD137" s="721"/>
      <c r="AE137" s="105"/>
      <c r="AI137" s="105"/>
      <c r="AJ137" s="105"/>
      <c r="AN137" s="105"/>
      <c r="AO137" s="105"/>
      <c r="AP137" s="105"/>
    </row>
    <row r="138" spans="1:42" outlineLevel="1">
      <c r="A138" s="545">
        <f>MAX($A$10:A137)+1</f>
        <v>129</v>
      </c>
      <c r="B138" s="716" t="s">
        <v>1799</v>
      </c>
      <c r="C138" s="716" t="s">
        <v>2004</v>
      </c>
      <c r="D138" s="716" t="s">
        <v>2005</v>
      </c>
      <c r="E138" s="559">
        <v>377</v>
      </c>
      <c r="F138" s="1302" cm="1">
        <f t="array" ref="F138">+IF(SUM(VALUE(N138:Q138)*$N$7:$Q$7)=0,R138,T138)</f>
        <v>147143.04999999999</v>
      </c>
      <c r="G138" s="103">
        <f t="shared" si="7"/>
        <v>147143.04999999999</v>
      </c>
      <c r="H138" s="717">
        <v>45565</v>
      </c>
      <c r="I138" s="1303" cm="1">
        <f t="array" ref="I138">+IF(SUM(VALUE(N138:Q138)*$N$7:$Q$7)=0,S138,U138)</f>
        <v>0</v>
      </c>
      <c r="J138" s="103">
        <f>+I138</f>
        <v>0</v>
      </c>
      <c r="K138" s="103"/>
      <c r="M138"/>
      <c r="N138" s="1300">
        <v>0</v>
      </c>
      <c r="O138" s="1300">
        <v>0</v>
      </c>
      <c r="P138" s="1300">
        <v>0</v>
      </c>
      <c r="Q138" s="1300">
        <v>1</v>
      </c>
      <c r="R138" s="1266">
        <v>147143.04999999999</v>
      </c>
      <c r="S138" s="1266">
        <v>0</v>
      </c>
      <c r="T138" s="1266">
        <f>+IF($Q138=1,$G138,INDEX([1]Summary!$K$5:$K$110,MATCH($C138,[1]Summary!$D$5:$D239,0)))</f>
        <v>147143.04999999999</v>
      </c>
      <c r="U138" s="1266">
        <f>+IF($Q138=1,$J138,INDEX([1]Summary!$L$5:$L$110,MATCH($C138,[1]Summary!$D$5:$D239,0)))</f>
        <v>0</v>
      </c>
      <c r="V138" s="721"/>
      <c r="W138" s="721"/>
      <c r="X138" s="721"/>
      <c r="Y138" s="721"/>
      <c r="Z138" s="721"/>
      <c r="AA138" s="721"/>
      <c r="AB138" s="721"/>
      <c r="AC138" s="721"/>
      <c r="AD138" s="721"/>
      <c r="AE138" s="105"/>
      <c r="AI138" s="105"/>
      <c r="AJ138" s="105"/>
      <c r="AN138" s="105"/>
      <c r="AO138" s="105"/>
      <c r="AP138" s="105"/>
    </row>
    <row r="139" spans="1:42" outlineLevel="1">
      <c r="A139" s="545">
        <f>MAX($A$10:A138)+1</f>
        <v>130</v>
      </c>
      <c r="B139" s="716" t="s">
        <v>1799</v>
      </c>
      <c r="C139" s="716" t="s">
        <v>2006</v>
      </c>
      <c r="D139" s="716" t="s">
        <v>2007</v>
      </c>
      <c r="E139" s="559">
        <v>385</v>
      </c>
      <c r="F139" s="1302" cm="1">
        <f t="array" ref="F139">+IF(SUM(VALUE(N139:Q139)*$N$7:$Q$7)=0,R139,T139)</f>
        <v>0</v>
      </c>
      <c r="G139" s="103">
        <f t="shared" si="7"/>
        <v>0</v>
      </c>
      <c r="H139" s="717">
        <v>45595</v>
      </c>
      <c r="I139" s="1303" cm="1">
        <f t="array" ref="I139">+IF(SUM(VALUE(N139:Q139)*$N$7:$Q$7)=0,S139,U139)</f>
        <v>0</v>
      </c>
      <c r="J139" s="103">
        <f>+I139</f>
        <v>0</v>
      </c>
      <c r="K139" s="103"/>
      <c r="M139"/>
      <c r="N139" s="1300">
        <v>1</v>
      </c>
      <c r="O139" s="1300">
        <v>0</v>
      </c>
      <c r="P139" s="1300">
        <v>0</v>
      </c>
      <c r="Q139" s="1300">
        <v>0</v>
      </c>
      <c r="R139" s="1266">
        <v>200050.77</v>
      </c>
      <c r="S139" s="1266">
        <v>0</v>
      </c>
      <c r="T139" s="1266">
        <f>+IF($Q139=1,$G139,INDEX([1]Summary!$K$5:$K$110,MATCH($C139,[1]Summary!$D$5:$D240,0)))</f>
        <v>0</v>
      </c>
      <c r="U139" s="1266">
        <f>+IF($Q139=1,$J139,INDEX([1]Summary!$L$5:$L$110,MATCH($C139,[1]Summary!$D$5:$D240,0)))</f>
        <v>0</v>
      </c>
      <c r="V139" s="721"/>
      <c r="W139" s="721"/>
      <c r="X139" s="721"/>
      <c r="Y139" s="721"/>
      <c r="Z139" s="721"/>
      <c r="AA139" s="721"/>
      <c r="AB139" s="721"/>
      <c r="AC139" s="721"/>
      <c r="AD139" s="721"/>
      <c r="AE139" s="105"/>
      <c r="AI139" s="105"/>
      <c r="AJ139" s="105"/>
      <c r="AN139" s="105"/>
      <c r="AO139" s="105"/>
      <c r="AP139" s="105"/>
    </row>
    <row r="140" spans="1:42" outlineLevel="1">
      <c r="A140" s="545">
        <f>MAX($A$10:A139)+1</f>
        <v>131</v>
      </c>
      <c r="B140" s="716" t="s">
        <v>1799</v>
      </c>
      <c r="C140" s="716" t="s">
        <v>2008</v>
      </c>
      <c r="D140" s="716" t="s">
        <v>2009</v>
      </c>
      <c r="E140" s="559">
        <v>377</v>
      </c>
      <c r="F140" s="1302" cm="1">
        <f t="array" ref="F140">+IF(SUM(VALUE(N140:Q140)*$N$7:$Q$7)=0,R140,T140)</f>
        <v>18881.810000000001</v>
      </c>
      <c r="G140" s="103">
        <f t="shared" si="7"/>
        <v>18881.810000000001</v>
      </c>
      <c r="H140" s="717">
        <v>45350</v>
      </c>
      <c r="I140" s="1303" cm="1">
        <f t="array" ref="I140">+IF(SUM(VALUE(N140:Q140)*$N$7:$Q$7)=0,S140,U140)</f>
        <v>0</v>
      </c>
      <c r="J140" s="103"/>
      <c r="K140" s="103"/>
      <c r="M140"/>
      <c r="N140" s="1300">
        <v>0</v>
      </c>
      <c r="O140" s="1300">
        <v>0</v>
      </c>
      <c r="P140" s="1300">
        <v>0</v>
      </c>
      <c r="Q140" s="1300">
        <v>1</v>
      </c>
      <c r="R140" s="1266">
        <v>18881.810000000001</v>
      </c>
      <c r="S140" s="1266">
        <v>0</v>
      </c>
      <c r="T140" s="1266">
        <f>+IF($Q140=1,$G140,INDEX([1]Summary!$K$5:$K$110,MATCH($C140,[1]Summary!$D$5:$D241,0)))</f>
        <v>18881.810000000001</v>
      </c>
      <c r="U140" s="1266">
        <f>+IF($Q140=1,$J140,INDEX([1]Summary!$L$5:$L$110,MATCH($C140,[1]Summary!$D$5:$D241,0)))</f>
        <v>0</v>
      </c>
      <c r="V140" s="721"/>
      <c r="W140" s="721"/>
      <c r="X140" s="721"/>
      <c r="Y140" s="721"/>
      <c r="Z140" s="721"/>
      <c r="AA140" s="721"/>
      <c r="AB140" s="721"/>
      <c r="AC140" s="721"/>
      <c r="AD140" s="721"/>
      <c r="AE140" s="105"/>
      <c r="AI140" s="105"/>
      <c r="AJ140" s="105"/>
      <c r="AN140" s="105"/>
      <c r="AO140" s="105"/>
      <c r="AP140" s="105"/>
    </row>
    <row r="141" spans="1:42" outlineLevel="1">
      <c r="A141" s="545">
        <f>MAX($A$10:A140)+1</f>
        <v>132</v>
      </c>
      <c r="B141" s="716" t="s">
        <v>1799</v>
      </c>
      <c r="C141" s="716" t="s">
        <v>2010</v>
      </c>
      <c r="D141" s="716" t="s">
        <v>2011</v>
      </c>
      <c r="E141" s="559">
        <v>378</v>
      </c>
      <c r="F141" s="1302" cm="1">
        <f t="array" ref="F141">+IF(SUM(VALUE(N141:Q141)*$N$7:$Q$7)=0,R141,T141)</f>
        <v>55851.398262000002</v>
      </c>
      <c r="G141" s="103">
        <f t="shared" si="7"/>
        <v>55851.398262000002</v>
      </c>
      <c r="H141" s="717">
        <v>45350</v>
      </c>
      <c r="I141" s="1303" cm="1">
        <f t="array" ref="I141">+IF(SUM(VALUE(N141:Q141)*$N$7:$Q$7)=0,S141,U141)</f>
        <v>0</v>
      </c>
      <c r="J141" s="103"/>
      <c r="K141" s="103"/>
      <c r="M141"/>
      <c r="N141" s="1300">
        <v>0</v>
      </c>
      <c r="O141" s="1300">
        <v>0</v>
      </c>
      <c r="P141" s="1300">
        <v>0</v>
      </c>
      <c r="Q141" s="1300">
        <v>1</v>
      </c>
      <c r="R141" s="1266">
        <v>55851.398262000002</v>
      </c>
      <c r="S141" s="1266">
        <v>0</v>
      </c>
      <c r="T141" s="1266">
        <f>+IF($Q141=1,$G141,INDEX([1]Summary!$K$5:$K$110,MATCH($C141,[1]Summary!$D$5:$D242,0)))</f>
        <v>55851.398262000002</v>
      </c>
      <c r="U141" s="1266">
        <f>+IF($Q141=1,$J141,INDEX([1]Summary!$L$5:$L$110,MATCH($C141,[1]Summary!$D$5:$D242,0)))</f>
        <v>0</v>
      </c>
      <c r="V141" s="721"/>
      <c r="W141" s="721"/>
      <c r="X141" s="721"/>
      <c r="Y141" s="721"/>
      <c r="Z141" s="721"/>
      <c r="AA141" s="721"/>
      <c r="AB141" s="721"/>
      <c r="AC141" s="721"/>
      <c r="AD141" s="721"/>
      <c r="AE141" s="105"/>
      <c r="AI141" s="105"/>
      <c r="AJ141" s="105"/>
      <c r="AN141" s="105"/>
      <c r="AO141" s="105"/>
      <c r="AP141" s="105"/>
    </row>
    <row r="142" spans="1:42" outlineLevel="1">
      <c r="A142" s="545">
        <f>MAX($A$10:A141)+1</f>
        <v>133</v>
      </c>
      <c r="B142" s="716" t="s">
        <v>1799</v>
      </c>
      <c r="C142" s="716" t="s">
        <v>2012</v>
      </c>
      <c r="D142" s="716" t="s">
        <v>2013</v>
      </c>
      <c r="E142" s="559">
        <v>376.2</v>
      </c>
      <c r="F142" s="1302" cm="1">
        <f t="array" ref="F142">+IF(SUM(VALUE(N142:Q142)*$N$7:$Q$7)=0,R142,T142)</f>
        <v>0</v>
      </c>
      <c r="G142" s="103">
        <f t="shared" si="7"/>
        <v>0</v>
      </c>
      <c r="H142" s="717">
        <v>45595</v>
      </c>
      <c r="I142" s="1303" cm="1">
        <f t="array" ref="I142">+IF(SUM(VALUE(N142:Q142)*$N$7:$Q$7)=0,S142,U142)</f>
        <v>0</v>
      </c>
      <c r="J142" s="103">
        <f t="shared" ref="J142:J149" si="9">+I142</f>
        <v>0</v>
      </c>
      <c r="K142" s="103"/>
      <c r="M142"/>
      <c r="N142" s="1300">
        <v>1</v>
      </c>
      <c r="O142" s="1300">
        <v>0</v>
      </c>
      <c r="P142" s="1300">
        <v>0</v>
      </c>
      <c r="Q142" s="1300">
        <v>0</v>
      </c>
      <c r="R142" s="1266">
        <v>1934355.9500000002</v>
      </c>
      <c r="S142" s="1266">
        <v>0</v>
      </c>
      <c r="T142" s="1266">
        <f>+IF($Q142=1,$G142,INDEX([1]Summary!$K$5:$K$110,MATCH($C142,[1]Summary!$D$5:$D243,0)))</f>
        <v>0</v>
      </c>
      <c r="U142" s="1266">
        <f>+IF($Q142=1,$J142,INDEX([1]Summary!$L$5:$L$110,MATCH($C142,[1]Summary!$D$5:$D243,0)))</f>
        <v>0</v>
      </c>
      <c r="V142" s="721"/>
      <c r="W142" s="721"/>
      <c r="X142" s="721"/>
      <c r="Y142" s="721"/>
      <c r="Z142" s="721"/>
      <c r="AA142" s="721"/>
      <c r="AB142" s="721"/>
      <c r="AC142" s="721"/>
      <c r="AD142" s="721"/>
      <c r="AE142" s="105"/>
      <c r="AI142" s="105"/>
      <c r="AJ142" s="105"/>
      <c r="AN142" s="105"/>
      <c r="AO142" s="105"/>
      <c r="AP142" s="105"/>
    </row>
    <row r="143" spans="1:42" outlineLevel="1">
      <c r="A143" s="545">
        <f>MAX($A$10:A142)+1</f>
        <v>134</v>
      </c>
      <c r="B143" s="716" t="s">
        <v>1799</v>
      </c>
      <c r="C143" s="720" t="s">
        <v>2014</v>
      </c>
      <c r="D143" s="720" t="s">
        <v>2015</v>
      </c>
      <c r="E143" s="559">
        <v>378</v>
      </c>
      <c r="F143" s="1302" cm="1">
        <f t="array" ref="F143">+IF(SUM(VALUE(N143:Q143)*$N$7:$Q$7)=0,R143,T143)</f>
        <v>0</v>
      </c>
      <c r="G143" s="103">
        <f t="shared" si="7"/>
        <v>0</v>
      </c>
      <c r="H143" s="721"/>
      <c r="I143" s="1303" cm="1">
        <f t="array" ref="I143">+IF(SUM(VALUE(N143:Q143)*$N$7:$Q$7)=0,S143,U143)</f>
        <v>0</v>
      </c>
      <c r="J143" s="103">
        <f t="shared" si="9"/>
        <v>0</v>
      </c>
      <c r="K143" s="717">
        <v>45667</v>
      </c>
      <c r="M143"/>
      <c r="N143" s="1300">
        <v>1</v>
      </c>
      <c r="O143" s="1300">
        <v>0</v>
      </c>
      <c r="P143" s="1300">
        <v>0</v>
      </c>
      <c r="Q143" s="1300">
        <v>0</v>
      </c>
      <c r="R143" s="1266">
        <v>0</v>
      </c>
      <c r="S143" s="1266">
        <v>886934.01</v>
      </c>
      <c r="T143" s="1266">
        <f>+IF($Q143=1,$G143,INDEX([1]Summary!$K$5:$K$110,MATCH($C143,[1]Summary!$D$5:$D244,0)))</f>
        <v>0</v>
      </c>
      <c r="U143" s="1266">
        <f>+IF($Q143=1,$J143,INDEX([1]Summary!$L$5:$L$110,MATCH($C143,[1]Summary!$D$5:$D244,0)))</f>
        <v>0</v>
      </c>
      <c r="V143" s="721"/>
      <c r="W143" s="721"/>
      <c r="X143" s="721"/>
      <c r="Y143" s="721"/>
      <c r="Z143" s="721"/>
      <c r="AA143" s="721"/>
      <c r="AB143" s="721"/>
      <c r="AC143" s="721"/>
      <c r="AD143" s="721"/>
      <c r="AE143" s="105"/>
      <c r="AI143" s="105"/>
      <c r="AJ143" s="105"/>
      <c r="AN143" s="105"/>
      <c r="AO143" s="105"/>
      <c r="AP143" s="105"/>
    </row>
    <row r="144" spans="1:42" outlineLevel="1">
      <c r="A144" s="545">
        <f>MAX($A$10:A143)+1</f>
        <v>135</v>
      </c>
      <c r="B144" s="716" t="s">
        <v>1799</v>
      </c>
      <c r="C144" s="716" t="s">
        <v>2016</v>
      </c>
      <c r="D144" s="716" t="s">
        <v>2017</v>
      </c>
      <c r="E144" s="559">
        <v>378</v>
      </c>
      <c r="F144" s="1302" cm="1">
        <f t="array" ref="F144">+IF(SUM(VALUE(N144:Q144)*$N$7:$Q$7)=0,R144,T144)</f>
        <v>0</v>
      </c>
      <c r="G144" s="103">
        <f t="shared" si="7"/>
        <v>0</v>
      </c>
      <c r="H144" s="717">
        <v>45641</v>
      </c>
      <c r="I144" s="1303" cm="1">
        <f t="array" ref="I144">+IF(SUM(VALUE(N144:Q144)*$N$7:$Q$7)=0,S144,U144)</f>
        <v>0</v>
      </c>
      <c r="J144" s="103">
        <f t="shared" si="9"/>
        <v>0</v>
      </c>
      <c r="K144" s="103"/>
      <c r="M144"/>
      <c r="N144" s="1300">
        <v>1</v>
      </c>
      <c r="O144" s="1300">
        <v>0</v>
      </c>
      <c r="P144" s="1300">
        <v>0</v>
      </c>
      <c r="Q144" s="1300">
        <v>0</v>
      </c>
      <c r="R144" s="1266">
        <v>789230.02</v>
      </c>
      <c r="S144" s="1266">
        <v>0</v>
      </c>
      <c r="T144" s="1266">
        <f>+IF($Q144=1,$G144,INDEX([1]Summary!$K$5:$K$110,MATCH($C144,[1]Summary!$D$5:$D245,0)))</f>
        <v>0</v>
      </c>
      <c r="U144" s="1266">
        <f>+IF($Q144=1,$J144,INDEX([1]Summary!$L$5:$L$110,MATCH($C144,[1]Summary!$D$5:$D245,0)))</f>
        <v>0</v>
      </c>
      <c r="V144" s="721"/>
      <c r="W144" s="721"/>
      <c r="X144" s="721"/>
      <c r="Y144" s="721"/>
      <c r="Z144" s="721"/>
      <c r="AA144" s="721"/>
      <c r="AB144" s="721"/>
      <c r="AC144" s="721"/>
      <c r="AD144" s="721"/>
      <c r="AE144" s="105"/>
      <c r="AI144" s="105"/>
      <c r="AJ144" s="105"/>
      <c r="AN144" s="105"/>
      <c r="AO144" s="105"/>
      <c r="AP144" s="105"/>
    </row>
    <row r="145" spans="1:42" outlineLevel="1">
      <c r="A145" s="545">
        <f>MAX($A$10:A144)+1</f>
        <v>136</v>
      </c>
      <c r="B145" s="716" t="s">
        <v>1799</v>
      </c>
      <c r="C145" s="716" t="s">
        <v>2018</v>
      </c>
      <c r="D145" s="716" t="s">
        <v>2019</v>
      </c>
      <c r="E145" s="559">
        <v>376.2</v>
      </c>
      <c r="F145" s="1302" cm="1">
        <f t="array" ref="F145">+IF(SUM(VALUE(N145:Q145)*$N$7:$Q$7)=0,R145,T145)</f>
        <v>306877.8</v>
      </c>
      <c r="G145" s="103">
        <f t="shared" si="7"/>
        <v>306877.8</v>
      </c>
      <c r="H145" s="717">
        <v>45444</v>
      </c>
      <c r="I145" s="1303" cm="1">
        <f t="array" ref="I145">+IF(SUM(VALUE(N145:Q145)*$N$7:$Q$7)=0,S145,U145)</f>
        <v>0</v>
      </c>
      <c r="J145" s="103">
        <f t="shared" si="9"/>
        <v>0</v>
      </c>
      <c r="K145" s="103"/>
      <c r="M145"/>
      <c r="N145" s="1300">
        <v>0</v>
      </c>
      <c r="O145" s="1300">
        <v>0</v>
      </c>
      <c r="P145" s="1300">
        <v>0</v>
      </c>
      <c r="Q145" s="1300">
        <v>1</v>
      </c>
      <c r="R145" s="1266">
        <v>306877.8</v>
      </c>
      <c r="S145" s="1266">
        <v>0</v>
      </c>
      <c r="T145" s="1266">
        <f>+IF($Q145=1,$G145,INDEX([1]Summary!$K$5:$K$110,MATCH($C145,[1]Summary!$D$5:$D246,0)))</f>
        <v>306877.8</v>
      </c>
      <c r="U145" s="1266">
        <f>+IF($Q145=1,$J145,INDEX([1]Summary!$L$5:$L$110,MATCH($C145,[1]Summary!$D$5:$D246,0)))</f>
        <v>0</v>
      </c>
      <c r="V145" s="721"/>
      <c r="W145" s="721"/>
      <c r="X145" s="721"/>
      <c r="Y145" s="721"/>
      <c r="Z145" s="721"/>
      <c r="AA145" s="721"/>
      <c r="AB145" s="721"/>
      <c r="AC145" s="721"/>
      <c r="AD145" s="721"/>
      <c r="AE145" s="105"/>
      <c r="AI145" s="105"/>
      <c r="AJ145" s="105"/>
      <c r="AN145" s="105"/>
      <c r="AO145" s="105"/>
      <c r="AP145" s="105"/>
    </row>
    <row r="146" spans="1:42" outlineLevel="1">
      <c r="A146" s="545">
        <f>MAX($A$10:A145)+1</f>
        <v>137</v>
      </c>
      <c r="B146" s="716" t="s">
        <v>1799</v>
      </c>
      <c r="C146" s="720" t="s">
        <v>2020</v>
      </c>
      <c r="D146" s="720" t="s">
        <v>2021</v>
      </c>
      <c r="E146" s="559">
        <v>376.3</v>
      </c>
      <c r="F146" s="1302" cm="1">
        <f t="array" ref="F146">+IF(SUM(VALUE(N146:Q146)*$N$7:$Q$7)=0,R146,T146)</f>
        <v>0</v>
      </c>
      <c r="G146" s="103">
        <f t="shared" si="7"/>
        <v>0</v>
      </c>
      <c r="I146" s="1303" cm="1">
        <f t="array" ref="I146">+IF(SUM(VALUE(N146:Q146)*$N$7:$Q$7)=0,S146,U146)</f>
        <v>175206.26</v>
      </c>
      <c r="J146" s="103">
        <f t="shared" si="9"/>
        <v>175206.26</v>
      </c>
      <c r="K146" s="717">
        <v>45853</v>
      </c>
      <c r="M146"/>
      <c r="N146" s="1300">
        <v>0</v>
      </c>
      <c r="O146" s="1300">
        <v>0</v>
      </c>
      <c r="P146" s="1300">
        <v>0</v>
      </c>
      <c r="Q146" s="1300">
        <v>1</v>
      </c>
      <c r="R146" s="1266">
        <v>0</v>
      </c>
      <c r="S146" s="1266">
        <v>175206.26</v>
      </c>
      <c r="T146" s="1266">
        <f>+IF($Q146=1,$G146,INDEX([1]Summary!$K$5:$K$110,MATCH($C146,[1]Summary!$D$5:$D247,0)))</f>
        <v>0</v>
      </c>
      <c r="U146" s="1266">
        <f>+IF($Q146=1,$J146,INDEX([1]Summary!$L$5:$L$110,MATCH($C146,[1]Summary!$D$5:$D247,0)))</f>
        <v>175206.26</v>
      </c>
      <c r="V146" s="721"/>
      <c r="W146" s="721"/>
      <c r="X146" s="721"/>
      <c r="Y146" s="721"/>
      <c r="Z146" s="721"/>
      <c r="AA146" s="721"/>
      <c r="AB146" s="721"/>
      <c r="AC146" s="721"/>
      <c r="AD146" s="721"/>
      <c r="AE146" s="105"/>
      <c r="AI146" s="105"/>
      <c r="AJ146" s="105"/>
      <c r="AN146" s="105"/>
      <c r="AO146" s="105"/>
      <c r="AP146" s="105"/>
    </row>
    <row r="147" spans="1:42" outlineLevel="1">
      <c r="A147" s="545">
        <f>MAX($A$10:A146)+1</f>
        <v>138</v>
      </c>
      <c r="B147" s="716" t="s">
        <v>1799</v>
      </c>
      <c r="C147" s="716" t="s">
        <v>2022</v>
      </c>
      <c r="D147" s="716" t="s">
        <v>2023</v>
      </c>
      <c r="E147" s="559">
        <v>378</v>
      </c>
      <c r="F147" s="1302" cm="1">
        <f t="array" ref="F147">+IF(SUM(VALUE(N147:Q147)*$N$7:$Q$7)=0,R147,T147)</f>
        <v>292793.3</v>
      </c>
      <c r="G147" s="103">
        <f t="shared" si="7"/>
        <v>292793.3</v>
      </c>
      <c r="H147" s="717">
        <v>45458</v>
      </c>
      <c r="I147" s="1303" cm="1">
        <f t="array" ref="I147">+IF(SUM(VALUE(N147:Q147)*$N$7:$Q$7)=0,S147,U147)</f>
        <v>0</v>
      </c>
      <c r="J147" s="103">
        <f t="shared" si="9"/>
        <v>0</v>
      </c>
      <c r="K147" s="103"/>
      <c r="M147"/>
      <c r="N147" s="1300">
        <v>0</v>
      </c>
      <c r="O147" s="1300">
        <v>0</v>
      </c>
      <c r="P147" s="1300">
        <v>0</v>
      </c>
      <c r="Q147" s="1300">
        <v>1</v>
      </c>
      <c r="R147" s="1266">
        <v>292793.3</v>
      </c>
      <c r="S147" s="1266">
        <v>0</v>
      </c>
      <c r="T147" s="1266">
        <f>+IF($Q147=1,$G147,INDEX([1]Summary!$K$5:$K$110,MATCH($C147,[1]Summary!$D$5:$D248,0)))</f>
        <v>292793.3</v>
      </c>
      <c r="U147" s="1266">
        <f>+IF($Q147=1,$J147,INDEX([1]Summary!$L$5:$L$110,MATCH($C147,[1]Summary!$D$5:$D248,0)))</f>
        <v>0</v>
      </c>
      <c r="V147" s="721"/>
      <c r="W147" s="721"/>
      <c r="X147" s="721"/>
      <c r="Y147" s="721"/>
      <c r="Z147" s="721"/>
      <c r="AA147" s="721"/>
      <c r="AB147" s="721"/>
      <c r="AC147" s="721"/>
      <c r="AD147" s="721"/>
      <c r="AE147" s="105"/>
      <c r="AI147" s="105"/>
      <c r="AJ147" s="105"/>
      <c r="AN147" s="105"/>
      <c r="AO147" s="105"/>
      <c r="AP147" s="105"/>
    </row>
    <row r="148" spans="1:42" outlineLevel="1">
      <c r="A148" s="545">
        <f>MAX($A$10:A147)+1</f>
        <v>139</v>
      </c>
      <c r="B148" s="716" t="s">
        <v>1799</v>
      </c>
      <c r="C148" s="716" t="s">
        <v>2024</v>
      </c>
      <c r="D148" s="716" t="s">
        <v>2025</v>
      </c>
      <c r="E148" s="559">
        <v>367.1</v>
      </c>
      <c r="F148" s="1302" cm="1">
        <f t="array" ref="F148">+IF(SUM(VALUE(N148:Q148)*$N$7:$Q$7)=0,R148,T148)</f>
        <v>0</v>
      </c>
      <c r="G148" s="103">
        <f t="shared" si="7"/>
        <v>0</v>
      </c>
      <c r="H148" s="717">
        <v>45626</v>
      </c>
      <c r="I148" s="1303" cm="1">
        <f t="array" ref="I148">+IF(SUM(VALUE(N148:Q148)*$N$7:$Q$7)=0,S148,U148)</f>
        <v>2632121.5699999998</v>
      </c>
      <c r="J148" s="103">
        <f t="shared" si="9"/>
        <v>2632121.5699999998</v>
      </c>
      <c r="K148" s="103"/>
      <c r="M148"/>
      <c r="N148" s="1300">
        <v>0</v>
      </c>
      <c r="O148" s="1300">
        <v>1</v>
      </c>
      <c r="P148" s="1300">
        <v>0</v>
      </c>
      <c r="Q148" s="1300">
        <v>0</v>
      </c>
      <c r="R148" s="1266">
        <v>2632121.5699999998</v>
      </c>
      <c r="S148" s="1266">
        <v>0</v>
      </c>
      <c r="T148" s="1266">
        <f>+IF($Q148=1,$G148,INDEX([1]Summary!$K$5:$K$110,MATCH($C148,[1]Summary!$D$5:$D249,0)))</f>
        <v>0</v>
      </c>
      <c r="U148" s="1266">
        <f>+IF($Q148=1,$J148,INDEX([1]Summary!$L$5:$L$110,MATCH($C148,[1]Summary!$D$5:$D249,0)))</f>
        <v>2632121.5699999998</v>
      </c>
      <c r="V148" s="721"/>
      <c r="W148" s="721"/>
      <c r="X148" s="721"/>
      <c r="Y148" s="721"/>
      <c r="Z148" s="721"/>
      <c r="AA148" s="721"/>
      <c r="AB148" s="721"/>
      <c r="AC148" s="721"/>
      <c r="AD148" s="721"/>
      <c r="AE148" s="105"/>
      <c r="AI148" s="105"/>
      <c r="AJ148" s="105"/>
      <c r="AN148" s="105"/>
      <c r="AO148" s="105"/>
      <c r="AP148" s="105"/>
    </row>
    <row r="149" spans="1:42" outlineLevel="1">
      <c r="A149" s="545">
        <f>MAX($A$10:A148)+1</f>
        <v>140</v>
      </c>
      <c r="B149" s="716" t="s">
        <v>1799</v>
      </c>
      <c r="C149" s="720" t="s">
        <v>2026</v>
      </c>
      <c r="D149" s="720" t="s">
        <v>2027</v>
      </c>
      <c r="E149" s="559">
        <v>378</v>
      </c>
      <c r="F149" s="1302" cm="1">
        <f t="array" ref="F149">+IF(SUM(VALUE(N149:Q149)*$N$7:$Q$7)=0,R149,T149)</f>
        <v>0</v>
      </c>
      <c r="G149" s="103"/>
      <c r="I149" s="1303" cm="1">
        <f t="array" ref="I149">+IF(SUM(VALUE(N149:Q149)*$N$7:$Q$7)=0,S149,U149)</f>
        <v>187404.35</v>
      </c>
      <c r="J149" s="103">
        <f t="shared" si="9"/>
        <v>187404.35</v>
      </c>
      <c r="K149" s="717">
        <v>45976</v>
      </c>
      <c r="M149"/>
      <c r="N149" s="1300">
        <v>0</v>
      </c>
      <c r="O149" s="1300">
        <v>0</v>
      </c>
      <c r="P149" s="1300">
        <v>0</v>
      </c>
      <c r="Q149" s="1300">
        <v>1</v>
      </c>
      <c r="R149" s="1266">
        <v>0</v>
      </c>
      <c r="S149" s="1266">
        <v>187404.35</v>
      </c>
      <c r="T149" s="1266">
        <f>+IF($Q149=1,$G149,INDEX([1]Summary!$K$5:$K$110,MATCH($C149,[1]Summary!$D$5:$D250,0)))</f>
        <v>0</v>
      </c>
      <c r="U149" s="1266">
        <f>+IF($Q149=1,$J149,INDEX([1]Summary!$L$5:$L$110,MATCH($C149,[1]Summary!$D$5:$D250,0)))</f>
        <v>187404.35</v>
      </c>
      <c r="V149" s="721"/>
      <c r="W149" s="721"/>
      <c r="X149" s="721"/>
      <c r="Y149" s="721"/>
      <c r="Z149" s="721"/>
      <c r="AA149" s="721"/>
      <c r="AB149" s="721"/>
      <c r="AC149" s="721"/>
      <c r="AD149" s="721"/>
      <c r="AE149" s="105"/>
      <c r="AI149" s="105"/>
      <c r="AJ149" s="105"/>
      <c r="AN149" s="105"/>
      <c r="AO149" s="105"/>
      <c r="AP149" s="105"/>
    </row>
    <row r="150" spans="1:42" outlineLevel="1">
      <c r="A150" s="545">
        <f>MAX($A$10:A149)+1</f>
        <v>141</v>
      </c>
      <c r="B150" s="716" t="s">
        <v>1799</v>
      </c>
      <c r="C150" s="720" t="s">
        <v>2028</v>
      </c>
      <c r="D150" s="720" t="s">
        <v>2029</v>
      </c>
      <c r="E150" s="559">
        <v>376.1</v>
      </c>
      <c r="F150" s="1302" cm="1">
        <f t="array" ref="F150">+IF(SUM(VALUE(N150:Q150)*$N$7:$Q$7)=0,R150,T150)</f>
        <v>72206.34</v>
      </c>
      <c r="G150" s="103">
        <f t="shared" ref="G150:G182" si="10">+F150</f>
        <v>72206.34</v>
      </c>
      <c r="H150" s="721">
        <v>45321</v>
      </c>
      <c r="I150" s="1303" cm="1">
        <f t="array" ref="I150">+IF(SUM(VALUE(N150:Q150)*$N$7:$Q$7)=0,S150,U150)</f>
        <v>0</v>
      </c>
      <c r="J150" s="103"/>
      <c r="K150" s="717"/>
      <c r="M150"/>
      <c r="N150" s="1300">
        <v>0</v>
      </c>
      <c r="O150" s="1300">
        <v>0</v>
      </c>
      <c r="P150" s="1300">
        <v>0</v>
      </c>
      <c r="Q150" s="1300">
        <v>1</v>
      </c>
      <c r="R150" s="1266">
        <v>72206.34</v>
      </c>
      <c r="S150" s="1266">
        <v>0</v>
      </c>
      <c r="T150" s="1266">
        <f>+IF($Q150=1,$G150,INDEX([1]Summary!$K$5:$K$110,MATCH($C150,[1]Summary!$D$5:$D251,0)))</f>
        <v>72206.34</v>
      </c>
      <c r="U150" s="1266">
        <f>+IF($Q150=1,$J150,INDEX([1]Summary!$L$5:$L$110,MATCH($C150,[1]Summary!$D$5:$D251,0)))</f>
        <v>0</v>
      </c>
      <c r="V150" s="721"/>
      <c r="W150" s="721"/>
      <c r="X150" s="721"/>
      <c r="Y150" s="721"/>
      <c r="Z150" s="721"/>
      <c r="AA150" s="721"/>
      <c r="AB150" s="721"/>
      <c r="AC150" s="721"/>
      <c r="AD150" s="721"/>
      <c r="AE150" s="105"/>
      <c r="AI150" s="105"/>
      <c r="AJ150" s="105"/>
      <c r="AN150" s="105"/>
      <c r="AO150" s="105"/>
      <c r="AP150" s="105"/>
    </row>
    <row r="151" spans="1:42" outlineLevel="1">
      <c r="A151" s="545">
        <f>MAX($A$10:A150)+1</f>
        <v>142</v>
      </c>
      <c r="B151" s="716" t="s">
        <v>1799</v>
      </c>
      <c r="C151" s="716" t="s">
        <v>2030</v>
      </c>
      <c r="D151" s="716" t="s">
        <v>2031</v>
      </c>
      <c r="E151" s="559">
        <v>376.3</v>
      </c>
      <c r="F151" s="1302" cm="1">
        <f t="array" ref="F151">+IF(SUM(VALUE(N151:Q151)*$N$7:$Q$7)=0,R151,T151)</f>
        <v>193815.11</v>
      </c>
      <c r="G151" s="103">
        <f t="shared" si="10"/>
        <v>193815.11</v>
      </c>
      <c r="H151" s="717">
        <v>45412</v>
      </c>
      <c r="I151" s="1303" cm="1">
        <f t="array" ref="I151">+IF(SUM(VALUE(N151:Q151)*$N$7:$Q$7)=0,S151,U151)</f>
        <v>0</v>
      </c>
      <c r="J151" s="103">
        <f t="shared" ref="J151:J156" si="11">+I151</f>
        <v>0</v>
      </c>
      <c r="K151" s="103"/>
      <c r="M151"/>
      <c r="N151" s="1300">
        <v>0</v>
      </c>
      <c r="O151" s="1300">
        <v>0</v>
      </c>
      <c r="P151" s="1300">
        <v>0</v>
      </c>
      <c r="Q151" s="1300">
        <v>1</v>
      </c>
      <c r="R151" s="1266">
        <v>193815.11</v>
      </c>
      <c r="S151" s="1266">
        <v>0</v>
      </c>
      <c r="T151" s="1266">
        <f>+IF($Q151=1,$G151,INDEX([1]Summary!$K$5:$K$110,MATCH($C151,[1]Summary!$D$5:$D252,0)))</f>
        <v>193815.11</v>
      </c>
      <c r="U151" s="1266">
        <f>+IF($Q151=1,$J151,INDEX([1]Summary!$L$5:$L$110,MATCH($C151,[1]Summary!$D$5:$D252,0)))</f>
        <v>0</v>
      </c>
      <c r="V151" s="721"/>
      <c r="W151" s="721"/>
      <c r="X151" s="721"/>
      <c r="Y151" s="721"/>
      <c r="Z151" s="721"/>
      <c r="AA151" s="721"/>
      <c r="AB151" s="721"/>
      <c r="AC151" s="721"/>
      <c r="AD151" s="721"/>
      <c r="AE151" s="105"/>
      <c r="AI151" s="105"/>
      <c r="AJ151" s="105"/>
      <c r="AN151" s="105"/>
      <c r="AO151" s="105"/>
      <c r="AP151" s="105"/>
    </row>
    <row r="152" spans="1:42" outlineLevel="1">
      <c r="A152" s="545">
        <f>MAX($A$10:A151)+1</f>
        <v>143</v>
      </c>
      <c r="B152" s="716" t="s">
        <v>1799</v>
      </c>
      <c r="C152" s="716" t="s">
        <v>2032</v>
      </c>
      <c r="D152" s="716" t="s">
        <v>2033</v>
      </c>
      <c r="E152" s="559">
        <v>377</v>
      </c>
      <c r="F152" s="1302" cm="1">
        <f t="array" ref="F152">+IF(SUM(VALUE(N152:Q152)*$N$7:$Q$7)=0,R152,T152)</f>
        <v>18174</v>
      </c>
      <c r="G152" s="103">
        <f t="shared" si="10"/>
        <v>18174</v>
      </c>
      <c r="H152" s="717">
        <v>45458</v>
      </c>
      <c r="I152" s="1303" cm="1">
        <f t="array" ref="I152">+IF(SUM(VALUE(N152:Q152)*$N$7:$Q$7)=0,S152,U152)</f>
        <v>0</v>
      </c>
      <c r="J152" s="103">
        <f t="shared" si="11"/>
        <v>0</v>
      </c>
      <c r="K152" s="103"/>
      <c r="M152"/>
      <c r="N152" s="1300">
        <v>0</v>
      </c>
      <c r="O152" s="1300">
        <v>0</v>
      </c>
      <c r="P152" s="1300">
        <v>0</v>
      </c>
      <c r="Q152" s="1300">
        <v>1</v>
      </c>
      <c r="R152" s="1266">
        <v>18174</v>
      </c>
      <c r="S152" s="1266">
        <v>0</v>
      </c>
      <c r="T152" s="1266">
        <f>+IF($Q152=1,$G152,INDEX([1]Summary!$K$5:$K$110,MATCH($C152,[1]Summary!$D$5:$D253,0)))</f>
        <v>18174</v>
      </c>
      <c r="U152" s="1266">
        <f>+IF($Q152=1,$J152,INDEX([1]Summary!$L$5:$L$110,MATCH($C152,[1]Summary!$D$5:$D253,0)))</f>
        <v>0</v>
      </c>
      <c r="V152" s="721"/>
      <c r="W152" s="721"/>
      <c r="X152" s="721"/>
      <c r="Y152" s="721"/>
      <c r="Z152" s="721"/>
      <c r="AA152" s="721"/>
      <c r="AB152" s="721"/>
      <c r="AC152" s="721"/>
      <c r="AD152" s="721"/>
      <c r="AE152" s="105"/>
      <c r="AI152" s="105"/>
      <c r="AJ152" s="105"/>
      <c r="AN152" s="105"/>
      <c r="AO152" s="105"/>
      <c r="AP152" s="105"/>
    </row>
    <row r="153" spans="1:42" outlineLevel="1">
      <c r="A153" s="545">
        <f>MAX($A$10:A152)+1</f>
        <v>144</v>
      </c>
      <c r="B153" s="716" t="s">
        <v>1799</v>
      </c>
      <c r="C153" s="716" t="s">
        <v>2034</v>
      </c>
      <c r="D153" s="716" t="s">
        <v>2035</v>
      </c>
      <c r="E153" s="559">
        <v>377</v>
      </c>
      <c r="F153" s="1302" cm="1">
        <f t="array" ref="F153">+IF(SUM(VALUE(N153:Q153)*$N$7:$Q$7)=0,R153,T153)</f>
        <v>21808.799999999999</v>
      </c>
      <c r="G153" s="103">
        <f t="shared" si="10"/>
        <v>21808.799999999999</v>
      </c>
      <c r="H153" s="717">
        <v>45458</v>
      </c>
      <c r="I153" s="1303" cm="1">
        <f t="array" ref="I153">+IF(SUM(VALUE(N153:Q153)*$N$7:$Q$7)=0,S153,U153)</f>
        <v>0</v>
      </c>
      <c r="J153" s="103">
        <f t="shared" si="11"/>
        <v>0</v>
      </c>
      <c r="K153" s="103"/>
      <c r="M153"/>
      <c r="N153" s="1300">
        <v>0</v>
      </c>
      <c r="O153" s="1300">
        <v>0</v>
      </c>
      <c r="P153" s="1300">
        <v>0</v>
      </c>
      <c r="Q153" s="1300">
        <v>1</v>
      </c>
      <c r="R153" s="1266">
        <v>21808.799999999999</v>
      </c>
      <c r="S153" s="1266">
        <v>0</v>
      </c>
      <c r="T153" s="1266">
        <f>+IF($Q153=1,$G153,INDEX([1]Summary!$K$5:$K$110,MATCH($C153,[1]Summary!$D$5:$D254,0)))</f>
        <v>21808.799999999999</v>
      </c>
      <c r="U153" s="1266">
        <f>+IF($Q153=1,$J153,INDEX([1]Summary!$L$5:$L$110,MATCH($C153,[1]Summary!$D$5:$D254,0)))</f>
        <v>0</v>
      </c>
      <c r="V153" s="721"/>
      <c r="W153" s="721"/>
      <c r="X153" s="721"/>
      <c r="Y153" s="721"/>
      <c r="Z153" s="721"/>
      <c r="AA153" s="721"/>
      <c r="AB153" s="721"/>
      <c r="AC153" s="721"/>
      <c r="AD153" s="721"/>
      <c r="AE153" s="105"/>
      <c r="AI153" s="105"/>
      <c r="AJ153" s="105"/>
      <c r="AN153" s="105"/>
      <c r="AO153" s="105"/>
      <c r="AP153" s="105"/>
    </row>
    <row r="154" spans="1:42" outlineLevel="1">
      <c r="A154" s="545">
        <f>MAX($A$10:A153)+1</f>
        <v>145</v>
      </c>
      <c r="B154" s="716" t="s">
        <v>1799</v>
      </c>
      <c r="C154" s="716" t="s">
        <v>2036</v>
      </c>
      <c r="D154" s="716" t="s">
        <v>2037</v>
      </c>
      <c r="E154" s="559">
        <v>376.3</v>
      </c>
      <c r="F154" s="1302" cm="1">
        <f t="array" ref="F154">+IF(SUM(VALUE(N154:Q154)*$N$7:$Q$7)=0,R154,T154)</f>
        <v>343625.52</v>
      </c>
      <c r="G154" s="103">
        <f t="shared" si="10"/>
        <v>343625.52</v>
      </c>
      <c r="H154" s="717">
        <v>45458</v>
      </c>
      <c r="I154" s="1303" cm="1">
        <f t="array" ref="I154">+IF(SUM(VALUE(N154:Q154)*$N$7:$Q$7)=0,S154,U154)</f>
        <v>0</v>
      </c>
      <c r="J154" s="103">
        <f t="shared" si="11"/>
        <v>0</v>
      </c>
      <c r="K154" s="103"/>
      <c r="M154"/>
      <c r="N154" s="1300">
        <v>0</v>
      </c>
      <c r="O154" s="1300">
        <v>0</v>
      </c>
      <c r="P154" s="1300">
        <v>0</v>
      </c>
      <c r="Q154" s="1300">
        <v>1</v>
      </c>
      <c r="R154" s="1266">
        <v>343625.52</v>
      </c>
      <c r="S154" s="1266">
        <v>0</v>
      </c>
      <c r="T154" s="1266">
        <f>+IF($Q154=1,$G154,INDEX([1]Summary!$K$5:$K$110,MATCH($C154,[1]Summary!$D$5:$D255,0)))</f>
        <v>343625.52</v>
      </c>
      <c r="U154" s="1266">
        <f>+IF($Q154=1,$J154,INDEX([1]Summary!$L$5:$L$110,MATCH($C154,[1]Summary!$D$5:$D255,0)))</f>
        <v>0</v>
      </c>
      <c r="V154" s="721"/>
      <c r="W154" s="721"/>
      <c r="X154" s="721"/>
      <c r="Y154" s="721"/>
      <c r="Z154" s="721"/>
      <c r="AA154" s="721"/>
      <c r="AB154" s="721"/>
      <c r="AC154" s="721"/>
      <c r="AD154" s="721"/>
      <c r="AE154" s="105"/>
      <c r="AI154" s="105"/>
      <c r="AJ154" s="105"/>
      <c r="AN154" s="105"/>
      <c r="AO154" s="105"/>
      <c r="AP154" s="105"/>
    </row>
    <row r="155" spans="1:42" outlineLevel="1">
      <c r="A155" s="545">
        <f>MAX($A$10:A154)+1</f>
        <v>146</v>
      </c>
      <c r="B155" s="716" t="s">
        <v>1799</v>
      </c>
      <c r="C155" s="716" t="s">
        <v>2038</v>
      </c>
      <c r="D155" s="716" t="s">
        <v>2039</v>
      </c>
      <c r="E155" s="559">
        <v>376.2</v>
      </c>
      <c r="F155" s="1302" cm="1">
        <f t="array" ref="F155">+IF(SUM(VALUE(N155:Q155)*$N$7:$Q$7)=0,R155,T155)</f>
        <v>0</v>
      </c>
      <c r="G155" s="103">
        <f t="shared" si="10"/>
        <v>0</v>
      </c>
      <c r="H155" s="717">
        <v>45626</v>
      </c>
      <c r="I155" s="1303" cm="1">
        <f t="array" ref="I155">+IF(SUM(VALUE(N155:Q155)*$N$7:$Q$7)=0,S155,U155)</f>
        <v>1634772.28</v>
      </c>
      <c r="J155" s="103">
        <f t="shared" si="11"/>
        <v>1634772.28</v>
      </c>
      <c r="K155" s="103"/>
      <c r="M155"/>
      <c r="N155" s="1300">
        <v>0</v>
      </c>
      <c r="O155" s="1300">
        <v>1</v>
      </c>
      <c r="P155" s="1300">
        <v>0</v>
      </c>
      <c r="Q155" s="1300">
        <v>0</v>
      </c>
      <c r="R155" s="1266">
        <v>1634772.28</v>
      </c>
      <c r="S155" s="1266">
        <v>0</v>
      </c>
      <c r="T155" s="1266">
        <f>+IF($Q155=1,$G155,INDEX([1]Summary!$K$5:$K$110,MATCH($C155,[1]Summary!$D$5:$D256,0)))</f>
        <v>0</v>
      </c>
      <c r="U155" s="1266">
        <f>+IF($Q155=1,$J155,INDEX([1]Summary!$L$5:$L$110,MATCH($C155,[1]Summary!$D$5:$D256,0)))</f>
        <v>1634772.28</v>
      </c>
      <c r="V155" s="721"/>
      <c r="W155" s="721"/>
      <c r="X155" s="721"/>
      <c r="Y155" s="721"/>
      <c r="Z155" s="721"/>
      <c r="AA155" s="721"/>
      <c r="AB155" s="721"/>
      <c r="AC155" s="721"/>
      <c r="AD155" s="721"/>
      <c r="AE155" s="105"/>
      <c r="AI155" s="105"/>
      <c r="AJ155" s="105"/>
      <c r="AN155" s="105"/>
      <c r="AO155" s="105"/>
      <c r="AP155" s="105"/>
    </row>
    <row r="156" spans="1:42" outlineLevel="1">
      <c r="A156" s="545">
        <f>MAX($A$10:A155)+1</f>
        <v>147</v>
      </c>
      <c r="B156" s="716" t="s">
        <v>1799</v>
      </c>
      <c r="C156" s="716" t="s">
        <v>2040</v>
      </c>
      <c r="D156" s="716" t="s">
        <v>2041</v>
      </c>
      <c r="E156" s="559">
        <v>377</v>
      </c>
      <c r="F156" s="1302" cm="1">
        <f t="array" ref="F156">+IF(SUM(VALUE(N156:Q156)*$N$7:$Q$7)=0,R156,T156)</f>
        <v>30290</v>
      </c>
      <c r="G156" s="103">
        <f t="shared" si="10"/>
        <v>30290</v>
      </c>
      <c r="H156" s="717" t="s">
        <v>2042</v>
      </c>
      <c r="I156" s="1303" cm="1">
        <f t="array" ref="I156">+IF(SUM(VALUE(N156:Q156)*$N$7:$Q$7)=0,S156,U156)</f>
        <v>0</v>
      </c>
      <c r="J156" s="103">
        <f t="shared" si="11"/>
        <v>0</v>
      </c>
      <c r="K156" s="103"/>
      <c r="M156"/>
      <c r="N156" s="1300">
        <v>0</v>
      </c>
      <c r="O156" s="1300">
        <v>0</v>
      </c>
      <c r="P156" s="1300">
        <v>0</v>
      </c>
      <c r="Q156" s="1300">
        <v>1</v>
      </c>
      <c r="R156" s="1266">
        <v>30290</v>
      </c>
      <c r="S156" s="1266">
        <v>0</v>
      </c>
      <c r="T156" s="1266">
        <f>+IF($Q156=1,$G156,INDEX([1]Summary!$K$5:$K$110,MATCH($C156,[1]Summary!$D$5:$D257,0)))</f>
        <v>30290</v>
      </c>
      <c r="U156" s="1266">
        <f>+IF($Q156=1,$J156,INDEX([1]Summary!$L$5:$L$110,MATCH($C156,[1]Summary!$D$5:$D257,0)))</f>
        <v>0</v>
      </c>
      <c r="V156" s="721"/>
      <c r="W156" s="721"/>
      <c r="X156" s="721"/>
      <c r="Y156" s="721"/>
      <c r="Z156" s="721"/>
      <c r="AA156" s="721"/>
      <c r="AB156" s="721"/>
      <c r="AC156" s="721"/>
      <c r="AD156" s="721"/>
      <c r="AE156" s="105"/>
      <c r="AI156" s="105"/>
      <c r="AJ156" s="105"/>
      <c r="AN156" s="105"/>
      <c r="AO156" s="105"/>
      <c r="AP156" s="105"/>
    </row>
    <row r="157" spans="1:42" outlineLevel="1">
      <c r="A157" s="545">
        <f>MAX($A$10:A156)+1</f>
        <v>148</v>
      </c>
      <c r="B157" s="716" t="s">
        <v>1799</v>
      </c>
      <c r="C157" s="716" t="s">
        <v>2043</v>
      </c>
      <c r="D157" s="716" t="s">
        <v>2044</v>
      </c>
      <c r="E157" s="559">
        <v>376.2</v>
      </c>
      <c r="F157" s="1302" cm="1">
        <f t="array" ref="F157">+IF(SUM(VALUE(N157:Q157)*$N$7:$Q$7)=0,R157,T157)</f>
        <v>512719.18</v>
      </c>
      <c r="G157" s="103">
        <f t="shared" si="10"/>
        <v>512719.18</v>
      </c>
      <c r="H157" s="717">
        <v>45345</v>
      </c>
      <c r="I157" s="1303" cm="1">
        <f t="array" ref="I157">+IF(SUM(VALUE(N157:Q157)*$N$7:$Q$7)=0,S157,U157)</f>
        <v>0</v>
      </c>
      <c r="J157" s="103"/>
      <c r="K157" s="103"/>
      <c r="M157"/>
      <c r="N157" s="1300">
        <v>0</v>
      </c>
      <c r="O157" s="1300">
        <v>0</v>
      </c>
      <c r="P157" s="1300">
        <v>0</v>
      </c>
      <c r="Q157" s="1300">
        <v>1</v>
      </c>
      <c r="R157" s="1266">
        <v>512719.18</v>
      </c>
      <c r="S157" s="1266">
        <v>0</v>
      </c>
      <c r="T157" s="1266">
        <f>+IF($Q157=1,$G157,INDEX([1]Summary!$K$5:$K$110,MATCH($C157,[1]Summary!$D$5:$D258,0)))</f>
        <v>512719.18</v>
      </c>
      <c r="U157" s="1266">
        <f>+IF($Q157=1,$J157,INDEX([1]Summary!$L$5:$L$110,MATCH($C157,[1]Summary!$D$5:$D258,0)))</f>
        <v>0</v>
      </c>
      <c r="V157" s="721"/>
      <c r="W157" s="721"/>
      <c r="X157" s="721"/>
      <c r="Y157" s="721"/>
      <c r="Z157" s="721"/>
      <c r="AA157" s="721"/>
      <c r="AB157" s="721"/>
      <c r="AC157" s="721"/>
      <c r="AD157" s="721"/>
      <c r="AE157" s="105"/>
      <c r="AI157" s="105"/>
      <c r="AJ157" s="105"/>
      <c r="AN157" s="105"/>
      <c r="AO157" s="105"/>
      <c r="AP157" s="105"/>
    </row>
    <row r="158" spans="1:42" outlineLevel="1">
      <c r="A158" s="545">
        <f>MAX($A$10:A157)+1</f>
        <v>149</v>
      </c>
      <c r="B158" s="716" t="s">
        <v>1799</v>
      </c>
      <c r="C158" s="716" t="s">
        <v>2045</v>
      </c>
      <c r="D158" s="716" t="s">
        <v>2046</v>
      </c>
      <c r="E158" s="559">
        <v>376.2</v>
      </c>
      <c r="F158" s="1302" cm="1">
        <f t="array" ref="F158">+IF(SUM(VALUE(N158:Q158)*$N$7:$Q$7)=0,R158,T158)</f>
        <v>76795.741768000007</v>
      </c>
      <c r="G158" s="103">
        <f t="shared" si="10"/>
        <v>76795.741768000007</v>
      </c>
      <c r="H158" s="717">
        <v>45350</v>
      </c>
      <c r="I158" s="1303" cm="1">
        <f t="array" ref="I158">+IF(SUM(VALUE(N158:Q158)*$N$7:$Q$7)=0,S158,U158)</f>
        <v>0</v>
      </c>
      <c r="J158" s="103"/>
      <c r="K158" s="103"/>
      <c r="M158"/>
      <c r="N158" s="1300">
        <v>0</v>
      </c>
      <c r="O158" s="1300">
        <v>0</v>
      </c>
      <c r="P158" s="1300">
        <v>0</v>
      </c>
      <c r="Q158" s="1300">
        <v>1</v>
      </c>
      <c r="R158" s="1266">
        <v>76795.741768000007</v>
      </c>
      <c r="S158" s="1266">
        <v>0</v>
      </c>
      <c r="T158" s="1266">
        <f>+IF($Q158=1,$G158,INDEX([1]Summary!$K$5:$K$110,MATCH($C158,[1]Summary!$D$5:$D259,0)))</f>
        <v>76795.741768000007</v>
      </c>
      <c r="U158" s="1266">
        <f>+IF($Q158=1,$J158,INDEX([1]Summary!$L$5:$L$110,MATCH($C158,[1]Summary!$D$5:$D259,0)))</f>
        <v>0</v>
      </c>
      <c r="V158" s="721"/>
      <c r="W158" s="721"/>
      <c r="X158" s="721"/>
      <c r="Y158" s="721"/>
      <c r="Z158" s="721"/>
      <c r="AA158" s="721"/>
      <c r="AB158" s="721"/>
      <c r="AC158" s="721"/>
      <c r="AD158" s="721"/>
      <c r="AE158" s="105"/>
      <c r="AI158" s="105"/>
      <c r="AJ158" s="105"/>
      <c r="AN158" s="105"/>
      <c r="AO158" s="105"/>
      <c r="AP158" s="105"/>
    </row>
    <row r="159" spans="1:42" outlineLevel="1">
      <c r="A159" s="545">
        <f>MAX($A$10:A158)+1</f>
        <v>150</v>
      </c>
      <c r="B159" s="716" t="s">
        <v>1799</v>
      </c>
      <c r="C159" s="716" t="s">
        <v>2047</v>
      </c>
      <c r="D159" s="716" t="s">
        <v>2048</v>
      </c>
      <c r="E159" s="559">
        <v>379</v>
      </c>
      <c r="F159" s="1302" cm="1">
        <f t="array" ref="F159">+IF(SUM(VALUE(N159:Q159)*$N$7:$Q$7)=0,R159,T159)</f>
        <v>4024.9238160000004</v>
      </c>
      <c r="G159" s="103">
        <f t="shared" si="10"/>
        <v>4024.9238160000004</v>
      </c>
      <c r="H159" s="717">
        <v>45349</v>
      </c>
      <c r="I159" s="1303" cm="1">
        <f t="array" ref="I159">+IF(SUM(VALUE(N159:Q159)*$N$7:$Q$7)=0,S159,U159)</f>
        <v>0</v>
      </c>
      <c r="J159" s="103"/>
      <c r="K159" s="103"/>
      <c r="M159"/>
      <c r="N159" s="1300">
        <v>0</v>
      </c>
      <c r="O159" s="1300">
        <v>0</v>
      </c>
      <c r="P159" s="1300">
        <v>0</v>
      </c>
      <c r="Q159" s="1300">
        <v>1</v>
      </c>
      <c r="R159" s="1266">
        <v>4024.9238160000004</v>
      </c>
      <c r="S159" s="1266">
        <v>0</v>
      </c>
      <c r="T159" s="1266">
        <f>+IF($Q159=1,$G159,INDEX([1]Summary!$K$5:$K$110,MATCH($C159,[1]Summary!$D$5:$D260,0)))</f>
        <v>4024.9238160000004</v>
      </c>
      <c r="U159" s="1266">
        <f>+IF($Q159=1,$J159,INDEX([1]Summary!$L$5:$L$110,MATCH($C159,[1]Summary!$D$5:$D260,0)))</f>
        <v>0</v>
      </c>
      <c r="V159" s="721"/>
      <c r="W159" s="721"/>
      <c r="X159" s="721"/>
      <c r="Y159" s="721"/>
      <c r="Z159" s="721"/>
      <c r="AA159" s="721"/>
      <c r="AB159" s="721"/>
      <c r="AC159" s="721"/>
      <c r="AD159" s="721"/>
      <c r="AE159" s="105"/>
      <c r="AI159" s="105"/>
      <c r="AJ159" s="105"/>
      <c r="AN159" s="105"/>
      <c r="AO159" s="105"/>
      <c r="AP159" s="105"/>
    </row>
    <row r="160" spans="1:42" outlineLevel="1">
      <c r="A160" s="545">
        <f>MAX($A$10:A159)+1</f>
        <v>151</v>
      </c>
      <c r="B160" s="716" t="s">
        <v>1799</v>
      </c>
      <c r="C160" s="716" t="s">
        <v>2049</v>
      </c>
      <c r="D160" s="716" t="s">
        <v>2050</v>
      </c>
      <c r="E160" s="559">
        <v>378</v>
      </c>
      <c r="F160" s="1302" cm="1">
        <f t="array" ref="F160">+IF(SUM(VALUE(N160:Q160)*$N$7:$Q$7)=0,R160,T160)</f>
        <v>53708.996095999995</v>
      </c>
      <c r="G160" s="103">
        <f t="shared" si="10"/>
        <v>53708.996095999995</v>
      </c>
      <c r="H160" s="717">
        <v>45381</v>
      </c>
      <c r="I160" s="1303" cm="1">
        <f t="array" ref="I160">+IF(SUM(VALUE(N160:Q160)*$N$7:$Q$7)=0,S160,U160)</f>
        <v>0</v>
      </c>
      <c r="J160" s="103"/>
      <c r="K160" s="103"/>
      <c r="M160"/>
      <c r="N160" s="1300">
        <v>0</v>
      </c>
      <c r="O160" s="1300">
        <v>0</v>
      </c>
      <c r="P160" s="1300">
        <v>0</v>
      </c>
      <c r="Q160" s="1300">
        <v>1</v>
      </c>
      <c r="R160" s="1266">
        <v>53708.996095999995</v>
      </c>
      <c r="S160" s="1266">
        <v>0</v>
      </c>
      <c r="T160" s="1266">
        <f>+IF($Q160=1,$G160,INDEX([1]Summary!$K$5:$K$110,MATCH($C160,[1]Summary!$D$5:$D261,0)))</f>
        <v>53708.996095999995</v>
      </c>
      <c r="U160" s="1266">
        <f>+IF($Q160=1,$J160,INDEX([1]Summary!$L$5:$L$110,MATCH($C160,[1]Summary!$D$5:$D261,0)))</f>
        <v>0</v>
      </c>
      <c r="V160" s="721"/>
      <c r="W160" s="721"/>
      <c r="X160" s="721"/>
      <c r="Y160" s="721"/>
      <c r="Z160" s="721"/>
      <c r="AA160" s="721"/>
      <c r="AB160" s="721"/>
      <c r="AC160" s="721"/>
      <c r="AD160" s="721"/>
      <c r="AE160" s="105"/>
      <c r="AI160" s="105"/>
      <c r="AJ160" s="105"/>
      <c r="AN160" s="105"/>
      <c r="AO160" s="105"/>
      <c r="AP160" s="105"/>
    </row>
    <row r="161" spans="1:42" outlineLevel="1">
      <c r="A161" s="545">
        <f>MAX($A$10:A160)+1</f>
        <v>152</v>
      </c>
      <c r="B161" s="716" t="s">
        <v>1799</v>
      </c>
      <c r="C161" s="716" t="s">
        <v>2051</v>
      </c>
      <c r="D161" s="716" t="s">
        <v>2052</v>
      </c>
      <c r="E161" s="559">
        <v>379</v>
      </c>
      <c r="F161" s="1302" cm="1">
        <f t="array" ref="F161">+IF(SUM(VALUE(N161:Q161)*$N$7:$Q$7)=0,R161,T161)</f>
        <v>3930.4877160000005</v>
      </c>
      <c r="G161" s="103">
        <f t="shared" si="10"/>
        <v>3930.4877160000005</v>
      </c>
      <c r="H161" s="717">
        <v>45378</v>
      </c>
      <c r="I161" s="1303" cm="1">
        <f t="array" ref="I161">+IF(SUM(VALUE(N161:Q161)*$N$7:$Q$7)=0,S161,U161)</f>
        <v>0</v>
      </c>
      <c r="J161" s="103"/>
      <c r="K161" s="103"/>
      <c r="M161"/>
      <c r="N161" s="1300">
        <v>0</v>
      </c>
      <c r="O161" s="1300">
        <v>0</v>
      </c>
      <c r="P161" s="1300">
        <v>0</v>
      </c>
      <c r="Q161" s="1300">
        <v>1</v>
      </c>
      <c r="R161" s="1266">
        <v>3930.4877160000005</v>
      </c>
      <c r="S161" s="1266">
        <v>0</v>
      </c>
      <c r="T161" s="1266">
        <f>+IF($Q161=1,$G161,INDEX([1]Summary!$K$5:$K$110,MATCH($C161,[1]Summary!$D$5:$D262,0)))</f>
        <v>3930.4877160000005</v>
      </c>
      <c r="U161" s="1266">
        <f>+IF($Q161=1,$J161,INDEX([1]Summary!$L$5:$L$110,MATCH($C161,[1]Summary!$D$5:$D262,0)))</f>
        <v>0</v>
      </c>
      <c r="V161" s="721"/>
      <c r="W161" s="721"/>
      <c r="X161" s="721"/>
      <c r="Y161" s="721"/>
      <c r="Z161" s="721"/>
      <c r="AA161" s="721"/>
      <c r="AB161" s="721"/>
      <c r="AC161" s="721"/>
      <c r="AD161" s="721"/>
      <c r="AE161" s="105"/>
      <c r="AI161" s="105"/>
      <c r="AJ161" s="105"/>
      <c r="AN161" s="105"/>
      <c r="AO161" s="105"/>
      <c r="AP161" s="105"/>
    </row>
    <row r="162" spans="1:42" outlineLevel="1">
      <c r="A162" s="545">
        <f>MAX($A$10:A161)+1</f>
        <v>153</v>
      </c>
      <c r="B162" s="716" t="s">
        <v>1799</v>
      </c>
      <c r="C162" s="716" t="s">
        <v>2053</v>
      </c>
      <c r="D162" s="716" t="s">
        <v>2054</v>
      </c>
      <c r="E162" s="559">
        <v>379</v>
      </c>
      <c r="F162" s="1302" cm="1">
        <f t="array" ref="F162">+IF(SUM(VALUE(N162:Q162)*$N$7:$Q$7)=0,R162,T162)</f>
        <v>4024.9238160000004</v>
      </c>
      <c r="G162" s="103">
        <f t="shared" si="10"/>
        <v>4024.9238160000004</v>
      </c>
      <c r="H162" s="717">
        <v>45409</v>
      </c>
      <c r="I162" s="1303" cm="1">
        <f t="array" ref="I162">+IF(SUM(VALUE(N162:Q162)*$N$7:$Q$7)=0,S162,U162)</f>
        <v>0</v>
      </c>
      <c r="J162" s="103"/>
      <c r="K162" s="103"/>
      <c r="M162"/>
      <c r="N162" s="1300">
        <v>0</v>
      </c>
      <c r="O162" s="1300">
        <v>0</v>
      </c>
      <c r="P162" s="1300">
        <v>0</v>
      </c>
      <c r="Q162" s="1300">
        <v>1</v>
      </c>
      <c r="R162" s="1266">
        <v>4024.9238160000004</v>
      </c>
      <c r="S162" s="1266">
        <v>0</v>
      </c>
      <c r="T162" s="1266">
        <f>+IF($Q162=1,$G162,INDEX([1]Summary!$K$5:$K$110,MATCH($C162,[1]Summary!$D$5:$D263,0)))</f>
        <v>4024.9238160000004</v>
      </c>
      <c r="U162" s="1266">
        <f>+IF($Q162=1,$J162,INDEX([1]Summary!$L$5:$L$110,MATCH($C162,[1]Summary!$D$5:$D263,0)))</f>
        <v>0</v>
      </c>
      <c r="V162" s="721"/>
      <c r="W162" s="721"/>
      <c r="X162" s="721"/>
      <c r="Y162" s="721"/>
      <c r="Z162" s="721"/>
      <c r="AA162" s="721"/>
      <c r="AB162" s="721"/>
      <c r="AC162" s="721"/>
      <c r="AD162" s="721"/>
      <c r="AE162" s="105"/>
      <c r="AI162" s="105"/>
      <c r="AJ162" s="105"/>
      <c r="AN162" s="105"/>
      <c r="AO162" s="105"/>
      <c r="AP162" s="105"/>
    </row>
    <row r="163" spans="1:42" outlineLevel="1">
      <c r="A163" s="545">
        <f>MAX($A$10:A162)+1</f>
        <v>154</v>
      </c>
      <c r="B163" s="716" t="s">
        <v>1799</v>
      </c>
      <c r="C163" s="716" t="s">
        <v>2055</v>
      </c>
      <c r="D163" s="716" t="s">
        <v>2056</v>
      </c>
      <c r="E163" s="559">
        <v>379</v>
      </c>
      <c r="F163" s="1302" cm="1">
        <f t="array" ref="F163">+IF(SUM(VALUE(N163:Q163)*$N$7:$Q$7)=0,R163,T163)</f>
        <v>4024.9238160000004</v>
      </c>
      <c r="G163" s="103">
        <f t="shared" si="10"/>
        <v>4024.9238160000004</v>
      </c>
      <c r="H163" s="717">
        <v>45439</v>
      </c>
      <c r="I163" s="1303" cm="1">
        <f t="array" ref="I163">+IF(SUM(VALUE(N163:Q163)*$N$7:$Q$7)=0,S163,U163)</f>
        <v>0</v>
      </c>
      <c r="J163" s="103"/>
      <c r="K163" s="103"/>
      <c r="M163"/>
      <c r="N163" s="1300">
        <v>0</v>
      </c>
      <c r="O163" s="1300">
        <v>0</v>
      </c>
      <c r="P163" s="1300">
        <v>0</v>
      </c>
      <c r="Q163" s="1300">
        <v>1</v>
      </c>
      <c r="R163" s="1266">
        <v>4024.9238160000004</v>
      </c>
      <c r="S163" s="1266">
        <v>0</v>
      </c>
      <c r="T163" s="1266">
        <f>+IF($Q163=1,$G163,INDEX([1]Summary!$K$5:$K$110,MATCH($C163,[1]Summary!$D$5:$D264,0)))</f>
        <v>4024.9238160000004</v>
      </c>
      <c r="U163" s="1266">
        <f>+IF($Q163=1,$J163,INDEX([1]Summary!$L$5:$L$110,MATCH($C163,[1]Summary!$D$5:$D264,0)))</f>
        <v>0</v>
      </c>
      <c r="V163" s="721"/>
      <c r="W163" s="721"/>
      <c r="X163" s="721"/>
      <c r="Y163" s="721"/>
      <c r="Z163" s="721"/>
      <c r="AA163" s="721"/>
      <c r="AB163" s="721"/>
      <c r="AC163" s="721"/>
      <c r="AD163" s="721"/>
      <c r="AE163" s="105"/>
      <c r="AI163" s="105"/>
      <c r="AJ163" s="105"/>
      <c r="AN163" s="105"/>
      <c r="AO163" s="105"/>
      <c r="AP163" s="105"/>
    </row>
    <row r="164" spans="1:42" outlineLevel="1">
      <c r="A164" s="545">
        <f>MAX($A$10:A163)+1</f>
        <v>155</v>
      </c>
      <c r="B164" s="716" t="s">
        <v>1799</v>
      </c>
      <c r="C164" s="716" t="s">
        <v>2057</v>
      </c>
      <c r="D164" s="716" t="s">
        <v>2058</v>
      </c>
      <c r="E164" s="559">
        <v>379</v>
      </c>
      <c r="F164" s="1302" cm="1">
        <f t="array" ref="F164">+IF(SUM(VALUE(N164:Q164)*$N$7:$Q$7)=0,R164,T164)</f>
        <v>4024.9238160000004</v>
      </c>
      <c r="G164" s="103">
        <f t="shared" si="10"/>
        <v>4024.9238160000004</v>
      </c>
      <c r="H164" s="717">
        <v>45470</v>
      </c>
      <c r="I164" s="1303" cm="1">
        <f t="array" ref="I164">+IF(SUM(VALUE(N164:Q164)*$N$7:$Q$7)=0,S164,U164)</f>
        <v>0</v>
      </c>
      <c r="J164" s="103"/>
      <c r="K164" s="103"/>
      <c r="M164"/>
      <c r="N164" s="1300">
        <v>0</v>
      </c>
      <c r="O164" s="1300">
        <v>0</v>
      </c>
      <c r="P164" s="1300">
        <v>0</v>
      </c>
      <c r="Q164" s="1300">
        <v>1</v>
      </c>
      <c r="R164" s="1266">
        <v>4024.9238160000004</v>
      </c>
      <c r="S164" s="1266">
        <v>0</v>
      </c>
      <c r="T164" s="1266">
        <f>+IF($Q164=1,$G164,INDEX([1]Summary!$K$5:$K$110,MATCH($C164,[1]Summary!$D$5:$D265,0)))</f>
        <v>4024.9238160000004</v>
      </c>
      <c r="U164" s="1266">
        <f>+IF($Q164=1,$J164,INDEX([1]Summary!$L$5:$L$110,MATCH($C164,[1]Summary!$D$5:$D265,0)))</f>
        <v>0</v>
      </c>
      <c r="V164" s="721"/>
      <c r="W164" s="721"/>
      <c r="X164" s="721"/>
      <c r="Y164" s="721"/>
      <c r="Z164" s="721"/>
      <c r="AA164" s="721"/>
      <c r="AB164" s="721"/>
      <c r="AC164" s="721"/>
      <c r="AD164" s="721"/>
      <c r="AE164" s="105"/>
      <c r="AI164" s="105"/>
      <c r="AJ164" s="105"/>
      <c r="AN164" s="105"/>
      <c r="AO164" s="105"/>
      <c r="AP164" s="105"/>
    </row>
    <row r="165" spans="1:42" outlineLevel="1">
      <c r="A165" s="545">
        <f>MAX($A$10:A164)+1</f>
        <v>156</v>
      </c>
      <c r="B165" s="716" t="s">
        <v>1799</v>
      </c>
      <c r="C165" s="716" t="s">
        <v>2059</v>
      </c>
      <c r="D165" s="716" t="s">
        <v>2060</v>
      </c>
      <c r="E165" s="559">
        <v>379</v>
      </c>
      <c r="F165" s="1302" cm="1">
        <f t="array" ref="F165">+IF(SUM(VALUE(N165:Q165)*$N$7:$Q$7)=0,R165,T165)</f>
        <v>4024.9238160000004</v>
      </c>
      <c r="G165" s="103">
        <f t="shared" si="10"/>
        <v>4024.9238160000004</v>
      </c>
      <c r="H165" s="717">
        <v>45500</v>
      </c>
      <c r="I165" s="1303" cm="1">
        <f t="array" ref="I165">+IF(SUM(VALUE(N165:Q165)*$N$7:$Q$7)=0,S165,U165)</f>
        <v>0</v>
      </c>
      <c r="J165" s="103"/>
      <c r="K165" s="103"/>
      <c r="M165"/>
      <c r="N165" s="1300">
        <v>0</v>
      </c>
      <c r="O165" s="1300">
        <v>0</v>
      </c>
      <c r="P165" s="1300">
        <v>0</v>
      </c>
      <c r="Q165" s="1300">
        <v>1</v>
      </c>
      <c r="R165" s="1266">
        <v>4024.9238160000004</v>
      </c>
      <c r="S165" s="1266">
        <v>0</v>
      </c>
      <c r="T165" s="1266">
        <f>+IF($Q165=1,$G165,INDEX([1]Summary!$K$5:$K$110,MATCH($C165,[1]Summary!$D$5:$D266,0)))</f>
        <v>4024.9238160000004</v>
      </c>
      <c r="U165" s="1266">
        <f>+IF($Q165=1,$J165,INDEX([1]Summary!$L$5:$L$110,MATCH($C165,[1]Summary!$D$5:$D266,0)))</f>
        <v>0</v>
      </c>
      <c r="V165" s="721"/>
      <c r="W165" s="721"/>
      <c r="X165" s="721"/>
      <c r="Y165" s="721"/>
      <c r="Z165" s="721"/>
      <c r="AA165" s="721"/>
      <c r="AB165" s="721"/>
      <c r="AC165" s="721"/>
      <c r="AD165" s="721"/>
      <c r="AE165" s="105"/>
      <c r="AI165" s="105"/>
      <c r="AJ165" s="105"/>
      <c r="AN165" s="105"/>
      <c r="AO165" s="105"/>
      <c r="AP165" s="105"/>
    </row>
    <row r="166" spans="1:42" outlineLevel="1">
      <c r="A166" s="545">
        <f>MAX($A$10:A165)+1</f>
        <v>157</v>
      </c>
      <c r="B166" s="716" t="s">
        <v>1799</v>
      </c>
      <c r="C166" s="716" t="s">
        <v>2061</v>
      </c>
      <c r="D166" s="716" t="s">
        <v>2062</v>
      </c>
      <c r="E166" s="559">
        <v>379</v>
      </c>
      <c r="F166" s="1302" cm="1">
        <f t="array" ref="F166">+IF(SUM(VALUE(N166:Q166)*$N$7:$Q$7)=0,R166,T166)</f>
        <v>4024.9238160000004</v>
      </c>
      <c r="G166" s="103">
        <f t="shared" si="10"/>
        <v>4024.9238160000004</v>
      </c>
      <c r="H166" s="717">
        <v>45531</v>
      </c>
      <c r="I166" s="1303" cm="1">
        <f t="array" ref="I166">+IF(SUM(VALUE(N166:Q166)*$N$7:$Q$7)=0,S166,U166)</f>
        <v>0</v>
      </c>
      <c r="J166" s="103"/>
      <c r="K166" s="103"/>
      <c r="M166"/>
      <c r="N166" s="1300">
        <v>0</v>
      </c>
      <c r="O166" s="1300">
        <v>0</v>
      </c>
      <c r="P166" s="1300">
        <v>0</v>
      </c>
      <c r="Q166" s="1300">
        <v>1</v>
      </c>
      <c r="R166" s="1266">
        <v>4024.9238160000004</v>
      </c>
      <c r="S166" s="1266">
        <v>0</v>
      </c>
      <c r="T166" s="1266">
        <f>+IF($Q166=1,$G166,INDEX([1]Summary!$K$5:$K$110,MATCH($C166,[1]Summary!$D$5:$D267,0)))</f>
        <v>4024.9238160000004</v>
      </c>
      <c r="U166" s="1266">
        <f>+IF($Q166=1,$J166,INDEX([1]Summary!$L$5:$L$110,MATCH($C166,[1]Summary!$D$5:$D267,0)))</f>
        <v>0</v>
      </c>
      <c r="V166" s="721"/>
      <c r="W166" s="721"/>
      <c r="X166" s="721"/>
      <c r="Y166" s="721"/>
      <c r="Z166" s="721"/>
      <c r="AA166" s="721"/>
      <c r="AB166" s="721"/>
      <c r="AC166" s="721"/>
      <c r="AD166" s="721"/>
      <c r="AE166" s="105"/>
      <c r="AI166" s="105"/>
      <c r="AJ166" s="105"/>
      <c r="AN166" s="105"/>
      <c r="AO166" s="105"/>
      <c r="AP166" s="105"/>
    </row>
    <row r="167" spans="1:42" outlineLevel="1">
      <c r="A167" s="545">
        <f>MAX($A$10:A166)+1</f>
        <v>158</v>
      </c>
      <c r="B167" s="716" t="s">
        <v>1799</v>
      </c>
      <c r="C167" s="716" t="s">
        <v>2063</v>
      </c>
      <c r="D167" s="716" t="s">
        <v>2064</v>
      </c>
      <c r="E167" s="559">
        <v>379</v>
      </c>
      <c r="F167" s="1302" cm="1">
        <f t="array" ref="F167">+IF(SUM(VALUE(N167:Q167)*$N$7:$Q$7)=0,R167,T167)</f>
        <v>4024.9238160000004</v>
      </c>
      <c r="G167" s="103">
        <f t="shared" si="10"/>
        <v>4024.9238160000004</v>
      </c>
      <c r="H167" s="717">
        <v>45562</v>
      </c>
      <c r="I167" s="1303" cm="1">
        <f t="array" ref="I167">+IF(SUM(VALUE(N167:Q167)*$N$7:$Q$7)=0,S167,U167)</f>
        <v>0</v>
      </c>
      <c r="J167" s="103"/>
      <c r="K167" s="103"/>
      <c r="M167"/>
      <c r="N167" s="1300">
        <v>0</v>
      </c>
      <c r="O167" s="1300">
        <v>0</v>
      </c>
      <c r="P167" s="1300">
        <v>0</v>
      </c>
      <c r="Q167" s="1300">
        <v>1</v>
      </c>
      <c r="R167" s="1266">
        <v>4024.9238160000004</v>
      </c>
      <c r="S167" s="1266">
        <v>0</v>
      </c>
      <c r="T167" s="1266">
        <f>+IF($Q167=1,$G167,INDEX([1]Summary!$K$5:$K$110,MATCH($C167,[1]Summary!$D$5:$D268,0)))</f>
        <v>4024.9238160000004</v>
      </c>
      <c r="U167" s="1266">
        <f>+IF($Q167=1,$J167,INDEX([1]Summary!$L$5:$L$110,MATCH($C167,[1]Summary!$D$5:$D268,0)))</f>
        <v>0</v>
      </c>
      <c r="V167" s="721"/>
      <c r="W167" s="721"/>
      <c r="X167" s="721"/>
      <c r="Y167" s="721"/>
      <c r="Z167" s="721"/>
      <c r="AA167" s="721"/>
      <c r="AB167" s="721"/>
      <c r="AC167" s="721"/>
      <c r="AD167" s="721"/>
      <c r="AE167" s="105"/>
      <c r="AI167" s="105"/>
      <c r="AJ167" s="105"/>
      <c r="AN167" s="105"/>
      <c r="AO167" s="105"/>
      <c r="AP167" s="105"/>
    </row>
    <row r="168" spans="1:42" outlineLevel="1">
      <c r="A168" s="545">
        <f>MAX($A$10:A167)+1</f>
        <v>159</v>
      </c>
      <c r="B168" s="716" t="s">
        <v>1799</v>
      </c>
      <c r="C168" s="716" t="s">
        <v>2065</v>
      </c>
      <c r="D168" s="716" t="s">
        <v>2066</v>
      </c>
      <c r="E168" s="559">
        <v>379</v>
      </c>
      <c r="F168" s="1302" cm="1">
        <f t="array" ref="F168">+IF(SUM(VALUE(N168:Q168)*$N$7:$Q$7)=0,R168,T168)</f>
        <v>4024.9238160000004</v>
      </c>
      <c r="G168" s="103">
        <f t="shared" si="10"/>
        <v>4024.9238160000004</v>
      </c>
      <c r="H168" s="717">
        <v>45592</v>
      </c>
      <c r="I168" s="1303" cm="1">
        <f t="array" ref="I168">+IF(SUM(VALUE(N168:Q168)*$N$7:$Q$7)=0,S168,U168)</f>
        <v>0</v>
      </c>
      <c r="J168" s="103"/>
      <c r="K168" s="103"/>
      <c r="M168"/>
      <c r="N168" s="1300">
        <v>0</v>
      </c>
      <c r="O168" s="1300">
        <v>0</v>
      </c>
      <c r="P168" s="1300">
        <v>0</v>
      </c>
      <c r="Q168" s="1300">
        <v>1</v>
      </c>
      <c r="R168" s="1266">
        <v>4024.9238160000004</v>
      </c>
      <c r="S168" s="1266">
        <v>0</v>
      </c>
      <c r="T168" s="1266">
        <f>+IF($Q168=1,$G168,INDEX([1]Summary!$K$5:$K$110,MATCH($C168,[1]Summary!$D$5:$D269,0)))</f>
        <v>4024.9238160000004</v>
      </c>
      <c r="U168" s="1266">
        <f>+IF($Q168=1,$J168,INDEX([1]Summary!$L$5:$L$110,MATCH($C168,[1]Summary!$D$5:$D269,0)))</f>
        <v>0</v>
      </c>
      <c r="V168" s="721"/>
      <c r="W168" s="721"/>
      <c r="X168" s="721"/>
      <c r="Y168" s="721"/>
      <c r="Z168" s="721"/>
      <c r="AA168" s="721"/>
      <c r="AB168" s="721"/>
      <c r="AC168" s="721"/>
      <c r="AD168" s="721"/>
      <c r="AE168" s="105"/>
      <c r="AI168" s="105"/>
      <c r="AJ168" s="105"/>
      <c r="AN168" s="105"/>
      <c r="AO168" s="105"/>
      <c r="AP168" s="105"/>
    </row>
    <row r="169" spans="1:42" outlineLevel="1">
      <c r="A169" s="545">
        <f>MAX($A$10:A168)+1</f>
        <v>160</v>
      </c>
      <c r="B169" s="716" t="s">
        <v>1799</v>
      </c>
      <c r="C169" s="716" t="s">
        <v>2067</v>
      </c>
      <c r="D169" s="716" t="s">
        <v>2068</v>
      </c>
      <c r="E169" s="559">
        <v>379</v>
      </c>
      <c r="F169" s="1302" cm="1">
        <f t="array" ref="F169">+IF(SUM(VALUE(N169:Q169)*$N$7:$Q$7)=0,R169,T169)</f>
        <v>4024.9238160000004</v>
      </c>
      <c r="G169" s="103">
        <f t="shared" si="10"/>
        <v>4024.9238160000004</v>
      </c>
      <c r="H169" s="717">
        <v>45349</v>
      </c>
      <c r="I169" s="1303" cm="1">
        <f t="array" ref="I169">+IF(SUM(VALUE(N169:Q169)*$N$7:$Q$7)=0,S169,U169)</f>
        <v>0</v>
      </c>
      <c r="J169" s="103"/>
      <c r="K169" s="103"/>
      <c r="M169"/>
      <c r="N169" s="1300">
        <v>0</v>
      </c>
      <c r="O169" s="1300">
        <v>0</v>
      </c>
      <c r="P169" s="1300">
        <v>0</v>
      </c>
      <c r="Q169" s="1300">
        <v>1</v>
      </c>
      <c r="R169" s="1266">
        <v>4024.9238160000004</v>
      </c>
      <c r="S169" s="1266">
        <v>0</v>
      </c>
      <c r="T169" s="1266">
        <f>+IF($Q169=1,$G169,INDEX([1]Summary!$K$5:$K$110,MATCH($C169,[1]Summary!$D$5:$D270,0)))</f>
        <v>4024.9238160000004</v>
      </c>
      <c r="U169" s="1266">
        <f>+IF($Q169=1,$J169,INDEX([1]Summary!$L$5:$L$110,MATCH($C169,[1]Summary!$D$5:$D270,0)))</f>
        <v>0</v>
      </c>
      <c r="V169" s="721"/>
      <c r="W169" s="721"/>
      <c r="X169" s="721"/>
      <c r="Y169" s="721"/>
      <c r="Z169" s="721"/>
      <c r="AA169" s="721"/>
      <c r="AB169" s="721"/>
      <c r="AC169" s="721"/>
      <c r="AD169" s="721"/>
      <c r="AE169" s="105"/>
      <c r="AI169" s="105"/>
      <c r="AJ169" s="105"/>
      <c r="AN169" s="105"/>
      <c r="AO169" s="105"/>
      <c r="AP169" s="105"/>
    </row>
    <row r="170" spans="1:42" outlineLevel="1">
      <c r="A170" s="545">
        <f>MAX($A$10:A169)+1</f>
        <v>161</v>
      </c>
      <c r="B170" s="716" t="s">
        <v>1799</v>
      </c>
      <c r="C170" s="716" t="s">
        <v>2069</v>
      </c>
      <c r="D170" s="716" t="s">
        <v>2070</v>
      </c>
      <c r="E170" s="559">
        <v>379</v>
      </c>
      <c r="F170" s="1302" cm="1">
        <f t="array" ref="F170">+IF(SUM(VALUE(N170:Q170)*$N$7:$Q$7)=0,R170,T170)</f>
        <v>4024.9238160000004</v>
      </c>
      <c r="G170" s="103">
        <f t="shared" si="10"/>
        <v>4024.9238160000004</v>
      </c>
      <c r="H170" s="717">
        <v>45378</v>
      </c>
      <c r="I170" s="1303" cm="1">
        <f t="array" ref="I170">+IF(SUM(VALUE(N170:Q170)*$N$7:$Q$7)=0,S170,U170)</f>
        <v>0</v>
      </c>
      <c r="J170" s="103"/>
      <c r="K170" s="103"/>
      <c r="M170"/>
      <c r="N170" s="1300">
        <v>0</v>
      </c>
      <c r="O170" s="1300">
        <v>0</v>
      </c>
      <c r="P170" s="1300">
        <v>0</v>
      </c>
      <c r="Q170" s="1300">
        <v>1</v>
      </c>
      <c r="R170" s="1266">
        <v>4024.9238160000004</v>
      </c>
      <c r="S170" s="1266">
        <v>0</v>
      </c>
      <c r="T170" s="1266">
        <f>+IF($Q170=1,$G170,INDEX([1]Summary!$K$5:$K$110,MATCH($C170,[1]Summary!$D$5:$D271,0)))</f>
        <v>4024.9238160000004</v>
      </c>
      <c r="U170" s="1266">
        <f>+IF($Q170=1,$J170,INDEX([1]Summary!$L$5:$L$110,MATCH($C170,[1]Summary!$D$5:$D271,0)))</f>
        <v>0</v>
      </c>
      <c r="V170" s="721"/>
      <c r="W170" s="721"/>
      <c r="X170" s="721"/>
      <c r="Y170" s="721"/>
      <c r="Z170" s="721"/>
      <c r="AA170" s="721"/>
      <c r="AB170" s="721"/>
      <c r="AC170" s="721"/>
      <c r="AD170" s="721"/>
      <c r="AE170" s="105"/>
      <c r="AI170" s="105"/>
      <c r="AJ170" s="105"/>
      <c r="AN170" s="105"/>
      <c r="AO170" s="105"/>
      <c r="AP170" s="105"/>
    </row>
    <row r="171" spans="1:42" outlineLevel="1">
      <c r="A171" s="545">
        <f>MAX($A$10:A170)+1</f>
        <v>162</v>
      </c>
      <c r="B171" s="716" t="s">
        <v>1799</v>
      </c>
      <c r="C171" s="716" t="s">
        <v>2071</v>
      </c>
      <c r="D171" s="716" t="s">
        <v>2072</v>
      </c>
      <c r="E171" s="559">
        <v>376.1</v>
      </c>
      <c r="F171" s="1302" cm="1">
        <f t="array" ref="F171">+IF(SUM(VALUE(N171:Q171)*$N$7:$Q$7)=0,R171,T171)</f>
        <v>0</v>
      </c>
      <c r="G171" s="103">
        <f t="shared" si="10"/>
        <v>0</v>
      </c>
      <c r="H171" s="717">
        <v>45427</v>
      </c>
      <c r="I171" s="1303" cm="1">
        <f t="array" ref="I171">+IF(SUM(VALUE(N171:Q171)*$N$7:$Q$7)=0,S171,U171)</f>
        <v>1001332.75</v>
      </c>
      <c r="J171" s="103"/>
      <c r="K171" s="103"/>
      <c r="M171"/>
      <c r="N171" s="1300">
        <v>0</v>
      </c>
      <c r="O171" s="1300">
        <v>1</v>
      </c>
      <c r="P171" s="1300">
        <v>0</v>
      </c>
      <c r="Q171" s="1300">
        <v>0</v>
      </c>
      <c r="R171" s="1266">
        <v>1001332.75</v>
      </c>
      <c r="S171" s="1266">
        <v>0</v>
      </c>
      <c r="T171" s="1266">
        <f>+IF($Q171=1,$G171,INDEX([1]Summary!$K$5:$K$110,MATCH($C171,[1]Summary!$D$5:$D272,0)))</f>
        <v>0</v>
      </c>
      <c r="U171" s="1266">
        <f>+IF($Q171=1,$J171,INDEX([1]Summary!$L$5:$L$110,MATCH($C171,[1]Summary!$D$5:$D272,0)))</f>
        <v>1001332.75</v>
      </c>
      <c r="V171" s="721"/>
      <c r="W171" s="721"/>
      <c r="X171" s="721"/>
      <c r="Y171" s="721"/>
      <c r="Z171" s="721"/>
      <c r="AA171" s="721"/>
      <c r="AB171" s="721"/>
      <c r="AC171" s="721"/>
      <c r="AD171" s="721"/>
      <c r="AE171" s="105"/>
      <c r="AI171" s="105"/>
      <c r="AJ171" s="105"/>
      <c r="AN171" s="105"/>
      <c r="AO171" s="105"/>
      <c r="AP171" s="105"/>
    </row>
    <row r="172" spans="1:42" outlineLevel="1">
      <c r="A172" s="545">
        <f>MAX($A$10:A171)+1</f>
        <v>163</v>
      </c>
      <c r="B172" s="716" t="s">
        <v>1799</v>
      </c>
      <c r="C172" s="716" t="s">
        <v>2073</v>
      </c>
      <c r="D172" s="716" t="s">
        <v>2074</v>
      </c>
      <c r="E172" s="559">
        <v>376.1</v>
      </c>
      <c r="F172" s="1302" cm="1">
        <f t="array" ref="F172">+IF(SUM(VALUE(N172:Q172)*$N$7:$Q$7)=0,R172,T172)</f>
        <v>754871.91</v>
      </c>
      <c r="G172" s="103">
        <f t="shared" si="10"/>
        <v>754871.91</v>
      </c>
      <c r="H172" s="717">
        <v>45356</v>
      </c>
      <c r="I172" s="1303" cm="1">
        <f t="array" ref="I172">+IF(SUM(VALUE(N172:Q172)*$N$7:$Q$7)=0,S172,U172)</f>
        <v>0</v>
      </c>
      <c r="J172" s="103"/>
      <c r="K172" s="103"/>
      <c r="M172"/>
      <c r="N172" s="1300">
        <v>0</v>
      </c>
      <c r="O172" s="1300">
        <v>0</v>
      </c>
      <c r="P172" s="1300">
        <v>0</v>
      </c>
      <c r="Q172" s="1300">
        <v>1</v>
      </c>
      <c r="R172" s="1266">
        <v>754871.91</v>
      </c>
      <c r="S172" s="1266">
        <v>0</v>
      </c>
      <c r="T172" s="1266">
        <f>+IF($Q172=1,$G172,INDEX([1]Summary!$K$5:$K$110,MATCH($C172,[1]Summary!$D$5:$D273,0)))</f>
        <v>754871.91</v>
      </c>
      <c r="U172" s="1266">
        <f>+IF($Q172=1,$J172,INDEX([1]Summary!$L$5:$L$110,MATCH($C172,[1]Summary!$D$5:$D273,0)))</f>
        <v>0</v>
      </c>
      <c r="V172" s="721"/>
      <c r="W172" s="721"/>
      <c r="X172" s="721"/>
      <c r="Y172" s="721"/>
      <c r="Z172" s="721"/>
      <c r="AA172" s="721"/>
      <c r="AB172" s="721"/>
      <c r="AC172" s="721"/>
      <c r="AD172" s="721"/>
      <c r="AE172" s="105"/>
      <c r="AI172" s="105"/>
      <c r="AJ172" s="105"/>
      <c r="AN172" s="105"/>
      <c r="AO172" s="105"/>
      <c r="AP172" s="105"/>
    </row>
    <row r="173" spans="1:42" outlineLevel="1">
      <c r="A173" s="545">
        <f>MAX($A$10:A172)+1</f>
        <v>164</v>
      </c>
      <c r="B173" s="716" t="s">
        <v>1799</v>
      </c>
      <c r="C173" s="716" t="s">
        <v>2075</v>
      </c>
      <c r="D173" s="716" t="s">
        <v>2076</v>
      </c>
      <c r="E173" s="559">
        <v>378</v>
      </c>
      <c r="F173" s="1302" cm="1">
        <f t="array" ref="F173">+IF(SUM(VALUE(N173:Q173)*$N$7:$Q$7)=0,R173,T173)</f>
        <v>98907.725646999999</v>
      </c>
      <c r="G173" s="103">
        <f t="shared" si="10"/>
        <v>98907.725646999999</v>
      </c>
      <c r="H173" s="717">
        <v>45366</v>
      </c>
      <c r="I173" s="1303" cm="1">
        <f t="array" ref="I173">+IF(SUM(VALUE(N173:Q173)*$N$7:$Q$7)=0,S173,U173)</f>
        <v>0</v>
      </c>
      <c r="J173" s="103"/>
      <c r="K173" s="103"/>
      <c r="M173"/>
      <c r="N173" s="1300">
        <v>0</v>
      </c>
      <c r="O173" s="1300">
        <v>0</v>
      </c>
      <c r="P173" s="1300">
        <v>0</v>
      </c>
      <c r="Q173" s="1300">
        <v>1</v>
      </c>
      <c r="R173" s="1266">
        <v>98907.725646999999</v>
      </c>
      <c r="S173" s="1266">
        <v>0</v>
      </c>
      <c r="T173" s="1266">
        <f>+IF($Q173=1,$G173,INDEX([1]Summary!$K$5:$K$110,MATCH($C173,[1]Summary!$D$5:$D274,0)))</f>
        <v>98907.725646999999</v>
      </c>
      <c r="U173" s="1266">
        <f>+IF($Q173=1,$J173,INDEX([1]Summary!$L$5:$L$110,MATCH($C173,[1]Summary!$D$5:$D274,0)))</f>
        <v>0</v>
      </c>
      <c r="V173" s="721"/>
      <c r="W173" s="721"/>
      <c r="X173" s="721"/>
      <c r="Y173" s="721"/>
      <c r="Z173" s="721"/>
      <c r="AA173" s="721"/>
      <c r="AB173" s="721"/>
      <c r="AC173" s="721"/>
      <c r="AD173" s="721"/>
      <c r="AE173" s="105"/>
      <c r="AI173" s="105"/>
      <c r="AJ173" s="105"/>
      <c r="AN173" s="105"/>
      <c r="AO173" s="105"/>
      <c r="AP173" s="105"/>
    </row>
    <row r="174" spans="1:42" outlineLevel="1">
      <c r="A174" s="545">
        <f>MAX($A$10:A173)+1</f>
        <v>165</v>
      </c>
      <c r="B174" s="716" t="s">
        <v>1799</v>
      </c>
      <c r="C174" s="716" t="s">
        <v>2077</v>
      </c>
      <c r="D174" s="716" t="s">
        <v>2078</v>
      </c>
      <c r="E174" s="559">
        <v>376.3</v>
      </c>
      <c r="F174" s="1302" cm="1">
        <f t="array" ref="F174">+IF(SUM(VALUE(N174:Q174)*$N$7:$Q$7)=0,R174,T174)</f>
        <v>122656.28</v>
      </c>
      <c r="G174" s="103">
        <f t="shared" si="10"/>
        <v>122656.28</v>
      </c>
      <c r="H174" s="717">
        <v>45597</v>
      </c>
      <c r="I174" s="1303" cm="1">
        <f t="array" ref="I174">+IF(SUM(VALUE(N174:Q174)*$N$7:$Q$7)=0,S174,U174)</f>
        <v>0</v>
      </c>
      <c r="J174" s="103"/>
      <c r="K174" s="103"/>
      <c r="M174"/>
      <c r="N174" s="1300">
        <v>0</v>
      </c>
      <c r="O174" s="1300">
        <v>0</v>
      </c>
      <c r="P174" s="1300">
        <v>0</v>
      </c>
      <c r="Q174" s="1300">
        <v>1</v>
      </c>
      <c r="R174" s="1266">
        <v>122656.28</v>
      </c>
      <c r="S174" s="1266">
        <v>0</v>
      </c>
      <c r="T174" s="1266">
        <f>+IF($Q174=1,$G174,INDEX([1]Summary!$K$5:$K$110,MATCH($C174,[1]Summary!$D$5:$D275,0)))</f>
        <v>122656.28</v>
      </c>
      <c r="U174" s="1266">
        <f>+IF($Q174=1,$J174,INDEX([1]Summary!$L$5:$L$110,MATCH($C174,[1]Summary!$D$5:$D275,0)))</f>
        <v>0</v>
      </c>
      <c r="V174" s="721"/>
      <c r="W174" s="721"/>
      <c r="X174" s="721"/>
      <c r="Y174" s="721"/>
      <c r="Z174" s="721"/>
      <c r="AA174" s="721"/>
      <c r="AB174" s="721"/>
      <c r="AC174" s="721"/>
      <c r="AD174" s="721"/>
      <c r="AE174" s="105"/>
      <c r="AI174" s="105"/>
      <c r="AJ174" s="105"/>
      <c r="AN174" s="105"/>
      <c r="AO174" s="105"/>
      <c r="AP174" s="105"/>
    </row>
    <row r="175" spans="1:42" outlineLevel="1">
      <c r="A175" s="545">
        <f>MAX($A$10:A174)+1</f>
        <v>166</v>
      </c>
      <c r="B175" s="716" t="s">
        <v>1799</v>
      </c>
      <c r="C175" s="716" t="s">
        <v>2079</v>
      </c>
      <c r="D175" s="716" t="s">
        <v>2080</v>
      </c>
      <c r="E175" s="559">
        <v>377</v>
      </c>
      <c r="F175" s="1302" cm="1">
        <f t="array" ref="F175">+IF(SUM(VALUE(N175:Q175)*$N$7:$Q$7)=0,R175,T175)</f>
        <v>15145</v>
      </c>
      <c r="G175" s="103">
        <f t="shared" si="10"/>
        <v>15145</v>
      </c>
      <c r="H175" s="717">
        <v>45366</v>
      </c>
      <c r="I175" s="1303" cm="1">
        <f t="array" ref="I175">+IF(SUM(VALUE(N175:Q175)*$N$7:$Q$7)=0,S175,U175)</f>
        <v>0</v>
      </c>
      <c r="J175" s="103"/>
      <c r="K175" s="103"/>
      <c r="M175"/>
      <c r="N175" s="1300">
        <v>0</v>
      </c>
      <c r="O175" s="1300">
        <v>0</v>
      </c>
      <c r="P175" s="1300">
        <v>0</v>
      </c>
      <c r="Q175" s="1300">
        <v>1</v>
      </c>
      <c r="R175" s="1266">
        <v>15145</v>
      </c>
      <c r="S175" s="1266">
        <v>0</v>
      </c>
      <c r="T175" s="1266">
        <f>+IF($Q175=1,$G175,INDEX([1]Summary!$K$5:$K$110,MATCH($C175,[1]Summary!$D$5:$D276,0)))</f>
        <v>15145</v>
      </c>
      <c r="U175" s="1266">
        <f>+IF($Q175=1,$J175,INDEX([1]Summary!$L$5:$L$110,MATCH($C175,[1]Summary!$D$5:$D276,0)))</f>
        <v>0</v>
      </c>
      <c r="V175" s="721"/>
      <c r="W175" s="721"/>
      <c r="X175" s="721"/>
      <c r="Y175" s="721"/>
      <c r="Z175" s="721"/>
      <c r="AA175" s="721"/>
      <c r="AB175" s="721"/>
      <c r="AC175" s="721"/>
      <c r="AD175" s="721"/>
      <c r="AE175" s="105"/>
      <c r="AI175" s="105"/>
      <c r="AJ175" s="105"/>
      <c r="AN175" s="105"/>
      <c r="AO175" s="105"/>
      <c r="AP175" s="105"/>
    </row>
    <row r="176" spans="1:42" outlineLevel="1">
      <c r="A176" s="545">
        <f>MAX($A$10:A175)+1</f>
        <v>167</v>
      </c>
      <c r="B176" s="716" t="s">
        <v>1799</v>
      </c>
      <c r="C176" s="716" t="s">
        <v>2081</v>
      </c>
      <c r="D176" s="716" t="s">
        <v>2082</v>
      </c>
      <c r="E176" s="559">
        <v>379</v>
      </c>
      <c r="F176" s="1302" cm="1">
        <f t="array" ref="F176">+IF(SUM(VALUE(N176:Q176)*$N$7:$Q$7)=0,R176,T176)</f>
        <v>4582.6119119999994</v>
      </c>
      <c r="G176" s="103">
        <f t="shared" si="10"/>
        <v>4582.6119119999994</v>
      </c>
      <c r="H176" s="717">
        <v>45349</v>
      </c>
      <c r="I176" s="1303" cm="1">
        <f t="array" ref="I176">+IF(SUM(VALUE(N176:Q176)*$N$7:$Q$7)=0,S176,U176)</f>
        <v>0</v>
      </c>
      <c r="J176" s="103"/>
      <c r="K176" s="103"/>
      <c r="M176"/>
      <c r="N176" s="1300">
        <v>0</v>
      </c>
      <c r="O176" s="1300">
        <v>0</v>
      </c>
      <c r="P176" s="1300">
        <v>0</v>
      </c>
      <c r="Q176" s="1300">
        <v>1</v>
      </c>
      <c r="R176" s="1266">
        <v>4582.6119119999994</v>
      </c>
      <c r="S176" s="1266">
        <v>0</v>
      </c>
      <c r="T176" s="1266">
        <f>+IF($Q176=1,$G176,INDEX([1]Summary!$K$5:$K$110,MATCH($C176,[1]Summary!$D$5:$D277,0)))</f>
        <v>4582.6119119999994</v>
      </c>
      <c r="U176" s="1266">
        <f>+IF($Q176=1,$J176,INDEX([1]Summary!$L$5:$L$110,MATCH($C176,[1]Summary!$D$5:$D277,0)))</f>
        <v>0</v>
      </c>
      <c r="V176" s="721"/>
      <c r="W176" s="721"/>
      <c r="X176" s="721"/>
      <c r="Y176" s="721"/>
      <c r="Z176" s="721"/>
      <c r="AA176" s="721"/>
      <c r="AB176" s="721"/>
      <c r="AC176" s="721"/>
      <c r="AD176" s="721"/>
      <c r="AE176" s="105"/>
      <c r="AI176" s="105"/>
      <c r="AJ176" s="105"/>
      <c r="AN176" s="105"/>
      <c r="AO176" s="105"/>
      <c r="AP176" s="105"/>
    </row>
    <row r="177" spans="1:42" outlineLevel="1">
      <c r="A177" s="545">
        <f>MAX($A$10:A176)+1</f>
        <v>168</v>
      </c>
      <c r="B177" s="716" t="s">
        <v>1799</v>
      </c>
      <c r="C177" s="716" t="s">
        <v>2083</v>
      </c>
      <c r="D177" s="716" t="s">
        <v>2084</v>
      </c>
      <c r="E177" s="559">
        <v>379</v>
      </c>
      <c r="F177" s="1302" cm="1">
        <f t="array" ref="F177">+IF(SUM(VALUE(N177:Q177)*$N$7:$Q$7)=0,R177,T177)</f>
        <v>4582.6119119999994</v>
      </c>
      <c r="G177" s="103">
        <f t="shared" si="10"/>
        <v>4582.6119119999994</v>
      </c>
      <c r="H177" s="717">
        <v>45349</v>
      </c>
      <c r="I177" s="1303" cm="1">
        <f t="array" ref="I177">+IF(SUM(VALUE(N177:Q177)*$N$7:$Q$7)=0,S177,U177)</f>
        <v>0</v>
      </c>
      <c r="J177" s="103"/>
      <c r="K177" s="103"/>
      <c r="M177"/>
      <c r="N177" s="1300">
        <v>0</v>
      </c>
      <c r="O177" s="1300">
        <v>0</v>
      </c>
      <c r="P177" s="1300">
        <v>0</v>
      </c>
      <c r="Q177" s="1300">
        <v>1</v>
      </c>
      <c r="R177" s="1266">
        <v>4582.6119119999994</v>
      </c>
      <c r="S177" s="1266">
        <v>0</v>
      </c>
      <c r="T177" s="1266">
        <f>+IF($Q177=1,$G177,INDEX([1]Summary!$K$5:$K$110,MATCH($C177,[1]Summary!$D$5:$D278,0)))</f>
        <v>4582.6119119999994</v>
      </c>
      <c r="U177" s="1266">
        <f>+IF($Q177=1,$J177,INDEX([1]Summary!$L$5:$L$110,MATCH($C177,[1]Summary!$D$5:$D278,0)))</f>
        <v>0</v>
      </c>
      <c r="V177" s="721"/>
      <c r="W177" s="721"/>
      <c r="X177" s="721"/>
      <c r="Y177" s="721"/>
      <c r="Z177" s="721"/>
      <c r="AA177" s="721"/>
      <c r="AB177" s="721"/>
      <c r="AC177" s="721"/>
      <c r="AD177" s="721"/>
      <c r="AE177" s="105"/>
      <c r="AI177" s="105"/>
      <c r="AJ177" s="105"/>
      <c r="AN177" s="105"/>
      <c r="AO177" s="105"/>
      <c r="AP177" s="105"/>
    </row>
    <row r="178" spans="1:42" outlineLevel="1">
      <c r="A178" s="545">
        <f>MAX($A$10:A177)+1</f>
        <v>169</v>
      </c>
      <c r="B178" s="716" t="s">
        <v>1799</v>
      </c>
      <c r="C178" s="716" t="s">
        <v>2085</v>
      </c>
      <c r="D178" s="716" t="s">
        <v>2086</v>
      </c>
      <c r="E178" s="559">
        <v>379</v>
      </c>
      <c r="F178" s="1302" cm="1">
        <f t="array" ref="F178">+IF(SUM(VALUE(N178:Q178)*$N$7:$Q$7)=0,R178,T178)</f>
        <v>4591.8647419999998</v>
      </c>
      <c r="G178" s="103">
        <f t="shared" si="10"/>
        <v>4591.8647419999998</v>
      </c>
      <c r="H178" s="717">
        <v>45349</v>
      </c>
      <c r="I178" s="1303" cm="1">
        <f t="array" ref="I178">+IF(SUM(VALUE(N178:Q178)*$N$7:$Q$7)=0,S178,U178)</f>
        <v>0</v>
      </c>
      <c r="J178" s="103"/>
      <c r="K178" s="103"/>
      <c r="M178"/>
      <c r="N178" s="1300">
        <v>0</v>
      </c>
      <c r="O178" s="1300">
        <v>0</v>
      </c>
      <c r="P178" s="1300">
        <v>0</v>
      </c>
      <c r="Q178" s="1300">
        <v>1</v>
      </c>
      <c r="R178" s="1266">
        <v>4591.8647419999998</v>
      </c>
      <c r="S178" s="1266">
        <v>0</v>
      </c>
      <c r="T178" s="1266">
        <f>+IF($Q178=1,$G178,INDEX([1]Summary!$K$5:$K$110,MATCH($C178,[1]Summary!$D$5:$D279,0)))</f>
        <v>4591.8647419999998</v>
      </c>
      <c r="U178" s="1266">
        <f>+IF($Q178=1,$J178,INDEX([1]Summary!$L$5:$L$110,MATCH($C178,[1]Summary!$D$5:$D279,0)))</f>
        <v>0</v>
      </c>
      <c r="V178" s="721"/>
      <c r="W178" s="721"/>
      <c r="X178" s="721"/>
      <c r="Y178" s="721"/>
      <c r="Z178" s="721"/>
      <c r="AA178" s="721"/>
      <c r="AB178" s="721"/>
      <c r="AC178" s="721"/>
      <c r="AD178" s="721"/>
      <c r="AE178" s="105"/>
      <c r="AI178" s="105"/>
      <c r="AJ178" s="105"/>
      <c r="AN178" s="105"/>
      <c r="AO178" s="105"/>
      <c r="AP178" s="105"/>
    </row>
    <row r="179" spans="1:42" outlineLevel="1">
      <c r="A179" s="545">
        <f>MAX($A$10:A178)+1</f>
        <v>170</v>
      </c>
      <c r="B179" s="716" t="s">
        <v>1799</v>
      </c>
      <c r="C179" s="716" t="s">
        <v>2087</v>
      </c>
      <c r="D179" s="716" t="s">
        <v>2088</v>
      </c>
      <c r="E179" s="559">
        <v>379</v>
      </c>
      <c r="F179" s="1302" cm="1">
        <f t="array" ref="F179">+IF(SUM(VALUE(N179:Q179)*$N$7:$Q$7)=0,R179,T179)</f>
        <v>4582.6119119999994</v>
      </c>
      <c r="G179" s="103">
        <f t="shared" si="10"/>
        <v>4582.6119119999994</v>
      </c>
      <c r="H179" s="717">
        <v>45349</v>
      </c>
      <c r="I179" s="1303" cm="1">
        <f t="array" ref="I179">+IF(SUM(VALUE(N179:Q179)*$N$7:$Q$7)=0,S179,U179)</f>
        <v>0</v>
      </c>
      <c r="J179" s="103"/>
      <c r="K179" s="103"/>
      <c r="M179"/>
      <c r="N179" s="1300">
        <v>0</v>
      </c>
      <c r="O179" s="1300">
        <v>0</v>
      </c>
      <c r="P179" s="1300">
        <v>0</v>
      </c>
      <c r="Q179" s="1300">
        <v>1</v>
      </c>
      <c r="R179" s="1266">
        <v>4582.6119119999994</v>
      </c>
      <c r="S179" s="1266">
        <v>0</v>
      </c>
      <c r="T179" s="1266">
        <f>+IF($Q179=1,$G179,INDEX([1]Summary!$K$5:$K$110,MATCH($C179,[1]Summary!$D$5:$D280,0)))</f>
        <v>4582.6119119999994</v>
      </c>
      <c r="U179" s="1266">
        <f>+IF($Q179=1,$J179,INDEX([1]Summary!$L$5:$L$110,MATCH($C179,[1]Summary!$D$5:$D280,0)))</f>
        <v>0</v>
      </c>
      <c r="V179" s="721"/>
      <c r="W179" s="721"/>
      <c r="X179" s="721"/>
      <c r="Y179" s="721"/>
      <c r="Z179" s="721"/>
      <c r="AA179" s="721"/>
      <c r="AB179" s="721"/>
      <c r="AC179" s="721"/>
      <c r="AD179" s="721"/>
      <c r="AE179" s="105"/>
      <c r="AI179" s="105"/>
      <c r="AJ179" s="105"/>
      <c r="AN179" s="105"/>
      <c r="AO179" s="105"/>
      <c r="AP179" s="105"/>
    </row>
    <row r="180" spans="1:42" outlineLevel="1">
      <c r="A180" s="545">
        <f>MAX($A$10:A179)+1</f>
        <v>171</v>
      </c>
      <c r="B180" s="716" t="s">
        <v>1799</v>
      </c>
      <c r="C180" s="716" t="s">
        <v>2089</v>
      </c>
      <c r="D180" s="716" t="s">
        <v>2090</v>
      </c>
      <c r="E180" s="559">
        <v>376.1</v>
      </c>
      <c r="F180" s="1302" cm="1">
        <f t="array" ref="F180">+IF(SUM(VALUE(N180:Q180)*$N$7:$Q$7)=0,R180,T180)</f>
        <v>171343.33359999998</v>
      </c>
      <c r="G180" s="103">
        <f t="shared" si="10"/>
        <v>171343.33359999998</v>
      </c>
      <c r="H180" s="717">
        <v>45351</v>
      </c>
      <c r="I180" s="1303" cm="1">
        <f t="array" ref="I180">+IF(SUM(VALUE(N180:Q180)*$N$7:$Q$7)=0,S180,U180)</f>
        <v>0</v>
      </c>
      <c r="J180" s="103"/>
      <c r="K180" s="103"/>
      <c r="M180"/>
      <c r="N180" s="1300">
        <v>0</v>
      </c>
      <c r="O180" s="1300">
        <v>0</v>
      </c>
      <c r="P180" s="1300">
        <v>0</v>
      </c>
      <c r="Q180" s="1300">
        <v>1</v>
      </c>
      <c r="R180" s="1266">
        <v>171343.33359999998</v>
      </c>
      <c r="S180" s="1266">
        <v>0</v>
      </c>
      <c r="T180" s="1266">
        <f>+IF($Q180=1,$G180,INDEX([1]Summary!$K$5:$K$110,MATCH($C180,[1]Summary!$D$5:$D281,0)))</f>
        <v>171343.33359999998</v>
      </c>
      <c r="U180" s="1266">
        <f>+IF($Q180=1,$J180,INDEX([1]Summary!$L$5:$L$110,MATCH($C180,[1]Summary!$D$5:$D281,0)))</f>
        <v>0</v>
      </c>
      <c r="V180" s="721"/>
      <c r="W180" s="721"/>
      <c r="X180" s="721"/>
      <c r="Y180" s="721"/>
      <c r="Z180" s="721"/>
      <c r="AA180" s="721"/>
      <c r="AB180" s="721"/>
      <c r="AC180" s="721"/>
      <c r="AD180" s="721"/>
      <c r="AE180" s="105"/>
      <c r="AI180" s="105"/>
      <c r="AJ180" s="105"/>
      <c r="AN180" s="105"/>
      <c r="AO180" s="105"/>
      <c r="AP180" s="105"/>
    </row>
    <row r="181" spans="1:42" outlineLevel="1">
      <c r="A181" s="545">
        <f>MAX($A$10:A180)+1</f>
        <v>172</v>
      </c>
      <c r="B181" s="716" t="s">
        <v>1799</v>
      </c>
      <c r="C181" s="716" t="s">
        <v>2091</v>
      </c>
      <c r="D181" s="716" t="s">
        <v>2092</v>
      </c>
      <c r="E181" s="559">
        <v>376.1</v>
      </c>
      <c r="F181" s="1302" cm="1">
        <f t="array" ref="F181">+IF(SUM(VALUE(N181:Q181)*$N$7:$Q$7)=0,R181,T181)</f>
        <v>851809.52023000002</v>
      </c>
      <c r="G181" s="103">
        <f t="shared" si="10"/>
        <v>851809.52023000002</v>
      </c>
      <c r="H181" s="717">
        <v>45641</v>
      </c>
      <c r="I181" s="1303" cm="1">
        <f t="array" ref="I181">+IF(SUM(VALUE(N181:Q181)*$N$7:$Q$7)=0,S181,U181)</f>
        <v>0</v>
      </c>
      <c r="J181" s="103"/>
      <c r="K181" s="103"/>
      <c r="M181"/>
      <c r="N181" s="1300">
        <v>0</v>
      </c>
      <c r="O181" s="1300">
        <v>0</v>
      </c>
      <c r="P181" s="1300">
        <v>0</v>
      </c>
      <c r="Q181" s="1300">
        <v>1</v>
      </c>
      <c r="R181" s="1266">
        <v>851809.52023000002</v>
      </c>
      <c r="S181" s="1266">
        <v>0</v>
      </c>
      <c r="T181" s="1266">
        <f>+IF($Q181=1,$G181,INDEX([1]Summary!$K$5:$K$110,MATCH($C181,[1]Summary!$D$5:$D282,0)))</f>
        <v>851809.52023000002</v>
      </c>
      <c r="U181" s="1266">
        <f>+IF($Q181=1,$J181,INDEX([1]Summary!$L$5:$L$110,MATCH($C181,[1]Summary!$D$5:$D282,0)))</f>
        <v>0</v>
      </c>
      <c r="V181" s="721"/>
      <c r="W181" s="721"/>
      <c r="X181" s="721"/>
      <c r="Y181" s="721"/>
      <c r="Z181" s="721"/>
      <c r="AA181" s="721"/>
      <c r="AB181" s="721"/>
      <c r="AC181" s="721"/>
      <c r="AD181" s="721"/>
      <c r="AE181" s="105"/>
      <c r="AI181" s="105"/>
      <c r="AJ181" s="105"/>
      <c r="AN181" s="105"/>
      <c r="AO181" s="105"/>
      <c r="AP181" s="105"/>
    </row>
    <row r="182" spans="1:42" outlineLevel="1">
      <c r="A182" s="545">
        <f>MAX($A$10:A181)+1</f>
        <v>173</v>
      </c>
      <c r="B182" s="716" t="s">
        <v>1799</v>
      </c>
      <c r="C182" s="716" t="s">
        <v>2093</v>
      </c>
      <c r="D182" s="716" t="s">
        <v>2094</v>
      </c>
      <c r="E182" s="559">
        <v>376.1</v>
      </c>
      <c r="F182" s="1302" cm="1">
        <f t="array" ref="F182">+IF(SUM(VALUE(N182:Q182)*$N$7:$Q$7)=0,R182,T182)</f>
        <v>229130.5956</v>
      </c>
      <c r="G182" s="103">
        <f t="shared" si="10"/>
        <v>229130.5956</v>
      </c>
      <c r="H182" s="717">
        <v>45380</v>
      </c>
      <c r="I182" s="1303" cm="1">
        <f t="array" ref="I182">+IF(SUM(VALUE(N182:Q182)*$N$7:$Q$7)=0,S182,U182)</f>
        <v>0</v>
      </c>
      <c r="J182" s="471"/>
      <c r="K182" s="471"/>
      <c r="L182" s="471"/>
      <c r="M182"/>
      <c r="N182" s="1300">
        <v>0</v>
      </c>
      <c r="O182" s="1300">
        <v>0</v>
      </c>
      <c r="P182" s="1300">
        <v>0</v>
      </c>
      <c r="Q182" s="1300">
        <v>1</v>
      </c>
      <c r="R182" s="1266">
        <v>229130.5956</v>
      </c>
      <c r="S182" s="1266">
        <v>0</v>
      </c>
      <c r="T182" s="1266">
        <f>+IF($Q182=1,$G182,INDEX([1]Summary!$K$5:$K$110,MATCH($C182,[1]Summary!$D$5:$D283,0)))</f>
        <v>229130.5956</v>
      </c>
      <c r="U182" s="1266">
        <f>+IF($Q182=1,$J182,INDEX([1]Summary!$L$5:$L$110,MATCH($C182,[1]Summary!$D$5:$D283,0)))</f>
        <v>0</v>
      </c>
      <c r="V182" s="721"/>
      <c r="W182" s="721"/>
      <c r="X182" s="721"/>
      <c r="Y182" s="721"/>
      <c r="Z182" s="721"/>
      <c r="AA182" s="721"/>
      <c r="AB182" s="721"/>
      <c r="AC182" s="721"/>
      <c r="AD182" s="721"/>
      <c r="AE182" s="105"/>
      <c r="AI182" s="105"/>
      <c r="AJ182" s="105"/>
      <c r="AN182" s="105"/>
      <c r="AO182" s="105"/>
      <c r="AP182" s="105"/>
    </row>
    <row r="183" spans="1:42" outlineLevel="1">
      <c r="A183" s="545">
        <f>MAX($A$10:A182)+1</f>
        <v>174</v>
      </c>
      <c r="B183" s="729"/>
      <c r="C183" s="729"/>
      <c r="D183" s="730" t="s">
        <v>2095</v>
      </c>
      <c r="E183" s="560"/>
      <c r="F183" s="495">
        <f>SUM(F36:F182)</f>
        <v>69178731.677244991</v>
      </c>
      <c r="G183" s="495">
        <f>SUM(G36:G182)</f>
        <v>69178731.677244991</v>
      </c>
      <c r="H183" s="495"/>
      <c r="I183" s="713">
        <f>SUM(I36:I182)</f>
        <v>57396525.227644019</v>
      </c>
      <c r="J183" s="495">
        <f>SUM(J36:J182)</f>
        <v>52093410.857644022</v>
      </c>
      <c r="K183" s="495"/>
      <c r="L183" s="495">
        <f>SUM(L36:L182)</f>
        <v>0</v>
      </c>
      <c r="M183"/>
      <c r="N183"/>
      <c r="O183" s="449"/>
      <c r="P183" s="449"/>
      <c r="Q183" s="449"/>
      <c r="R183" s="1266"/>
      <c r="S183" s="1266"/>
      <c r="T183" s="1266"/>
      <c r="U183" s="1266"/>
      <c r="V183" s="721"/>
      <c r="W183" s="721"/>
      <c r="X183" s="721"/>
      <c r="Y183" s="721"/>
      <c r="Z183" s="721"/>
      <c r="AA183" s="721"/>
      <c r="AB183" s="721"/>
      <c r="AC183" s="721"/>
      <c r="AD183" s="721"/>
      <c r="AI183" s="105"/>
      <c r="AJ183" s="105"/>
      <c r="AN183" s="105"/>
      <c r="AO183" s="105"/>
      <c r="AP183" s="105"/>
    </row>
    <row r="184" spans="1:42" outlineLevel="1">
      <c r="A184" s="545">
        <f>MAX($A$10:A183)+1</f>
        <v>175</v>
      </c>
      <c r="B184" s="731"/>
      <c r="C184" s="731"/>
      <c r="D184" s="732"/>
      <c r="E184" s="561"/>
      <c r="F184" s="103"/>
      <c r="G184" s="103"/>
      <c r="H184" s="103"/>
      <c r="I184" s="733"/>
      <c r="J184" s="103"/>
      <c r="K184" s="103"/>
      <c r="L184" s="103"/>
      <c r="M184"/>
      <c r="N184"/>
      <c r="O184" s="449" t="s">
        <v>247</v>
      </c>
      <c r="P184" s="449"/>
      <c r="Q184" s="449"/>
      <c r="R184" s="1266"/>
      <c r="S184" s="1266"/>
      <c r="T184" s="1266"/>
      <c r="U184" s="1266"/>
      <c r="V184" s="721"/>
      <c r="W184" s="721"/>
      <c r="X184" s="721"/>
      <c r="Y184" s="721"/>
      <c r="Z184" s="721"/>
      <c r="AA184" s="721"/>
      <c r="AB184" s="721"/>
      <c r="AC184" s="721"/>
      <c r="AD184" s="721"/>
      <c r="AI184" s="105"/>
      <c r="AJ184" s="105"/>
      <c r="AN184" s="105"/>
      <c r="AO184" s="105"/>
      <c r="AP184" s="105"/>
    </row>
    <row r="185" spans="1:42" outlineLevel="1">
      <c r="A185" s="545">
        <f>MAX($A$10:A184)+1</f>
        <v>176</v>
      </c>
      <c r="B185" s="716" t="s">
        <v>2096</v>
      </c>
      <c r="C185" s="716" t="s">
        <v>2097</v>
      </c>
      <c r="D185" s="716" t="s">
        <v>2098</v>
      </c>
      <c r="E185" s="559">
        <v>396.2</v>
      </c>
      <c r="F185" s="1302" cm="1">
        <f t="array" ref="F185">+IF(SUM(VALUE(N185:Q185)*$N$7:$Q$7)=0,R185,T185)</f>
        <v>2463904.4573269999</v>
      </c>
      <c r="G185" s="103">
        <f t="shared" ref="G185:G248" si="12">+F185</f>
        <v>2463904.4573269999</v>
      </c>
      <c r="H185" s="575">
        <v>45657</v>
      </c>
      <c r="I185" s="1303" cm="1">
        <f t="array" ref="I185">+IF(SUM(VALUE(N185:Q185)*$N$7:$Q$7)=0,S185,U185)</f>
        <v>2289180.1058280002</v>
      </c>
      <c r="J185" s="103">
        <f t="shared" ref="J185:J238" si="13">+I185</f>
        <v>2289180.1058280002</v>
      </c>
      <c r="K185" s="717">
        <v>46022</v>
      </c>
      <c r="M185"/>
      <c r="N185" s="1300">
        <v>0</v>
      </c>
      <c r="O185" s="1300">
        <v>0</v>
      </c>
      <c r="P185" s="1300">
        <v>1</v>
      </c>
      <c r="Q185" s="1300">
        <v>0</v>
      </c>
      <c r="R185" s="1266">
        <v>2463904.4573269999</v>
      </c>
      <c r="S185" s="1266">
        <v>2289180.1058280002</v>
      </c>
      <c r="T185" s="1266">
        <f>+IF($Q185=1,$G185,INDEX([1]Summary!$K$5:$K$110,MATCH($C185,[1]Summary!$D$5:$D286,0)))</f>
        <v>3286821.6849999428</v>
      </c>
      <c r="U185" s="1266">
        <f>+IF($Q185=1,$J185,INDEX([1]Summary!$L$5:$L$110,MATCH($C185,[1]Summary!$D$5:$D286,0)))</f>
        <v>3852145.1189997196</v>
      </c>
      <c r="V185" s="721"/>
      <c r="W185" s="721"/>
      <c r="X185" s="721"/>
      <c r="Y185" s="721"/>
      <c r="Z185" s="721"/>
      <c r="AA185" s="721"/>
      <c r="AB185" s="721"/>
      <c r="AC185" s="721"/>
      <c r="AD185" s="721"/>
      <c r="AI185" s="105"/>
      <c r="AJ185" s="105"/>
      <c r="AN185" s="105"/>
      <c r="AO185" s="105"/>
      <c r="AP185" s="105"/>
    </row>
    <row r="186" spans="1:42" outlineLevel="1">
      <c r="A186" s="545">
        <f>MAX($A$10:A185)+1</f>
        <v>177</v>
      </c>
      <c r="B186" s="716" t="s">
        <v>2096</v>
      </c>
      <c r="C186" s="716" t="s">
        <v>2099</v>
      </c>
      <c r="D186" s="716" t="s">
        <v>2100</v>
      </c>
      <c r="E186" s="559">
        <v>397.2</v>
      </c>
      <c r="F186" s="1302" cm="1">
        <f t="array" ref="F186">+IF(SUM(VALUE(N186:Q186)*$N$7:$Q$7)=0,R186,T186)</f>
        <v>87401.493662000037</v>
      </c>
      <c r="G186" s="103">
        <f t="shared" si="12"/>
        <v>87401.493662000037</v>
      </c>
      <c r="H186" s="575">
        <v>45657</v>
      </c>
      <c r="I186" s="1303" cm="1">
        <f t="array" ref="I186">+IF(SUM(VALUE(N186:Q186)*$N$7:$Q$7)=0,S186,U186)</f>
        <v>37782.730999999992</v>
      </c>
      <c r="J186" s="103">
        <f t="shared" si="13"/>
        <v>37782.730999999992</v>
      </c>
      <c r="K186" s="717">
        <v>46022</v>
      </c>
      <c r="M186"/>
      <c r="N186" s="1300">
        <v>0</v>
      </c>
      <c r="O186" s="1300">
        <v>0</v>
      </c>
      <c r="P186" s="1300">
        <v>1</v>
      </c>
      <c r="Q186" s="1300">
        <v>0</v>
      </c>
      <c r="R186" s="1266">
        <v>87401.493662000037</v>
      </c>
      <c r="S186" s="1266">
        <v>37782.730999999992</v>
      </c>
      <c r="T186" s="1266">
        <f>+IF($Q186=1,$G186,INDEX([1]Summary!$K$5:$K$110,MATCH($C186,[1]Summary!$D$5:$D287,0)))</f>
        <v>0</v>
      </c>
      <c r="U186" s="1266">
        <f>+IF($Q186=1,$J186,INDEX([1]Summary!$L$5:$L$110,MATCH($C186,[1]Summary!$D$5:$D287,0)))</f>
        <v>0</v>
      </c>
      <c r="V186" s="721"/>
      <c r="W186" s="721"/>
      <c r="X186" s="721"/>
      <c r="Y186" s="721"/>
      <c r="Z186" s="721"/>
      <c r="AA186" s="721"/>
      <c r="AB186" s="721"/>
      <c r="AC186" s="721"/>
      <c r="AD186" s="721"/>
      <c r="AI186" s="105"/>
      <c r="AJ186" s="105"/>
      <c r="AN186" s="105"/>
      <c r="AO186" s="105"/>
      <c r="AP186" s="105"/>
    </row>
    <row r="187" spans="1:42" outlineLevel="1">
      <c r="A187" s="545">
        <f>MAX($A$10:A186)+1</f>
        <v>178</v>
      </c>
      <c r="B187" s="716" t="s">
        <v>2096</v>
      </c>
      <c r="C187" s="716" t="s">
        <v>2101</v>
      </c>
      <c r="D187" s="716" t="s">
        <v>2102</v>
      </c>
      <c r="E187" s="559">
        <v>392.2</v>
      </c>
      <c r="F187" s="1302" cm="1">
        <f t="array" ref="F187">+IF(SUM(VALUE(N187:Q187)*$N$7:$Q$7)=0,R187,T187)</f>
        <v>1060664.9308400003</v>
      </c>
      <c r="G187" s="103">
        <f t="shared" si="12"/>
        <v>1060664.9308400003</v>
      </c>
      <c r="H187" s="575">
        <v>45657</v>
      </c>
      <c r="I187" s="1303" cm="1">
        <f t="array" ref="I187">+IF(SUM(VALUE(N187:Q187)*$N$7:$Q$7)=0,S187,U187)</f>
        <v>769996.95369600004</v>
      </c>
      <c r="J187" s="103">
        <f t="shared" si="13"/>
        <v>769996.95369600004</v>
      </c>
      <c r="K187" s="717">
        <v>46022</v>
      </c>
      <c r="M187"/>
      <c r="N187" s="1300">
        <v>0</v>
      </c>
      <c r="O187" s="1300">
        <v>0</v>
      </c>
      <c r="P187" s="1300">
        <v>1</v>
      </c>
      <c r="Q187" s="1300">
        <v>0</v>
      </c>
      <c r="R187" s="1266">
        <v>1060664.9308400003</v>
      </c>
      <c r="S187" s="1266">
        <v>769996.95369600004</v>
      </c>
      <c r="T187" s="1266">
        <f>+IF($Q187=1,$G187,INDEX([1]Summary!$K$5:$K$110,MATCH($C187,[1]Summary!$D$5:$D288,0)))</f>
        <v>0</v>
      </c>
      <c r="U187" s="1266">
        <f>+IF($Q187=1,$J187,INDEX([1]Summary!$L$5:$L$110,MATCH($C187,[1]Summary!$D$5:$D288,0)))</f>
        <v>0</v>
      </c>
      <c r="V187" s="721"/>
      <c r="W187" s="721"/>
      <c r="X187" s="721"/>
      <c r="Y187" s="721"/>
      <c r="Z187" s="721"/>
      <c r="AA187" s="721"/>
      <c r="AB187" s="721"/>
      <c r="AC187" s="721"/>
      <c r="AD187" s="721"/>
      <c r="AI187" s="105"/>
      <c r="AJ187" s="105"/>
      <c r="AN187" s="105"/>
      <c r="AO187" s="105"/>
      <c r="AP187" s="105"/>
    </row>
    <row r="188" spans="1:42" outlineLevel="1">
      <c r="A188" s="545">
        <f>MAX($A$10:A187)+1</f>
        <v>179</v>
      </c>
      <c r="B188" s="716" t="s">
        <v>2096</v>
      </c>
      <c r="C188" s="716" t="s">
        <v>2103</v>
      </c>
      <c r="D188" s="716" t="s">
        <v>2104</v>
      </c>
      <c r="E188" s="559">
        <v>391.3</v>
      </c>
      <c r="F188" s="1302" cm="1">
        <f t="array" ref="F188">+IF(SUM(VALUE(N188:Q188)*$N$7:$Q$7)=0,R188,T188)</f>
        <v>113444.00484100005</v>
      </c>
      <c r="G188" s="103">
        <f t="shared" si="12"/>
        <v>113444.00484100005</v>
      </c>
      <c r="H188" s="575">
        <v>45657</v>
      </c>
      <c r="I188" s="1303" cm="1">
        <f t="array" ref="I188">+IF(SUM(VALUE(N188:Q188)*$N$7:$Q$7)=0,S188,U188)</f>
        <v>94456.827500000014</v>
      </c>
      <c r="J188" s="103">
        <f t="shared" si="13"/>
        <v>94456.827500000014</v>
      </c>
      <c r="K188" s="717">
        <v>46022</v>
      </c>
      <c r="M188"/>
      <c r="N188" s="1300">
        <v>0</v>
      </c>
      <c r="O188" s="1300">
        <v>0</v>
      </c>
      <c r="P188" s="1300">
        <v>1</v>
      </c>
      <c r="Q188" s="1300">
        <v>0</v>
      </c>
      <c r="R188" s="1266">
        <v>113444.00484100005</v>
      </c>
      <c r="S188" s="1266">
        <v>94456.827500000014</v>
      </c>
      <c r="T188" s="1266">
        <f>+IF($Q188=1,$G188,INDEX([1]Summary!$K$5:$K$110,MATCH($C188,[1]Summary!$D$5:$D289,0)))</f>
        <v>70533.544999999998</v>
      </c>
      <c r="U188" s="1266">
        <f>+IF($Q188=1,$J188,INDEX([1]Summary!$L$5:$L$110,MATCH($C188,[1]Summary!$D$5:$D289,0)))</f>
        <v>70533.544999999998</v>
      </c>
      <c r="V188" s="721"/>
      <c r="W188" s="721"/>
      <c r="X188" s="721"/>
      <c r="Y188" s="721"/>
      <c r="Z188" s="721"/>
      <c r="AA188" s="721"/>
      <c r="AB188" s="721"/>
      <c r="AC188" s="721"/>
      <c r="AD188" s="721"/>
      <c r="AI188" s="105"/>
      <c r="AJ188" s="105"/>
      <c r="AN188" s="105"/>
      <c r="AO188" s="105"/>
      <c r="AP188" s="105"/>
    </row>
    <row r="189" spans="1:42" outlineLevel="1">
      <c r="A189" s="545">
        <f>MAX($A$10:A188)+1</f>
        <v>180</v>
      </c>
      <c r="B189" s="716" t="s">
        <v>2096</v>
      </c>
      <c r="C189" s="716" t="s">
        <v>2105</v>
      </c>
      <c r="D189" s="1" t="s">
        <v>2106</v>
      </c>
      <c r="E189" s="559">
        <v>391.3</v>
      </c>
      <c r="F189" s="1302" cm="1">
        <f t="array" ref="F189">+IF(SUM(VALUE(N189:Q189)*$N$7:$Q$7)=0,R189,T189)</f>
        <v>139476.66683600002</v>
      </c>
      <c r="G189" s="103">
        <f t="shared" si="12"/>
        <v>139476.66683600002</v>
      </c>
      <c r="H189" s="575">
        <v>45657</v>
      </c>
      <c r="I189" s="1303" cm="1">
        <f t="array" ref="I189">+IF(SUM(VALUE(N189:Q189)*$N$7:$Q$7)=0,S189,U189)</f>
        <v>139796.10469999997</v>
      </c>
      <c r="J189" s="103">
        <f t="shared" si="13"/>
        <v>139796.10469999997</v>
      </c>
      <c r="K189" s="717">
        <v>46022</v>
      </c>
      <c r="M189"/>
      <c r="N189" s="1300">
        <v>0</v>
      </c>
      <c r="O189" s="1300">
        <v>0</v>
      </c>
      <c r="P189" s="1300">
        <v>1</v>
      </c>
      <c r="Q189" s="1300">
        <v>0</v>
      </c>
      <c r="R189" s="1266">
        <v>139476.66683600002</v>
      </c>
      <c r="S189" s="1266">
        <v>139796.10469999997</v>
      </c>
      <c r="T189" s="1266">
        <f>+IF($Q189=1,$G189,INDEX([1]Summary!$K$5:$K$110,MATCH($C189,[1]Summary!$D$5:$D290,0)))</f>
        <v>0</v>
      </c>
      <c r="U189" s="1266">
        <f>+IF($Q189=1,$J189,INDEX([1]Summary!$L$5:$L$110,MATCH($C189,[1]Summary!$D$5:$D290,0)))</f>
        <v>0</v>
      </c>
      <c r="V189" s="721"/>
      <c r="W189" s="721"/>
      <c r="X189" s="721"/>
      <c r="Y189" s="721"/>
      <c r="Z189" s="721"/>
      <c r="AA189" s="721"/>
      <c r="AB189" s="721"/>
      <c r="AC189" s="721"/>
      <c r="AD189" s="721"/>
      <c r="AI189" s="105"/>
      <c r="AJ189" s="105"/>
      <c r="AN189" s="105"/>
      <c r="AO189" s="105"/>
      <c r="AP189" s="105"/>
    </row>
    <row r="190" spans="1:42" outlineLevel="1">
      <c r="A190" s="545">
        <f>MAX($A$10:A189)+1</f>
        <v>181</v>
      </c>
      <c r="B190" s="716" t="s">
        <v>2096</v>
      </c>
      <c r="C190" s="716" t="s">
        <v>2107</v>
      </c>
      <c r="D190" s="716" t="s">
        <v>2108</v>
      </c>
      <c r="E190" s="559">
        <v>391.5</v>
      </c>
      <c r="F190" s="1302" cm="1">
        <f t="array" ref="F190">+IF(SUM(VALUE(N190:Q190)*$N$7:$Q$7)=0,R190,T190)</f>
        <v>97895.851235000009</v>
      </c>
      <c r="G190" s="103">
        <f t="shared" si="12"/>
        <v>97895.851235000009</v>
      </c>
      <c r="H190" s="575">
        <v>45657</v>
      </c>
      <c r="I190" s="1303" cm="1">
        <f t="array" ref="I190">+IF(SUM(VALUE(N190:Q190)*$N$7:$Q$7)=0,S190,U190)</f>
        <v>148276.99154800002</v>
      </c>
      <c r="J190" s="103">
        <f t="shared" si="13"/>
        <v>148276.99154800002</v>
      </c>
      <c r="K190" s="717">
        <v>46022</v>
      </c>
      <c r="M190"/>
      <c r="N190" s="1300">
        <v>0</v>
      </c>
      <c r="O190" s="1300">
        <v>0</v>
      </c>
      <c r="P190" s="1300">
        <v>1</v>
      </c>
      <c r="Q190" s="1300">
        <v>0</v>
      </c>
      <c r="R190" s="1266">
        <v>97895.851235000009</v>
      </c>
      <c r="S190" s="1266">
        <v>148276.99154800002</v>
      </c>
      <c r="T190" s="1266">
        <f>+IF($Q190=1,$G190,INDEX([1]Summary!$K$5:$K$110,MATCH($C190,[1]Summary!$D$5:$D291,0)))</f>
        <v>0</v>
      </c>
      <c r="U190" s="1266">
        <f>+IF($Q190=1,$J190,INDEX([1]Summary!$L$5:$L$110,MATCH($C190,[1]Summary!$D$5:$D291,0)))</f>
        <v>0</v>
      </c>
      <c r="V190" s="721"/>
      <c r="W190" s="721"/>
      <c r="X190" s="721"/>
      <c r="Y190" s="721"/>
      <c r="Z190" s="721"/>
      <c r="AA190" s="721"/>
      <c r="AB190" s="721"/>
      <c r="AC190" s="721"/>
      <c r="AD190" s="721"/>
      <c r="AI190" s="105"/>
      <c r="AJ190" s="105"/>
      <c r="AN190" s="105"/>
      <c r="AO190" s="105"/>
      <c r="AP190" s="105"/>
    </row>
    <row r="191" spans="1:42" outlineLevel="1">
      <c r="A191" s="545">
        <f>MAX($A$10:A190)+1</f>
        <v>182</v>
      </c>
      <c r="B191" s="716" t="s">
        <v>2096</v>
      </c>
      <c r="C191" s="716" t="s">
        <v>2109</v>
      </c>
      <c r="D191" s="716" t="s">
        <v>2110</v>
      </c>
      <c r="E191" s="559">
        <v>391.3</v>
      </c>
      <c r="F191" s="1302" cm="1">
        <f t="array" ref="F191">+IF(SUM(VALUE(N191:Q191)*$N$7:$Q$7)=0,R191,T191)</f>
        <v>136058.75</v>
      </c>
      <c r="G191" s="103">
        <f t="shared" si="12"/>
        <v>136058.75</v>
      </c>
      <c r="H191" s="575">
        <v>45657</v>
      </c>
      <c r="I191" s="1303" cm="1">
        <f t="array" ref="I191">+IF(SUM(VALUE(N191:Q191)*$N$7:$Q$7)=0,S191,U191)</f>
        <v>4053.38</v>
      </c>
      <c r="J191" s="103">
        <f t="shared" si="13"/>
        <v>4053.38</v>
      </c>
      <c r="K191" s="717">
        <v>46022</v>
      </c>
      <c r="M191"/>
      <c r="N191" s="1300">
        <v>0</v>
      </c>
      <c r="O191" s="1300">
        <v>0</v>
      </c>
      <c r="P191" s="1300">
        <v>0</v>
      </c>
      <c r="Q191" s="1300">
        <v>1</v>
      </c>
      <c r="R191" s="1266">
        <v>136058.75</v>
      </c>
      <c r="S191" s="1266">
        <v>4053.38</v>
      </c>
      <c r="T191" s="1266">
        <f>+IF($Q191=1,$G191,INDEX([1]Summary!$K$5:$K$110,MATCH($C191,[1]Summary!$D$5:$D292,0)))</f>
        <v>136058.75</v>
      </c>
      <c r="U191" s="1266">
        <f>+IF($Q191=1,$J191,INDEX([1]Summary!$L$5:$L$110,MATCH($C191,[1]Summary!$D$5:$D292,0)))</f>
        <v>4053.38</v>
      </c>
      <c r="V191" s="721"/>
      <c r="W191" s="721"/>
      <c r="X191" s="721"/>
      <c r="Y191" s="721"/>
      <c r="Z191" s="721"/>
      <c r="AA191" s="721"/>
      <c r="AB191" s="721"/>
      <c r="AC191" s="721"/>
      <c r="AD191" s="721"/>
      <c r="AI191" s="105"/>
      <c r="AJ191" s="105"/>
      <c r="AN191" s="105"/>
      <c r="AO191" s="105"/>
      <c r="AP191" s="105"/>
    </row>
    <row r="192" spans="1:42" outlineLevel="1">
      <c r="A192" s="545">
        <f>MAX($A$10:A191)+1</f>
        <v>183</v>
      </c>
      <c r="B192" s="716" t="s">
        <v>2096</v>
      </c>
      <c r="C192" s="716" t="s">
        <v>2111</v>
      </c>
      <c r="D192" s="716" t="s">
        <v>2112</v>
      </c>
      <c r="E192" s="559">
        <v>394.1</v>
      </c>
      <c r="F192" s="1302" cm="1">
        <f t="array" ref="F192">+IF(SUM(VALUE(N192:Q192)*$N$7:$Q$7)=0,R192,T192)</f>
        <v>163538.84</v>
      </c>
      <c r="G192" s="103">
        <f t="shared" si="12"/>
        <v>163538.84</v>
      </c>
      <c r="H192" s="575">
        <v>45657</v>
      </c>
      <c r="I192" s="1303" cm="1">
        <f t="array" ref="I192">+IF(SUM(VALUE(N192:Q192)*$N$7:$Q$7)=0,S192,U192)</f>
        <v>142508.39000000001</v>
      </c>
      <c r="J192" s="103">
        <f t="shared" si="13"/>
        <v>142508.39000000001</v>
      </c>
      <c r="K192" s="717">
        <v>46022</v>
      </c>
      <c r="M192"/>
      <c r="N192" s="1300">
        <v>0</v>
      </c>
      <c r="O192" s="1300">
        <v>0</v>
      </c>
      <c r="P192" s="1300">
        <v>1</v>
      </c>
      <c r="Q192" s="1300">
        <v>0</v>
      </c>
      <c r="R192" s="1266">
        <v>163538.84</v>
      </c>
      <c r="S192" s="1266">
        <v>142508.39000000001</v>
      </c>
      <c r="T192" s="1266">
        <f>+IF($Q192=1,$G192,INDEX([1]Summary!$K$5:$K$110,MATCH($C192,[1]Summary!$D$5:$D293,0)))</f>
        <v>0</v>
      </c>
      <c r="U192" s="1266">
        <f>+IF($Q192=1,$J192,INDEX([1]Summary!$L$5:$L$110,MATCH($C192,[1]Summary!$D$5:$D293,0)))</f>
        <v>0</v>
      </c>
      <c r="V192" s="721"/>
      <c r="W192" s="721"/>
      <c r="X192" s="721"/>
      <c r="Y192" s="721"/>
      <c r="Z192" s="721"/>
      <c r="AA192" s="721"/>
      <c r="AB192" s="721"/>
      <c r="AC192" s="721"/>
      <c r="AD192" s="721"/>
      <c r="AI192" s="105"/>
      <c r="AJ192" s="105"/>
      <c r="AN192" s="105"/>
      <c r="AO192" s="105"/>
      <c r="AP192" s="105"/>
    </row>
    <row r="193" spans="1:42" outlineLevel="1">
      <c r="A193" s="545">
        <f>MAX($A$10:A192)+1</f>
        <v>184</v>
      </c>
      <c r="B193" s="716" t="s">
        <v>2096</v>
      </c>
      <c r="C193" s="716" t="s">
        <v>2113</v>
      </c>
      <c r="D193" s="716" t="s">
        <v>2114</v>
      </c>
      <c r="E193" s="559">
        <v>397.2</v>
      </c>
      <c r="F193" s="1302" cm="1">
        <f t="array" ref="F193">+IF(SUM(VALUE(N193:Q193)*$N$7:$Q$7)=0,R193,T193)</f>
        <v>1387227.5384</v>
      </c>
      <c r="G193" s="103">
        <f t="shared" si="12"/>
        <v>1387227.5384</v>
      </c>
      <c r="H193" s="575">
        <v>45657</v>
      </c>
      <c r="I193" s="1303" cm="1">
        <f t="array" ref="I193">+IF(SUM(VALUE(N193:Q193)*$N$7:$Q$7)=0,S193,U193)</f>
        <v>0</v>
      </c>
      <c r="J193" s="103">
        <f t="shared" si="13"/>
        <v>0</v>
      </c>
      <c r="K193" s="717"/>
      <c r="M193"/>
      <c r="N193" s="1300">
        <v>0</v>
      </c>
      <c r="O193" s="1300">
        <v>0</v>
      </c>
      <c r="P193" s="1300">
        <v>1</v>
      </c>
      <c r="Q193" s="1300">
        <v>0</v>
      </c>
      <c r="R193" s="1266">
        <v>1387227.5384</v>
      </c>
      <c r="S193" s="1266">
        <v>0</v>
      </c>
      <c r="T193" s="1266">
        <f>+IF($Q193=1,$G193,INDEX([1]Summary!$K$5:$K$110,MATCH($C193,[1]Summary!$D$5:$D294,0)))</f>
        <v>422743.01833333331</v>
      </c>
      <c r="U193" s="1266">
        <f>+IF($Q193=1,$J193,INDEX([1]Summary!$L$5:$L$110,MATCH($C193,[1]Summary!$D$5:$D294,0)))</f>
        <v>422743.01833333331</v>
      </c>
      <c r="V193" s="721"/>
      <c r="W193" s="721"/>
      <c r="X193" s="721"/>
      <c r="Y193" s="721"/>
      <c r="Z193" s="721"/>
      <c r="AA193" s="721"/>
      <c r="AB193" s="721"/>
      <c r="AC193" s="721"/>
      <c r="AD193" s="721"/>
      <c r="AE193" s="716"/>
      <c r="AI193" s="105"/>
      <c r="AJ193" s="105"/>
      <c r="AN193" s="105"/>
      <c r="AO193" s="105"/>
      <c r="AP193" s="105"/>
    </row>
    <row r="194" spans="1:42" outlineLevel="1">
      <c r="A194" s="545">
        <f>MAX($A$10:A193)+1</f>
        <v>185</v>
      </c>
      <c r="B194" s="716" t="s">
        <v>2096</v>
      </c>
      <c r="C194" s="716" t="s">
        <v>2115</v>
      </c>
      <c r="D194" s="716" t="s">
        <v>2116</v>
      </c>
      <c r="E194" s="559">
        <v>397.2</v>
      </c>
      <c r="F194" s="1302" cm="1">
        <f t="array" ref="F194">+IF(SUM(VALUE(N194:Q194)*$N$7:$Q$7)=0,R194,T194)</f>
        <v>52022.181260999998</v>
      </c>
      <c r="G194" s="103">
        <f t="shared" si="12"/>
        <v>52022.181260999998</v>
      </c>
      <c r="H194" s="575">
        <v>45657</v>
      </c>
      <c r="I194" s="1303" cm="1">
        <f t="array" ref="I194">+IF(SUM(VALUE(N194:Q194)*$N$7:$Q$7)=0,S194,U194)</f>
        <v>0</v>
      </c>
      <c r="J194" s="103">
        <f t="shared" si="13"/>
        <v>0</v>
      </c>
      <c r="K194" s="717"/>
      <c r="M194"/>
      <c r="N194" s="1300">
        <v>0</v>
      </c>
      <c r="O194" s="1300">
        <v>0</v>
      </c>
      <c r="P194" s="1300">
        <v>1</v>
      </c>
      <c r="Q194" s="1300">
        <v>0</v>
      </c>
      <c r="R194" s="1266">
        <v>52022.181260999998</v>
      </c>
      <c r="S194" s="1266">
        <v>0</v>
      </c>
      <c r="T194" s="1266">
        <f>+IF($Q194=1,$G194,INDEX([1]Summary!$K$5:$K$110,MATCH($C194,[1]Summary!$D$5:$D295,0)))</f>
        <v>0</v>
      </c>
      <c r="U194" s="1266">
        <f>+IF($Q194=1,$J194,INDEX([1]Summary!$L$5:$L$110,MATCH($C194,[1]Summary!$D$5:$D295,0)))</f>
        <v>0</v>
      </c>
      <c r="V194" s="721"/>
      <c r="W194" s="721"/>
      <c r="X194" s="721"/>
      <c r="Y194" s="721"/>
      <c r="Z194" s="721"/>
      <c r="AA194" s="721"/>
      <c r="AB194" s="721"/>
      <c r="AC194" s="721"/>
      <c r="AD194" s="721"/>
      <c r="AE194" s="716"/>
      <c r="AI194" s="105"/>
      <c r="AJ194" s="105"/>
      <c r="AN194" s="105"/>
      <c r="AO194" s="105"/>
      <c r="AP194" s="105"/>
    </row>
    <row r="195" spans="1:42" outlineLevel="1">
      <c r="A195" s="545">
        <f>MAX($A$10:A194)+1</f>
        <v>186</v>
      </c>
      <c r="B195" s="716" t="s">
        <v>2096</v>
      </c>
      <c r="C195" s="716" t="s">
        <v>2117</v>
      </c>
      <c r="D195" s="716" t="s">
        <v>2118</v>
      </c>
      <c r="E195" s="559">
        <v>397.2</v>
      </c>
      <c r="F195" s="1302" cm="1">
        <f t="array" ref="F195">+IF(SUM(VALUE(N195:Q195)*$N$7:$Q$7)=0,R195,T195)</f>
        <v>72377.088960000008</v>
      </c>
      <c r="G195" s="103">
        <f t="shared" si="12"/>
        <v>72377.088960000008</v>
      </c>
      <c r="H195" s="575">
        <v>45657</v>
      </c>
      <c r="I195" s="1303" cm="1">
        <f t="array" ref="I195">+IF(SUM(VALUE(N195:Q195)*$N$7:$Q$7)=0,S195,U195)</f>
        <v>37782.731</v>
      </c>
      <c r="J195" s="103">
        <f t="shared" si="13"/>
        <v>37782.731</v>
      </c>
      <c r="K195" s="717">
        <v>46022</v>
      </c>
      <c r="M195"/>
      <c r="N195" s="1300">
        <v>0</v>
      </c>
      <c r="O195" s="1300">
        <v>0</v>
      </c>
      <c r="P195" s="1300">
        <v>0</v>
      </c>
      <c r="Q195" s="1300">
        <v>1</v>
      </c>
      <c r="R195" s="1266">
        <v>72377.088960000008</v>
      </c>
      <c r="S195" s="1266">
        <v>37782.731</v>
      </c>
      <c r="T195" s="1266">
        <f>+IF($Q195=1,$G195,INDEX([1]Summary!$K$5:$K$110,MATCH($C195,[1]Summary!$D$5:$D296,0)))</f>
        <v>72377.088960000008</v>
      </c>
      <c r="U195" s="1266">
        <f>+IF($Q195=1,$J195,INDEX([1]Summary!$L$5:$L$110,MATCH($C195,[1]Summary!$D$5:$D296,0)))</f>
        <v>37782.731</v>
      </c>
      <c r="V195" s="721"/>
      <c r="W195" s="721"/>
      <c r="X195" s="721"/>
      <c r="Y195" s="721"/>
      <c r="Z195" s="721"/>
      <c r="AA195" s="721"/>
      <c r="AB195" s="721"/>
      <c r="AC195" s="721"/>
      <c r="AD195" s="721"/>
      <c r="AE195" s="716"/>
      <c r="AI195" s="105"/>
      <c r="AJ195" s="105"/>
      <c r="AN195" s="105"/>
      <c r="AO195" s="105"/>
      <c r="AP195" s="105"/>
    </row>
    <row r="196" spans="1:42" outlineLevel="1">
      <c r="A196" s="545">
        <f>MAX($A$10:A195)+1</f>
        <v>187</v>
      </c>
      <c r="B196" s="716" t="s">
        <v>2096</v>
      </c>
      <c r="C196" s="716" t="s">
        <v>2119</v>
      </c>
      <c r="D196" s="716" t="s">
        <v>2120</v>
      </c>
      <c r="E196" s="559">
        <v>394.1</v>
      </c>
      <c r="F196" s="1302" cm="1">
        <f t="array" ref="F196">+IF(SUM(VALUE(N196:Q196)*$N$7:$Q$7)=0,R196,T196)</f>
        <v>16945.670000000002</v>
      </c>
      <c r="G196" s="103">
        <f t="shared" si="12"/>
        <v>16945.670000000002</v>
      </c>
      <c r="H196" s="717">
        <v>45473</v>
      </c>
      <c r="I196" s="1303" cm="1">
        <f t="array" ref="I196">+IF(SUM(VALUE(N196:Q196)*$N$7:$Q$7)=0,S196,U196)</f>
        <v>0</v>
      </c>
      <c r="J196" s="103">
        <f t="shared" si="13"/>
        <v>0</v>
      </c>
      <c r="K196" s="103"/>
      <c r="M196"/>
      <c r="N196" s="1300">
        <v>0</v>
      </c>
      <c r="O196" s="1300">
        <v>0</v>
      </c>
      <c r="P196" s="1300">
        <v>0</v>
      </c>
      <c r="Q196" s="1300">
        <v>1</v>
      </c>
      <c r="R196" s="1266">
        <v>16945.670000000002</v>
      </c>
      <c r="S196" s="1266">
        <v>0</v>
      </c>
      <c r="T196" s="1266">
        <f>+IF($Q196=1,$G196,INDEX([1]Summary!$K$5:$K$110,MATCH($C196,[1]Summary!$D$5:$D297,0)))</f>
        <v>16945.670000000002</v>
      </c>
      <c r="U196" s="1266">
        <f>+IF($Q196=1,$J196,INDEX([1]Summary!$L$5:$L$110,MATCH($C196,[1]Summary!$D$5:$D297,0)))</f>
        <v>0</v>
      </c>
      <c r="V196" s="721"/>
      <c r="W196" s="721"/>
      <c r="X196" s="721"/>
      <c r="Y196" s="721"/>
      <c r="Z196" s="721"/>
      <c r="AA196" s="721"/>
      <c r="AB196" s="721"/>
      <c r="AC196" s="721"/>
      <c r="AD196" s="721"/>
      <c r="AE196" s="716"/>
      <c r="AI196" s="105"/>
      <c r="AJ196" s="105"/>
      <c r="AN196" s="105"/>
      <c r="AO196" s="105"/>
      <c r="AP196" s="105"/>
    </row>
    <row r="197" spans="1:42" outlineLevel="1">
      <c r="A197" s="545">
        <f>MAX($A$10:A196)+1</f>
        <v>188</v>
      </c>
      <c r="B197" s="716" t="s">
        <v>2096</v>
      </c>
      <c r="C197" s="105" t="s">
        <v>2121</v>
      </c>
      <c r="D197" s="105" t="s">
        <v>2122</v>
      </c>
      <c r="E197" s="559">
        <v>394.1</v>
      </c>
      <c r="F197" s="1302" cm="1">
        <f t="array" ref="F197">+IF(SUM(VALUE(N197:Q197)*$N$7:$Q$7)=0,R197,T197)</f>
        <v>14987.11</v>
      </c>
      <c r="G197" s="103">
        <f t="shared" si="12"/>
        <v>14987.11</v>
      </c>
      <c r="H197" s="721">
        <v>45468</v>
      </c>
      <c r="I197" s="1303" cm="1">
        <f t="array" ref="I197">+IF(SUM(VALUE(N197:Q197)*$N$7:$Q$7)=0,S197,U197)</f>
        <v>0</v>
      </c>
      <c r="J197" s="103">
        <f t="shared" si="13"/>
        <v>0</v>
      </c>
      <c r="K197" s="717">
        <v>45747</v>
      </c>
      <c r="M197"/>
      <c r="N197" s="1300">
        <v>0</v>
      </c>
      <c r="O197" s="1300">
        <v>0</v>
      </c>
      <c r="P197" s="1300">
        <v>0</v>
      </c>
      <c r="Q197" s="1300">
        <v>1</v>
      </c>
      <c r="R197" s="1266">
        <v>14987.11</v>
      </c>
      <c r="S197" s="1266">
        <v>0</v>
      </c>
      <c r="T197" s="1266">
        <f>+IF($Q197=1,$G197,INDEX([1]Summary!$K$5:$K$110,MATCH($C197,[1]Summary!$D$5:$D298,0)))</f>
        <v>14987.11</v>
      </c>
      <c r="U197" s="1266">
        <f>+IF($Q197=1,$J197,INDEX([1]Summary!$L$5:$L$110,MATCH($C197,[1]Summary!$D$5:$D298,0)))</f>
        <v>0</v>
      </c>
      <c r="V197" s="721"/>
      <c r="W197" s="721"/>
      <c r="X197" s="721"/>
      <c r="Y197" s="721"/>
      <c r="Z197" s="721"/>
      <c r="AA197" s="721"/>
      <c r="AB197" s="721"/>
      <c r="AC197" s="721"/>
      <c r="AD197" s="721"/>
      <c r="AE197" s="716"/>
      <c r="AI197" s="105"/>
      <c r="AJ197" s="105"/>
      <c r="AN197" s="105"/>
      <c r="AO197" s="105"/>
      <c r="AP197" s="105"/>
    </row>
    <row r="198" spans="1:42" outlineLevel="1">
      <c r="A198" s="545">
        <f>MAX($A$10:A197)+1</f>
        <v>189</v>
      </c>
      <c r="B198" s="716" t="s">
        <v>2096</v>
      </c>
      <c r="C198" s="716" t="s">
        <v>2123</v>
      </c>
      <c r="D198" s="716" t="s">
        <v>2124</v>
      </c>
      <c r="E198" s="559">
        <v>394.1</v>
      </c>
      <c r="F198" s="1302" cm="1">
        <f t="array" ref="F198">+IF(SUM(VALUE(N198:Q198)*$N$7:$Q$7)=0,R198,T198)</f>
        <v>16755.97</v>
      </c>
      <c r="G198" s="103">
        <f t="shared" si="12"/>
        <v>16755.97</v>
      </c>
      <c r="H198" s="717">
        <v>45442</v>
      </c>
      <c r="I198" s="1303" cm="1">
        <f t="array" ref="I198">+IF(SUM(VALUE(N198:Q198)*$N$7:$Q$7)=0,S198,U198)</f>
        <v>0</v>
      </c>
      <c r="J198" s="103">
        <f t="shared" si="13"/>
        <v>0</v>
      </c>
      <c r="K198" s="103"/>
      <c r="M198"/>
      <c r="N198" s="1300">
        <v>0</v>
      </c>
      <c r="O198" s="1300">
        <v>0</v>
      </c>
      <c r="P198" s="1300">
        <v>0</v>
      </c>
      <c r="Q198" s="1300">
        <v>1</v>
      </c>
      <c r="R198" s="1266">
        <v>16755.97</v>
      </c>
      <c r="S198" s="1266">
        <v>0</v>
      </c>
      <c r="T198" s="1266">
        <f>+IF($Q198=1,$G198,INDEX([1]Summary!$K$5:$K$110,MATCH($C198,[1]Summary!$D$5:$D299,0)))</f>
        <v>16755.97</v>
      </c>
      <c r="U198" s="1266">
        <f>+IF($Q198=1,$J198,INDEX([1]Summary!$L$5:$L$110,MATCH($C198,[1]Summary!$D$5:$D299,0)))</f>
        <v>0</v>
      </c>
      <c r="V198" s="721"/>
      <c r="W198" s="721"/>
      <c r="X198" s="721"/>
      <c r="Y198" s="721"/>
      <c r="Z198" s="721"/>
      <c r="AA198" s="721"/>
      <c r="AB198" s="721"/>
      <c r="AC198" s="721"/>
      <c r="AD198" s="721"/>
      <c r="AE198" s="716"/>
      <c r="AI198" s="105"/>
      <c r="AJ198" s="105"/>
      <c r="AN198" s="105"/>
      <c r="AO198" s="105"/>
      <c r="AP198" s="105"/>
    </row>
    <row r="199" spans="1:42" outlineLevel="1">
      <c r="A199" s="545">
        <f>MAX($A$10:A198)+1</f>
        <v>190</v>
      </c>
      <c r="B199" s="716" t="s">
        <v>2096</v>
      </c>
      <c r="C199" s="716" t="s">
        <v>2125</v>
      </c>
      <c r="D199" s="716" t="s">
        <v>2126</v>
      </c>
      <c r="E199" s="559">
        <v>394.1</v>
      </c>
      <c r="F199" s="1302" cm="1">
        <f t="array" ref="F199">+IF(SUM(VALUE(N199:Q199)*$N$7:$Q$7)=0,R199,T199)</f>
        <v>3970.1</v>
      </c>
      <c r="G199" s="103">
        <f t="shared" si="12"/>
        <v>3970.1</v>
      </c>
      <c r="H199" s="717">
        <v>45513</v>
      </c>
      <c r="I199" s="1303" cm="1">
        <f t="array" ref="I199">+IF(SUM(VALUE(N199:Q199)*$N$7:$Q$7)=0,S199,U199)</f>
        <v>0</v>
      </c>
      <c r="J199" s="103">
        <f t="shared" si="13"/>
        <v>0</v>
      </c>
      <c r="K199" s="103"/>
      <c r="M199"/>
      <c r="N199" s="1300">
        <v>0</v>
      </c>
      <c r="O199" s="1300">
        <v>0</v>
      </c>
      <c r="P199" s="1300">
        <v>0</v>
      </c>
      <c r="Q199" s="1300">
        <v>1</v>
      </c>
      <c r="R199" s="1266">
        <v>3970.1</v>
      </c>
      <c r="S199" s="1266">
        <v>0</v>
      </c>
      <c r="T199" s="1266">
        <f>+IF($Q199=1,$G199,INDEX([1]Summary!$K$5:$K$110,MATCH($C199,[1]Summary!$D$5:$D300,0)))</f>
        <v>3970.1</v>
      </c>
      <c r="U199" s="1266">
        <f>+IF($Q199=1,$J199,INDEX([1]Summary!$L$5:$L$110,MATCH($C199,[1]Summary!$D$5:$D300,0)))</f>
        <v>0</v>
      </c>
      <c r="V199" s="721"/>
      <c r="W199" s="721"/>
      <c r="X199" s="721"/>
      <c r="Y199" s="721"/>
      <c r="Z199" s="721"/>
      <c r="AA199" s="721"/>
      <c r="AB199" s="721"/>
      <c r="AC199" s="721"/>
      <c r="AD199" s="721"/>
      <c r="AE199" s="716"/>
      <c r="AI199" s="105"/>
      <c r="AJ199" s="105"/>
      <c r="AN199" s="105"/>
      <c r="AO199" s="105"/>
      <c r="AP199" s="105"/>
    </row>
    <row r="200" spans="1:42" outlineLevel="1">
      <c r="A200" s="545">
        <f>MAX($A$10:A199)+1</f>
        <v>191</v>
      </c>
      <c r="B200" s="716" t="s">
        <v>2096</v>
      </c>
      <c r="C200" s="716" t="s">
        <v>2127</v>
      </c>
      <c r="D200" s="716" t="s">
        <v>2128</v>
      </c>
      <c r="E200" s="559">
        <v>394.1</v>
      </c>
      <c r="F200" s="1302" cm="1">
        <f t="array" ref="F200">+IF(SUM(VALUE(N200:Q200)*$N$7:$Q$7)=0,R200,T200)</f>
        <v>10597.83</v>
      </c>
      <c r="G200" s="103">
        <f t="shared" si="12"/>
        <v>10597.83</v>
      </c>
      <c r="H200" s="717">
        <v>45382</v>
      </c>
      <c r="I200" s="1303" cm="1">
        <f t="array" ref="I200">+IF(SUM(VALUE(N200:Q200)*$N$7:$Q$7)=0,S200,U200)</f>
        <v>0</v>
      </c>
      <c r="J200" s="103">
        <f t="shared" si="13"/>
        <v>0</v>
      </c>
      <c r="K200" s="717">
        <v>46022</v>
      </c>
      <c r="M200"/>
      <c r="N200" s="1300">
        <v>0</v>
      </c>
      <c r="O200" s="1300">
        <v>0</v>
      </c>
      <c r="P200" s="1300">
        <v>0</v>
      </c>
      <c r="Q200" s="1300">
        <v>1</v>
      </c>
      <c r="R200" s="1266">
        <v>10597.83</v>
      </c>
      <c r="S200" s="1266">
        <v>0</v>
      </c>
      <c r="T200" s="1266">
        <f>+IF($Q200=1,$G200,INDEX([1]Summary!$K$5:$K$110,MATCH($C200,[1]Summary!$D$5:$D301,0)))</f>
        <v>10597.83</v>
      </c>
      <c r="U200" s="1266">
        <f>+IF($Q200=1,$J200,INDEX([1]Summary!$L$5:$L$110,MATCH($C200,[1]Summary!$D$5:$D301,0)))</f>
        <v>0</v>
      </c>
      <c r="V200" s="721"/>
      <c r="W200" s="721"/>
      <c r="X200" s="721"/>
      <c r="Y200" s="721"/>
      <c r="Z200" s="721"/>
      <c r="AA200" s="721"/>
      <c r="AB200" s="721"/>
      <c r="AC200" s="721"/>
      <c r="AD200" s="721"/>
      <c r="AE200" s="716"/>
      <c r="AI200" s="105"/>
      <c r="AJ200" s="105"/>
      <c r="AN200" s="105"/>
      <c r="AO200" s="105"/>
      <c r="AP200" s="105"/>
    </row>
    <row r="201" spans="1:42" outlineLevel="1">
      <c r="A201" s="545">
        <f>MAX($A$10:A200)+1</f>
        <v>192</v>
      </c>
      <c r="B201" s="716" t="s">
        <v>2096</v>
      </c>
      <c r="C201" s="716" t="s">
        <v>2129</v>
      </c>
      <c r="D201" s="716" t="s">
        <v>2130</v>
      </c>
      <c r="E201" s="559">
        <v>390.1</v>
      </c>
      <c r="F201" s="1302" cm="1">
        <f t="array" ref="F201">+IF(SUM(VALUE(N201:Q201)*$N$7:$Q$7)=0,R201,T201)</f>
        <v>126212.5</v>
      </c>
      <c r="G201" s="103">
        <f t="shared" si="12"/>
        <v>126212.5</v>
      </c>
      <c r="H201" s="717">
        <v>45505</v>
      </c>
      <c r="I201" s="1303" cm="1">
        <f t="array" ref="I201">+IF(SUM(VALUE(N201:Q201)*$N$7:$Q$7)=0,S201,U201)</f>
        <v>0</v>
      </c>
      <c r="J201" s="103">
        <f t="shared" si="13"/>
        <v>0</v>
      </c>
      <c r="K201" s="103"/>
      <c r="M201"/>
      <c r="N201" s="1300">
        <v>0</v>
      </c>
      <c r="O201" s="1300">
        <v>0</v>
      </c>
      <c r="P201" s="1300">
        <v>0</v>
      </c>
      <c r="Q201" s="1300">
        <v>1</v>
      </c>
      <c r="R201" s="1266">
        <v>126212.5</v>
      </c>
      <c r="S201" s="1266">
        <v>0</v>
      </c>
      <c r="T201" s="1266">
        <f>+IF($Q201=1,$G201,INDEX([1]Summary!$K$5:$K$110,MATCH($C201,[1]Summary!$D$5:$D302,0)))</f>
        <v>126212.5</v>
      </c>
      <c r="U201" s="1266">
        <f>+IF($Q201=1,$J201,INDEX([1]Summary!$L$5:$L$110,MATCH($C201,[1]Summary!$D$5:$D302,0)))</f>
        <v>0</v>
      </c>
      <c r="V201" s="721"/>
      <c r="W201" s="721"/>
      <c r="X201" s="721"/>
      <c r="Y201" s="721"/>
      <c r="Z201" s="721"/>
      <c r="AA201" s="721"/>
      <c r="AB201" s="721"/>
      <c r="AC201" s="721"/>
      <c r="AD201" s="721"/>
      <c r="AE201" s="716"/>
      <c r="AI201" s="105"/>
      <c r="AJ201" s="105"/>
      <c r="AN201" s="105"/>
      <c r="AO201" s="105"/>
      <c r="AP201" s="105"/>
    </row>
    <row r="202" spans="1:42" outlineLevel="1">
      <c r="A202" s="545">
        <f>MAX($A$10:A201)+1</f>
        <v>193</v>
      </c>
      <c r="B202" s="716" t="s">
        <v>2096</v>
      </c>
      <c r="C202" s="105" t="s">
        <v>2131</v>
      </c>
      <c r="D202" s="105" t="s">
        <v>2132</v>
      </c>
      <c r="E202" s="559">
        <v>394.1</v>
      </c>
      <c r="F202" s="1302" cm="1">
        <f t="array" ref="F202">+IF(SUM(VALUE(N202:Q202)*$N$7:$Q$7)=0,R202,T202)</f>
        <v>20141.350000000002</v>
      </c>
      <c r="G202" s="103">
        <f t="shared" si="12"/>
        <v>20141.350000000002</v>
      </c>
      <c r="H202" s="721">
        <v>45383</v>
      </c>
      <c r="I202" s="1303" cm="1">
        <f t="array" ref="I202">+IF(SUM(VALUE(N202:Q202)*$N$7:$Q$7)=0,S202,U202)</f>
        <v>0</v>
      </c>
      <c r="J202" s="103">
        <f t="shared" si="13"/>
        <v>0</v>
      </c>
      <c r="K202" s="717">
        <v>45748</v>
      </c>
      <c r="M202"/>
      <c r="N202" s="1300">
        <v>0</v>
      </c>
      <c r="O202" s="1300">
        <v>0</v>
      </c>
      <c r="P202" s="1300">
        <v>0</v>
      </c>
      <c r="Q202" s="1300">
        <v>1</v>
      </c>
      <c r="R202" s="1266">
        <v>20141.350000000002</v>
      </c>
      <c r="S202" s="1266">
        <v>0</v>
      </c>
      <c r="T202" s="1266">
        <f>+IF($Q202=1,$G202,INDEX([1]Summary!$K$5:$K$110,MATCH($C202,[1]Summary!$D$5:$D303,0)))</f>
        <v>20141.350000000002</v>
      </c>
      <c r="U202" s="1266">
        <f>+IF($Q202=1,$J202,INDEX([1]Summary!$L$5:$L$110,MATCH($C202,[1]Summary!$D$5:$D303,0)))</f>
        <v>0</v>
      </c>
      <c r="V202" s="721"/>
      <c r="W202" s="721"/>
      <c r="X202" s="721"/>
      <c r="Y202" s="721"/>
      <c r="Z202" s="721"/>
      <c r="AA202" s="721"/>
      <c r="AB202" s="721"/>
      <c r="AC202" s="721"/>
      <c r="AD202" s="721"/>
      <c r="AE202" s="716"/>
      <c r="AI202" s="105"/>
      <c r="AJ202" s="105"/>
      <c r="AN202" s="105"/>
      <c r="AO202" s="105"/>
      <c r="AP202" s="105"/>
    </row>
    <row r="203" spans="1:42" outlineLevel="1">
      <c r="A203" s="545">
        <f>MAX($A$10:A202)+1</f>
        <v>194</v>
      </c>
      <c r="B203" s="716" t="s">
        <v>2096</v>
      </c>
      <c r="C203" s="105" t="s">
        <v>2133</v>
      </c>
      <c r="D203" s="105" t="s">
        <v>2134</v>
      </c>
      <c r="E203" s="559">
        <v>397.1</v>
      </c>
      <c r="F203" s="1302" cm="1">
        <f t="array" ref="F203">+IF(SUM(VALUE(N203:Q203)*$N$7:$Q$7)=0,R203,T203)</f>
        <v>0</v>
      </c>
      <c r="G203" s="103">
        <f t="shared" si="12"/>
        <v>0</v>
      </c>
      <c r="H203" s="721">
        <v>46631</v>
      </c>
      <c r="I203" s="1303" cm="1">
        <f t="array" ref="I203">+IF(SUM(VALUE(N203:Q203)*$N$7:$Q$7)=0,S203,U203)</f>
        <v>0</v>
      </c>
      <c r="J203" s="103">
        <f t="shared" si="13"/>
        <v>0</v>
      </c>
      <c r="K203" s="717">
        <v>45777</v>
      </c>
      <c r="M203"/>
      <c r="N203" s="1300">
        <v>0</v>
      </c>
      <c r="O203" s="1300">
        <v>0</v>
      </c>
      <c r="P203" s="1300">
        <v>0</v>
      </c>
      <c r="Q203" s="1300">
        <v>1</v>
      </c>
      <c r="R203" s="1266">
        <v>0</v>
      </c>
      <c r="S203" s="1266">
        <v>0</v>
      </c>
      <c r="T203" s="1266">
        <f>+IF($Q203=1,$G203,INDEX([1]Summary!$K$5:$K$110,MATCH($C203,[1]Summary!$D$5:$D304,0)))</f>
        <v>0</v>
      </c>
      <c r="U203" s="1266">
        <f>+IF($Q203=1,$J203,INDEX([1]Summary!$L$5:$L$110,MATCH($C203,[1]Summary!$D$5:$D304,0)))</f>
        <v>0</v>
      </c>
      <c r="V203" s="721"/>
      <c r="W203" s="721"/>
      <c r="X203" s="721"/>
      <c r="Y203" s="721"/>
      <c r="Z203" s="721"/>
      <c r="AA203" s="721"/>
      <c r="AB203" s="721"/>
      <c r="AC203" s="721"/>
      <c r="AD203" s="721"/>
      <c r="AE203" s="716"/>
      <c r="AI203" s="105"/>
      <c r="AJ203" s="105"/>
      <c r="AN203" s="105"/>
      <c r="AO203" s="105"/>
      <c r="AP203" s="105"/>
    </row>
    <row r="204" spans="1:42" outlineLevel="1">
      <c r="A204" s="545">
        <f>MAX($A$10:A203)+1</f>
        <v>195</v>
      </c>
      <c r="B204" s="716" t="s">
        <v>2096</v>
      </c>
      <c r="C204" s="716" t="s">
        <v>2135</v>
      </c>
      <c r="D204" s="716" t="s">
        <v>2136</v>
      </c>
      <c r="E204" s="559">
        <v>390.1</v>
      </c>
      <c r="F204" s="1302" cm="1">
        <f t="array" ref="F204">+IF(SUM(VALUE(N204:Q204)*$N$7:$Q$7)=0,R204,T204)</f>
        <v>0</v>
      </c>
      <c r="G204" s="103">
        <f t="shared" si="12"/>
        <v>0</v>
      </c>
      <c r="H204" s="717">
        <v>45657</v>
      </c>
      <c r="I204" s="1303" cm="1">
        <f t="array" ref="I204">+IF(SUM(VALUE(N204:Q204)*$N$7:$Q$7)=0,S204,U204)</f>
        <v>0</v>
      </c>
      <c r="J204" s="103">
        <f t="shared" si="13"/>
        <v>0</v>
      </c>
      <c r="K204" s="103"/>
      <c r="M204"/>
      <c r="N204" s="1300">
        <v>0</v>
      </c>
      <c r="O204" s="1300">
        <v>0</v>
      </c>
      <c r="P204" s="1300">
        <v>0</v>
      </c>
      <c r="Q204" s="1300">
        <v>1</v>
      </c>
      <c r="R204" s="1266">
        <v>0</v>
      </c>
      <c r="S204" s="1266">
        <v>0</v>
      </c>
      <c r="T204" s="1266">
        <f>+IF($Q204=1,$G204,INDEX([1]Summary!$K$5:$K$110,MATCH($C204,[1]Summary!$D$5:$D305,0)))</f>
        <v>0</v>
      </c>
      <c r="U204" s="1266">
        <f>+IF($Q204=1,$J204,INDEX([1]Summary!$L$5:$L$110,MATCH($C204,[1]Summary!$D$5:$D305,0)))</f>
        <v>0</v>
      </c>
      <c r="V204" s="721"/>
      <c r="W204" s="721"/>
      <c r="X204" s="721"/>
      <c r="Y204" s="721"/>
      <c r="Z204" s="721"/>
      <c r="AA204" s="721"/>
      <c r="AB204" s="721"/>
      <c r="AC204" s="721"/>
      <c r="AD204" s="721"/>
      <c r="AE204" s="716"/>
      <c r="AI204" s="105"/>
      <c r="AJ204" s="105"/>
      <c r="AN204" s="105"/>
      <c r="AO204" s="105"/>
      <c r="AP204" s="105"/>
    </row>
    <row r="205" spans="1:42" outlineLevel="1">
      <c r="A205" s="545">
        <f>MAX($A$10:A204)+1</f>
        <v>196</v>
      </c>
      <c r="B205" s="716" t="s">
        <v>2096</v>
      </c>
      <c r="C205" s="716" t="s">
        <v>2137</v>
      </c>
      <c r="D205" s="716" t="s">
        <v>2138</v>
      </c>
      <c r="E205" s="559">
        <v>394.1</v>
      </c>
      <c r="F205" s="1302" cm="1">
        <f t="array" ref="F205">+IF(SUM(VALUE(N205:Q205)*$N$7:$Q$7)=0,R205,T205)</f>
        <v>12729.9</v>
      </c>
      <c r="G205" s="103">
        <f t="shared" si="12"/>
        <v>12729.9</v>
      </c>
      <c r="H205" s="717">
        <v>45412</v>
      </c>
      <c r="I205" s="1303" cm="1">
        <f t="array" ref="I205">+IF(SUM(VALUE(N205:Q205)*$N$7:$Q$7)=0,S205,U205)</f>
        <v>0</v>
      </c>
      <c r="J205" s="103">
        <f t="shared" si="13"/>
        <v>0</v>
      </c>
      <c r="K205" s="103"/>
      <c r="M205"/>
      <c r="N205" s="1300">
        <v>0</v>
      </c>
      <c r="O205" s="1300">
        <v>0</v>
      </c>
      <c r="P205" s="1300">
        <v>0</v>
      </c>
      <c r="Q205" s="1300">
        <v>1</v>
      </c>
      <c r="R205" s="1266">
        <v>12729.9</v>
      </c>
      <c r="S205" s="1266">
        <v>0</v>
      </c>
      <c r="T205" s="1266">
        <f>+IF($Q205=1,$G205,INDEX([1]Summary!$K$5:$K$110,MATCH($C205,[1]Summary!$D$5:$D306,0)))</f>
        <v>12729.9</v>
      </c>
      <c r="U205" s="1266">
        <f>+IF($Q205=1,$J205,INDEX([1]Summary!$L$5:$L$110,MATCH($C205,[1]Summary!$D$5:$D306,0)))</f>
        <v>0</v>
      </c>
      <c r="V205" s="721"/>
      <c r="W205" s="721"/>
      <c r="X205" s="721"/>
      <c r="Y205" s="721"/>
      <c r="Z205" s="721"/>
      <c r="AA205" s="721"/>
      <c r="AB205" s="721"/>
      <c r="AC205" s="721"/>
      <c r="AD205" s="721"/>
      <c r="AE205" s="716"/>
      <c r="AI205" s="105"/>
      <c r="AJ205" s="105"/>
      <c r="AN205" s="105"/>
      <c r="AO205" s="105"/>
      <c r="AP205" s="105"/>
    </row>
    <row r="206" spans="1:42" outlineLevel="1">
      <c r="A206" s="545">
        <f>MAX($A$10:A205)+1</f>
        <v>197</v>
      </c>
      <c r="B206" s="716" t="s">
        <v>2096</v>
      </c>
      <c r="C206" s="716" t="s">
        <v>2139</v>
      </c>
      <c r="D206" s="716" t="s">
        <v>2140</v>
      </c>
      <c r="E206" s="559">
        <v>390.1</v>
      </c>
      <c r="F206" s="1302" cm="1">
        <f t="array" ref="F206">+IF(SUM(VALUE(N206:Q206)*$N$7:$Q$7)=0,R206,T206)</f>
        <v>37696.400500000003</v>
      </c>
      <c r="G206" s="103">
        <f t="shared" si="12"/>
        <v>37696.400500000003</v>
      </c>
      <c r="H206" s="717">
        <v>45382</v>
      </c>
      <c r="I206" s="1303" cm="1">
        <f t="array" ref="I206">+IF(SUM(VALUE(N206:Q206)*$N$7:$Q$7)=0,S206,U206)</f>
        <v>0</v>
      </c>
      <c r="J206" s="103">
        <f t="shared" si="13"/>
        <v>0</v>
      </c>
      <c r="K206" s="103"/>
      <c r="M206"/>
      <c r="N206" s="1300">
        <v>0</v>
      </c>
      <c r="O206" s="1300">
        <v>0</v>
      </c>
      <c r="P206" s="1300">
        <v>0</v>
      </c>
      <c r="Q206" s="1300">
        <v>1</v>
      </c>
      <c r="R206" s="1266">
        <v>37696.400500000003</v>
      </c>
      <c r="S206" s="1266">
        <v>0</v>
      </c>
      <c r="T206" s="1266">
        <f>+IF($Q206=1,$G206,INDEX([1]Summary!$K$5:$K$110,MATCH($C206,[1]Summary!$D$5:$D307,0)))</f>
        <v>37696.400500000003</v>
      </c>
      <c r="U206" s="1266">
        <f>+IF($Q206=1,$J206,INDEX([1]Summary!$L$5:$L$110,MATCH($C206,[1]Summary!$D$5:$D307,0)))</f>
        <v>0</v>
      </c>
      <c r="V206" s="721"/>
      <c r="W206" s="721"/>
      <c r="X206" s="721"/>
      <c r="Y206" s="721"/>
      <c r="Z206" s="721"/>
      <c r="AA206" s="721"/>
      <c r="AB206" s="721"/>
      <c r="AC206" s="721"/>
      <c r="AD206" s="721"/>
      <c r="AI206" s="105"/>
      <c r="AJ206" s="105"/>
      <c r="AN206" s="105"/>
      <c r="AO206" s="105"/>
      <c r="AP206" s="105"/>
    </row>
    <row r="207" spans="1:42" outlineLevel="1">
      <c r="A207" s="545">
        <f>MAX($A$10:A206)+1</f>
        <v>198</v>
      </c>
      <c r="B207" s="716" t="s">
        <v>2096</v>
      </c>
      <c r="C207" s="720" t="s">
        <v>2141</v>
      </c>
      <c r="D207" s="720" t="s">
        <v>2142</v>
      </c>
      <c r="E207" s="559">
        <v>394.1</v>
      </c>
      <c r="F207" s="1302" cm="1">
        <f t="array" ref="F207">+IF(SUM(VALUE(N207:Q207)*$N$7:$Q$7)=0,R207,T207)</f>
        <v>0</v>
      </c>
      <c r="G207" s="103">
        <f t="shared" si="12"/>
        <v>0</v>
      </c>
      <c r="I207" s="1303" cm="1">
        <f t="array" ref="I207">+IF(SUM(VALUE(N207:Q207)*$N$7:$Q$7)=0,S207,U207)</f>
        <v>4451.47</v>
      </c>
      <c r="J207" s="103">
        <f t="shared" si="13"/>
        <v>4451.47</v>
      </c>
      <c r="K207" s="717">
        <v>45747</v>
      </c>
      <c r="M207"/>
      <c r="N207" s="1300">
        <v>0</v>
      </c>
      <c r="O207" s="1300">
        <v>0</v>
      </c>
      <c r="P207" s="1300">
        <v>0</v>
      </c>
      <c r="Q207" s="1300">
        <v>1</v>
      </c>
      <c r="R207" s="1266">
        <v>0</v>
      </c>
      <c r="S207" s="1266">
        <v>4451.47</v>
      </c>
      <c r="T207" s="1266">
        <f>+IF($Q207=1,$G207,INDEX([1]Summary!$K$5:$K$110,MATCH($C207,[1]Summary!$D$5:$D308,0)))</f>
        <v>0</v>
      </c>
      <c r="U207" s="1266">
        <f>+IF($Q207=1,$J207,INDEX([1]Summary!$L$5:$L$110,MATCH($C207,[1]Summary!$D$5:$D308,0)))</f>
        <v>4451.47</v>
      </c>
      <c r="V207" s="721"/>
      <c r="W207" s="721"/>
      <c r="X207" s="721"/>
      <c r="Y207" s="721"/>
      <c r="Z207" s="721"/>
      <c r="AA207" s="721"/>
      <c r="AB207" s="721"/>
      <c r="AC207" s="721"/>
      <c r="AD207" s="721"/>
      <c r="AI207" s="105"/>
      <c r="AJ207" s="105"/>
      <c r="AN207" s="105"/>
      <c r="AO207" s="105"/>
      <c r="AP207" s="105"/>
    </row>
    <row r="208" spans="1:42" outlineLevel="1">
      <c r="A208" s="545">
        <f>MAX($A$10:A207)+1</f>
        <v>199</v>
      </c>
      <c r="B208" s="716" t="s">
        <v>2096</v>
      </c>
      <c r="C208" s="716" t="s">
        <v>2143</v>
      </c>
      <c r="D208" s="716" t="s">
        <v>2144</v>
      </c>
      <c r="E208" s="559">
        <v>394.1</v>
      </c>
      <c r="F208" s="1302" cm="1">
        <f t="array" ref="F208">+IF(SUM(VALUE(N208:Q208)*$N$7:$Q$7)=0,R208,T208)</f>
        <v>1592.8</v>
      </c>
      <c r="G208" s="103">
        <f t="shared" si="12"/>
        <v>1592.8</v>
      </c>
      <c r="H208" s="717">
        <v>45357</v>
      </c>
      <c r="I208" s="1303" cm="1">
        <f t="array" ref="I208">+IF(SUM(VALUE(N208:Q208)*$N$7:$Q$7)=0,S208,U208)</f>
        <v>0</v>
      </c>
      <c r="J208" s="103">
        <f t="shared" si="13"/>
        <v>0</v>
      </c>
      <c r="K208" s="103"/>
      <c r="M208"/>
      <c r="N208" s="1300">
        <v>0</v>
      </c>
      <c r="O208" s="1300">
        <v>0</v>
      </c>
      <c r="P208" s="1300">
        <v>0</v>
      </c>
      <c r="Q208" s="1300">
        <v>1</v>
      </c>
      <c r="R208" s="1266">
        <v>1592.8</v>
      </c>
      <c r="S208" s="1266">
        <v>0</v>
      </c>
      <c r="T208" s="1266">
        <f>+IF($Q208=1,$G208,INDEX([1]Summary!$K$5:$K$110,MATCH($C208,[1]Summary!$D$5:$D309,0)))</f>
        <v>1592.8</v>
      </c>
      <c r="U208" s="1266">
        <f>+IF($Q208=1,$J208,INDEX([1]Summary!$L$5:$L$110,MATCH($C208,[1]Summary!$D$5:$D309,0)))</f>
        <v>0</v>
      </c>
      <c r="V208" s="721"/>
      <c r="W208" s="721"/>
      <c r="X208" s="721"/>
      <c r="Y208" s="721"/>
      <c r="Z208" s="721"/>
      <c r="AA208" s="721"/>
      <c r="AB208" s="721"/>
      <c r="AC208" s="721"/>
      <c r="AD208" s="721"/>
      <c r="AI208" s="105"/>
      <c r="AJ208" s="105"/>
      <c r="AN208" s="105"/>
      <c r="AO208" s="105"/>
      <c r="AP208" s="105"/>
    </row>
    <row r="209" spans="1:42" outlineLevel="1">
      <c r="A209" s="545">
        <f>MAX($A$10:A208)+1</f>
        <v>200</v>
      </c>
      <c r="B209" s="716" t="s">
        <v>2096</v>
      </c>
      <c r="C209" s="716" t="s">
        <v>2145</v>
      </c>
      <c r="D209" s="716" t="s">
        <v>2146</v>
      </c>
      <c r="E209" s="559">
        <v>394.1</v>
      </c>
      <c r="F209" s="1302" cm="1">
        <f t="array" ref="F209">+IF(SUM(VALUE(N209:Q209)*$N$7:$Q$7)=0,R209,T209)</f>
        <v>10082.290000000001</v>
      </c>
      <c r="G209" s="103">
        <f t="shared" si="12"/>
        <v>10082.290000000001</v>
      </c>
      <c r="H209" s="717">
        <v>45357</v>
      </c>
      <c r="I209" s="1303" cm="1">
        <f t="array" ref="I209">+IF(SUM(VALUE(N209:Q209)*$N$7:$Q$7)=0,S209,U209)</f>
        <v>0</v>
      </c>
      <c r="J209" s="103">
        <f t="shared" si="13"/>
        <v>0</v>
      </c>
      <c r="K209" s="103"/>
      <c r="M209"/>
      <c r="N209" s="1300">
        <v>0</v>
      </c>
      <c r="O209" s="1300">
        <v>0</v>
      </c>
      <c r="P209" s="1300">
        <v>0</v>
      </c>
      <c r="Q209" s="1300">
        <v>1</v>
      </c>
      <c r="R209" s="1266">
        <v>10082.290000000001</v>
      </c>
      <c r="S209" s="1266">
        <v>0</v>
      </c>
      <c r="T209" s="1266">
        <f>+IF($Q209=1,$G209,INDEX([1]Summary!$K$5:$K$110,MATCH($C209,[1]Summary!$D$5:$D310,0)))</f>
        <v>10082.290000000001</v>
      </c>
      <c r="U209" s="1266">
        <f>+IF($Q209=1,$J209,INDEX([1]Summary!$L$5:$L$110,MATCH($C209,[1]Summary!$D$5:$D310,0)))</f>
        <v>0</v>
      </c>
      <c r="V209" s="721"/>
      <c r="W209" s="721"/>
      <c r="X209" s="721"/>
      <c r="Y209" s="721"/>
      <c r="Z209" s="721"/>
      <c r="AA209" s="721"/>
      <c r="AB209" s="721"/>
      <c r="AC209" s="721"/>
      <c r="AD209" s="721"/>
      <c r="AI209" s="105"/>
      <c r="AJ209" s="105"/>
      <c r="AN209" s="105"/>
      <c r="AO209" s="105"/>
      <c r="AP209" s="105"/>
    </row>
    <row r="210" spans="1:42" outlineLevel="1">
      <c r="A210" s="545">
        <f>MAX($A$10:A209)+1</f>
        <v>201</v>
      </c>
      <c r="B210" s="716" t="s">
        <v>2096</v>
      </c>
      <c r="C210" s="716" t="s">
        <v>2147</v>
      </c>
      <c r="D210" s="716" t="s">
        <v>2148</v>
      </c>
      <c r="E210" s="559">
        <v>394.1</v>
      </c>
      <c r="F210" s="1302" cm="1">
        <f t="array" ref="F210">+IF(SUM(VALUE(N210:Q210)*$N$7:$Q$7)=0,R210,T210)</f>
        <v>102940.75</v>
      </c>
      <c r="G210" s="103">
        <f t="shared" si="12"/>
        <v>102940.75</v>
      </c>
      <c r="H210" s="717">
        <v>45657</v>
      </c>
      <c r="I210" s="1303" cm="1">
        <f t="array" ref="I210">+IF(SUM(VALUE(N210:Q210)*$N$7:$Q$7)=0,S210,U210)</f>
        <v>103176.5</v>
      </c>
      <c r="J210" s="103">
        <f t="shared" si="13"/>
        <v>103176.5</v>
      </c>
      <c r="K210" s="575">
        <v>45657</v>
      </c>
      <c r="M210"/>
      <c r="N210" s="1300">
        <v>0</v>
      </c>
      <c r="O210" s="1300">
        <v>0</v>
      </c>
      <c r="P210" s="1300">
        <v>0</v>
      </c>
      <c r="Q210" s="1300">
        <v>1</v>
      </c>
      <c r="R210" s="1266">
        <v>102940.75</v>
      </c>
      <c r="S210" s="1266">
        <v>103176.5</v>
      </c>
      <c r="T210" s="1266">
        <f>+IF($Q210=1,$G210,INDEX([1]Summary!$K$5:$K$110,MATCH($C210,[1]Summary!$D$5:$D311,0)))</f>
        <v>102940.75</v>
      </c>
      <c r="U210" s="1266">
        <f>+IF($Q210=1,$J210,INDEX([1]Summary!$L$5:$L$110,MATCH($C210,[1]Summary!$D$5:$D311,0)))</f>
        <v>103176.5</v>
      </c>
      <c r="V210" s="721"/>
      <c r="W210" s="721"/>
      <c r="X210" s="721"/>
      <c r="Y210" s="721"/>
      <c r="Z210" s="721"/>
      <c r="AA210" s="721"/>
      <c r="AB210" s="721"/>
      <c r="AC210" s="721"/>
      <c r="AD210" s="721"/>
      <c r="AI210" s="105"/>
      <c r="AJ210" s="105"/>
      <c r="AN210" s="105"/>
      <c r="AO210" s="105"/>
      <c r="AP210" s="105"/>
    </row>
    <row r="211" spans="1:42" outlineLevel="1">
      <c r="A211" s="545">
        <f>MAX($A$10:A210)+1</f>
        <v>202</v>
      </c>
      <c r="B211" s="716" t="s">
        <v>2096</v>
      </c>
      <c r="C211" s="716" t="s">
        <v>2149</v>
      </c>
      <c r="D211" s="716" t="s">
        <v>2150</v>
      </c>
      <c r="E211" s="559">
        <v>394.1</v>
      </c>
      <c r="F211" s="1302" cm="1">
        <f t="array" ref="F211">+IF(SUM(VALUE(N211:Q211)*$N$7:$Q$7)=0,R211,T211)</f>
        <v>32137.600000000002</v>
      </c>
      <c r="G211" s="103">
        <f t="shared" si="12"/>
        <v>32137.600000000002</v>
      </c>
      <c r="H211" s="717">
        <v>45383</v>
      </c>
      <c r="I211" s="1303" cm="1">
        <f t="array" ref="I211">+IF(SUM(VALUE(N211:Q211)*$N$7:$Q$7)=0,S211,U211)</f>
        <v>0</v>
      </c>
      <c r="J211" s="103">
        <f t="shared" si="13"/>
        <v>0</v>
      </c>
      <c r="K211" s="103"/>
      <c r="M211"/>
      <c r="N211" s="1300">
        <v>0</v>
      </c>
      <c r="O211" s="1300">
        <v>0</v>
      </c>
      <c r="P211" s="1300">
        <v>0</v>
      </c>
      <c r="Q211" s="1300">
        <v>1</v>
      </c>
      <c r="R211" s="1266">
        <v>32137.600000000002</v>
      </c>
      <c r="S211" s="1266">
        <v>0</v>
      </c>
      <c r="T211" s="1266">
        <f>+IF($Q211=1,$G211,INDEX([1]Summary!$K$5:$K$110,MATCH($C211,[1]Summary!$D$5:$D312,0)))</f>
        <v>32137.600000000002</v>
      </c>
      <c r="U211" s="1266">
        <f>+IF($Q211=1,$J211,INDEX([1]Summary!$L$5:$L$110,MATCH($C211,[1]Summary!$D$5:$D312,0)))</f>
        <v>0</v>
      </c>
      <c r="V211" s="721"/>
      <c r="W211" s="721"/>
      <c r="X211" s="721"/>
      <c r="Y211" s="721"/>
      <c r="Z211" s="721"/>
      <c r="AA211" s="721"/>
      <c r="AB211" s="721"/>
      <c r="AC211" s="721"/>
      <c r="AD211" s="721"/>
      <c r="AI211" s="105"/>
      <c r="AJ211" s="105"/>
      <c r="AN211" s="105"/>
      <c r="AO211" s="105"/>
      <c r="AP211" s="105"/>
    </row>
    <row r="212" spans="1:42" outlineLevel="1">
      <c r="A212" s="545">
        <f>MAX($A$10:A211)+1</f>
        <v>203</v>
      </c>
      <c r="B212" s="716" t="s">
        <v>2096</v>
      </c>
      <c r="C212" s="716" t="s">
        <v>2151</v>
      </c>
      <c r="D212" s="716" t="s">
        <v>2152</v>
      </c>
      <c r="E212" s="559">
        <v>394.1</v>
      </c>
      <c r="F212" s="1302" cm="1">
        <f t="array" ref="F212">+IF(SUM(VALUE(N212:Q212)*$N$7:$Q$7)=0,R212,T212)</f>
        <v>0</v>
      </c>
      <c r="G212" s="103">
        <f t="shared" si="12"/>
        <v>0</v>
      </c>
      <c r="H212" s="717"/>
      <c r="I212" s="1303" cm="1">
        <f t="array" ref="I212">+IF(SUM(VALUE(N212:Q212)*$N$7:$Q$7)=0,S212,U212)</f>
        <v>34224.400000000001</v>
      </c>
      <c r="J212" s="103">
        <f t="shared" si="13"/>
        <v>34224.400000000001</v>
      </c>
      <c r="K212" s="575">
        <v>45748</v>
      </c>
      <c r="M212"/>
      <c r="N212" s="1300">
        <v>0</v>
      </c>
      <c r="O212" s="1300">
        <v>0</v>
      </c>
      <c r="P212" s="1300">
        <v>0</v>
      </c>
      <c r="Q212" s="1300">
        <v>1</v>
      </c>
      <c r="R212" s="1266">
        <v>0</v>
      </c>
      <c r="S212" s="1266">
        <v>34224.400000000001</v>
      </c>
      <c r="T212" s="1266">
        <f>+IF($Q212=1,$G212,INDEX([1]Summary!$K$5:$K$110,MATCH($C212,[1]Summary!$D$5:$D313,0)))</f>
        <v>0</v>
      </c>
      <c r="U212" s="1266">
        <f>+IF($Q212=1,$J212,INDEX([1]Summary!$L$5:$L$110,MATCH($C212,[1]Summary!$D$5:$D313,0)))</f>
        <v>34224.400000000001</v>
      </c>
      <c r="V212" s="721"/>
      <c r="W212" s="721"/>
      <c r="X212" s="721"/>
      <c r="Y212" s="721"/>
      <c r="Z212" s="721"/>
      <c r="AA212" s="721"/>
      <c r="AB212" s="721"/>
      <c r="AC212" s="721"/>
      <c r="AD212" s="721"/>
      <c r="AI212" s="105"/>
      <c r="AJ212" s="105"/>
      <c r="AN212" s="105"/>
      <c r="AO212" s="105"/>
      <c r="AP212" s="105"/>
    </row>
    <row r="213" spans="1:42" outlineLevel="1">
      <c r="A213" s="545">
        <f>MAX($A$10:A212)+1</f>
        <v>204</v>
      </c>
      <c r="B213" s="716" t="s">
        <v>2096</v>
      </c>
      <c r="C213" s="716" t="s">
        <v>2153</v>
      </c>
      <c r="D213" s="716" t="s">
        <v>2154</v>
      </c>
      <c r="E213" s="559">
        <v>394.1</v>
      </c>
      <c r="F213" s="1302" cm="1">
        <f t="array" ref="F213">+IF(SUM(VALUE(N213:Q213)*$N$7:$Q$7)=0,R213,T213)</f>
        <v>0</v>
      </c>
      <c r="G213" s="103">
        <f t="shared" si="12"/>
        <v>0</v>
      </c>
      <c r="H213" s="717"/>
      <c r="I213" s="1303" cm="1">
        <f t="array" ref="I213">+IF(SUM(VALUE(N213:Q213)*$N$7:$Q$7)=0,S213,U213)</f>
        <v>13271.01</v>
      </c>
      <c r="J213" s="103">
        <f t="shared" si="13"/>
        <v>13271.01</v>
      </c>
      <c r="K213" s="575">
        <v>45777</v>
      </c>
      <c r="M213"/>
      <c r="N213" s="1300">
        <v>0</v>
      </c>
      <c r="O213" s="1300">
        <v>0</v>
      </c>
      <c r="P213" s="1300">
        <v>0</v>
      </c>
      <c r="Q213" s="1300">
        <v>1</v>
      </c>
      <c r="R213" s="1266">
        <v>0</v>
      </c>
      <c r="S213" s="1266">
        <v>13271.01</v>
      </c>
      <c r="T213" s="1266">
        <f>+IF($Q213=1,$G213,INDEX([1]Summary!$K$5:$K$110,MATCH($C213,[1]Summary!$D$5:$D314,0)))</f>
        <v>0</v>
      </c>
      <c r="U213" s="1266">
        <f>+IF($Q213=1,$J213,INDEX([1]Summary!$L$5:$L$110,MATCH($C213,[1]Summary!$D$5:$D314,0)))</f>
        <v>13271.01</v>
      </c>
      <c r="V213" s="721"/>
      <c r="W213" s="721"/>
      <c r="X213" s="721"/>
      <c r="Y213" s="721"/>
      <c r="Z213" s="721"/>
      <c r="AA213" s="721"/>
      <c r="AB213" s="721"/>
      <c r="AC213" s="721"/>
      <c r="AD213" s="721"/>
      <c r="AI213" s="105"/>
      <c r="AJ213" s="105"/>
      <c r="AN213" s="105"/>
      <c r="AO213" s="105"/>
      <c r="AP213" s="105"/>
    </row>
    <row r="214" spans="1:42" outlineLevel="1">
      <c r="A214" s="545">
        <f>MAX($A$10:A213)+1</f>
        <v>205</v>
      </c>
      <c r="B214" s="716" t="s">
        <v>2096</v>
      </c>
      <c r="C214" s="716" t="s">
        <v>2155</v>
      </c>
      <c r="D214" s="716" t="s">
        <v>2156</v>
      </c>
      <c r="E214" s="559">
        <v>394.1</v>
      </c>
      <c r="F214" s="1302" cm="1">
        <f t="array" ref="F214">+IF(SUM(VALUE(N214:Q214)*$N$7:$Q$7)=0,R214,T214)</f>
        <v>3439.73</v>
      </c>
      <c r="G214" s="103">
        <f t="shared" si="12"/>
        <v>3439.73</v>
      </c>
      <c r="H214" s="717">
        <v>45412</v>
      </c>
      <c r="I214" s="1303" cm="1">
        <f t="array" ref="I214">+IF(SUM(VALUE(N214:Q214)*$N$7:$Q$7)=0,S214,U214)</f>
        <v>0</v>
      </c>
      <c r="J214" s="103">
        <f t="shared" si="13"/>
        <v>0</v>
      </c>
      <c r="K214" s="103"/>
      <c r="M214"/>
      <c r="N214" s="1300">
        <v>0</v>
      </c>
      <c r="O214" s="1300">
        <v>0</v>
      </c>
      <c r="P214" s="1300">
        <v>0</v>
      </c>
      <c r="Q214" s="1300">
        <v>1</v>
      </c>
      <c r="R214" s="1266">
        <v>3439.73</v>
      </c>
      <c r="S214" s="1266">
        <v>0</v>
      </c>
      <c r="T214" s="1266">
        <f>+IF($Q214=1,$G214,INDEX([1]Summary!$K$5:$K$110,MATCH($C214,[1]Summary!$D$5:$D315,0)))</f>
        <v>3439.73</v>
      </c>
      <c r="U214" s="1266">
        <f>+IF($Q214=1,$J214,INDEX([1]Summary!$L$5:$L$110,MATCH($C214,[1]Summary!$D$5:$D315,0)))</f>
        <v>0</v>
      </c>
      <c r="V214" s="721"/>
      <c r="W214" s="721"/>
      <c r="X214" s="721"/>
      <c r="Y214" s="721"/>
      <c r="Z214" s="721"/>
      <c r="AA214" s="721"/>
      <c r="AB214" s="721"/>
      <c r="AC214" s="721"/>
      <c r="AD214" s="721"/>
      <c r="AI214" s="105"/>
      <c r="AJ214" s="105"/>
      <c r="AN214" s="105"/>
      <c r="AO214" s="105"/>
      <c r="AP214" s="105"/>
    </row>
    <row r="215" spans="1:42" outlineLevel="1">
      <c r="A215" s="545">
        <f>MAX($A$10:A214)+1</f>
        <v>206</v>
      </c>
      <c r="B215" s="716" t="s">
        <v>2096</v>
      </c>
      <c r="C215" s="716" t="s">
        <v>2157</v>
      </c>
      <c r="D215" s="716" t="s">
        <v>2158</v>
      </c>
      <c r="E215" s="559">
        <v>394.1</v>
      </c>
      <c r="F215" s="1302" cm="1">
        <f t="array" ref="F215">+IF(SUM(VALUE(N215:Q215)*$N$7:$Q$7)=0,R215,T215)</f>
        <v>7532.25</v>
      </c>
      <c r="G215" s="103">
        <f t="shared" si="12"/>
        <v>7532.25</v>
      </c>
      <c r="H215" s="717">
        <v>45412</v>
      </c>
      <c r="I215" s="1303" cm="1">
        <f t="array" ref="I215">+IF(SUM(VALUE(N215:Q215)*$N$7:$Q$7)=0,S215,U215)</f>
        <v>0</v>
      </c>
      <c r="J215" s="103">
        <f t="shared" si="13"/>
        <v>0</v>
      </c>
      <c r="K215" s="103"/>
      <c r="M215"/>
      <c r="N215" s="1300">
        <v>0</v>
      </c>
      <c r="O215" s="1300">
        <v>0</v>
      </c>
      <c r="P215" s="1300">
        <v>0</v>
      </c>
      <c r="Q215" s="1300">
        <v>1</v>
      </c>
      <c r="R215" s="1266">
        <v>7532.25</v>
      </c>
      <c r="S215" s="1266">
        <v>0</v>
      </c>
      <c r="T215" s="1266">
        <f>+IF($Q215=1,$G215,INDEX([1]Summary!$K$5:$K$110,MATCH($C215,[1]Summary!$D$5:$D316,0)))</f>
        <v>7532.25</v>
      </c>
      <c r="U215" s="1266">
        <f>+IF($Q215=1,$J215,INDEX([1]Summary!$L$5:$L$110,MATCH($C215,[1]Summary!$D$5:$D316,0)))</f>
        <v>0</v>
      </c>
      <c r="V215" s="721"/>
      <c r="W215" s="721"/>
      <c r="X215" s="721"/>
      <c r="Y215" s="721"/>
      <c r="Z215" s="721"/>
      <c r="AA215" s="721"/>
      <c r="AB215" s="721"/>
      <c r="AC215" s="721"/>
      <c r="AD215" s="721"/>
      <c r="AI215" s="105"/>
      <c r="AJ215" s="105"/>
      <c r="AN215" s="105"/>
      <c r="AO215" s="105"/>
      <c r="AP215" s="105"/>
    </row>
    <row r="216" spans="1:42" outlineLevel="1">
      <c r="A216" s="545">
        <f>MAX($A$10:A215)+1</f>
        <v>207</v>
      </c>
      <c r="B216" s="716" t="s">
        <v>2096</v>
      </c>
      <c r="C216" s="716" t="s">
        <v>2159</v>
      </c>
      <c r="D216" s="716" t="s">
        <v>2160</v>
      </c>
      <c r="E216" s="559">
        <v>394.1</v>
      </c>
      <c r="F216" s="1302" cm="1">
        <f t="array" ref="F216">+IF(SUM(VALUE(N216:Q216)*$N$7:$Q$7)=0,R216,T216)</f>
        <v>50215</v>
      </c>
      <c r="G216" s="103">
        <f t="shared" si="12"/>
        <v>50215</v>
      </c>
      <c r="H216" s="717">
        <v>45505</v>
      </c>
      <c r="I216" s="1303" cm="1">
        <f t="array" ref="I216">+IF(SUM(VALUE(N216:Q216)*$N$7:$Q$7)=0,S216,U216)</f>
        <v>0</v>
      </c>
      <c r="J216" s="103">
        <f t="shared" si="13"/>
        <v>0</v>
      </c>
      <c r="K216" s="103"/>
      <c r="M216"/>
      <c r="N216" s="1300">
        <v>0</v>
      </c>
      <c r="O216" s="1300">
        <v>0</v>
      </c>
      <c r="P216" s="1300">
        <v>0</v>
      </c>
      <c r="Q216" s="1300">
        <v>1</v>
      </c>
      <c r="R216" s="1266">
        <v>50215</v>
      </c>
      <c r="S216" s="1266">
        <v>0</v>
      </c>
      <c r="T216" s="1266">
        <f>+IF($Q216=1,$G216,INDEX([1]Summary!$K$5:$K$110,MATCH($C216,[1]Summary!$D$5:$D317,0)))</f>
        <v>50215</v>
      </c>
      <c r="U216" s="1266">
        <f>+IF($Q216=1,$J216,INDEX([1]Summary!$L$5:$L$110,MATCH($C216,[1]Summary!$D$5:$D317,0)))</f>
        <v>0</v>
      </c>
      <c r="V216" s="721"/>
      <c r="W216" s="721"/>
      <c r="X216" s="721"/>
      <c r="Y216" s="721"/>
      <c r="Z216" s="721"/>
      <c r="AA216" s="721"/>
      <c r="AB216" s="721"/>
      <c r="AC216" s="721"/>
      <c r="AD216" s="721"/>
      <c r="AI216" s="105"/>
      <c r="AJ216" s="105"/>
      <c r="AN216" s="105"/>
      <c r="AO216" s="105"/>
      <c r="AP216" s="105"/>
    </row>
    <row r="217" spans="1:42" outlineLevel="1">
      <c r="A217" s="545">
        <f>MAX($A$10:A216)+1</f>
        <v>208</v>
      </c>
      <c r="B217" s="716" t="s">
        <v>2096</v>
      </c>
      <c r="C217" s="716" t="s">
        <v>2161</v>
      </c>
      <c r="D217" s="716" t="s">
        <v>2162</v>
      </c>
      <c r="E217" s="559">
        <v>398</v>
      </c>
      <c r="F217" s="1302" cm="1">
        <f t="array" ref="F217">+IF(SUM(VALUE(N217:Q217)*$N$7:$Q$7)=0,R217,T217)</f>
        <v>0</v>
      </c>
      <c r="G217" s="103">
        <f t="shared" si="12"/>
        <v>0</v>
      </c>
      <c r="H217" s="717"/>
      <c r="I217" s="1303" cm="1">
        <f t="array" ref="I217">+IF(SUM(VALUE(N217:Q217)*$N$7:$Q$7)=0,S217,U217)</f>
        <v>4026.4</v>
      </c>
      <c r="J217" s="103">
        <f t="shared" si="13"/>
        <v>4026.4</v>
      </c>
      <c r="K217" s="575">
        <v>45716</v>
      </c>
      <c r="M217"/>
      <c r="N217" s="1300">
        <v>0</v>
      </c>
      <c r="O217" s="1300">
        <v>0</v>
      </c>
      <c r="P217" s="1300">
        <v>0</v>
      </c>
      <c r="Q217" s="1300">
        <v>1</v>
      </c>
      <c r="R217" s="1266">
        <v>0</v>
      </c>
      <c r="S217" s="1266">
        <v>4026.4</v>
      </c>
      <c r="T217" s="1266">
        <f>+IF($Q217=1,$G217,INDEX([1]Summary!$K$5:$K$110,MATCH($C217,[1]Summary!$D$5:$D318,0)))</f>
        <v>0</v>
      </c>
      <c r="U217" s="1266">
        <f>+IF($Q217=1,$J217,INDEX([1]Summary!$L$5:$L$110,MATCH($C217,[1]Summary!$D$5:$D318,0)))</f>
        <v>4026.4</v>
      </c>
      <c r="V217" s="721"/>
      <c r="W217" s="721"/>
      <c r="X217" s="721"/>
      <c r="Y217" s="721"/>
      <c r="Z217" s="721"/>
      <c r="AA217" s="721"/>
      <c r="AB217" s="721"/>
      <c r="AC217" s="721"/>
      <c r="AD217" s="721"/>
      <c r="AI217" s="105"/>
      <c r="AJ217" s="105"/>
      <c r="AN217" s="105"/>
      <c r="AO217" s="105"/>
      <c r="AP217" s="105"/>
    </row>
    <row r="218" spans="1:42" outlineLevel="1">
      <c r="A218" s="545">
        <f>MAX($A$10:A217)+1</f>
        <v>209</v>
      </c>
      <c r="B218" s="716" t="s">
        <v>2096</v>
      </c>
      <c r="C218" s="716" t="s">
        <v>2163</v>
      </c>
      <c r="D218" s="716" t="s">
        <v>2164</v>
      </c>
      <c r="E218" s="559">
        <v>394.1</v>
      </c>
      <c r="F218" s="1302" cm="1">
        <f t="array" ref="F218">+IF(SUM(VALUE(N218:Q218)*$N$7:$Q$7)=0,R218,T218)</f>
        <v>4017.2000000000003</v>
      </c>
      <c r="G218" s="103">
        <f t="shared" si="12"/>
        <v>4017.2000000000003</v>
      </c>
      <c r="H218" s="717">
        <v>45350</v>
      </c>
      <c r="I218" s="1303" cm="1">
        <f t="array" ref="I218">+IF(SUM(VALUE(N218:Q218)*$N$7:$Q$7)=0,S218,U218)</f>
        <v>0</v>
      </c>
      <c r="J218" s="103">
        <f t="shared" si="13"/>
        <v>0</v>
      </c>
      <c r="K218" s="103"/>
      <c r="M218"/>
      <c r="N218" s="1300">
        <v>0</v>
      </c>
      <c r="O218" s="1300">
        <v>0</v>
      </c>
      <c r="P218" s="1300">
        <v>0</v>
      </c>
      <c r="Q218" s="1300">
        <v>1</v>
      </c>
      <c r="R218" s="1266">
        <v>4017.2000000000003</v>
      </c>
      <c r="S218" s="1266">
        <v>0</v>
      </c>
      <c r="T218" s="1266">
        <f>+IF($Q218=1,$G218,INDEX([1]Summary!$K$5:$K$110,MATCH($C218,[1]Summary!$D$5:$D319,0)))</f>
        <v>4017.2000000000003</v>
      </c>
      <c r="U218" s="1266">
        <f>+IF($Q218=1,$J218,INDEX([1]Summary!$L$5:$L$110,MATCH($C218,[1]Summary!$D$5:$D319,0)))</f>
        <v>0</v>
      </c>
      <c r="V218" s="721"/>
      <c r="W218" s="721"/>
      <c r="X218" s="721"/>
      <c r="Y218" s="721"/>
      <c r="Z218" s="721"/>
      <c r="AA218" s="721"/>
      <c r="AB218" s="721"/>
      <c r="AC218" s="721"/>
      <c r="AD218" s="721"/>
      <c r="AI218" s="105"/>
      <c r="AJ218" s="105"/>
      <c r="AN218" s="105"/>
      <c r="AO218" s="105"/>
      <c r="AP218" s="105"/>
    </row>
    <row r="219" spans="1:42" outlineLevel="1">
      <c r="A219" s="545">
        <f>MAX($A$10:A218)+1</f>
        <v>210</v>
      </c>
      <c r="B219" s="716" t="s">
        <v>2096</v>
      </c>
      <c r="C219" s="716" t="s">
        <v>2165</v>
      </c>
      <c r="D219" s="716" t="s">
        <v>2166</v>
      </c>
      <c r="E219" s="559">
        <v>394.1</v>
      </c>
      <c r="F219" s="1302" cm="1">
        <f t="array" ref="F219">+IF(SUM(VALUE(N219:Q219)*$N$7:$Q$7)=0,R219,T219)</f>
        <v>2510.75</v>
      </c>
      <c r="G219" s="103">
        <f t="shared" si="12"/>
        <v>2510.75</v>
      </c>
      <c r="H219" s="717">
        <v>45350</v>
      </c>
      <c r="I219" s="1303" cm="1">
        <f t="array" ref="I219">+IF(SUM(VALUE(N219:Q219)*$N$7:$Q$7)=0,S219,U219)</f>
        <v>0</v>
      </c>
      <c r="J219" s="103">
        <f t="shared" si="13"/>
        <v>0</v>
      </c>
      <c r="K219" s="103"/>
      <c r="M219"/>
      <c r="N219" s="1300">
        <v>0</v>
      </c>
      <c r="O219" s="1300">
        <v>0</v>
      </c>
      <c r="P219" s="1300">
        <v>0</v>
      </c>
      <c r="Q219" s="1300">
        <v>1</v>
      </c>
      <c r="R219" s="1266">
        <v>2510.75</v>
      </c>
      <c r="S219" s="1266">
        <v>0</v>
      </c>
      <c r="T219" s="1266">
        <f>+IF($Q219=1,$G219,INDEX([1]Summary!$K$5:$K$110,MATCH($C219,[1]Summary!$D$5:$D320,0)))</f>
        <v>2510.75</v>
      </c>
      <c r="U219" s="1266">
        <f>+IF($Q219=1,$J219,INDEX([1]Summary!$L$5:$L$110,MATCH($C219,[1]Summary!$D$5:$D320,0)))</f>
        <v>0</v>
      </c>
      <c r="V219" s="721"/>
      <c r="W219" s="721"/>
      <c r="X219" s="721"/>
      <c r="Y219" s="721"/>
      <c r="Z219" s="721"/>
      <c r="AA219" s="721"/>
      <c r="AB219" s="721"/>
      <c r="AC219" s="721"/>
      <c r="AD219" s="721"/>
      <c r="AI219" s="105"/>
      <c r="AJ219" s="105"/>
      <c r="AN219" s="105"/>
      <c r="AO219" s="105"/>
      <c r="AP219" s="105"/>
    </row>
    <row r="220" spans="1:42" outlineLevel="1">
      <c r="A220" s="545">
        <f>MAX($A$10:A219)+1</f>
        <v>211</v>
      </c>
      <c r="B220" s="716" t="s">
        <v>2096</v>
      </c>
      <c r="C220" s="716" t="s">
        <v>2167</v>
      </c>
      <c r="D220" s="716" t="s">
        <v>2168</v>
      </c>
      <c r="E220" s="559">
        <v>394.1</v>
      </c>
      <c r="F220" s="1302" cm="1">
        <f t="array" ref="F220">+IF(SUM(VALUE(N220:Q220)*$N$7:$Q$7)=0,R220,T220)</f>
        <v>1506.45</v>
      </c>
      <c r="G220" s="103">
        <f t="shared" si="12"/>
        <v>1506.45</v>
      </c>
      <c r="H220" s="717">
        <v>45321</v>
      </c>
      <c r="I220" s="1303" cm="1">
        <f t="array" ref="I220">+IF(SUM(VALUE(N220:Q220)*$N$7:$Q$7)=0,S220,U220)</f>
        <v>0</v>
      </c>
      <c r="J220" s="103">
        <f t="shared" si="13"/>
        <v>0</v>
      </c>
      <c r="K220" s="103"/>
      <c r="M220"/>
      <c r="N220" s="1300">
        <v>0</v>
      </c>
      <c r="O220" s="1300">
        <v>0</v>
      </c>
      <c r="P220" s="1300">
        <v>0</v>
      </c>
      <c r="Q220" s="1300">
        <v>1</v>
      </c>
      <c r="R220" s="1266">
        <v>1506.45</v>
      </c>
      <c r="S220" s="1266">
        <v>0</v>
      </c>
      <c r="T220" s="1266">
        <f>+IF($Q220=1,$G220,INDEX([1]Summary!$K$5:$K$110,MATCH($C220,[1]Summary!$D$5:$D321,0)))</f>
        <v>1506.45</v>
      </c>
      <c r="U220" s="1266">
        <f>+IF($Q220=1,$J220,INDEX([1]Summary!$L$5:$L$110,MATCH($C220,[1]Summary!$D$5:$D321,0)))</f>
        <v>0</v>
      </c>
      <c r="V220" s="721"/>
      <c r="W220" s="721"/>
      <c r="X220" s="721"/>
      <c r="Y220" s="721"/>
      <c r="Z220" s="721"/>
      <c r="AA220" s="721"/>
      <c r="AB220" s="721"/>
      <c r="AC220" s="721"/>
      <c r="AD220" s="721"/>
      <c r="AI220" s="105"/>
      <c r="AJ220" s="105"/>
      <c r="AN220" s="105"/>
      <c r="AO220" s="105"/>
      <c r="AP220" s="105"/>
    </row>
    <row r="221" spans="1:42" outlineLevel="1">
      <c r="A221" s="545">
        <f>MAX($A$10:A220)+1</f>
        <v>212</v>
      </c>
      <c r="B221" s="716" t="s">
        <v>2096</v>
      </c>
      <c r="C221" s="716" t="s">
        <v>2169</v>
      </c>
      <c r="D221" s="716" t="s">
        <v>2170</v>
      </c>
      <c r="E221" s="559">
        <v>398</v>
      </c>
      <c r="F221" s="1302" cm="1">
        <f t="array" ref="F221">+IF(SUM(VALUE(N221:Q221)*$N$7:$Q$7)=0,R221,T221)</f>
        <v>2008.6000000000001</v>
      </c>
      <c r="G221" s="103">
        <f t="shared" si="12"/>
        <v>2008.6000000000001</v>
      </c>
      <c r="H221" s="717">
        <v>45381</v>
      </c>
      <c r="I221" s="1303" cm="1">
        <f t="array" ref="I221">+IF(SUM(VALUE(N221:Q221)*$N$7:$Q$7)=0,S221,U221)</f>
        <v>0</v>
      </c>
      <c r="J221" s="103">
        <f t="shared" si="13"/>
        <v>0</v>
      </c>
      <c r="K221" s="103"/>
      <c r="M221"/>
      <c r="N221" s="1300">
        <v>0</v>
      </c>
      <c r="O221" s="1300">
        <v>0</v>
      </c>
      <c r="P221" s="1300">
        <v>0</v>
      </c>
      <c r="Q221" s="1300">
        <v>1</v>
      </c>
      <c r="R221" s="1266">
        <v>2008.6000000000001</v>
      </c>
      <c r="S221" s="1266">
        <v>0</v>
      </c>
      <c r="T221" s="1266">
        <f>+IF($Q221=1,$G221,INDEX([1]Summary!$K$5:$K$110,MATCH($C221,[1]Summary!$D$5:$D322,0)))</f>
        <v>2008.6000000000001</v>
      </c>
      <c r="U221" s="1266">
        <f>+IF($Q221=1,$J221,INDEX([1]Summary!$L$5:$L$110,MATCH($C221,[1]Summary!$D$5:$D322,0)))</f>
        <v>0</v>
      </c>
      <c r="V221" s="721"/>
      <c r="W221" s="721"/>
      <c r="X221" s="721"/>
      <c r="Y221" s="721"/>
      <c r="Z221" s="721"/>
      <c r="AA221" s="721"/>
      <c r="AB221" s="721"/>
      <c r="AC221" s="721"/>
      <c r="AD221" s="721"/>
      <c r="AI221" s="105"/>
      <c r="AJ221" s="105"/>
      <c r="AN221" s="105"/>
      <c r="AO221" s="105"/>
      <c r="AP221" s="105"/>
    </row>
    <row r="222" spans="1:42" outlineLevel="1">
      <c r="A222" s="545">
        <f>MAX($A$10:A221)+1</f>
        <v>213</v>
      </c>
      <c r="B222" s="716" t="s">
        <v>2096</v>
      </c>
      <c r="C222" s="716" t="s">
        <v>2171</v>
      </c>
      <c r="D222" s="716" t="s">
        <v>2172</v>
      </c>
      <c r="E222" s="559">
        <v>394.1</v>
      </c>
      <c r="F222" s="1302" cm="1">
        <f t="array" ref="F222">+IF(SUM(VALUE(N222:Q222)*$N$7:$Q$7)=0,R222,T222)</f>
        <v>10043</v>
      </c>
      <c r="G222" s="103">
        <f t="shared" si="12"/>
        <v>10043</v>
      </c>
      <c r="H222" s="717">
        <v>45483</v>
      </c>
      <c r="I222" s="1303" cm="1">
        <f t="array" ref="I222">+IF(SUM(VALUE(N222:Q222)*$N$7:$Q$7)=0,S222,U222)</f>
        <v>0</v>
      </c>
      <c r="J222" s="103">
        <f t="shared" si="13"/>
        <v>0</v>
      </c>
      <c r="K222" s="103"/>
      <c r="M222"/>
      <c r="N222" s="1300">
        <v>0</v>
      </c>
      <c r="O222" s="1300">
        <v>0</v>
      </c>
      <c r="P222" s="1300">
        <v>0</v>
      </c>
      <c r="Q222" s="1300">
        <v>1</v>
      </c>
      <c r="R222" s="1266">
        <v>10043</v>
      </c>
      <c r="S222" s="1266">
        <v>0</v>
      </c>
      <c r="T222" s="1266">
        <f>+IF($Q222=1,$G222,INDEX([1]Summary!$K$5:$K$110,MATCH($C222,[1]Summary!$D$5:$D323,0)))</f>
        <v>10043</v>
      </c>
      <c r="U222" s="1266">
        <f>+IF($Q222=1,$J222,INDEX([1]Summary!$L$5:$L$110,MATCH($C222,[1]Summary!$D$5:$D323,0)))</f>
        <v>0</v>
      </c>
      <c r="V222" s="721"/>
      <c r="W222" s="721"/>
      <c r="X222" s="721"/>
      <c r="Y222" s="721"/>
      <c r="Z222" s="721"/>
      <c r="AA222" s="721"/>
      <c r="AB222" s="721"/>
      <c r="AC222" s="721"/>
      <c r="AD222" s="721"/>
      <c r="AI222" s="105"/>
      <c r="AJ222" s="105"/>
      <c r="AN222" s="105"/>
      <c r="AO222" s="105"/>
      <c r="AP222" s="105"/>
    </row>
    <row r="223" spans="1:42" outlineLevel="1">
      <c r="A223" s="545">
        <f>MAX($A$10:A222)+1</f>
        <v>214</v>
      </c>
      <c r="B223" s="716" t="s">
        <v>2096</v>
      </c>
      <c r="C223" s="716" t="s">
        <v>2173</v>
      </c>
      <c r="D223" s="716" t="s">
        <v>2174</v>
      </c>
      <c r="E223" s="559">
        <v>397.3</v>
      </c>
      <c r="F223" s="1302" cm="1">
        <f t="array" ref="F223">+IF(SUM(VALUE(N223:Q223)*$N$7:$Q$7)=0,R223,T223)</f>
        <v>75322.5</v>
      </c>
      <c r="G223" s="103">
        <f t="shared" si="12"/>
        <v>75322.5</v>
      </c>
      <c r="H223" s="717">
        <v>45366</v>
      </c>
      <c r="I223" s="1303" cm="1">
        <f t="array" ref="I223">+IF(SUM(VALUE(N223:Q223)*$N$7:$Q$7)=0,S223,U223)</f>
        <v>0</v>
      </c>
      <c r="J223" s="103">
        <f t="shared" si="13"/>
        <v>0</v>
      </c>
      <c r="K223" s="103"/>
      <c r="M223"/>
      <c r="N223" s="1300">
        <v>0</v>
      </c>
      <c r="O223" s="1300">
        <v>0</v>
      </c>
      <c r="P223" s="1300">
        <v>0</v>
      </c>
      <c r="Q223" s="1300">
        <v>1</v>
      </c>
      <c r="R223" s="1266">
        <v>75322.5</v>
      </c>
      <c r="S223" s="1266">
        <v>0</v>
      </c>
      <c r="T223" s="1266">
        <f>+IF($Q223=1,$G223,INDEX([1]Summary!$K$5:$K$110,MATCH($C223,[1]Summary!$D$5:$D324,0)))</f>
        <v>75322.5</v>
      </c>
      <c r="U223" s="1266">
        <f>+IF($Q223=1,$J223,INDEX([1]Summary!$L$5:$L$110,MATCH($C223,[1]Summary!$D$5:$D324,0)))</f>
        <v>0</v>
      </c>
      <c r="V223" s="721"/>
      <c r="W223" s="721"/>
      <c r="X223" s="721"/>
      <c r="Y223" s="721"/>
      <c r="Z223" s="721"/>
      <c r="AA223" s="721"/>
      <c r="AB223" s="721"/>
      <c r="AC223" s="721"/>
      <c r="AD223" s="721"/>
      <c r="AI223" s="105"/>
      <c r="AJ223" s="105"/>
      <c r="AN223" s="105"/>
      <c r="AO223" s="105"/>
      <c r="AP223" s="105"/>
    </row>
    <row r="224" spans="1:42" outlineLevel="1">
      <c r="A224" s="545">
        <f>MAX($A$10:A223)+1</f>
        <v>215</v>
      </c>
      <c r="B224" s="716" t="s">
        <v>2096</v>
      </c>
      <c r="C224" s="716" t="s">
        <v>2175</v>
      </c>
      <c r="D224" s="716" t="s">
        <v>2176</v>
      </c>
      <c r="E224" s="559">
        <v>391.3</v>
      </c>
      <c r="F224" s="1302" cm="1">
        <f t="array" ref="F224">+IF(SUM(VALUE(N224:Q224)*$N$7:$Q$7)=0,R224,T224)</f>
        <v>45193.5</v>
      </c>
      <c r="G224" s="103">
        <f t="shared" si="12"/>
        <v>45193.5</v>
      </c>
      <c r="H224" s="717">
        <v>45550</v>
      </c>
      <c r="I224" s="1303" cm="1">
        <f t="array" ref="I224">+IF(SUM(VALUE(N224:Q224)*$N$7:$Q$7)=0,S224,U224)</f>
        <v>0</v>
      </c>
      <c r="J224" s="103">
        <f t="shared" si="13"/>
        <v>0</v>
      </c>
      <c r="K224" s="103"/>
      <c r="M224"/>
      <c r="N224" s="1300">
        <v>0</v>
      </c>
      <c r="O224" s="1300">
        <v>0</v>
      </c>
      <c r="P224" s="1300">
        <v>0</v>
      </c>
      <c r="Q224" s="1300">
        <v>1</v>
      </c>
      <c r="R224" s="1266">
        <v>45193.5</v>
      </c>
      <c r="S224" s="1266">
        <v>0</v>
      </c>
      <c r="T224" s="1266">
        <f>+IF($Q224=1,$G224,INDEX([1]Summary!$K$5:$K$110,MATCH($C224,[1]Summary!$D$5:$D325,0)))</f>
        <v>45193.5</v>
      </c>
      <c r="U224" s="1266">
        <f>+IF($Q224=1,$J224,INDEX([1]Summary!$L$5:$L$110,MATCH($C224,[1]Summary!$D$5:$D325,0)))</f>
        <v>0</v>
      </c>
      <c r="V224" s="721"/>
      <c r="W224" s="721"/>
      <c r="X224" s="721"/>
      <c r="Y224" s="721"/>
      <c r="Z224" s="721"/>
      <c r="AA224" s="721"/>
      <c r="AB224" s="721"/>
      <c r="AC224" s="721"/>
      <c r="AD224" s="721"/>
      <c r="AI224" s="105"/>
      <c r="AJ224" s="105"/>
      <c r="AN224" s="105"/>
      <c r="AO224" s="105"/>
      <c r="AP224" s="105"/>
    </row>
    <row r="225" spans="1:42" outlineLevel="1">
      <c r="A225" s="545">
        <f>MAX($A$10:A224)+1</f>
        <v>216</v>
      </c>
      <c r="B225" s="716" t="s">
        <v>2096</v>
      </c>
      <c r="C225" s="716" t="s">
        <v>2177</v>
      </c>
      <c r="D225" s="716" t="s">
        <v>2178</v>
      </c>
      <c r="E225" s="559">
        <v>397.2</v>
      </c>
      <c r="F225" s="1302" cm="1">
        <f t="array" ref="F225">+IF(SUM(VALUE(N225:Q225)*$N$7:$Q$7)=0,R225,T225)</f>
        <v>0</v>
      </c>
      <c r="G225" s="103">
        <f t="shared" si="12"/>
        <v>0</v>
      </c>
      <c r="H225" s="717"/>
      <c r="I225" s="1303" cm="1">
        <f t="array" ref="I225">+IF(SUM(VALUE(N225:Q225)*$N$7:$Q$7)=0,S225,U225)</f>
        <v>4533.9277200000006</v>
      </c>
      <c r="J225" s="103">
        <f t="shared" si="13"/>
        <v>4533.9277200000006</v>
      </c>
      <c r="K225" s="575">
        <v>45961</v>
      </c>
      <c r="M225"/>
      <c r="N225" s="1300">
        <v>0</v>
      </c>
      <c r="O225" s="1300">
        <v>0</v>
      </c>
      <c r="P225" s="1300">
        <v>0</v>
      </c>
      <c r="Q225" s="1300">
        <v>1</v>
      </c>
      <c r="R225" s="1266">
        <v>0</v>
      </c>
      <c r="S225" s="1266">
        <v>4533.9277200000006</v>
      </c>
      <c r="T225" s="1266">
        <f>+IF($Q225=1,$G225,INDEX([1]Summary!$K$5:$K$110,MATCH($C225,[1]Summary!$D$5:$D326,0)))</f>
        <v>0</v>
      </c>
      <c r="U225" s="1266">
        <f>+IF($Q225=1,$J225,INDEX([1]Summary!$L$5:$L$110,MATCH($C225,[1]Summary!$D$5:$D326,0)))</f>
        <v>4533.9277200000006</v>
      </c>
      <c r="V225" s="721"/>
      <c r="W225" s="721"/>
      <c r="X225" s="721"/>
      <c r="Y225" s="721"/>
      <c r="Z225" s="721"/>
      <c r="AA225" s="721"/>
      <c r="AB225" s="721"/>
      <c r="AC225" s="721"/>
      <c r="AD225" s="721"/>
      <c r="AI225" s="105"/>
      <c r="AJ225" s="105"/>
      <c r="AN225" s="105"/>
      <c r="AO225" s="105"/>
      <c r="AP225" s="105"/>
    </row>
    <row r="226" spans="1:42" outlineLevel="1">
      <c r="A226" s="545">
        <f>MAX($A$10:A225)+1</f>
        <v>217</v>
      </c>
      <c r="B226" s="716" t="s">
        <v>2096</v>
      </c>
      <c r="C226" s="716" t="s">
        <v>2179</v>
      </c>
      <c r="D226" s="716" t="s">
        <v>2180</v>
      </c>
      <c r="E226" s="559">
        <v>394.1</v>
      </c>
      <c r="F226" s="1302" cm="1">
        <f t="array" ref="F226">+IF(SUM(VALUE(N226:Q226)*$N$7:$Q$7)=0,R226,T226)</f>
        <v>1506.45</v>
      </c>
      <c r="G226" s="103">
        <f t="shared" si="12"/>
        <v>1506.45</v>
      </c>
      <c r="H226" s="717">
        <v>45321</v>
      </c>
      <c r="I226" s="1303" cm="1">
        <f t="array" ref="I226">+IF(SUM(VALUE(N226:Q226)*$N$7:$Q$7)=0,S226,U226)</f>
        <v>0</v>
      </c>
      <c r="J226" s="103">
        <f t="shared" si="13"/>
        <v>0</v>
      </c>
      <c r="K226" s="103"/>
      <c r="M226"/>
      <c r="N226" s="1300">
        <v>0</v>
      </c>
      <c r="O226" s="1300">
        <v>0</v>
      </c>
      <c r="P226" s="1300">
        <v>0</v>
      </c>
      <c r="Q226" s="1300">
        <v>1</v>
      </c>
      <c r="R226" s="1266">
        <v>1506.45</v>
      </c>
      <c r="S226" s="1266">
        <v>0</v>
      </c>
      <c r="T226" s="1266">
        <f>+IF($Q226=1,$G226,INDEX([1]Summary!$K$5:$K$110,MATCH($C226,[1]Summary!$D$5:$D327,0)))</f>
        <v>1506.45</v>
      </c>
      <c r="U226" s="1266">
        <f>+IF($Q226=1,$J226,INDEX([1]Summary!$L$5:$L$110,MATCH($C226,[1]Summary!$D$5:$D327,0)))</f>
        <v>0</v>
      </c>
      <c r="V226" s="721"/>
      <c r="W226" s="721"/>
      <c r="X226" s="721"/>
      <c r="Y226" s="721"/>
      <c r="Z226" s="721"/>
      <c r="AA226" s="721"/>
      <c r="AB226" s="721"/>
      <c r="AC226" s="721"/>
      <c r="AD226" s="721"/>
      <c r="AI226" s="105"/>
      <c r="AJ226" s="105"/>
      <c r="AN226" s="105"/>
      <c r="AO226" s="105"/>
      <c r="AP226" s="105"/>
    </row>
    <row r="227" spans="1:42" outlineLevel="1">
      <c r="A227" s="545">
        <f>MAX($A$10:A226)+1</f>
        <v>218</v>
      </c>
      <c r="B227" s="716" t="s">
        <v>2096</v>
      </c>
      <c r="C227" s="716" t="s">
        <v>2181</v>
      </c>
      <c r="D227" s="716" t="s">
        <v>2182</v>
      </c>
      <c r="E227" s="559">
        <v>394.1</v>
      </c>
      <c r="F227" s="1302" cm="1">
        <f t="array" ref="F227">+IF(SUM(VALUE(N227:Q227)*$N$7:$Q$7)=0,R227,T227)</f>
        <v>1506.45</v>
      </c>
      <c r="G227" s="103">
        <f t="shared" si="12"/>
        <v>1506.45</v>
      </c>
      <c r="H227" s="717">
        <v>45321</v>
      </c>
      <c r="I227" s="1303" cm="1">
        <f t="array" ref="I227">+IF(SUM(VALUE(N227:Q227)*$N$7:$Q$7)=0,S227,U227)</f>
        <v>0</v>
      </c>
      <c r="J227" s="103">
        <f t="shared" si="13"/>
        <v>0</v>
      </c>
      <c r="K227" s="103"/>
      <c r="M227"/>
      <c r="N227" s="1300">
        <v>0</v>
      </c>
      <c r="O227" s="1300">
        <v>0</v>
      </c>
      <c r="P227" s="1300">
        <v>0</v>
      </c>
      <c r="Q227" s="1300">
        <v>1</v>
      </c>
      <c r="R227" s="1266">
        <v>1506.45</v>
      </c>
      <c r="S227" s="1266">
        <v>0</v>
      </c>
      <c r="T227" s="1266">
        <f>+IF($Q227=1,$G227,INDEX([1]Summary!$K$5:$K$110,MATCH($C227,[1]Summary!$D$5:$D328,0)))</f>
        <v>1506.45</v>
      </c>
      <c r="U227" s="1266">
        <f>+IF($Q227=1,$J227,INDEX([1]Summary!$L$5:$L$110,MATCH($C227,[1]Summary!$D$5:$D328,0)))</f>
        <v>0</v>
      </c>
      <c r="V227" s="721"/>
      <c r="W227" s="721"/>
      <c r="X227" s="721"/>
      <c r="Y227" s="721"/>
      <c r="Z227" s="721"/>
      <c r="AA227" s="721"/>
      <c r="AB227" s="721"/>
      <c r="AC227" s="721"/>
      <c r="AD227" s="721"/>
      <c r="AI227" s="105"/>
      <c r="AJ227" s="105"/>
      <c r="AN227" s="105"/>
      <c r="AO227" s="105"/>
      <c r="AP227" s="105"/>
    </row>
    <row r="228" spans="1:42" outlineLevel="1">
      <c r="A228" s="545">
        <f>MAX($A$10:A227)+1</f>
        <v>219</v>
      </c>
      <c r="B228" s="716" t="s">
        <v>2096</v>
      </c>
      <c r="C228" s="716" t="s">
        <v>2183</v>
      </c>
      <c r="D228" s="716" t="s">
        <v>2184</v>
      </c>
      <c r="E228" s="559">
        <v>394.1</v>
      </c>
      <c r="F228" s="1302" cm="1">
        <f t="array" ref="F228">+IF(SUM(VALUE(N228:Q228)*$N$7:$Q$7)=0,R228,T228)</f>
        <v>9800.418528000002</v>
      </c>
      <c r="G228" s="103">
        <f t="shared" si="12"/>
        <v>9800.418528000002</v>
      </c>
      <c r="H228" s="717">
        <v>45349</v>
      </c>
      <c r="I228" s="1303" cm="1">
        <f t="array" ref="I228">+IF(SUM(VALUE(N228:Q228)*$N$7:$Q$7)=0,S228,U228)</f>
        <v>0</v>
      </c>
      <c r="J228" s="103">
        <f t="shared" si="13"/>
        <v>0</v>
      </c>
      <c r="K228" s="103"/>
      <c r="M228"/>
      <c r="N228" s="1300">
        <v>0</v>
      </c>
      <c r="O228" s="1300">
        <v>0</v>
      </c>
      <c r="P228" s="1300">
        <v>0</v>
      </c>
      <c r="Q228" s="1300">
        <v>1</v>
      </c>
      <c r="R228" s="1266">
        <v>9800.418528000002</v>
      </c>
      <c r="S228" s="1266">
        <v>0</v>
      </c>
      <c r="T228" s="1266">
        <f>+IF($Q228=1,$G228,INDEX([1]Summary!$K$5:$K$110,MATCH($C228,[1]Summary!$D$5:$D329,0)))</f>
        <v>9800.418528000002</v>
      </c>
      <c r="U228" s="1266">
        <f>+IF($Q228=1,$J228,INDEX([1]Summary!$L$5:$L$110,MATCH($C228,[1]Summary!$D$5:$D329,0)))</f>
        <v>0</v>
      </c>
      <c r="V228" s="721"/>
      <c r="W228" s="721"/>
      <c r="X228" s="721"/>
      <c r="Y228" s="721"/>
      <c r="Z228" s="721"/>
      <c r="AA228" s="721"/>
      <c r="AB228" s="721"/>
      <c r="AC228" s="721"/>
      <c r="AD228" s="721"/>
      <c r="AI228" s="105"/>
      <c r="AJ228" s="105"/>
      <c r="AN228" s="105"/>
      <c r="AO228" s="105"/>
      <c r="AP228" s="105"/>
    </row>
    <row r="229" spans="1:42" outlineLevel="1">
      <c r="A229" s="545">
        <f>MAX($A$10:A228)+1</f>
        <v>220</v>
      </c>
      <c r="B229" s="716" t="s">
        <v>2096</v>
      </c>
      <c r="C229" s="716" t="s">
        <v>2185</v>
      </c>
      <c r="D229" s="716" t="s">
        <v>2186</v>
      </c>
      <c r="E229" s="559">
        <v>394.1</v>
      </c>
      <c r="F229" s="1302" cm="1">
        <f t="array" ref="F229">+IF(SUM(VALUE(N229:Q229)*$N$7:$Q$7)=0,R229,T229)</f>
        <v>3769.64005</v>
      </c>
      <c r="G229" s="103">
        <f t="shared" si="12"/>
        <v>3769.64005</v>
      </c>
      <c r="H229" s="717">
        <v>45349</v>
      </c>
      <c r="I229" s="1303" cm="1">
        <f t="array" ref="I229">+IF(SUM(VALUE(N229:Q229)*$N$7:$Q$7)=0,S229,U229)</f>
        <v>0</v>
      </c>
      <c r="J229" s="103">
        <f t="shared" si="13"/>
        <v>0</v>
      </c>
      <c r="K229" s="103"/>
      <c r="M229"/>
      <c r="N229" s="1300">
        <v>0</v>
      </c>
      <c r="O229" s="1300">
        <v>0</v>
      </c>
      <c r="P229" s="1300">
        <v>0</v>
      </c>
      <c r="Q229" s="1300">
        <v>1</v>
      </c>
      <c r="R229" s="1266">
        <v>3769.64005</v>
      </c>
      <c r="S229" s="1266">
        <v>0</v>
      </c>
      <c r="T229" s="1266">
        <f>+IF($Q229=1,$G229,INDEX([1]Summary!$K$5:$K$110,MATCH($C229,[1]Summary!$D$5:$D330,0)))</f>
        <v>3769.64005</v>
      </c>
      <c r="U229" s="1266">
        <f>+IF($Q229=1,$J229,INDEX([1]Summary!$L$5:$L$110,MATCH($C229,[1]Summary!$D$5:$D330,0)))</f>
        <v>0</v>
      </c>
      <c r="V229" s="721"/>
      <c r="W229" s="721"/>
      <c r="X229" s="721"/>
      <c r="Y229" s="721"/>
      <c r="Z229" s="721"/>
      <c r="AA229" s="721"/>
      <c r="AB229" s="721"/>
      <c r="AC229" s="721"/>
      <c r="AD229" s="721"/>
      <c r="AI229" s="105"/>
      <c r="AJ229" s="105"/>
      <c r="AN229" s="105"/>
      <c r="AO229" s="105"/>
      <c r="AP229" s="105"/>
    </row>
    <row r="230" spans="1:42" outlineLevel="1">
      <c r="A230" s="545">
        <f>MAX($A$10:A229)+1</f>
        <v>221</v>
      </c>
      <c r="B230" s="716" t="s">
        <v>2096</v>
      </c>
      <c r="C230" s="716" t="s">
        <v>2187</v>
      </c>
      <c r="D230" s="716" t="s">
        <v>2188</v>
      </c>
      <c r="E230" s="559">
        <v>394.1</v>
      </c>
      <c r="F230" s="1302" cm="1">
        <f t="array" ref="F230">+IF(SUM(VALUE(N230:Q230)*$N$7:$Q$7)=0,R230,T230)</f>
        <v>2638.7480350000001</v>
      </c>
      <c r="G230" s="103">
        <f t="shared" si="12"/>
        <v>2638.7480350000001</v>
      </c>
      <c r="H230" s="717">
        <v>45365</v>
      </c>
      <c r="I230" s="1303" cm="1">
        <f t="array" ref="I230">+IF(SUM(VALUE(N230:Q230)*$N$7:$Q$7)=0,S230,U230)</f>
        <v>0</v>
      </c>
      <c r="J230" s="103">
        <f t="shared" si="13"/>
        <v>0</v>
      </c>
      <c r="K230" s="103"/>
      <c r="M230"/>
      <c r="N230" s="1300">
        <v>0</v>
      </c>
      <c r="O230" s="1300">
        <v>0</v>
      </c>
      <c r="P230" s="1300">
        <v>0</v>
      </c>
      <c r="Q230" s="1300">
        <v>1</v>
      </c>
      <c r="R230" s="1266">
        <v>2638.7480350000001</v>
      </c>
      <c r="S230" s="1266">
        <v>0</v>
      </c>
      <c r="T230" s="1266">
        <f>+IF($Q230=1,$G230,INDEX([1]Summary!$K$5:$K$110,MATCH($C230,[1]Summary!$D$5:$D331,0)))</f>
        <v>2638.7480350000001</v>
      </c>
      <c r="U230" s="1266">
        <f>+IF($Q230=1,$J230,INDEX([1]Summary!$L$5:$L$110,MATCH($C230,[1]Summary!$D$5:$D331,0)))</f>
        <v>0</v>
      </c>
      <c r="V230" s="721"/>
      <c r="W230" s="721"/>
      <c r="X230" s="721"/>
      <c r="Y230" s="721"/>
      <c r="Z230" s="721"/>
      <c r="AA230" s="721"/>
      <c r="AB230" s="721"/>
      <c r="AC230" s="721"/>
      <c r="AD230" s="721"/>
      <c r="AI230" s="105"/>
      <c r="AJ230" s="105"/>
      <c r="AN230" s="105"/>
      <c r="AO230" s="105"/>
      <c r="AP230" s="105"/>
    </row>
    <row r="231" spans="1:42" outlineLevel="1">
      <c r="A231" s="545">
        <f>MAX($A$10:A230)+1</f>
        <v>222</v>
      </c>
      <c r="B231" s="716" t="s">
        <v>2096</v>
      </c>
      <c r="C231" s="716" t="s">
        <v>2189</v>
      </c>
      <c r="D231" s="716" t="s">
        <v>2190</v>
      </c>
      <c r="E231" s="559">
        <v>394.1</v>
      </c>
      <c r="F231" s="1302" cm="1">
        <f t="array" ref="F231">+IF(SUM(VALUE(N231:Q231)*$N$7:$Q$7)=0,R231,T231)</f>
        <v>10554.99214</v>
      </c>
      <c r="G231" s="103">
        <f t="shared" si="12"/>
        <v>10554.99214</v>
      </c>
      <c r="H231" s="717">
        <v>45458</v>
      </c>
      <c r="I231" s="1303" cm="1">
        <f t="array" ref="I231">+IF(SUM(VALUE(N231:Q231)*$N$7:$Q$7)=0,S231,U231)</f>
        <v>0</v>
      </c>
      <c r="J231" s="103">
        <f t="shared" si="13"/>
        <v>0</v>
      </c>
      <c r="K231" s="103"/>
      <c r="M231"/>
      <c r="N231" s="1300">
        <v>0</v>
      </c>
      <c r="O231" s="1300">
        <v>0</v>
      </c>
      <c r="P231" s="1300">
        <v>0</v>
      </c>
      <c r="Q231" s="1300">
        <v>1</v>
      </c>
      <c r="R231" s="1266">
        <v>10554.99214</v>
      </c>
      <c r="S231" s="1266">
        <v>0</v>
      </c>
      <c r="T231" s="1266">
        <f>+IF($Q231=1,$G231,INDEX([1]Summary!$K$5:$K$110,MATCH($C231,[1]Summary!$D$5:$D332,0)))</f>
        <v>10554.99214</v>
      </c>
      <c r="U231" s="1266">
        <f>+IF($Q231=1,$J231,INDEX([1]Summary!$L$5:$L$110,MATCH($C231,[1]Summary!$D$5:$D332,0)))</f>
        <v>0</v>
      </c>
      <c r="V231" s="721"/>
      <c r="W231" s="721"/>
      <c r="X231" s="721"/>
      <c r="Y231" s="721"/>
      <c r="Z231" s="721"/>
      <c r="AA231" s="721"/>
      <c r="AB231" s="721"/>
      <c r="AC231" s="721"/>
      <c r="AD231" s="721"/>
      <c r="AI231" s="105"/>
      <c r="AJ231" s="105"/>
      <c r="AN231" s="105"/>
      <c r="AO231" s="105"/>
      <c r="AP231" s="105"/>
    </row>
    <row r="232" spans="1:42" outlineLevel="1">
      <c r="A232" s="545">
        <f>MAX($A$10:A231)+1</f>
        <v>223</v>
      </c>
      <c r="B232" s="716" t="s">
        <v>2096</v>
      </c>
      <c r="C232" s="716" t="s">
        <v>2191</v>
      </c>
      <c r="D232" s="716" t="s">
        <v>2192</v>
      </c>
      <c r="E232" s="559">
        <v>394.1</v>
      </c>
      <c r="F232" s="1302" cm="1">
        <f t="array" ref="F232">+IF(SUM(VALUE(N232:Q232)*$N$7:$Q$7)=0,R232,T232)</f>
        <v>0</v>
      </c>
      <c r="G232" s="103">
        <f t="shared" si="12"/>
        <v>0</v>
      </c>
      <c r="H232" s="717"/>
      <c r="I232" s="1303" cm="1">
        <f t="array" ref="I232">+IF(SUM(VALUE(N232:Q232)*$N$7:$Q$7)=0,S232,U232)</f>
        <v>19219.010000000002</v>
      </c>
      <c r="J232" s="103">
        <f t="shared" si="13"/>
        <v>19219.010000000002</v>
      </c>
      <c r="K232" s="575">
        <v>45716</v>
      </c>
      <c r="M232"/>
      <c r="N232" s="1300">
        <v>0</v>
      </c>
      <c r="O232" s="1300">
        <v>0</v>
      </c>
      <c r="P232" s="1300">
        <v>0</v>
      </c>
      <c r="Q232" s="1300">
        <v>1</v>
      </c>
      <c r="R232" s="1266">
        <v>0</v>
      </c>
      <c r="S232" s="1266">
        <v>19219.010000000002</v>
      </c>
      <c r="T232" s="1266">
        <f>+IF($Q232=1,$G232,INDEX([1]Summary!$K$5:$K$110,MATCH($C232,[1]Summary!$D$5:$D333,0)))</f>
        <v>0</v>
      </c>
      <c r="U232" s="1266">
        <f>+IF($Q232=1,$J232,INDEX([1]Summary!$L$5:$L$110,MATCH($C232,[1]Summary!$D$5:$D333,0)))</f>
        <v>19219.010000000002</v>
      </c>
      <c r="V232" s="721"/>
      <c r="W232" s="721"/>
      <c r="X232" s="721"/>
      <c r="Y232" s="721"/>
      <c r="Z232" s="721"/>
      <c r="AA232" s="721"/>
      <c r="AB232" s="721"/>
      <c r="AC232" s="721"/>
      <c r="AD232" s="721"/>
      <c r="AI232" s="105"/>
      <c r="AJ232" s="105"/>
      <c r="AN232" s="105"/>
      <c r="AO232" s="105"/>
      <c r="AP232" s="105"/>
    </row>
    <row r="233" spans="1:42" outlineLevel="1">
      <c r="A233" s="545">
        <f>MAX($A$10:A232)+1</f>
        <v>224</v>
      </c>
      <c r="B233" s="716" t="s">
        <v>2096</v>
      </c>
      <c r="C233" s="716" t="s">
        <v>2193</v>
      </c>
      <c r="D233" s="716" t="s">
        <v>2194</v>
      </c>
      <c r="E233" s="559">
        <v>394.1</v>
      </c>
      <c r="F233" s="1302" cm="1">
        <f t="array" ref="F233">+IF(SUM(VALUE(N233:Q233)*$N$7:$Q$7)=0,R233,T233)</f>
        <v>15078.5602</v>
      </c>
      <c r="G233" s="103">
        <f t="shared" si="12"/>
        <v>15078.5602</v>
      </c>
      <c r="H233" s="717">
        <v>45458</v>
      </c>
      <c r="I233" s="1303" cm="1">
        <f t="array" ref="I233">+IF(SUM(VALUE(N233:Q233)*$N$7:$Q$7)=0,S233,U233)</f>
        <v>0</v>
      </c>
      <c r="J233" s="103">
        <f t="shared" si="13"/>
        <v>0</v>
      </c>
      <c r="K233" s="103"/>
      <c r="M233"/>
      <c r="N233" s="1300">
        <v>0</v>
      </c>
      <c r="O233" s="1300">
        <v>0</v>
      </c>
      <c r="P233" s="1300">
        <v>0</v>
      </c>
      <c r="Q233" s="1300">
        <v>1</v>
      </c>
      <c r="R233" s="1266">
        <v>15078.5602</v>
      </c>
      <c r="S233" s="1266">
        <v>0</v>
      </c>
      <c r="T233" s="1266">
        <f>+IF($Q233=1,$G233,INDEX([1]Summary!$K$5:$K$110,MATCH($C233,[1]Summary!$D$5:$D334,0)))</f>
        <v>15078.5602</v>
      </c>
      <c r="U233" s="1266">
        <f>+IF($Q233=1,$J233,INDEX([1]Summary!$L$5:$L$110,MATCH($C233,[1]Summary!$D$5:$D334,0)))</f>
        <v>0</v>
      </c>
      <c r="V233" s="721"/>
      <c r="W233" s="721"/>
      <c r="X233" s="721"/>
      <c r="Y233" s="721"/>
      <c r="Z233" s="721"/>
      <c r="AA233" s="721"/>
      <c r="AB233" s="721"/>
      <c r="AC233" s="721"/>
      <c r="AD233" s="721"/>
      <c r="AI233" s="105"/>
      <c r="AJ233" s="105"/>
      <c r="AN233" s="105"/>
      <c r="AO233" s="105"/>
      <c r="AP233" s="105"/>
    </row>
    <row r="234" spans="1:42" outlineLevel="1">
      <c r="A234" s="545">
        <f>MAX($A$10:A233)+1</f>
        <v>225</v>
      </c>
      <c r="B234" s="716" t="s">
        <v>2096</v>
      </c>
      <c r="C234" s="716" t="s">
        <v>2195</v>
      </c>
      <c r="D234" s="716" t="s">
        <v>2196</v>
      </c>
      <c r="E234" s="559">
        <v>394.1</v>
      </c>
      <c r="F234" s="1302" cm="1">
        <f t="array" ref="F234">+IF(SUM(VALUE(N234:Q234)*$N$7:$Q$7)=0,R234,T234)</f>
        <v>8293.2081100000014</v>
      </c>
      <c r="G234" s="103">
        <f t="shared" si="12"/>
        <v>8293.2081100000014</v>
      </c>
      <c r="H234" s="717">
        <v>45458</v>
      </c>
      <c r="I234" s="1303" cm="1">
        <f t="array" ref="I234">+IF(SUM(VALUE(N234:Q234)*$N$7:$Q$7)=0,S234,U234)</f>
        <v>0</v>
      </c>
      <c r="J234" s="103">
        <f t="shared" si="13"/>
        <v>0</v>
      </c>
      <c r="K234" s="103"/>
      <c r="M234"/>
      <c r="N234" s="1300">
        <v>0</v>
      </c>
      <c r="O234" s="1300">
        <v>0</v>
      </c>
      <c r="P234" s="1300">
        <v>0</v>
      </c>
      <c r="Q234" s="1300">
        <v>1</v>
      </c>
      <c r="R234" s="1266">
        <v>8293.2081100000014</v>
      </c>
      <c r="S234" s="1266">
        <v>0</v>
      </c>
      <c r="T234" s="1266">
        <f>+IF($Q234=1,$G234,INDEX([1]Summary!$K$5:$K$110,MATCH($C234,[1]Summary!$D$5:$D335,0)))</f>
        <v>8293.2081100000014</v>
      </c>
      <c r="U234" s="1266">
        <f>+IF($Q234=1,$J234,INDEX([1]Summary!$L$5:$L$110,MATCH($C234,[1]Summary!$D$5:$D335,0)))</f>
        <v>0</v>
      </c>
      <c r="V234" s="721"/>
      <c r="W234" s="721"/>
      <c r="X234" s="721"/>
      <c r="Y234" s="721"/>
      <c r="Z234" s="721"/>
      <c r="AA234" s="721"/>
      <c r="AB234" s="721"/>
      <c r="AC234" s="721"/>
      <c r="AD234" s="721"/>
      <c r="AI234" s="105"/>
      <c r="AJ234" s="105"/>
      <c r="AN234" s="105"/>
      <c r="AO234" s="105"/>
      <c r="AP234" s="105"/>
    </row>
    <row r="235" spans="1:42" outlineLevel="1">
      <c r="A235" s="545">
        <f>MAX($A$10:A234)+1</f>
        <v>226</v>
      </c>
      <c r="B235" s="716" t="s">
        <v>2096</v>
      </c>
      <c r="C235" s="716" t="s">
        <v>2197</v>
      </c>
      <c r="D235" s="716" t="s">
        <v>2198</v>
      </c>
      <c r="E235" s="559">
        <v>394.1</v>
      </c>
      <c r="F235" s="1302" cm="1">
        <f t="array" ref="F235">+IF(SUM(VALUE(N235:Q235)*$N$7:$Q$7)=0,R235,T235)</f>
        <v>0</v>
      </c>
      <c r="G235" s="103">
        <f t="shared" si="12"/>
        <v>0</v>
      </c>
      <c r="H235" s="717"/>
      <c r="I235" s="1303" cm="1">
        <f t="array" ref="I235">+IF(SUM(VALUE(N235:Q235)*$N$7:$Q$7)=0,S235,U235)</f>
        <v>6068.79</v>
      </c>
      <c r="J235" s="103">
        <f t="shared" si="13"/>
        <v>6068.79</v>
      </c>
      <c r="K235" s="575">
        <v>45836</v>
      </c>
      <c r="M235"/>
      <c r="N235" s="1300">
        <v>0</v>
      </c>
      <c r="O235" s="1300">
        <v>0</v>
      </c>
      <c r="P235" s="1300">
        <v>0</v>
      </c>
      <c r="Q235" s="1300">
        <v>1</v>
      </c>
      <c r="R235" s="1266">
        <v>0</v>
      </c>
      <c r="S235" s="1266">
        <v>6068.79</v>
      </c>
      <c r="T235" s="1266">
        <f>+IF($Q235=1,$G235,INDEX([1]Summary!$K$5:$K$110,MATCH($C235,[1]Summary!$D$5:$D336,0)))</f>
        <v>0</v>
      </c>
      <c r="U235" s="1266">
        <f>+IF($Q235=1,$J235,INDEX([1]Summary!$L$5:$L$110,MATCH($C235,[1]Summary!$D$5:$D336,0)))</f>
        <v>6068.79</v>
      </c>
      <c r="V235" s="721"/>
      <c r="W235" s="721"/>
      <c r="X235" s="721"/>
      <c r="Y235" s="721"/>
      <c r="Z235" s="721"/>
      <c r="AA235" s="721"/>
      <c r="AB235" s="721"/>
      <c r="AC235" s="721"/>
      <c r="AD235" s="721"/>
      <c r="AI235" s="105"/>
      <c r="AJ235" s="105"/>
      <c r="AN235" s="105"/>
      <c r="AO235" s="105"/>
      <c r="AP235" s="105"/>
    </row>
    <row r="236" spans="1:42" outlineLevel="1">
      <c r="A236" s="545">
        <f>MAX($A$10:A235)+1</f>
        <v>227</v>
      </c>
      <c r="B236" s="716" t="s">
        <v>2096</v>
      </c>
      <c r="C236" s="716" t="s">
        <v>2199</v>
      </c>
      <c r="D236" s="716" t="s">
        <v>2200</v>
      </c>
      <c r="E236" s="559">
        <v>394.1</v>
      </c>
      <c r="F236" s="1302" cm="1">
        <f t="array" ref="F236">+IF(SUM(VALUE(N236:Q236)*$N$7:$Q$7)=0,R236,T236)</f>
        <v>6527.95</v>
      </c>
      <c r="G236" s="103">
        <f t="shared" si="12"/>
        <v>6527.95</v>
      </c>
      <c r="H236" s="717">
        <v>45440</v>
      </c>
      <c r="I236" s="1303" cm="1">
        <f t="array" ref="I236">+IF(SUM(VALUE(N236:Q236)*$N$7:$Q$7)=0,S236,U236)</f>
        <v>0</v>
      </c>
      <c r="J236" s="103">
        <f t="shared" si="13"/>
        <v>0</v>
      </c>
      <c r="K236" s="103"/>
      <c r="M236"/>
      <c r="N236" s="1300">
        <v>0</v>
      </c>
      <c r="O236" s="1300">
        <v>0</v>
      </c>
      <c r="P236" s="1300">
        <v>0</v>
      </c>
      <c r="Q236" s="1300">
        <v>1</v>
      </c>
      <c r="R236" s="1266">
        <v>6527.95</v>
      </c>
      <c r="S236" s="1266">
        <v>0</v>
      </c>
      <c r="T236" s="1266">
        <f>+IF($Q236=1,$G236,INDEX([1]Summary!$K$5:$K$110,MATCH($C236,[1]Summary!$D$5:$D337,0)))</f>
        <v>6527.95</v>
      </c>
      <c r="U236" s="1266">
        <f>+IF($Q236=1,$J236,INDEX([1]Summary!$L$5:$L$110,MATCH($C236,[1]Summary!$D$5:$D337,0)))</f>
        <v>0</v>
      </c>
      <c r="V236" s="721"/>
      <c r="W236" s="721"/>
      <c r="X236" s="721"/>
      <c r="Y236" s="721"/>
      <c r="Z236" s="721"/>
      <c r="AA236" s="721"/>
      <c r="AB236" s="721"/>
      <c r="AC236" s="721"/>
      <c r="AD236" s="721"/>
      <c r="AI236" s="105"/>
      <c r="AJ236" s="105"/>
      <c r="AN236" s="105"/>
      <c r="AO236" s="105"/>
      <c r="AP236" s="105"/>
    </row>
    <row r="237" spans="1:42" outlineLevel="1">
      <c r="A237" s="545">
        <f>MAX($A$10:A236)+1</f>
        <v>228</v>
      </c>
      <c r="B237" s="716" t="s">
        <v>2096</v>
      </c>
      <c r="C237" s="716" t="s">
        <v>2201</v>
      </c>
      <c r="D237" s="716" t="s">
        <v>2202</v>
      </c>
      <c r="E237" s="559">
        <v>394.1</v>
      </c>
      <c r="F237" s="1302" cm="1">
        <f t="array" ref="F237">+IF(SUM(VALUE(N237:Q237)*$N$7:$Q$7)=0,R237,T237)</f>
        <v>4017.2000000000003</v>
      </c>
      <c r="G237" s="103">
        <f t="shared" si="12"/>
        <v>4017.2000000000003</v>
      </c>
      <c r="H237" s="717">
        <v>45443</v>
      </c>
      <c r="I237" s="1303" cm="1">
        <f t="array" ref="I237">+IF(SUM(VALUE(N237:Q237)*$N$7:$Q$7)=0,S237,U237)</f>
        <v>0</v>
      </c>
      <c r="J237" s="103">
        <f t="shared" si="13"/>
        <v>0</v>
      </c>
      <c r="K237" s="103"/>
      <c r="M237"/>
      <c r="N237" s="1300">
        <v>0</v>
      </c>
      <c r="O237" s="1300">
        <v>0</v>
      </c>
      <c r="P237" s="1300">
        <v>0</v>
      </c>
      <c r="Q237" s="1300">
        <v>1</v>
      </c>
      <c r="R237" s="1266">
        <v>4017.2000000000003</v>
      </c>
      <c r="S237" s="1266">
        <v>0</v>
      </c>
      <c r="T237" s="1266">
        <f>+IF($Q237=1,$G237,INDEX([1]Summary!$K$5:$K$110,MATCH($C237,[1]Summary!$D$5:$D338,0)))</f>
        <v>4017.2000000000003</v>
      </c>
      <c r="U237" s="1266">
        <f>+IF($Q237=1,$J237,INDEX([1]Summary!$L$5:$L$110,MATCH($C237,[1]Summary!$D$5:$D338,0)))</f>
        <v>0</v>
      </c>
      <c r="V237" s="721"/>
      <c r="W237" s="721"/>
      <c r="X237" s="721"/>
      <c r="Y237" s="721"/>
      <c r="Z237" s="721"/>
      <c r="AA237" s="721"/>
      <c r="AB237" s="721"/>
      <c r="AC237" s="721"/>
      <c r="AD237" s="721"/>
      <c r="AI237" s="105"/>
      <c r="AJ237" s="105"/>
      <c r="AN237" s="105"/>
      <c r="AO237" s="105"/>
      <c r="AP237" s="105"/>
    </row>
    <row r="238" spans="1:42" outlineLevel="1">
      <c r="A238" s="545">
        <f>MAX($A$10:A237)+1</f>
        <v>229</v>
      </c>
      <c r="B238" s="716" t="s">
        <v>2096</v>
      </c>
      <c r="C238" s="716" t="s">
        <v>2203</v>
      </c>
      <c r="D238" s="716" t="s">
        <v>2204</v>
      </c>
      <c r="E238" s="559">
        <v>394.1</v>
      </c>
      <c r="F238" s="1302" cm="1">
        <f t="array" ref="F238">+IF(SUM(VALUE(N238:Q238)*$N$7:$Q$7)=0,R238,T238)</f>
        <v>4017.2000000000003</v>
      </c>
      <c r="G238" s="103">
        <f t="shared" si="12"/>
        <v>4017.2000000000003</v>
      </c>
      <c r="H238" s="717">
        <v>45443</v>
      </c>
      <c r="I238" s="1303" cm="1">
        <f t="array" ref="I238">+IF(SUM(VALUE(N238:Q238)*$N$7:$Q$7)=0,S238,U238)</f>
        <v>0</v>
      </c>
      <c r="J238" s="103">
        <f t="shared" si="13"/>
        <v>0</v>
      </c>
      <c r="K238" s="103"/>
      <c r="M238"/>
      <c r="N238" s="1300">
        <v>0</v>
      </c>
      <c r="O238" s="1300">
        <v>0</v>
      </c>
      <c r="P238" s="1300">
        <v>0</v>
      </c>
      <c r="Q238" s="1300">
        <v>1</v>
      </c>
      <c r="R238" s="1266">
        <v>4017.2000000000003</v>
      </c>
      <c r="S238" s="1266">
        <v>0</v>
      </c>
      <c r="T238" s="1266">
        <f>+IF($Q238=1,$G238,INDEX([1]Summary!$K$5:$K$110,MATCH($C238,[1]Summary!$D$5:$D339,0)))</f>
        <v>4017.2000000000003</v>
      </c>
      <c r="U238" s="1266">
        <f>+IF($Q238=1,$J238,INDEX([1]Summary!$L$5:$L$110,MATCH($C238,[1]Summary!$D$5:$D339,0)))</f>
        <v>0</v>
      </c>
      <c r="V238" s="721"/>
      <c r="W238" s="721"/>
      <c r="X238" s="721"/>
      <c r="Y238" s="721"/>
      <c r="Z238" s="721"/>
      <c r="AA238" s="721"/>
      <c r="AB238" s="721"/>
      <c r="AC238" s="721"/>
      <c r="AD238" s="721"/>
      <c r="AI238" s="105"/>
      <c r="AJ238" s="105"/>
      <c r="AN238" s="105"/>
      <c r="AO238" s="105"/>
      <c r="AP238" s="105"/>
    </row>
    <row r="239" spans="1:42" outlineLevel="1">
      <c r="A239" s="545">
        <f>MAX($A$10:A238)+1</f>
        <v>230</v>
      </c>
      <c r="B239" s="716" t="s">
        <v>2096</v>
      </c>
      <c r="C239" s="716" t="s">
        <v>2205</v>
      </c>
      <c r="D239" s="716" t="s">
        <v>2206</v>
      </c>
      <c r="E239" s="559">
        <v>394.1</v>
      </c>
      <c r="F239" s="1302" cm="1">
        <f t="array" ref="F239">+IF(SUM(VALUE(N239:Q239)*$N$7:$Q$7)=0,R239,T239)</f>
        <v>4441.3</v>
      </c>
      <c r="G239" s="103">
        <f t="shared" si="12"/>
        <v>4441.3</v>
      </c>
      <c r="H239" s="717">
        <v>45473</v>
      </c>
      <c r="I239" s="1303" cm="1">
        <f t="array" ref="I239">+IF(SUM(VALUE(N239:Q239)*$N$7:$Q$7)=0,S239,U239)</f>
        <v>0</v>
      </c>
      <c r="J239" s="103"/>
      <c r="K239" s="103"/>
      <c r="M239"/>
      <c r="N239" s="1300">
        <v>0</v>
      </c>
      <c r="O239" s="1300">
        <v>0</v>
      </c>
      <c r="P239" s="1300">
        <v>0</v>
      </c>
      <c r="Q239" s="1300">
        <v>1</v>
      </c>
      <c r="R239" s="1266">
        <v>4441.3</v>
      </c>
      <c r="S239" s="1266">
        <v>0</v>
      </c>
      <c r="T239" s="1266">
        <f>+IF($Q239=1,$G239,INDEX([1]Summary!$K$5:$K$110,MATCH($C239,[1]Summary!$D$5:$D340,0)))</f>
        <v>4441.3</v>
      </c>
      <c r="U239" s="1266">
        <f>+IF($Q239=1,$J239,INDEX([1]Summary!$L$5:$L$110,MATCH($C239,[1]Summary!$D$5:$D340,0)))</f>
        <v>0</v>
      </c>
      <c r="V239" s="721"/>
      <c r="W239" s="721"/>
      <c r="X239" s="721"/>
      <c r="Y239" s="721"/>
      <c r="Z239" s="721"/>
      <c r="AA239" s="721"/>
      <c r="AB239" s="721"/>
      <c r="AC239" s="721"/>
      <c r="AD239" s="721"/>
      <c r="AI239" s="105"/>
      <c r="AJ239" s="105"/>
      <c r="AN239" s="105"/>
      <c r="AO239" s="105"/>
      <c r="AP239" s="105"/>
    </row>
    <row r="240" spans="1:42" outlineLevel="1">
      <c r="A240" s="545">
        <f>MAX($A$10:A239)+1</f>
        <v>231</v>
      </c>
      <c r="B240" s="716" t="s">
        <v>2096</v>
      </c>
      <c r="C240" s="716" t="s">
        <v>2207</v>
      </c>
      <c r="D240" s="716" t="s">
        <v>2208</v>
      </c>
      <c r="E240" s="559">
        <v>394.1</v>
      </c>
      <c r="F240" s="1302" cm="1">
        <f t="array" ref="F240">+IF(SUM(VALUE(N240:Q240)*$N$7:$Q$7)=0,R240,T240)</f>
        <v>904713.61200000008</v>
      </c>
      <c r="G240" s="103">
        <f t="shared" si="12"/>
        <v>904713.61200000008</v>
      </c>
      <c r="H240" s="717">
        <v>45412</v>
      </c>
      <c r="I240" s="1303" cm="1">
        <f t="array" ref="I240">+IF(SUM(VALUE(N240:Q240)*$N$7:$Q$7)=0,S240,U240)</f>
        <v>0</v>
      </c>
      <c r="J240" s="103"/>
      <c r="K240" s="103"/>
      <c r="L240" s="47">
        <v>20000</v>
      </c>
      <c r="M240"/>
      <c r="N240" s="1300">
        <v>0</v>
      </c>
      <c r="O240" s="1300">
        <v>0</v>
      </c>
      <c r="P240" s="1300">
        <v>0</v>
      </c>
      <c r="Q240" s="1300">
        <v>1</v>
      </c>
      <c r="R240" s="1266">
        <v>904713.61200000008</v>
      </c>
      <c r="S240" s="1266">
        <v>0</v>
      </c>
      <c r="T240" s="1266">
        <f>+IF($Q240=1,$G240,INDEX([1]Summary!$K$5:$K$110,MATCH($C240,[1]Summary!$D$5:$D341,0)))</f>
        <v>904713.61200000008</v>
      </c>
      <c r="U240" s="1266">
        <f>+IF($Q240=1,$J240,INDEX([1]Summary!$L$5:$L$110,MATCH($C240,[1]Summary!$D$5:$D341,0)))</f>
        <v>0</v>
      </c>
      <c r="V240" s="721"/>
      <c r="W240" s="721"/>
      <c r="X240" s="721"/>
      <c r="Y240" s="721"/>
      <c r="Z240" s="721"/>
      <c r="AA240" s="721"/>
      <c r="AB240" s="721"/>
      <c r="AC240" s="721"/>
      <c r="AD240" s="721"/>
      <c r="AI240" s="105"/>
      <c r="AJ240" s="105"/>
      <c r="AN240" s="105"/>
      <c r="AO240" s="105"/>
      <c r="AP240" s="105"/>
    </row>
    <row r="241" spans="1:42" outlineLevel="1">
      <c r="A241" s="545">
        <f>MAX($A$10:A240)+1</f>
        <v>232</v>
      </c>
      <c r="B241" s="716" t="s">
        <v>2096</v>
      </c>
      <c r="C241" s="716" t="s">
        <v>2209</v>
      </c>
      <c r="D241" s="716" t="s">
        <v>2210</v>
      </c>
      <c r="E241" s="559">
        <v>394.1</v>
      </c>
      <c r="F241" s="1302" cm="1">
        <f t="array" ref="F241">+IF(SUM(VALUE(N241:Q241)*$N$7:$Q$7)=0,R241,T241)</f>
        <v>7906.85</v>
      </c>
      <c r="G241" s="103">
        <f t="shared" si="12"/>
        <v>7906.85</v>
      </c>
      <c r="H241" s="717">
        <v>45347</v>
      </c>
      <c r="I241" s="1303" cm="1">
        <f t="array" ref="I241">+IF(SUM(VALUE(N241:Q241)*$N$7:$Q$7)=0,S241,U241)</f>
        <v>0</v>
      </c>
      <c r="J241" s="103"/>
      <c r="K241" s="103"/>
      <c r="M241"/>
      <c r="N241" s="1300">
        <v>0</v>
      </c>
      <c r="O241" s="1300">
        <v>0</v>
      </c>
      <c r="P241" s="1300">
        <v>0</v>
      </c>
      <c r="Q241" s="1300">
        <v>1</v>
      </c>
      <c r="R241" s="1266">
        <v>7906.85</v>
      </c>
      <c r="S241" s="1266">
        <v>0</v>
      </c>
      <c r="T241" s="1266">
        <f>+IF($Q241=1,$G241,INDEX([1]Summary!$K$5:$K$110,MATCH($C241,[1]Summary!$D$5:$D342,0)))</f>
        <v>7906.85</v>
      </c>
      <c r="U241" s="1266">
        <f>+IF($Q241=1,$J241,INDEX([1]Summary!$L$5:$L$110,MATCH($C241,[1]Summary!$D$5:$D342,0)))</f>
        <v>0</v>
      </c>
      <c r="V241" s="721"/>
      <c r="W241" s="721"/>
      <c r="X241" s="721"/>
      <c r="Y241" s="721"/>
      <c r="Z241" s="721"/>
      <c r="AA241" s="721"/>
      <c r="AB241" s="721"/>
      <c r="AC241" s="721"/>
      <c r="AD241" s="721"/>
      <c r="AI241" s="105"/>
      <c r="AJ241" s="105"/>
      <c r="AN241" s="105"/>
      <c r="AO241" s="105"/>
      <c r="AP241" s="105"/>
    </row>
    <row r="242" spans="1:42" outlineLevel="1">
      <c r="A242" s="545">
        <f>MAX($A$10:A241)+1</f>
        <v>233</v>
      </c>
      <c r="B242" s="716" t="s">
        <v>2096</v>
      </c>
      <c r="C242" s="716" t="s">
        <v>2211</v>
      </c>
      <c r="D242" s="716" t="s">
        <v>2208</v>
      </c>
      <c r="E242" s="559">
        <v>394.1</v>
      </c>
      <c r="F242" s="1302" cm="1">
        <f t="array" ref="F242">+IF(SUM(VALUE(N242:Q242)*$N$7:$Q$7)=0,R242,T242)</f>
        <v>0</v>
      </c>
      <c r="G242" s="103">
        <f t="shared" si="12"/>
        <v>0</v>
      </c>
      <c r="H242" s="717"/>
      <c r="I242" s="1303" cm="1">
        <f t="array" ref="I242">+IF(SUM(VALUE(N242:Q242)*$N$7:$Q$7)=0,S242,U242)</f>
        <v>0</v>
      </c>
      <c r="J242" s="103">
        <f t="shared" ref="J242:J259" si="14">+I242</f>
        <v>0</v>
      </c>
      <c r="K242" s="575">
        <v>45777</v>
      </c>
      <c r="L242" s="47">
        <v>260000</v>
      </c>
      <c r="M242"/>
      <c r="N242" s="1300">
        <v>0</v>
      </c>
      <c r="O242" s="1300">
        <v>1</v>
      </c>
      <c r="P242" s="1300">
        <v>0</v>
      </c>
      <c r="Q242" s="1300">
        <v>0</v>
      </c>
      <c r="R242" s="1266">
        <v>0</v>
      </c>
      <c r="S242" s="1266">
        <v>1813571.088</v>
      </c>
      <c r="T242" s="1266">
        <f>+IF($Q242=1,$G242,INDEX([1]Summary!$K$5:$K$110,MATCH($C242,[1]Summary!$D$5:$D343,0)))</f>
        <v>0</v>
      </c>
      <c r="U242" s="1266">
        <f>+IF($Q242=1,$J242,INDEX([1]Summary!$L$5:$L$110,MATCH($C242,[1]Summary!$D$5:$D343,0)))</f>
        <v>0</v>
      </c>
      <c r="V242" s="721"/>
      <c r="W242" s="721"/>
      <c r="X242" s="721"/>
      <c r="Y242" s="721"/>
      <c r="Z242" s="721"/>
      <c r="AA242" s="721"/>
      <c r="AB242" s="721"/>
      <c r="AC242" s="721"/>
      <c r="AD242" s="721"/>
      <c r="AI242" s="105"/>
      <c r="AJ242" s="105"/>
      <c r="AN242" s="105"/>
      <c r="AO242" s="105"/>
      <c r="AP242" s="105"/>
    </row>
    <row r="243" spans="1:42" outlineLevel="1">
      <c r="A243" s="545">
        <f>MAX($A$10:A242)+1</f>
        <v>234</v>
      </c>
      <c r="B243" s="716" t="s">
        <v>2096</v>
      </c>
      <c r="C243" s="716" t="s">
        <v>2212</v>
      </c>
      <c r="D243" s="716" t="s">
        <v>2213</v>
      </c>
      <c r="E243" s="559">
        <v>394.1</v>
      </c>
      <c r="F243" s="1302" cm="1">
        <f t="array" ref="F243">+IF(SUM(VALUE(N243:Q243)*$N$7:$Q$7)=0,R243,T243)</f>
        <v>5021.5</v>
      </c>
      <c r="G243" s="103">
        <f t="shared" si="12"/>
        <v>5021.5</v>
      </c>
      <c r="H243" s="717">
        <v>45382</v>
      </c>
      <c r="I243" s="1303" cm="1">
        <f t="array" ref="I243">+IF(SUM(VALUE(N243:Q243)*$N$7:$Q$7)=0,S243,U243)</f>
        <v>0</v>
      </c>
      <c r="J243" s="103">
        <f t="shared" si="14"/>
        <v>0</v>
      </c>
      <c r="K243" s="103"/>
      <c r="M243"/>
      <c r="N243" s="1300">
        <v>0</v>
      </c>
      <c r="O243" s="1300">
        <v>0</v>
      </c>
      <c r="P243" s="1300">
        <v>0</v>
      </c>
      <c r="Q243" s="1300">
        <v>1</v>
      </c>
      <c r="R243" s="1266">
        <v>5021.5</v>
      </c>
      <c r="S243" s="1266">
        <v>0</v>
      </c>
      <c r="T243" s="1266">
        <f>+IF($Q243=1,$G243,INDEX([1]Summary!$K$5:$K$110,MATCH($C243,[1]Summary!$D$5:$D344,0)))</f>
        <v>5021.5</v>
      </c>
      <c r="U243" s="1266">
        <f>+IF($Q243=1,$J243,INDEX([1]Summary!$L$5:$L$110,MATCH($C243,[1]Summary!$D$5:$D344,0)))</f>
        <v>0</v>
      </c>
      <c r="V243" s="721"/>
      <c r="W243" s="721"/>
      <c r="X243" s="721"/>
      <c r="Y243" s="721"/>
      <c r="Z243" s="721"/>
      <c r="AA243" s="721"/>
      <c r="AB243" s="721"/>
      <c r="AC243" s="721"/>
      <c r="AD243" s="721"/>
      <c r="AI243" s="105"/>
      <c r="AJ243" s="105"/>
      <c r="AN243" s="105"/>
      <c r="AO243" s="105"/>
      <c r="AP243" s="105"/>
    </row>
    <row r="244" spans="1:42" outlineLevel="1">
      <c r="A244" s="545">
        <f>MAX($A$10:A243)+1</f>
        <v>235</v>
      </c>
      <c r="B244" s="716" t="s">
        <v>2096</v>
      </c>
      <c r="C244" s="716" t="s">
        <v>2214</v>
      </c>
      <c r="D244" s="716" t="s">
        <v>2150</v>
      </c>
      <c r="E244" s="559">
        <v>394.1</v>
      </c>
      <c r="F244" s="1302" cm="1">
        <f t="array" ref="F244">+IF(SUM(VALUE(N244:Q244)*$N$7:$Q$7)=0,R244,T244)</f>
        <v>42682.75</v>
      </c>
      <c r="G244" s="103">
        <f t="shared" si="12"/>
        <v>42682.75</v>
      </c>
      <c r="H244" s="717">
        <v>45444</v>
      </c>
      <c r="I244" s="1303" cm="1">
        <f t="array" ref="I244">+IF(SUM(VALUE(N244:Q244)*$N$7:$Q$7)=0,S244,U244)</f>
        <v>0</v>
      </c>
      <c r="J244" s="103">
        <f t="shared" si="14"/>
        <v>0</v>
      </c>
      <c r="K244" s="103"/>
      <c r="M244"/>
      <c r="N244" s="1300">
        <v>0</v>
      </c>
      <c r="O244" s="1300">
        <v>0</v>
      </c>
      <c r="P244" s="1300">
        <v>0</v>
      </c>
      <c r="Q244" s="1300">
        <v>1</v>
      </c>
      <c r="R244" s="1266">
        <v>42682.75</v>
      </c>
      <c r="S244" s="1266">
        <v>0</v>
      </c>
      <c r="T244" s="1266">
        <f>+IF($Q244=1,$G244,INDEX([1]Summary!$K$5:$K$110,MATCH($C244,[1]Summary!$D$5:$D345,0)))</f>
        <v>42682.75</v>
      </c>
      <c r="U244" s="1266">
        <f>+IF($Q244=1,$J244,INDEX([1]Summary!$L$5:$L$110,MATCH($C244,[1]Summary!$D$5:$D345,0)))</f>
        <v>0</v>
      </c>
      <c r="V244" s="721"/>
      <c r="W244" s="721"/>
      <c r="X244" s="721"/>
      <c r="Y244" s="721"/>
      <c r="Z244" s="721"/>
      <c r="AA244" s="721"/>
      <c r="AB244" s="721"/>
      <c r="AC244" s="721"/>
      <c r="AD244" s="721"/>
      <c r="AI244" s="105"/>
      <c r="AJ244" s="105"/>
      <c r="AN244" s="105"/>
      <c r="AO244" s="105"/>
      <c r="AP244" s="105"/>
    </row>
    <row r="245" spans="1:42" outlineLevel="1">
      <c r="A245" s="545">
        <f>MAX($A$10:A244)+1</f>
        <v>236</v>
      </c>
      <c r="B245" s="716" t="s">
        <v>2096</v>
      </c>
      <c r="C245" s="716" t="s">
        <v>2215</v>
      </c>
      <c r="D245" s="716" t="s">
        <v>2150</v>
      </c>
      <c r="E245" s="559">
        <v>394.1</v>
      </c>
      <c r="F245" s="1302" cm="1">
        <f t="array" ref="F245">+IF(SUM(VALUE(N245:Q245)*$N$7:$Q$7)=0,R245,T245)</f>
        <v>0</v>
      </c>
      <c r="G245" s="103">
        <f t="shared" si="12"/>
        <v>0</v>
      </c>
      <c r="H245" s="717"/>
      <c r="I245" s="1303" cm="1">
        <f t="array" ref="I245">+IF(SUM(VALUE(N245:Q245)*$N$7:$Q$7)=0,S245,U245)</f>
        <v>42780.5</v>
      </c>
      <c r="J245" s="103">
        <f t="shared" si="14"/>
        <v>42780.5</v>
      </c>
      <c r="K245" s="575">
        <v>45809</v>
      </c>
      <c r="M245"/>
      <c r="N245" s="1300">
        <v>0</v>
      </c>
      <c r="O245" s="1300">
        <v>0</v>
      </c>
      <c r="P245" s="1300">
        <v>0</v>
      </c>
      <c r="Q245" s="1300">
        <v>1</v>
      </c>
      <c r="R245" s="1266">
        <v>0</v>
      </c>
      <c r="S245" s="1266">
        <v>42780.5</v>
      </c>
      <c r="T245" s="1266">
        <f>+IF($Q245=1,$G245,INDEX([1]Summary!$K$5:$K$110,MATCH($C245,[1]Summary!$D$5:$D346,0)))</f>
        <v>0</v>
      </c>
      <c r="U245" s="1266">
        <f>+IF($Q245=1,$J245,INDEX([1]Summary!$L$5:$L$110,MATCH($C245,[1]Summary!$D$5:$D346,0)))</f>
        <v>42780.5</v>
      </c>
      <c r="V245" s="721"/>
      <c r="W245" s="721"/>
      <c r="X245" s="721"/>
      <c r="Y245" s="721"/>
      <c r="Z245" s="721"/>
      <c r="AA245" s="721"/>
      <c r="AB245" s="721"/>
      <c r="AC245" s="721"/>
      <c r="AD245" s="721"/>
      <c r="AI245" s="105"/>
      <c r="AJ245" s="105"/>
      <c r="AN245" s="105"/>
      <c r="AO245" s="105"/>
      <c r="AP245" s="105"/>
    </row>
    <row r="246" spans="1:42" outlineLevel="1">
      <c r="A246" s="545">
        <f>MAX($A$10:A245)+1</f>
        <v>237</v>
      </c>
      <c r="B246" s="716" t="s">
        <v>2096</v>
      </c>
      <c r="C246" s="105" t="s">
        <v>2216</v>
      </c>
      <c r="D246" s="105" t="s">
        <v>2217</v>
      </c>
      <c r="E246" s="559">
        <v>390.1</v>
      </c>
      <c r="F246" s="1302" cm="1">
        <f t="array" ref="F246">+IF(SUM(VALUE(N246:Q246)*$N$7:$Q$7)=0,R246,T246)</f>
        <v>55236.5</v>
      </c>
      <c r="G246" s="103">
        <f t="shared" si="12"/>
        <v>55236.5</v>
      </c>
      <c r="I246" s="1303" cm="1">
        <f t="array" ref="I246">+IF(SUM(VALUE(N246:Q246)*$N$7:$Q$7)=0,S246,U246)</f>
        <v>0</v>
      </c>
      <c r="J246" s="103">
        <f t="shared" si="14"/>
        <v>0</v>
      </c>
      <c r="K246" s="717"/>
      <c r="M246"/>
      <c r="N246" s="1300">
        <v>0</v>
      </c>
      <c r="O246" s="1300">
        <v>0</v>
      </c>
      <c r="P246" s="1300">
        <v>0</v>
      </c>
      <c r="Q246" s="1300">
        <v>1</v>
      </c>
      <c r="R246" s="1266">
        <v>55236.5</v>
      </c>
      <c r="S246" s="1266">
        <v>0</v>
      </c>
      <c r="T246" s="1266">
        <f>+IF($Q246=1,$G246,INDEX([1]Summary!$K$5:$K$110,MATCH($C246,[1]Summary!$D$5:$D347,0)))</f>
        <v>55236.5</v>
      </c>
      <c r="U246" s="1266">
        <f>+IF($Q246=1,$J246,INDEX([1]Summary!$L$5:$L$110,MATCH($C246,[1]Summary!$D$5:$D347,0)))</f>
        <v>0</v>
      </c>
      <c r="V246" s="721"/>
      <c r="W246" s="721"/>
      <c r="X246" s="721"/>
      <c r="Y246" s="721"/>
      <c r="Z246" s="721"/>
      <c r="AA246" s="721"/>
      <c r="AB246" s="721"/>
      <c r="AC246" s="721"/>
      <c r="AD246" s="721"/>
      <c r="AI246" s="105"/>
      <c r="AJ246" s="105"/>
      <c r="AN246" s="105"/>
      <c r="AO246" s="105"/>
      <c r="AP246" s="105"/>
    </row>
    <row r="247" spans="1:42" outlineLevel="1">
      <c r="A247" s="545">
        <f>MAX($A$10:A246)+1</f>
        <v>238</v>
      </c>
      <c r="B247" s="716" t="s">
        <v>2096</v>
      </c>
      <c r="C247" s="716" t="s">
        <v>2218</v>
      </c>
      <c r="D247" s="716" t="s">
        <v>2219</v>
      </c>
      <c r="E247" s="559">
        <v>390.1</v>
      </c>
      <c r="F247" s="1302" cm="1">
        <f t="array" ref="F247">+IF(SUM(VALUE(N247:Q247)*$N$7:$Q$7)=0,R247,T247)</f>
        <v>155213.86869500001</v>
      </c>
      <c r="G247" s="103">
        <f t="shared" si="12"/>
        <v>155213.86869500001</v>
      </c>
      <c r="H247" s="717">
        <v>45596</v>
      </c>
      <c r="I247" s="1303" cm="1">
        <f t="array" ref="I247">+IF(SUM(VALUE(N247:Q247)*$N$7:$Q$7)=0,S247,U247)</f>
        <v>0</v>
      </c>
      <c r="J247" s="103">
        <f t="shared" si="14"/>
        <v>0</v>
      </c>
      <c r="K247" s="103"/>
      <c r="M247"/>
      <c r="N247" s="1300">
        <v>0</v>
      </c>
      <c r="O247" s="1300">
        <v>0</v>
      </c>
      <c r="P247" s="1300">
        <v>0</v>
      </c>
      <c r="Q247" s="1300">
        <v>1</v>
      </c>
      <c r="R247" s="1266">
        <v>155213.86869500001</v>
      </c>
      <c r="S247" s="1266">
        <v>0</v>
      </c>
      <c r="T247" s="1266">
        <f>+IF($Q247=1,$G247,INDEX([1]Summary!$K$5:$K$110,MATCH($C247,[1]Summary!$D$5:$D348,0)))</f>
        <v>155213.86869500001</v>
      </c>
      <c r="U247" s="1266">
        <f>+IF($Q247=1,$J247,INDEX([1]Summary!$L$5:$L$110,MATCH($C247,[1]Summary!$D$5:$D348,0)))</f>
        <v>0</v>
      </c>
      <c r="V247" s="721"/>
      <c r="W247" s="721"/>
      <c r="X247" s="721"/>
      <c r="Y247" s="721"/>
      <c r="Z247" s="721"/>
      <c r="AA247" s="721"/>
      <c r="AB247" s="721"/>
      <c r="AC247" s="721"/>
      <c r="AD247" s="721"/>
      <c r="AI247" s="105"/>
      <c r="AJ247" s="105"/>
      <c r="AN247" s="105"/>
      <c r="AO247" s="105"/>
      <c r="AP247" s="105"/>
    </row>
    <row r="248" spans="1:42" outlineLevel="1">
      <c r="A248" s="545">
        <f>MAX($A$10:A247)+1</f>
        <v>239</v>
      </c>
      <c r="B248" s="716" t="s">
        <v>2096</v>
      </c>
      <c r="C248" s="716" t="s">
        <v>2220</v>
      </c>
      <c r="D248" s="716" t="s">
        <v>2221</v>
      </c>
      <c r="E248" s="559">
        <v>390.1</v>
      </c>
      <c r="F248" s="1302" cm="1">
        <f t="array" ref="F248">+IF(SUM(VALUE(N248:Q248)*$N$7:$Q$7)=0,R248,T248)</f>
        <v>9540.85</v>
      </c>
      <c r="G248" s="103">
        <f t="shared" si="12"/>
        <v>9540.85</v>
      </c>
      <c r="H248" s="717">
        <v>45352</v>
      </c>
      <c r="I248" s="1303" cm="1">
        <f t="array" ref="I248">+IF(SUM(VALUE(N248:Q248)*$N$7:$Q$7)=0,S248,U248)</f>
        <v>0</v>
      </c>
      <c r="J248" s="103">
        <f t="shared" si="14"/>
        <v>0</v>
      </c>
      <c r="K248" s="103"/>
      <c r="M248"/>
      <c r="N248" s="1300">
        <v>0</v>
      </c>
      <c r="O248" s="1300">
        <v>0</v>
      </c>
      <c r="P248" s="1300">
        <v>0</v>
      </c>
      <c r="Q248" s="1300">
        <v>1</v>
      </c>
      <c r="R248" s="1266">
        <v>9540.85</v>
      </c>
      <c r="S248" s="1266">
        <v>0</v>
      </c>
      <c r="T248" s="1266">
        <f>+IF($Q248=1,$G248,INDEX([1]Summary!$K$5:$K$110,MATCH($C248,[1]Summary!$D$5:$D349,0)))</f>
        <v>9540.85</v>
      </c>
      <c r="U248" s="1266">
        <f>+IF($Q248=1,$J248,INDEX([1]Summary!$L$5:$L$110,MATCH($C248,[1]Summary!$D$5:$D349,0)))</f>
        <v>0</v>
      </c>
      <c r="V248" s="721"/>
      <c r="W248" s="721"/>
      <c r="X248" s="721"/>
      <c r="Y248" s="721"/>
      <c r="Z248" s="721"/>
      <c r="AA248" s="721"/>
      <c r="AB248" s="721"/>
      <c r="AC248" s="721"/>
      <c r="AD248" s="721"/>
      <c r="AI248" s="105"/>
      <c r="AJ248" s="105"/>
      <c r="AN248" s="105"/>
      <c r="AO248" s="105"/>
      <c r="AP248" s="105"/>
    </row>
    <row r="249" spans="1:42" outlineLevel="1">
      <c r="A249" s="545">
        <f>MAX($A$10:A248)+1</f>
        <v>240</v>
      </c>
      <c r="B249" s="716" t="s">
        <v>2096</v>
      </c>
      <c r="C249" s="105" t="s">
        <v>2222</v>
      </c>
      <c r="D249" s="105" t="s">
        <v>2223</v>
      </c>
      <c r="E249" s="559">
        <v>394.1</v>
      </c>
      <c r="F249" s="1302" cm="1">
        <f t="array" ref="F249">+IF(SUM(VALUE(N249:Q249)*$N$7:$Q$7)=0,R249,T249)</f>
        <v>30129</v>
      </c>
      <c r="G249" s="103">
        <f t="shared" ref="G249:G259" si="15">+F249</f>
        <v>30129</v>
      </c>
      <c r="H249" s="721">
        <v>45352</v>
      </c>
      <c r="I249" s="1303" cm="1">
        <f t="array" ref="I249">+IF(SUM(VALUE(N249:Q249)*$N$7:$Q$7)=0,S249,U249)</f>
        <v>0</v>
      </c>
      <c r="J249" s="103">
        <f t="shared" si="14"/>
        <v>0</v>
      </c>
      <c r="K249" s="717"/>
      <c r="M249"/>
      <c r="N249" s="1300">
        <v>0</v>
      </c>
      <c r="O249" s="1300">
        <v>0</v>
      </c>
      <c r="P249" s="1300">
        <v>0</v>
      </c>
      <c r="Q249" s="1300">
        <v>1</v>
      </c>
      <c r="R249" s="1266">
        <v>30129</v>
      </c>
      <c r="S249" s="1266">
        <v>0</v>
      </c>
      <c r="T249" s="1266">
        <f>+IF($Q249=1,$G249,INDEX([1]Summary!$K$5:$K$110,MATCH($C249,[1]Summary!$D$5:$D350,0)))</f>
        <v>30129</v>
      </c>
      <c r="U249" s="1266">
        <f>+IF($Q249=1,$J249,INDEX([1]Summary!$L$5:$L$110,MATCH($C249,[1]Summary!$D$5:$D350,0)))</f>
        <v>0</v>
      </c>
      <c r="V249" s="721"/>
      <c r="W249" s="721"/>
      <c r="X249" s="721"/>
      <c r="Y249" s="721"/>
      <c r="Z249" s="721"/>
      <c r="AA249" s="721"/>
      <c r="AB249" s="721"/>
      <c r="AC249" s="721"/>
      <c r="AD249" s="721"/>
      <c r="AI249" s="105"/>
      <c r="AJ249" s="105"/>
      <c r="AN249" s="105"/>
      <c r="AO249" s="105"/>
      <c r="AP249" s="105"/>
    </row>
    <row r="250" spans="1:42" outlineLevel="1">
      <c r="A250" s="545">
        <f>MAX($A$10:A249)+1</f>
        <v>241</v>
      </c>
      <c r="B250" s="716" t="s">
        <v>2096</v>
      </c>
      <c r="C250" s="716" t="s">
        <v>2224</v>
      </c>
      <c r="D250" s="716" t="s">
        <v>2225</v>
      </c>
      <c r="E250" s="559">
        <v>394.1</v>
      </c>
      <c r="F250" s="1302" cm="1">
        <f t="array" ref="F250">+IF(SUM(VALUE(N250:Q250)*$N$7:$Q$7)=0,R250,T250)</f>
        <v>30129</v>
      </c>
      <c r="G250" s="103">
        <f t="shared" si="15"/>
        <v>30129</v>
      </c>
      <c r="H250" s="717">
        <v>45352</v>
      </c>
      <c r="I250" s="1303" cm="1">
        <f t="array" ref="I250">+IF(SUM(VALUE(N250:Q250)*$N$7:$Q$7)=0,S250,U250)</f>
        <v>0</v>
      </c>
      <c r="J250" s="103">
        <f t="shared" si="14"/>
        <v>0</v>
      </c>
      <c r="K250" s="103"/>
      <c r="M250"/>
      <c r="N250" s="1300">
        <v>0</v>
      </c>
      <c r="O250" s="1300">
        <v>0</v>
      </c>
      <c r="P250" s="1300">
        <v>0</v>
      </c>
      <c r="Q250" s="1300">
        <v>1</v>
      </c>
      <c r="R250" s="1266">
        <v>30129</v>
      </c>
      <c r="S250" s="1266">
        <v>0</v>
      </c>
      <c r="T250" s="1266">
        <f>+IF($Q250=1,$G250,INDEX([1]Summary!$K$5:$K$110,MATCH($C250,[1]Summary!$D$5:$D351,0)))</f>
        <v>30129</v>
      </c>
      <c r="U250" s="1266">
        <f>+IF($Q250=1,$J250,INDEX([1]Summary!$L$5:$L$110,MATCH($C250,[1]Summary!$D$5:$D351,0)))</f>
        <v>0</v>
      </c>
      <c r="V250" s="721"/>
      <c r="W250" s="721"/>
      <c r="X250" s="721"/>
      <c r="Y250" s="721"/>
      <c r="Z250" s="721"/>
      <c r="AA250" s="721"/>
      <c r="AB250" s="721"/>
      <c r="AC250" s="721"/>
      <c r="AD250" s="721"/>
      <c r="AI250" s="105"/>
      <c r="AJ250" s="105"/>
      <c r="AN250" s="105"/>
      <c r="AO250" s="105"/>
      <c r="AP250" s="105"/>
    </row>
    <row r="251" spans="1:42" outlineLevel="1">
      <c r="A251" s="545">
        <f>MAX($A$10:A250)+1</f>
        <v>242</v>
      </c>
      <c r="B251" s="716" t="s">
        <v>2096</v>
      </c>
      <c r="C251" s="716" t="s">
        <v>2226</v>
      </c>
      <c r="D251" s="716" t="s">
        <v>2227</v>
      </c>
      <c r="E251" s="559">
        <v>390.1</v>
      </c>
      <c r="F251" s="1302" cm="1">
        <f t="array" ref="F251">+IF(SUM(VALUE(N251:Q251)*$N$7:$Q$7)=0,R251,T251)</f>
        <v>150645</v>
      </c>
      <c r="G251" s="103">
        <f t="shared" si="15"/>
        <v>150645</v>
      </c>
      <c r="H251" s="717">
        <v>45442</v>
      </c>
      <c r="I251" s="1303" cm="1">
        <f t="array" ref="I251">+IF(SUM(VALUE(N251:Q251)*$N$7:$Q$7)=0,S251,U251)</f>
        <v>0</v>
      </c>
      <c r="J251" s="103">
        <f t="shared" si="14"/>
        <v>0</v>
      </c>
      <c r="K251" s="103"/>
      <c r="M251"/>
      <c r="N251" s="1300">
        <v>0</v>
      </c>
      <c r="O251" s="1300">
        <v>0</v>
      </c>
      <c r="P251" s="1300">
        <v>0</v>
      </c>
      <c r="Q251" s="1300">
        <v>1</v>
      </c>
      <c r="R251" s="1266">
        <v>150645</v>
      </c>
      <c r="S251" s="1266">
        <v>0</v>
      </c>
      <c r="T251" s="1266">
        <f>+IF($Q251=1,$G251,INDEX([1]Summary!$K$5:$K$110,MATCH($C251,[1]Summary!$D$5:$D352,0)))</f>
        <v>150645</v>
      </c>
      <c r="U251" s="1266">
        <f>+IF($Q251=1,$J251,INDEX([1]Summary!$L$5:$L$110,MATCH($C251,[1]Summary!$D$5:$D352,0)))</f>
        <v>0</v>
      </c>
      <c r="V251" s="721"/>
      <c r="W251" s="721"/>
      <c r="X251" s="721"/>
      <c r="Y251" s="721"/>
      <c r="Z251" s="721"/>
      <c r="AA251" s="721"/>
      <c r="AB251" s="721"/>
      <c r="AC251" s="721"/>
      <c r="AD251" s="721"/>
      <c r="AI251" s="105"/>
      <c r="AJ251" s="105"/>
      <c r="AN251" s="105"/>
      <c r="AO251" s="105"/>
      <c r="AP251" s="105"/>
    </row>
    <row r="252" spans="1:42" outlineLevel="1">
      <c r="A252" s="545">
        <f>MAX($A$10:A251)+1</f>
        <v>243</v>
      </c>
      <c r="B252" s="716" t="s">
        <v>2096</v>
      </c>
      <c r="C252" s="716" t="s">
        <v>2228</v>
      </c>
      <c r="D252" s="716" t="s">
        <v>2229</v>
      </c>
      <c r="E252" s="559">
        <v>397.1</v>
      </c>
      <c r="F252" s="1302" cm="1">
        <f t="array" ref="F252">+IF(SUM(VALUE(N252:Q252)*$N$7:$Q$7)=0,R252,T252)</f>
        <v>3741.15</v>
      </c>
      <c r="G252" s="103">
        <f t="shared" si="15"/>
        <v>3741.15</v>
      </c>
      <c r="H252" s="717">
        <v>45351</v>
      </c>
      <c r="I252" s="1303" cm="1">
        <f t="array" ref="I252">+IF(SUM(VALUE(N252:Q252)*$N$7:$Q$7)=0,S252,U252)</f>
        <v>0</v>
      </c>
      <c r="J252" s="103">
        <f t="shared" si="14"/>
        <v>0</v>
      </c>
      <c r="K252" s="103"/>
      <c r="M252"/>
      <c r="N252" s="1300">
        <v>0</v>
      </c>
      <c r="O252" s="1300">
        <v>0</v>
      </c>
      <c r="P252" s="1300">
        <v>0</v>
      </c>
      <c r="Q252" s="1300">
        <v>1</v>
      </c>
      <c r="R252" s="1266">
        <v>3741.15</v>
      </c>
      <c r="S252" s="1266">
        <v>0</v>
      </c>
      <c r="T252" s="1266">
        <f>+IF($Q252=1,$G252,INDEX([1]Summary!$K$5:$K$110,MATCH($C252,[1]Summary!$D$5:$D353,0)))</f>
        <v>3741.15</v>
      </c>
      <c r="U252" s="1266">
        <f>+IF($Q252=1,$J252,INDEX([1]Summary!$L$5:$L$110,MATCH($C252,[1]Summary!$D$5:$D353,0)))</f>
        <v>0</v>
      </c>
      <c r="V252" s="721"/>
      <c r="W252" s="721"/>
      <c r="X252" s="721"/>
      <c r="Y252" s="721"/>
      <c r="Z252" s="721"/>
      <c r="AA252" s="721"/>
      <c r="AB252" s="721"/>
      <c r="AC252" s="721"/>
      <c r="AD252" s="721"/>
      <c r="AI252" s="105"/>
      <c r="AJ252" s="105"/>
      <c r="AN252" s="105"/>
      <c r="AO252" s="105"/>
      <c r="AP252" s="105"/>
    </row>
    <row r="253" spans="1:42" outlineLevel="1">
      <c r="A253" s="545">
        <f>MAX($A$10:A252)+1</f>
        <v>244</v>
      </c>
      <c r="B253" s="716" t="s">
        <v>2096</v>
      </c>
      <c r="C253" s="716" t="s">
        <v>2230</v>
      </c>
      <c r="D253" s="716" t="s">
        <v>2231</v>
      </c>
      <c r="E253" s="559">
        <v>391.3</v>
      </c>
      <c r="F253" s="1302" cm="1">
        <f t="array" ref="F253">+IF(SUM(VALUE(N253:Q253)*$N$7:$Q$7)=0,R253,T253)</f>
        <v>13227.237818814603</v>
      </c>
      <c r="G253" s="103">
        <f t="shared" si="15"/>
        <v>13227.237818814603</v>
      </c>
      <c r="H253" s="717">
        <v>45337</v>
      </c>
      <c r="I253" s="1303" cm="1">
        <f t="array" ref="I253">+IF(SUM(VALUE(N253:Q253)*$N$7:$Q$7)=0,S253,U253)</f>
        <v>0</v>
      </c>
      <c r="J253" s="103">
        <f t="shared" si="14"/>
        <v>0</v>
      </c>
      <c r="K253" s="103"/>
      <c r="M253"/>
      <c r="N253" s="1300">
        <v>0</v>
      </c>
      <c r="O253" s="1300">
        <v>0</v>
      </c>
      <c r="P253" s="1300">
        <v>0</v>
      </c>
      <c r="Q253" s="1300">
        <v>1</v>
      </c>
      <c r="R253" s="1266">
        <v>13227.237818814603</v>
      </c>
      <c r="S253" s="1266">
        <v>0</v>
      </c>
      <c r="T253" s="1266">
        <f>+IF($Q253=1,$G253,INDEX([1]Summary!$K$5:$K$110,MATCH($C253,[1]Summary!$D$5:$D354,0)))</f>
        <v>13227.237818814603</v>
      </c>
      <c r="U253" s="1266">
        <f>+IF($Q253=1,$J253,INDEX([1]Summary!$L$5:$L$110,MATCH($C253,[1]Summary!$D$5:$D354,0)))</f>
        <v>0</v>
      </c>
      <c r="V253" s="721"/>
      <c r="W253" s="721"/>
      <c r="X253" s="721"/>
      <c r="Y253" s="721"/>
      <c r="Z253" s="721"/>
      <c r="AA253" s="721"/>
      <c r="AB253" s="721"/>
      <c r="AC253" s="721"/>
      <c r="AD253" s="721"/>
      <c r="AI253" s="105"/>
      <c r="AJ253" s="105"/>
      <c r="AN253" s="105"/>
      <c r="AO253" s="105"/>
      <c r="AP253" s="105"/>
    </row>
    <row r="254" spans="1:42" outlineLevel="1">
      <c r="A254" s="545">
        <f>MAX($A$10:A253)+1</f>
        <v>245</v>
      </c>
      <c r="B254" s="716" t="s">
        <v>2096</v>
      </c>
      <c r="C254" s="716" t="s">
        <v>2232</v>
      </c>
      <c r="D254" s="716" t="s">
        <v>2233</v>
      </c>
      <c r="E254" s="559">
        <v>390.1</v>
      </c>
      <c r="F254" s="1302" cm="1">
        <f t="array" ref="F254">+IF(SUM(VALUE(N254:Q254)*$N$7:$Q$7)=0,R254,T254)</f>
        <v>9404.2325370000017</v>
      </c>
      <c r="G254" s="103">
        <f t="shared" si="15"/>
        <v>9404.2325370000017</v>
      </c>
      <c r="H254" s="717">
        <v>45321</v>
      </c>
      <c r="I254" s="1303" cm="1">
        <f t="array" ref="I254">+IF(SUM(VALUE(N254:Q254)*$N$7:$Q$7)=0,S254,U254)</f>
        <v>0</v>
      </c>
      <c r="J254" s="103">
        <f t="shared" si="14"/>
        <v>0</v>
      </c>
      <c r="K254" s="103"/>
      <c r="M254"/>
      <c r="N254" s="1300">
        <v>0</v>
      </c>
      <c r="O254" s="1300">
        <v>0</v>
      </c>
      <c r="P254" s="1300">
        <v>0</v>
      </c>
      <c r="Q254" s="1300">
        <v>1</v>
      </c>
      <c r="R254" s="1266">
        <v>9404.2325370000017</v>
      </c>
      <c r="S254" s="1266">
        <v>0</v>
      </c>
      <c r="T254" s="1266">
        <f>+IF($Q254=1,$G254,INDEX([1]Summary!$K$5:$K$110,MATCH($C254,[1]Summary!$D$5:$D355,0)))</f>
        <v>9404.2325370000017</v>
      </c>
      <c r="U254" s="1266">
        <f>+IF($Q254=1,$J254,INDEX([1]Summary!$L$5:$L$110,MATCH($C254,[1]Summary!$D$5:$D355,0)))</f>
        <v>0</v>
      </c>
      <c r="V254" s="721"/>
      <c r="W254" s="721"/>
      <c r="X254" s="721"/>
      <c r="Y254" s="721"/>
      <c r="Z254" s="721"/>
      <c r="AA254" s="721"/>
      <c r="AB254" s="721"/>
      <c r="AC254" s="721"/>
      <c r="AD254" s="721"/>
      <c r="AI254" s="105"/>
      <c r="AJ254" s="105"/>
      <c r="AN254" s="105"/>
      <c r="AO254" s="105"/>
      <c r="AP254" s="105"/>
    </row>
    <row r="255" spans="1:42" outlineLevel="1">
      <c r="A255" s="545">
        <f>MAX($A$10:A254)+1</f>
        <v>246</v>
      </c>
      <c r="B255" s="716" t="s">
        <v>2096</v>
      </c>
      <c r="C255" s="716" t="s">
        <v>2234</v>
      </c>
      <c r="D255" s="716" t="s">
        <v>2235</v>
      </c>
      <c r="E255" s="559">
        <v>394.1</v>
      </c>
      <c r="F255" s="1302" cm="1">
        <f t="array" ref="F255">+IF(SUM(VALUE(N255:Q255)*$N$7:$Q$7)=0,R255,T255)</f>
        <v>3136.7400000000002</v>
      </c>
      <c r="G255" s="103">
        <f t="shared" si="15"/>
        <v>3136.7400000000002</v>
      </c>
      <c r="H255" s="717">
        <v>45337</v>
      </c>
      <c r="I255" s="1303" cm="1">
        <f t="array" ref="I255">+IF(SUM(VALUE(N255:Q255)*$N$7:$Q$7)=0,S255,U255)</f>
        <v>0</v>
      </c>
      <c r="J255" s="103">
        <f t="shared" si="14"/>
        <v>0</v>
      </c>
      <c r="K255" s="103"/>
      <c r="M255"/>
      <c r="N255" s="1300">
        <v>0</v>
      </c>
      <c r="O255" s="1300">
        <v>0</v>
      </c>
      <c r="P255" s="1300">
        <v>0</v>
      </c>
      <c r="Q255" s="1300">
        <v>1</v>
      </c>
      <c r="R255" s="1266">
        <v>3136.7400000000002</v>
      </c>
      <c r="S255" s="1266">
        <v>0</v>
      </c>
      <c r="T255" s="1266">
        <f>+IF($Q255=1,$G255,INDEX([1]Summary!$K$5:$K$110,MATCH($C255,[1]Summary!$D$5:$D356,0)))</f>
        <v>3136.7400000000002</v>
      </c>
      <c r="U255" s="1266">
        <f>+IF($Q255=1,$J255,INDEX([1]Summary!$L$5:$L$110,MATCH($C255,[1]Summary!$D$5:$D356,0)))</f>
        <v>0</v>
      </c>
      <c r="V255" s="721"/>
      <c r="W255" s="721"/>
      <c r="X255" s="721"/>
      <c r="Y255" s="721"/>
      <c r="Z255" s="721"/>
      <c r="AA255" s="721"/>
      <c r="AB255" s="721"/>
      <c r="AC255" s="721"/>
      <c r="AD255" s="721"/>
      <c r="AI255" s="105"/>
      <c r="AJ255" s="105"/>
      <c r="AN255" s="105"/>
      <c r="AO255" s="105"/>
      <c r="AP255" s="105"/>
    </row>
    <row r="256" spans="1:42" outlineLevel="1">
      <c r="A256" s="545">
        <f>MAX($A$10:A255)+1</f>
        <v>247</v>
      </c>
      <c r="B256" s="716" t="s">
        <v>2096</v>
      </c>
      <c r="C256" s="105" t="s">
        <v>2236</v>
      </c>
      <c r="D256" s="105" t="s">
        <v>2237</v>
      </c>
      <c r="E256" s="559">
        <v>394.1</v>
      </c>
      <c r="F256" s="1302" cm="1">
        <f t="array" ref="F256">+IF(SUM(VALUE(N256:Q256)*$N$7:$Q$7)=0,R256,T256)</f>
        <v>3799.31</v>
      </c>
      <c r="G256" s="103">
        <f t="shared" si="15"/>
        <v>3799.31</v>
      </c>
      <c r="H256" s="721">
        <v>45321</v>
      </c>
      <c r="I256" s="1303" cm="1">
        <f t="array" ref="I256">+IF(SUM(VALUE(N256:Q256)*$N$7:$Q$7)=0,S256,U256)</f>
        <v>0</v>
      </c>
      <c r="J256" s="103">
        <f t="shared" si="14"/>
        <v>0</v>
      </c>
      <c r="K256" s="717"/>
      <c r="M256"/>
      <c r="N256" s="1300">
        <v>0</v>
      </c>
      <c r="O256" s="1300">
        <v>0</v>
      </c>
      <c r="P256" s="1300">
        <v>0</v>
      </c>
      <c r="Q256" s="1300">
        <v>1</v>
      </c>
      <c r="R256" s="1266">
        <v>3799.31</v>
      </c>
      <c r="S256" s="1266">
        <v>0</v>
      </c>
      <c r="T256" s="1266">
        <f>+IF($Q256=1,$G256,INDEX([1]Summary!$K$5:$K$110,MATCH($C256,[1]Summary!$D$5:$D357,0)))</f>
        <v>3799.31</v>
      </c>
      <c r="U256" s="1266">
        <f>+IF($Q256=1,$J256,INDEX([1]Summary!$L$5:$L$110,MATCH($C256,[1]Summary!$D$5:$D357,0)))</f>
        <v>0</v>
      </c>
      <c r="V256" s="721"/>
      <c r="W256" s="721"/>
      <c r="X256" s="721"/>
      <c r="Y256" s="721"/>
      <c r="Z256" s="721"/>
      <c r="AA256" s="721"/>
      <c r="AB256" s="721"/>
      <c r="AC256" s="721"/>
      <c r="AD256" s="721"/>
      <c r="AI256" s="105"/>
      <c r="AJ256" s="105"/>
      <c r="AN256" s="105"/>
      <c r="AO256" s="105"/>
      <c r="AP256" s="105"/>
    </row>
    <row r="257" spans="1:42" outlineLevel="1">
      <c r="A257" s="545">
        <f>MAX($A$10:A256)+1</f>
        <v>248</v>
      </c>
      <c r="B257" s="716" t="s">
        <v>2096</v>
      </c>
      <c r="C257" s="716" t="s">
        <v>2238</v>
      </c>
      <c r="D257" s="716" t="s">
        <v>2239</v>
      </c>
      <c r="E257" s="559">
        <v>394.1</v>
      </c>
      <c r="F257" s="1302" cm="1">
        <f t="array" ref="F257">+IF(SUM(VALUE(N257:Q257)*$N$7:$Q$7)=0,R257,T257)</f>
        <v>622666</v>
      </c>
      <c r="G257" s="103">
        <f t="shared" si="15"/>
        <v>622666</v>
      </c>
      <c r="H257" s="717">
        <v>45337</v>
      </c>
      <c r="I257" s="1303" cm="1">
        <f t="array" ref="I257">+IF(SUM(VALUE(N257:Q257)*$N$7:$Q$7)=0,S257,U257)</f>
        <v>0</v>
      </c>
      <c r="J257" s="103">
        <f t="shared" si="14"/>
        <v>0</v>
      </c>
      <c r="K257" s="103"/>
      <c r="M257"/>
      <c r="N257" s="1300">
        <v>0</v>
      </c>
      <c r="O257" s="1300">
        <v>0</v>
      </c>
      <c r="P257" s="1300">
        <v>0</v>
      </c>
      <c r="Q257" s="1300">
        <v>1</v>
      </c>
      <c r="R257" s="1266">
        <v>622666</v>
      </c>
      <c r="S257" s="1266">
        <v>0</v>
      </c>
      <c r="T257" s="1266">
        <f>+IF($Q257=1,$G257,INDEX([1]Summary!$K$5:$K$110,MATCH($C257,[1]Summary!$D$5:$D358,0)))</f>
        <v>622666</v>
      </c>
      <c r="U257" s="1266">
        <f>+IF($Q257=1,$J257,INDEX([1]Summary!$L$5:$L$110,MATCH($C257,[1]Summary!$D$5:$D358,0)))</f>
        <v>0</v>
      </c>
      <c r="V257" s="721"/>
      <c r="W257" s="721"/>
      <c r="X257" s="721"/>
      <c r="Y257" s="721"/>
      <c r="Z257" s="721"/>
      <c r="AA257" s="721"/>
      <c r="AB257" s="721"/>
      <c r="AC257" s="721"/>
      <c r="AD257" s="721"/>
      <c r="AI257" s="105"/>
      <c r="AJ257" s="105"/>
      <c r="AN257" s="105"/>
      <c r="AO257" s="105"/>
      <c r="AP257" s="105"/>
    </row>
    <row r="258" spans="1:42" outlineLevel="1">
      <c r="A258" s="545">
        <f>MAX($A$10:A257)+1</f>
        <v>249</v>
      </c>
      <c r="B258" s="716" t="s">
        <v>2096</v>
      </c>
      <c r="C258" s="716" t="s">
        <v>2240</v>
      </c>
      <c r="D258" s="716" t="s">
        <v>2241</v>
      </c>
      <c r="E258" s="559">
        <v>394.1</v>
      </c>
      <c r="F258" s="1302" cm="1">
        <f t="array" ref="F258">+IF(SUM(VALUE(N258:Q258)*$N$7:$Q$7)=0,R258,T258)</f>
        <v>1584.38</v>
      </c>
      <c r="G258" s="103">
        <f t="shared" si="15"/>
        <v>1584.38</v>
      </c>
      <c r="H258" s="717">
        <v>45350</v>
      </c>
      <c r="I258" s="1303" cm="1">
        <f t="array" ref="I258">+IF(SUM(VALUE(N258:Q258)*$N$7:$Q$7)=0,S258,U258)</f>
        <v>0</v>
      </c>
      <c r="J258" s="103">
        <f t="shared" si="14"/>
        <v>0</v>
      </c>
      <c r="K258" s="103"/>
      <c r="M258"/>
      <c r="N258" s="1300">
        <v>0</v>
      </c>
      <c r="O258" s="1300">
        <v>0</v>
      </c>
      <c r="P258" s="1300">
        <v>0</v>
      </c>
      <c r="Q258" s="1300">
        <v>1</v>
      </c>
      <c r="R258" s="1266">
        <v>1584.38</v>
      </c>
      <c r="S258" s="1266">
        <v>0</v>
      </c>
      <c r="T258" s="1266">
        <f>+IF($Q258=1,$G258,INDEX([1]Summary!$K$5:$K$110,MATCH($C258,[1]Summary!$D$5:$D359,0)))</f>
        <v>1584.38</v>
      </c>
      <c r="U258" s="1266">
        <f>+IF($Q258=1,$J258,INDEX([1]Summary!$L$5:$L$110,MATCH($C258,[1]Summary!$D$5:$D359,0)))</f>
        <v>0</v>
      </c>
      <c r="V258" s="721"/>
      <c r="W258" s="721"/>
      <c r="X258" s="721"/>
      <c r="Y258" s="721"/>
      <c r="Z258" s="721"/>
      <c r="AA258" s="721"/>
      <c r="AB258" s="721"/>
      <c r="AC258" s="721"/>
      <c r="AD258" s="721"/>
      <c r="AI258" s="105"/>
      <c r="AJ258" s="105"/>
      <c r="AN258" s="105"/>
      <c r="AO258" s="105"/>
      <c r="AP258" s="105"/>
    </row>
    <row r="259" spans="1:42" outlineLevel="1">
      <c r="A259" s="545">
        <f>MAX($A$10:A258)+1</f>
        <v>250</v>
      </c>
      <c r="B259" s="716" t="s">
        <v>2096</v>
      </c>
      <c r="C259" s="716" t="s">
        <v>2242</v>
      </c>
      <c r="D259" s="716" t="s">
        <v>2243</v>
      </c>
      <c r="E259" s="559">
        <v>397.4</v>
      </c>
      <c r="F259" s="1302" cm="1">
        <f t="array" ref="F259">+IF(SUM(VALUE(N259:Q259)*$N$7:$Q$7)=0,R259,T259)</f>
        <v>398580.42</v>
      </c>
      <c r="G259" s="103">
        <f t="shared" si="15"/>
        <v>398580.42</v>
      </c>
      <c r="H259" s="575">
        <v>45322</v>
      </c>
      <c r="I259" s="1303" cm="1">
        <f t="array" ref="I259">+IF(SUM(VALUE(N259:Q259)*$N$7:$Q$7)=0,S259,U259)</f>
        <v>0</v>
      </c>
      <c r="J259" s="471">
        <f t="shared" si="14"/>
        <v>0</v>
      </c>
      <c r="K259" s="471"/>
      <c r="M259"/>
      <c r="N259" s="1300">
        <v>0</v>
      </c>
      <c r="O259" s="1300">
        <v>0</v>
      </c>
      <c r="P259" s="1300">
        <v>0</v>
      </c>
      <c r="Q259" s="1300">
        <v>1</v>
      </c>
      <c r="R259" s="1266">
        <v>398580.42</v>
      </c>
      <c r="S259" s="1266">
        <v>0</v>
      </c>
      <c r="T259" s="1266">
        <f>+IF($Q259=1,$G259,INDEX([1]Summary!$K$5:$K$110,MATCH($C259,[1]Summary!$D$5:$D360,0)))</f>
        <v>398580.42</v>
      </c>
      <c r="U259" s="1266">
        <f>+IF($Q259=1,$J259,INDEX([1]Summary!$L$5:$L$110,MATCH($C259,[1]Summary!$D$5:$D360,0)))</f>
        <v>0</v>
      </c>
      <c r="V259" s="721"/>
      <c r="W259" s="721"/>
      <c r="X259" s="721"/>
      <c r="Y259" s="721"/>
      <c r="Z259" s="721"/>
      <c r="AA259" s="721"/>
      <c r="AB259" s="721"/>
      <c r="AC259" s="721"/>
      <c r="AD259" s="721"/>
      <c r="AI259" s="105"/>
      <c r="AJ259" s="105"/>
      <c r="AN259" s="105"/>
      <c r="AO259" s="105"/>
      <c r="AP259" s="105"/>
    </row>
    <row r="260" spans="1:42" outlineLevel="1">
      <c r="A260" s="545">
        <f>MAX($A$10:A259)+1</f>
        <v>251</v>
      </c>
      <c r="B260" s="729"/>
      <c r="C260" s="729"/>
      <c r="D260" s="730" t="s">
        <v>2244</v>
      </c>
      <c r="E260" s="560"/>
      <c r="F260" s="495">
        <f>SUM(F185:F259)</f>
        <v>8902101.571975816</v>
      </c>
      <c r="G260" s="495">
        <f>SUM(G185:G259)</f>
        <v>8902101.571975816</v>
      </c>
      <c r="H260" s="495"/>
      <c r="I260" s="713">
        <f>SUM(I185:I259)</f>
        <v>3895586.2229920002</v>
      </c>
      <c r="J260" s="495">
        <f>SUM(J185:J259)</f>
        <v>3895586.2229920002</v>
      </c>
      <c r="K260" s="495"/>
      <c r="L260" s="495">
        <f>SUM(L185:L259)</f>
        <v>280000</v>
      </c>
      <c r="M260"/>
      <c r="N260"/>
      <c r="O260"/>
      <c r="P260"/>
      <c r="Q260"/>
    </row>
    <row r="261" spans="1:42" outlineLevel="1">
      <c r="A261" s="545">
        <f>MAX($A$10:A260)+1</f>
        <v>252</v>
      </c>
      <c r="B261" s="731"/>
      <c r="C261" s="731"/>
      <c r="D261" s="731"/>
      <c r="E261" s="561"/>
      <c r="F261" s="103"/>
      <c r="G261" s="103"/>
      <c r="H261" s="103"/>
      <c r="I261" s="733"/>
      <c r="J261" s="103"/>
      <c r="K261" s="103"/>
      <c r="L261" s="103"/>
      <c r="M261"/>
      <c r="N261"/>
      <c r="O261"/>
      <c r="P261"/>
      <c r="Q261"/>
      <c r="AI261" s="105"/>
      <c r="AJ261" s="105"/>
      <c r="AN261" s="105"/>
      <c r="AO261" s="105"/>
      <c r="AP261" s="105"/>
    </row>
    <row r="262" spans="1:42" ht="15.75" outlineLevel="1" thickBot="1">
      <c r="A262" s="545">
        <f>MAX($A$10:A261)+1</f>
        <v>253</v>
      </c>
      <c r="B262" s="731"/>
      <c r="C262" s="731"/>
      <c r="D262" s="735" t="s">
        <v>200</v>
      </c>
      <c r="E262" s="563"/>
      <c r="F262" s="472">
        <f>F31+F34+F183+F260</f>
        <v>87087505.425510809</v>
      </c>
      <c r="G262" s="472">
        <f>G31+G34+G183+G260</f>
        <v>87087505.425510809</v>
      </c>
      <c r="H262" s="472"/>
      <c r="I262" s="715">
        <f>I31+I34+I183+I260</f>
        <v>67079016.952505022</v>
      </c>
      <c r="J262" s="472">
        <f>J31+J34+J183+J260</f>
        <v>61775902.582505025</v>
      </c>
      <c r="K262" s="472"/>
      <c r="L262" s="472">
        <f>L31+L34+L183+L260</f>
        <v>747500</v>
      </c>
      <c r="M262"/>
      <c r="N262"/>
      <c r="O262"/>
      <c r="P262"/>
      <c r="Q262"/>
    </row>
    <row r="263" spans="1:42" ht="15.75" outlineLevel="1" thickTop="1">
      <c r="A263" s="545">
        <f>MAX($A$10:A262)+1</f>
        <v>254</v>
      </c>
      <c r="B263" s="731"/>
      <c r="C263" s="731"/>
      <c r="D263" s="731"/>
      <c r="E263" s="561"/>
      <c r="F263" s="103"/>
      <c r="G263" s="103"/>
      <c r="H263" s="103"/>
      <c r="I263" s="733"/>
      <c r="J263" s="731"/>
      <c r="K263" s="731"/>
      <c r="L263" s="731"/>
      <c r="M263" s="731"/>
      <c r="N263" s="731"/>
      <c r="O263" s="731"/>
    </row>
    <row r="264" spans="1:42" outlineLevel="1">
      <c r="A264" s="545">
        <f>MAX($A$10:A263)+1</f>
        <v>255</v>
      </c>
      <c r="F264" s="103"/>
      <c r="G264" s="103"/>
      <c r="H264" s="103"/>
      <c r="I264" s="718"/>
      <c r="J264" s="719"/>
      <c r="K264" s="719"/>
      <c r="L264" s="719"/>
      <c r="M264" s="719"/>
      <c r="N264" s="719"/>
      <c r="O264" s="719"/>
    </row>
    <row r="265" spans="1:42" ht="30" outlineLevel="1">
      <c r="A265" s="545">
        <f>MAX($A$10:A264)+1</f>
        <v>256</v>
      </c>
      <c r="B265" s="716" t="s">
        <v>1330</v>
      </c>
      <c r="E265" s="736" t="s">
        <v>2245</v>
      </c>
      <c r="F265" s="736" t="s">
        <v>2246</v>
      </c>
      <c r="G265" s="736" t="s">
        <v>2247</v>
      </c>
      <c r="H265" s="737" t="s">
        <v>2248</v>
      </c>
      <c r="I265" s="1"/>
      <c r="K265" s="736" t="s">
        <v>2249</v>
      </c>
      <c r="L265" s="736" t="s">
        <v>2247</v>
      </c>
      <c r="M265" s="738" t="s">
        <v>2250</v>
      </c>
      <c r="N265" s="1301"/>
      <c r="O265" s="1301"/>
      <c r="Q265" s="1">
        <v>2024</v>
      </c>
    </row>
    <row r="266" spans="1:42" outlineLevel="1">
      <c r="A266" s="545">
        <f>MAX($A$10:A265)+1</f>
        <v>257</v>
      </c>
      <c r="B266" s="719"/>
      <c r="C266" s="716"/>
      <c r="D266" s="103"/>
      <c r="E266" s="739">
        <v>303</v>
      </c>
      <c r="F266" s="103">
        <f t="shared" ref="F266:F298" si="16">+SUMIF($E$10:$E$259,E266,$G$10:$G$259)</f>
        <v>9006672.1762900017</v>
      </c>
      <c r="G266" s="557" t="s">
        <v>2251</v>
      </c>
      <c r="H266" s="711">
        <v>745423.23</v>
      </c>
      <c r="I266" s="1"/>
      <c r="K266" s="103">
        <f t="shared" ref="K266:K298" si="17">+SUMIF($E$10:$E$259,E266,$J$10:$J$259)</f>
        <v>5786905.5018690014</v>
      </c>
      <c r="L266" s="434" t="s">
        <v>2251</v>
      </c>
      <c r="M266" s="184">
        <v>804720.52</v>
      </c>
      <c r="N266" s="184"/>
      <c r="O266" s="184"/>
      <c r="P266" s="1" t="s">
        <v>4170</v>
      </c>
      <c r="Q266" s="42">
        <v>8263158.2299999986</v>
      </c>
      <c r="AD266" s="720"/>
      <c r="AE266" s="720"/>
    </row>
    <row r="267" spans="1:42" outlineLevel="1">
      <c r="A267" s="545">
        <f>MAX($A$10:A266)+1</f>
        <v>258</v>
      </c>
      <c r="B267" s="719"/>
      <c r="C267" s="716"/>
      <c r="D267" s="103"/>
      <c r="E267" s="739">
        <v>333</v>
      </c>
      <c r="F267" s="103">
        <f t="shared" si="16"/>
        <v>0</v>
      </c>
      <c r="G267" s="557">
        <v>0.05</v>
      </c>
      <c r="H267" s="711">
        <f t="shared" ref="H267:H298" si="18">+F267*G267</f>
        <v>0</v>
      </c>
      <c r="I267" s="1"/>
      <c r="K267" s="103">
        <f t="shared" si="17"/>
        <v>0</v>
      </c>
      <c r="L267" s="72">
        <f>G267</f>
        <v>0.05</v>
      </c>
      <c r="M267" s="184">
        <f t="shared" ref="M267:M298" si="19">+K267*L267</f>
        <v>0</v>
      </c>
      <c r="N267" s="184"/>
      <c r="O267" s="184"/>
      <c r="P267" s="1" t="s">
        <v>4174</v>
      </c>
      <c r="Q267" s="42">
        <v>43019214.749970011</v>
      </c>
      <c r="AD267" s="720"/>
      <c r="AE267" s="720"/>
    </row>
    <row r="268" spans="1:42" outlineLevel="1">
      <c r="A268" s="545">
        <f>MAX($A$10:A267)+1</f>
        <v>259</v>
      </c>
      <c r="B268" s="740"/>
      <c r="C268" s="740"/>
      <c r="E268" s="719">
        <v>367.1</v>
      </c>
      <c r="F268" s="103">
        <f t="shared" si="16"/>
        <v>533956.21821900003</v>
      </c>
      <c r="G268" s="557">
        <f>'EOP Depn Exp Adj'!D16</f>
        <v>1.4999999999999999E-2</v>
      </c>
      <c r="H268" s="711">
        <f t="shared" si="18"/>
        <v>8009.3432732850006</v>
      </c>
      <c r="I268" s="1"/>
      <c r="K268" s="103">
        <f t="shared" si="17"/>
        <v>2632121.5699999998</v>
      </c>
      <c r="L268" s="72">
        <f t="shared" ref="L268:L298" si="20">+G268</f>
        <v>1.4999999999999999E-2</v>
      </c>
      <c r="M268" s="184">
        <f t="shared" si="19"/>
        <v>39481.823549999994</v>
      </c>
      <c r="N268" s="184"/>
      <c r="O268" s="184"/>
      <c r="P268" s="1" t="s">
        <v>4171</v>
      </c>
      <c r="Q268" s="42">
        <v>72985639.794989005</v>
      </c>
      <c r="R268" s="107"/>
      <c r="S268" s="107"/>
      <c r="T268" s="107"/>
      <c r="U268" s="107"/>
      <c r="V268" s="107"/>
      <c r="W268" s="107"/>
      <c r="X268" s="107"/>
      <c r="Y268" s="107"/>
      <c r="Z268" s="107"/>
      <c r="AA268" s="107"/>
      <c r="AB268" s="107"/>
      <c r="AC268" s="107"/>
      <c r="AD268" s="720"/>
      <c r="AE268" s="720"/>
    </row>
    <row r="269" spans="1:42" outlineLevel="1">
      <c r="A269" s="545">
        <f>MAX($A$10:A268)+1</f>
        <v>260</v>
      </c>
      <c r="B269" s="740"/>
      <c r="C269" s="740"/>
      <c r="E269" s="719">
        <v>374.1</v>
      </c>
      <c r="F269" s="103">
        <f t="shared" si="16"/>
        <v>119146.94</v>
      </c>
      <c r="G269" s="557">
        <v>0</v>
      </c>
      <c r="H269" s="711">
        <f t="shared" si="18"/>
        <v>0</v>
      </c>
      <c r="I269" s="1"/>
      <c r="K269" s="103">
        <f t="shared" si="17"/>
        <v>0</v>
      </c>
      <c r="L269" s="72">
        <f t="shared" si="20"/>
        <v>0</v>
      </c>
      <c r="M269" s="184">
        <f t="shared" si="19"/>
        <v>0</v>
      </c>
      <c r="N269" s="184"/>
      <c r="O269" s="184"/>
      <c r="P269" s="1" t="s">
        <v>4173</v>
      </c>
      <c r="Q269" s="42">
        <v>15925424.810551805</v>
      </c>
      <c r="R269" s="107"/>
      <c r="S269" s="107"/>
      <c r="T269" s="107"/>
      <c r="U269" s="107"/>
      <c r="V269" s="107"/>
      <c r="W269" s="107"/>
      <c r="X269" s="107"/>
      <c r="Y269" s="107"/>
      <c r="Z269" s="107"/>
      <c r="AA269" s="107"/>
      <c r="AB269" s="107"/>
      <c r="AC269" s="107"/>
      <c r="AD269" s="720"/>
      <c r="AE269" s="720"/>
    </row>
    <row r="270" spans="1:42" outlineLevel="1">
      <c r="A270" s="545">
        <f>MAX($A$10:A269)+1</f>
        <v>261</v>
      </c>
      <c r="B270" s="740"/>
      <c r="C270" s="740"/>
      <c r="D270" s="740"/>
      <c r="E270" s="719">
        <v>374.2</v>
      </c>
      <c r="F270" s="103">
        <f t="shared" si="16"/>
        <v>0</v>
      </c>
      <c r="G270" s="557">
        <f>'EOP Depn Exp Adj'!D19</f>
        <v>1.6400000000000001E-2</v>
      </c>
      <c r="H270" s="711">
        <f t="shared" si="18"/>
        <v>0</v>
      </c>
      <c r="I270" s="1"/>
      <c r="K270" s="103">
        <f t="shared" si="17"/>
        <v>0</v>
      </c>
      <c r="L270" s="72">
        <f t="shared" si="20"/>
        <v>1.6400000000000001E-2</v>
      </c>
      <c r="M270" s="184">
        <f t="shared" si="19"/>
        <v>0</v>
      </c>
      <c r="N270" s="184"/>
      <c r="O270" s="184"/>
      <c r="R270" s="107"/>
      <c r="S270" s="107"/>
      <c r="T270" s="107"/>
      <c r="U270" s="107"/>
      <c r="V270" s="107"/>
      <c r="W270" s="107"/>
      <c r="X270" s="107"/>
      <c r="Y270" s="107"/>
      <c r="Z270" s="107"/>
      <c r="AA270" s="107"/>
      <c r="AB270" s="107"/>
      <c r="AC270" s="107"/>
      <c r="AD270" s="720"/>
      <c r="AE270" s="720"/>
    </row>
    <row r="271" spans="1:42" outlineLevel="1">
      <c r="A271" s="545">
        <f>MAX($A$10:A270)+1</f>
        <v>262</v>
      </c>
      <c r="B271" s="740"/>
      <c r="C271" s="740"/>
      <c r="D271" s="740"/>
      <c r="E271" s="719">
        <v>375.1</v>
      </c>
      <c r="F271" s="103">
        <f t="shared" si="16"/>
        <v>0</v>
      </c>
      <c r="G271" s="557">
        <f>'EOP Depn Exp Adj'!D20</f>
        <v>8.3999999999999995E-3</v>
      </c>
      <c r="H271" s="711">
        <f t="shared" si="18"/>
        <v>0</v>
      </c>
      <c r="I271" s="1"/>
      <c r="K271" s="103">
        <f t="shared" si="17"/>
        <v>0</v>
      </c>
      <c r="L271" s="72">
        <f t="shared" si="20"/>
        <v>8.3999999999999995E-3</v>
      </c>
      <c r="M271" s="184">
        <f t="shared" si="19"/>
        <v>0</v>
      </c>
      <c r="N271" s="184"/>
      <c r="O271" s="184"/>
      <c r="R271" s="107"/>
      <c r="S271" s="107"/>
      <c r="T271" s="107"/>
      <c r="U271" s="107"/>
      <c r="V271" s="107"/>
      <c r="W271" s="107"/>
      <c r="X271" s="107"/>
      <c r="Y271" s="107"/>
      <c r="Z271" s="107"/>
      <c r="AA271" s="107"/>
      <c r="AB271" s="107"/>
      <c r="AC271" s="107"/>
      <c r="AD271" s="720"/>
      <c r="AE271" s="720"/>
    </row>
    <row r="272" spans="1:42" outlineLevel="1">
      <c r="A272" s="545">
        <f>MAX($A$10:A271)+1</f>
        <v>263</v>
      </c>
      <c r="B272" s="740"/>
      <c r="C272" s="740"/>
      <c r="D272" s="716"/>
      <c r="E272" s="719">
        <v>376.1</v>
      </c>
      <c r="F272" s="103">
        <f t="shared" si="16"/>
        <v>3193224.434196</v>
      </c>
      <c r="G272" s="557">
        <f>'EOP Depn Exp Adj'!D23</f>
        <v>3.56E-2</v>
      </c>
      <c r="H272" s="711">
        <f t="shared" si="18"/>
        <v>113678.7898573776</v>
      </c>
      <c r="I272" s="1"/>
      <c r="K272" s="103">
        <f t="shared" si="17"/>
        <v>1149642.93</v>
      </c>
      <c r="L272" s="72">
        <f t="shared" si="20"/>
        <v>3.56E-2</v>
      </c>
      <c r="M272" s="184">
        <f t="shared" si="19"/>
        <v>40927.288307999996</v>
      </c>
      <c r="N272" s="184"/>
      <c r="O272" s="184"/>
      <c r="R272" s="107"/>
      <c r="S272" s="107"/>
      <c r="T272" s="107"/>
      <c r="U272" s="107"/>
      <c r="V272" s="107"/>
      <c r="W272" s="107"/>
      <c r="X272" s="107"/>
      <c r="Y272" s="107"/>
      <c r="Z272" s="107"/>
      <c r="AA272" s="107"/>
      <c r="AB272" s="107"/>
      <c r="AC272" s="107"/>
      <c r="AD272" s="720"/>
      <c r="AE272" s="720"/>
    </row>
    <row r="273" spans="1:34" outlineLevel="1">
      <c r="A273" s="545">
        <f>MAX($A$10:A272)+1</f>
        <v>264</v>
      </c>
      <c r="B273" s="740"/>
      <c r="C273" s="740"/>
      <c r="D273" s="716"/>
      <c r="E273" s="719">
        <v>376.2</v>
      </c>
      <c r="F273" s="103">
        <f t="shared" si="16"/>
        <v>26845063.359276999</v>
      </c>
      <c r="G273" s="557">
        <f>'EOP Depn Exp Adj'!D21</f>
        <v>1.52E-2</v>
      </c>
      <c r="H273" s="711">
        <f t="shared" si="18"/>
        <v>408044.96306101041</v>
      </c>
      <c r="I273" s="1"/>
      <c r="K273" s="103">
        <f t="shared" si="17"/>
        <v>5195829.6206360003</v>
      </c>
      <c r="L273" s="72">
        <f t="shared" si="20"/>
        <v>1.52E-2</v>
      </c>
      <c r="M273" s="184">
        <f t="shared" si="19"/>
        <v>78976.610233667205</v>
      </c>
      <c r="N273" s="184"/>
      <c r="O273" s="184"/>
      <c r="R273" s="107"/>
      <c r="S273" s="107"/>
      <c r="T273" s="107"/>
      <c r="U273" s="107"/>
      <c r="V273" s="107"/>
      <c r="W273" s="107"/>
      <c r="X273" s="107"/>
      <c r="Y273" s="107"/>
      <c r="Z273" s="107"/>
      <c r="AA273" s="107"/>
      <c r="AB273" s="107"/>
      <c r="AC273" s="107"/>
      <c r="AD273" s="720"/>
      <c r="AE273" s="720"/>
    </row>
    <row r="274" spans="1:34" outlineLevel="1">
      <c r="A274" s="545">
        <f>MAX($A$10:A273)+1</f>
        <v>265</v>
      </c>
      <c r="B274" s="740"/>
      <c r="C274" s="740"/>
      <c r="D274" s="716"/>
      <c r="E274" s="719">
        <v>376.3</v>
      </c>
      <c r="F274" s="103">
        <f t="shared" si="16"/>
        <v>14410531.089204999</v>
      </c>
      <c r="G274" s="557">
        <f>'EOP Depn Exp Adj'!D22</f>
        <v>2.81E-2</v>
      </c>
      <c r="H274" s="711">
        <f t="shared" si="18"/>
        <v>404935.92360666045</v>
      </c>
      <c r="I274" s="1"/>
      <c r="K274" s="103">
        <f t="shared" si="17"/>
        <v>18134698.168018002</v>
      </c>
      <c r="L274" s="72">
        <f t="shared" si="20"/>
        <v>2.81E-2</v>
      </c>
      <c r="M274" s="184">
        <f t="shared" si="19"/>
        <v>509585.01852130587</v>
      </c>
      <c r="N274" s="184"/>
      <c r="O274" s="184"/>
      <c r="R274" s="107"/>
      <c r="S274" s="107"/>
      <c r="T274" s="107"/>
      <c r="U274" s="107"/>
      <c r="V274" s="107"/>
      <c r="W274" s="107"/>
      <c r="X274" s="107"/>
      <c r="Y274" s="107"/>
      <c r="Z274" s="107"/>
      <c r="AA274" s="107"/>
      <c r="AB274" s="107"/>
      <c r="AC274" s="107"/>
      <c r="AD274" s="720"/>
      <c r="AE274" s="720"/>
    </row>
    <row r="275" spans="1:34" outlineLevel="1">
      <c r="A275" s="545">
        <f>MAX($A$10:A274)+1</f>
        <v>266</v>
      </c>
      <c r="B275" s="740"/>
      <c r="C275" s="740"/>
      <c r="D275" s="716"/>
      <c r="E275" s="739">
        <v>377</v>
      </c>
      <c r="F275" s="103">
        <f t="shared" si="16"/>
        <v>251442.65999999997</v>
      </c>
      <c r="G275" s="557">
        <f>'EOP Depn Exp Adj'!D24</f>
        <v>1.72E-2</v>
      </c>
      <c r="H275" s="711">
        <f t="shared" si="18"/>
        <v>4324.8137519999991</v>
      </c>
      <c r="I275" s="1"/>
      <c r="K275" s="103">
        <f t="shared" si="17"/>
        <v>0</v>
      </c>
      <c r="L275" s="72">
        <f t="shared" si="20"/>
        <v>1.72E-2</v>
      </c>
      <c r="M275" s="184">
        <f t="shared" si="19"/>
        <v>0</v>
      </c>
      <c r="N275" s="184"/>
      <c r="O275" s="184"/>
      <c r="R275" s="107"/>
      <c r="S275" s="107"/>
      <c r="T275" s="107"/>
      <c r="U275" s="107"/>
      <c r="V275" s="107"/>
      <c r="W275" s="107"/>
      <c r="X275" s="107"/>
      <c r="Y275" s="107"/>
      <c r="Z275" s="107"/>
      <c r="AA275" s="107"/>
      <c r="AB275" s="107"/>
      <c r="AC275" s="107"/>
      <c r="AD275" s="720"/>
      <c r="AE275" s="720"/>
    </row>
    <row r="276" spans="1:34" outlineLevel="1">
      <c r="A276" s="545">
        <f>MAX($A$10:A275)+1</f>
        <v>267</v>
      </c>
      <c r="B276" s="740"/>
      <c r="C276" s="740"/>
      <c r="D276" s="716"/>
      <c r="E276" s="739">
        <v>378</v>
      </c>
      <c r="F276" s="103">
        <f t="shared" si="16"/>
        <v>4460205.1191330003</v>
      </c>
      <c r="G276" s="557">
        <f>'EOP Depn Exp Adj'!D25</f>
        <v>1.9699999999999999E-2</v>
      </c>
      <c r="H276" s="711">
        <f t="shared" si="18"/>
        <v>87866.040846920107</v>
      </c>
      <c r="I276" s="1"/>
      <c r="K276" s="103">
        <f t="shared" si="17"/>
        <v>2000704.3452900001</v>
      </c>
      <c r="L276" s="72">
        <f t="shared" si="20"/>
        <v>1.9699999999999999E-2</v>
      </c>
      <c r="M276" s="184">
        <f t="shared" si="19"/>
        <v>39413.875602212996</v>
      </c>
      <c r="N276" s="184"/>
      <c r="O276" s="184"/>
      <c r="R276" s="107"/>
      <c r="S276" s="107"/>
      <c r="T276" s="107"/>
      <c r="U276" s="107"/>
      <c r="V276" s="107"/>
      <c r="W276" s="107"/>
      <c r="X276" s="107"/>
      <c r="Y276" s="107"/>
      <c r="Z276" s="107"/>
      <c r="AA276" s="107"/>
      <c r="AB276" s="107"/>
      <c r="AC276" s="107"/>
      <c r="AD276" s="720"/>
      <c r="AE276" s="720"/>
    </row>
    <row r="277" spans="1:34" outlineLevel="1">
      <c r="A277" s="545">
        <f>MAX($A$10:A276)+1</f>
        <v>268</v>
      </c>
      <c r="B277" s="740"/>
      <c r="C277" s="740"/>
      <c r="D277" s="716"/>
      <c r="E277" s="739">
        <v>379</v>
      </c>
      <c r="F277" s="103">
        <f t="shared" si="16"/>
        <v>62519.42635400001</v>
      </c>
      <c r="G277" s="557">
        <v>1.9699999999999999E-2</v>
      </c>
      <c r="H277" s="711">
        <f t="shared" si="18"/>
        <v>1231.6326991738001</v>
      </c>
      <c r="I277" s="1"/>
      <c r="K277" s="103">
        <f t="shared" si="17"/>
        <v>2531049.7000000002</v>
      </c>
      <c r="L277" s="72">
        <f t="shared" si="20"/>
        <v>1.9699999999999999E-2</v>
      </c>
      <c r="M277" s="184">
        <f t="shared" si="19"/>
        <v>49861.679089999998</v>
      </c>
      <c r="N277" s="184"/>
      <c r="O277" s="184"/>
      <c r="R277" s="107"/>
      <c r="S277" s="107"/>
      <c r="T277" s="107"/>
      <c r="U277" s="107"/>
      <c r="V277" s="107"/>
      <c r="W277" s="107"/>
      <c r="X277" s="107"/>
      <c r="Y277" s="107"/>
      <c r="Z277" s="107"/>
      <c r="AA277" s="107"/>
      <c r="AB277" s="107"/>
      <c r="AC277" s="107"/>
      <c r="AD277" s="720"/>
      <c r="AE277" s="720"/>
    </row>
    <row r="278" spans="1:34" outlineLevel="1">
      <c r="A278" s="545">
        <f>MAX($A$10:A277)+1</f>
        <v>269</v>
      </c>
      <c r="B278" s="740"/>
      <c r="C278" s="740"/>
      <c r="D278" s="716"/>
      <c r="E278" s="719">
        <v>380.1</v>
      </c>
      <c r="F278" s="103">
        <f t="shared" si="16"/>
        <v>0</v>
      </c>
      <c r="G278" s="557">
        <f>'EOP Depn Exp Adj'!D28</f>
        <v>3.4700000000000002E-2</v>
      </c>
      <c r="H278" s="711">
        <f t="shared" si="18"/>
        <v>0</v>
      </c>
      <c r="I278" s="1"/>
      <c r="K278" s="103">
        <f t="shared" si="17"/>
        <v>0</v>
      </c>
      <c r="L278" s="72">
        <f t="shared" si="20"/>
        <v>3.4700000000000002E-2</v>
      </c>
      <c r="M278" s="184">
        <f t="shared" si="19"/>
        <v>0</v>
      </c>
      <c r="N278" s="184"/>
      <c r="O278" s="184"/>
      <c r="R278" s="107"/>
      <c r="S278" s="107"/>
      <c r="T278" s="107"/>
      <c r="U278" s="107"/>
      <c r="V278" s="107"/>
      <c r="W278" s="107"/>
      <c r="X278" s="107"/>
      <c r="Y278" s="107"/>
      <c r="Z278" s="107"/>
      <c r="AA278" s="107"/>
      <c r="AB278" s="107"/>
      <c r="AC278" s="107"/>
      <c r="AD278" s="720"/>
      <c r="AE278" s="720"/>
    </row>
    <row r="279" spans="1:34" outlineLevel="1">
      <c r="A279" s="545">
        <f>MAX($A$10:A278)+1</f>
        <v>270</v>
      </c>
      <c r="B279" s="716"/>
      <c r="C279" s="716"/>
      <c r="D279" s="716"/>
      <c r="E279" s="2">
        <v>380.3</v>
      </c>
      <c r="F279" s="103">
        <f t="shared" si="16"/>
        <v>12693105.081136003</v>
      </c>
      <c r="G279" s="557">
        <f>'EOP Depn Exp Adj'!D27</f>
        <v>3.3599999999999998E-2</v>
      </c>
      <c r="H279" s="711">
        <f t="shared" si="18"/>
        <v>426488.33072616969</v>
      </c>
      <c r="I279" s="1"/>
      <c r="K279" s="103">
        <f t="shared" si="17"/>
        <v>13655559.353408001</v>
      </c>
      <c r="L279" s="72">
        <f t="shared" si="20"/>
        <v>3.3599999999999998E-2</v>
      </c>
      <c r="M279" s="184">
        <f t="shared" si="19"/>
        <v>458826.79427450884</v>
      </c>
      <c r="N279" s="184"/>
      <c r="O279" s="184"/>
      <c r="R279" s="107"/>
      <c r="S279" s="107"/>
      <c r="T279" s="107"/>
      <c r="U279" s="107"/>
      <c r="V279" s="107"/>
      <c r="W279" s="107"/>
      <c r="X279" s="107"/>
      <c r="Y279" s="107"/>
      <c r="Z279" s="107"/>
      <c r="AA279" s="107"/>
      <c r="AB279" s="107"/>
      <c r="AC279" s="107"/>
      <c r="AD279" s="720"/>
      <c r="AE279" s="720"/>
    </row>
    <row r="280" spans="1:34" outlineLevel="1">
      <c r="A280" s="545">
        <f>MAX($A$10:A279)+1</f>
        <v>271</v>
      </c>
      <c r="B280" s="716"/>
      <c r="C280" s="716"/>
      <c r="D280" s="716"/>
      <c r="E280" s="739">
        <v>381</v>
      </c>
      <c r="F280" s="103">
        <f t="shared" si="16"/>
        <v>5937987.0246250005</v>
      </c>
      <c r="G280" s="557">
        <f>'EOP Depn Exp Adj'!D30</f>
        <v>2.6100000000000002E-2</v>
      </c>
      <c r="H280" s="711">
        <f t="shared" si="18"/>
        <v>154981.46134271252</v>
      </c>
      <c r="I280" s="1"/>
      <c r="K280" s="103">
        <f t="shared" si="17"/>
        <v>6106833.2000000002</v>
      </c>
      <c r="L280" s="72">
        <f t="shared" si="20"/>
        <v>2.6100000000000002E-2</v>
      </c>
      <c r="M280" s="184">
        <f t="shared" si="19"/>
        <v>159388.34652000002</v>
      </c>
      <c r="N280" s="184"/>
      <c r="O280" s="184"/>
      <c r="R280" s="107"/>
      <c r="S280" s="107"/>
      <c r="T280" s="107"/>
      <c r="U280" s="107"/>
      <c r="V280" s="107"/>
      <c r="W280" s="107"/>
      <c r="X280" s="107"/>
      <c r="Y280" s="107"/>
      <c r="Z280" s="107"/>
      <c r="AA280" s="107"/>
      <c r="AB280" s="107"/>
      <c r="AC280" s="107"/>
      <c r="AD280" s="720"/>
      <c r="AE280" s="720"/>
    </row>
    <row r="281" spans="1:34" outlineLevel="1">
      <c r="A281" s="545">
        <f>MAX($A$10:A280)+1</f>
        <v>272</v>
      </c>
      <c r="B281" s="716"/>
      <c r="C281" s="716"/>
      <c r="D281" s="716"/>
      <c r="E281" s="739">
        <v>383</v>
      </c>
      <c r="F281" s="103">
        <f t="shared" si="16"/>
        <v>547264.69999999995</v>
      </c>
      <c r="G281" s="557">
        <f>'EOP Depn Exp Adj'!D31</f>
        <v>2.1600000000000001E-2</v>
      </c>
      <c r="H281" s="711">
        <f t="shared" si="18"/>
        <v>11820.917519999999</v>
      </c>
      <c r="I281" s="1"/>
      <c r="K281" s="103">
        <f t="shared" si="17"/>
        <v>562922.22</v>
      </c>
      <c r="L281" s="72">
        <f t="shared" si="20"/>
        <v>2.1600000000000001E-2</v>
      </c>
      <c r="M281" s="184">
        <f t="shared" si="19"/>
        <v>12159.119952000001</v>
      </c>
      <c r="N281" s="184"/>
      <c r="O281" s="184"/>
      <c r="R281" s="107"/>
      <c r="S281" s="107"/>
      <c r="T281" s="107"/>
      <c r="U281" s="107"/>
      <c r="V281" s="107"/>
      <c r="W281" s="107"/>
      <c r="X281" s="107"/>
      <c r="Y281" s="107"/>
      <c r="Z281" s="107"/>
      <c r="AA281" s="107"/>
      <c r="AB281" s="107"/>
      <c r="AC281" s="107"/>
      <c r="AD281" s="720"/>
      <c r="AE281" s="720"/>
    </row>
    <row r="282" spans="1:34" outlineLevel="1">
      <c r="A282" s="545">
        <f>MAX($A$10:A281)+1</f>
        <v>273</v>
      </c>
      <c r="B282" s="716"/>
      <c r="C282" s="716"/>
      <c r="D282" s="716"/>
      <c r="E282" s="739">
        <v>385</v>
      </c>
      <c r="F282" s="103">
        <f t="shared" si="16"/>
        <v>124285.6251</v>
      </c>
      <c r="G282" s="557">
        <f>'EOP Depn Exp Adj'!D32</f>
        <v>1.7000000000000001E-2</v>
      </c>
      <c r="H282" s="711">
        <f t="shared" si="18"/>
        <v>2112.8556267000004</v>
      </c>
      <c r="I282" s="1"/>
      <c r="K282" s="103">
        <f t="shared" si="17"/>
        <v>124049.75029200004</v>
      </c>
      <c r="L282" s="72">
        <f t="shared" si="20"/>
        <v>1.7000000000000001E-2</v>
      </c>
      <c r="M282" s="184">
        <f t="shared" si="19"/>
        <v>2108.8457549640007</v>
      </c>
      <c r="N282" s="184"/>
      <c r="O282" s="184"/>
      <c r="R282" s="107"/>
      <c r="S282" s="107"/>
      <c r="T282" s="107"/>
      <c r="U282" s="107"/>
      <c r="V282" s="107"/>
      <c r="W282" s="107"/>
      <c r="X282" s="107"/>
      <c r="Y282" s="107"/>
      <c r="Z282" s="107"/>
      <c r="AA282" s="107"/>
      <c r="AB282" s="107"/>
      <c r="AC282" s="107"/>
      <c r="AD282" s="720"/>
      <c r="AE282" s="720"/>
    </row>
    <row r="283" spans="1:34" outlineLevel="1">
      <c r="A283" s="545">
        <f>MAX($A$10:A282)+1</f>
        <v>274</v>
      </c>
      <c r="B283" s="716"/>
      <c r="C283" s="716"/>
      <c r="D283" s="2"/>
      <c r="E283" s="719">
        <v>390.1</v>
      </c>
      <c r="F283" s="103">
        <f t="shared" si="16"/>
        <v>543949.35173200001</v>
      </c>
      <c r="G283" s="557">
        <f>'EOP Depn Exp Adj'!D35</f>
        <v>1.44E-2</v>
      </c>
      <c r="H283" s="711">
        <f t="shared" si="18"/>
        <v>7832.8706649407995</v>
      </c>
      <c r="I283" s="1"/>
      <c r="K283" s="103">
        <f t="shared" si="17"/>
        <v>0</v>
      </c>
      <c r="L283" s="72">
        <f t="shared" si="20"/>
        <v>1.44E-2</v>
      </c>
      <c r="M283" s="184">
        <f t="shared" si="19"/>
        <v>0</v>
      </c>
      <c r="N283" s="184"/>
      <c r="O283" s="184"/>
      <c r="R283" s="107"/>
      <c r="S283" s="107"/>
      <c r="T283" s="107"/>
      <c r="U283" s="107"/>
      <c r="V283" s="107"/>
      <c r="W283" s="107"/>
      <c r="X283" s="107"/>
      <c r="Y283" s="107"/>
      <c r="Z283" s="107"/>
      <c r="AA283" s="107"/>
      <c r="AB283" s="107"/>
      <c r="AC283" s="107"/>
      <c r="AD283" s="720"/>
      <c r="AE283" s="720"/>
      <c r="AH283" s="105"/>
    </row>
    <row r="284" spans="1:34" outlineLevel="1">
      <c r="A284" s="545">
        <f>MAX($A$10:A283)+1</f>
        <v>275</v>
      </c>
      <c r="B284" s="716"/>
      <c r="C284" s="716"/>
      <c r="D284" s="2"/>
      <c r="E284" s="719">
        <v>391.2</v>
      </c>
      <c r="F284" s="103">
        <f t="shared" si="16"/>
        <v>0</v>
      </c>
      <c r="G284" s="557">
        <v>0</v>
      </c>
      <c r="H284" s="711">
        <f t="shared" si="18"/>
        <v>0</v>
      </c>
      <c r="I284" s="1"/>
      <c r="K284" s="103">
        <f t="shared" si="17"/>
        <v>0</v>
      </c>
      <c r="L284" s="72">
        <f t="shared" si="20"/>
        <v>0</v>
      </c>
      <c r="M284" s="184">
        <f t="shared" si="19"/>
        <v>0</v>
      </c>
      <c r="N284" s="184"/>
      <c r="O284" s="184"/>
      <c r="R284" s="107"/>
      <c r="S284" s="107"/>
      <c r="T284" s="107"/>
      <c r="U284" s="107"/>
      <c r="V284" s="107"/>
      <c r="W284" s="107"/>
      <c r="X284" s="107"/>
      <c r="Y284" s="107"/>
      <c r="Z284" s="107"/>
      <c r="AA284" s="107"/>
      <c r="AB284" s="107"/>
      <c r="AC284" s="107"/>
      <c r="AD284" s="720"/>
      <c r="AE284" s="720"/>
      <c r="AH284" s="105"/>
    </row>
    <row r="285" spans="1:34" outlineLevel="1">
      <c r="A285" s="545">
        <f>MAX($A$10:A284)+1</f>
        <v>276</v>
      </c>
      <c r="B285" s="716"/>
      <c r="C285" s="716"/>
      <c r="D285" s="2"/>
      <c r="E285" s="719">
        <v>391.3</v>
      </c>
      <c r="F285" s="103">
        <f t="shared" si="16"/>
        <v>447400.15949581465</v>
      </c>
      <c r="G285" s="557">
        <f>'EOP Depn Exp Adj'!D36</f>
        <v>0.44019999999999998</v>
      </c>
      <c r="H285" s="711">
        <f t="shared" si="18"/>
        <v>196945.55021005761</v>
      </c>
      <c r="I285" s="1"/>
      <c r="K285" s="103">
        <f t="shared" si="17"/>
        <v>238306.31219999999</v>
      </c>
      <c r="L285" s="72">
        <f t="shared" si="20"/>
        <v>0.44019999999999998</v>
      </c>
      <c r="M285" s="184">
        <f t="shared" si="19"/>
        <v>104902.43863044</v>
      </c>
      <c r="N285" s="184"/>
      <c r="O285" s="184"/>
      <c r="R285" s="107"/>
      <c r="S285" s="107"/>
      <c r="T285" s="107"/>
      <c r="U285" s="107"/>
      <c r="V285" s="107"/>
      <c r="W285" s="107"/>
      <c r="X285" s="107"/>
      <c r="Y285" s="107"/>
      <c r="Z285" s="107"/>
      <c r="AA285" s="107"/>
      <c r="AB285" s="107"/>
      <c r="AC285" s="107"/>
      <c r="AD285" s="720"/>
      <c r="AE285" s="720"/>
      <c r="AH285" s="105"/>
    </row>
    <row r="286" spans="1:34" outlineLevel="1">
      <c r="A286" s="545">
        <f>MAX($A$10:A285)+1</f>
        <v>277</v>
      </c>
      <c r="B286" s="716"/>
      <c r="C286" s="716"/>
      <c r="D286" s="2"/>
      <c r="E286" s="719">
        <v>391.4</v>
      </c>
      <c r="F286" s="103">
        <f t="shared" si="16"/>
        <v>0</v>
      </c>
      <c r="G286" s="557">
        <f>'EOP Depn Exp Adj'!D37</f>
        <v>0.26369999999999999</v>
      </c>
      <c r="H286" s="711">
        <f t="shared" si="18"/>
        <v>0</v>
      </c>
      <c r="I286" s="1"/>
      <c r="K286" s="103">
        <f t="shared" si="17"/>
        <v>0</v>
      </c>
      <c r="L286" s="72">
        <f t="shared" si="20"/>
        <v>0.26369999999999999</v>
      </c>
      <c r="M286" s="184">
        <f t="shared" si="19"/>
        <v>0</v>
      </c>
      <c r="N286" s="184"/>
      <c r="O286" s="184"/>
      <c r="R286" s="107"/>
      <c r="S286" s="107"/>
      <c r="T286" s="107"/>
      <c r="U286" s="107"/>
      <c r="V286" s="107"/>
      <c r="W286" s="107"/>
      <c r="X286" s="107"/>
      <c r="Y286" s="107"/>
      <c r="Z286" s="107"/>
      <c r="AA286" s="107"/>
      <c r="AB286" s="107"/>
      <c r="AC286" s="107"/>
      <c r="AD286" s="720"/>
      <c r="AE286" s="720"/>
      <c r="AH286" s="105"/>
    </row>
    <row r="287" spans="1:34" outlineLevel="1">
      <c r="A287" s="545">
        <f>MAX($A$10:A286)+1</f>
        <v>278</v>
      </c>
      <c r="B287" s="716"/>
      <c r="C287" s="716"/>
      <c r="D287" s="2"/>
      <c r="E287" s="719">
        <v>391.5</v>
      </c>
      <c r="F287" s="103">
        <f t="shared" si="16"/>
        <v>97895.851235000009</v>
      </c>
      <c r="G287" s="557">
        <f>'EOP Depn Exp Adj'!D38</f>
        <v>0.19</v>
      </c>
      <c r="H287" s="711">
        <f t="shared" si="18"/>
        <v>18600.211734650002</v>
      </c>
      <c r="I287" s="1"/>
      <c r="K287" s="103">
        <f t="shared" si="17"/>
        <v>148276.99154800002</v>
      </c>
      <c r="L287" s="72">
        <f t="shared" si="20"/>
        <v>0.19</v>
      </c>
      <c r="M287" s="184">
        <f t="shared" si="19"/>
        <v>28172.628394120005</v>
      </c>
      <c r="N287" s="184"/>
      <c r="O287" s="184"/>
      <c r="R287" s="107"/>
      <c r="S287" s="107"/>
      <c r="T287" s="107"/>
      <c r="U287" s="107"/>
      <c r="V287" s="107"/>
      <c r="W287" s="107"/>
      <c r="X287" s="107"/>
      <c r="Y287" s="107"/>
      <c r="Z287" s="107"/>
      <c r="AA287" s="107"/>
      <c r="AB287" s="107"/>
      <c r="AC287" s="107"/>
      <c r="AD287" s="720"/>
      <c r="AE287" s="720"/>
      <c r="AH287" s="105"/>
    </row>
    <row r="288" spans="1:34" outlineLevel="1">
      <c r="A288" s="545">
        <f>MAX($A$10:A287)+1</f>
        <v>279</v>
      </c>
      <c r="B288" s="716"/>
      <c r="C288" s="716"/>
      <c r="D288" s="2"/>
      <c r="E288" s="719">
        <v>392.1</v>
      </c>
      <c r="F288" s="103">
        <f t="shared" si="16"/>
        <v>0</v>
      </c>
      <c r="G288" s="557">
        <f>'EOP Depn Exp Adj'!D40</f>
        <v>2.69E-2</v>
      </c>
      <c r="H288" s="711">
        <f t="shared" si="18"/>
        <v>0</v>
      </c>
      <c r="I288" s="1" t="s">
        <v>2252</v>
      </c>
      <c r="K288" s="103">
        <f t="shared" si="17"/>
        <v>0</v>
      </c>
      <c r="L288" s="72">
        <f t="shared" si="20"/>
        <v>2.69E-2</v>
      </c>
      <c r="M288" s="184">
        <f t="shared" si="19"/>
        <v>0</v>
      </c>
      <c r="N288" s="184"/>
      <c r="O288" s="184"/>
      <c r="P288" s="1" t="s">
        <v>2252</v>
      </c>
      <c r="R288" s="107"/>
      <c r="S288" s="107"/>
      <c r="T288" s="107"/>
      <c r="U288" s="107"/>
      <c r="V288" s="107"/>
      <c r="W288" s="107"/>
      <c r="X288" s="107"/>
      <c r="Y288" s="107"/>
      <c r="Z288" s="107"/>
      <c r="AA288" s="107"/>
      <c r="AB288" s="107"/>
      <c r="AC288" s="107"/>
      <c r="AD288" s="720"/>
      <c r="AE288" s="720"/>
      <c r="AH288" s="105"/>
    </row>
    <row r="289" spans="1:35" outlineLevel="1">
      <c r="A289" s="545">
        <f>MAX($A$10:A288)+1</f>
        <v>280</v>
      </c>
      <c r="B289" s="716"/>
      <c r="C289" s="716"/>
      <c r="D289" s="2"/>
      <c r="E289" s="719">
        <v>392.2</v>
      </c>
      <c r="F289" s="103">
        <f t="shared" si="16"/>
        <v>1060664.9308400003</v>
      </c>
      <c r="G289" s="557">
        <f>'EOP Depn Exp Adj'!D41</f>
        <v>5.8900000000000001E-2</v>
      </c>
      <c r="H289" s="711">
        <f t="shared" si="18"/>
        <v>62473.164426476018</v>
      </c>
      <c r="I289" s="1" t="s">
        <v>2252</v>
      </c>
      <c r="K289" s="103">
        <f t="shared" si="17"/>
        <v>769996.95369600004</v>
      </c>
      <c r="L289" s="72">
        <f t="shared" si="20"/>
        <v>5.8900000000000001E-2</v>
      </c>
      <c r="M289" s="184">
        <f t="shared" si="19"/>
        <v>45352.8205726944</v>
      </c>
      <c r="N289" s="184"/>
      <c r="O289" s="184"/>
      <c r="P289" s="1" t="s">
        <v>2252</v>
      </c>
      <c r="R289" s="107"/>
      <c r="S289" s="107"/>
      <c r="T289" s="107"/>
      <c r="U289" s="107"/>
      <c r="V289" s="107"/>
      <c r="W289" s="107"/>
      <c r="X289" s="107"/>
      <c r="Y289" s="107"/>
      <c r="Z289" s="107"/>
      <c r="AA289" s="107"/>
      <c r="AB289" s="107"/>
      <c r="AC289" s="107"/>
      <c r="AD289" s="720"/>
      <c r="AE289" s="720"/>
      <c r="AH289" s="105"/>
    </row>
    <row r="290" spans="1:35" outlineLevel="1">
      <c r="A290" s="545">
        <f>MAX($A$10:A289)+1</f>
        <v>281</v>
      </c>
      <c r="B290" s="716"/>
      <c r="C290" s="716"/>
      <c r="D290" s="2"/>
      <c r="E290" s="719">
        <v>393</v>
      </c>
      <c r="F290" s="103">
        <f t="shared" si="16"/>
        <v>0</v>
      </c>
      <c r="G290" s="557">
        <f>'EOP Depn Exp Adj'!D42</f>
        <v>8.4000000000000005E-2</v>
      </c>
      <c r="H290" s="711">
        <f t="shared" si="18"/>
        <v>0</v>
      </c>
      <c r="I290" s="1"/>
      <c r="K290" s="103">
        <f t="shared" si="17"/>
        <v>0</v>
      </c>
      <c r="L290" s="72">
        <f t="shared" si="20"/>
        <v>8.4000000000000005E-2</v>
      </c>
      <c r="M290" s="184">
        <f t="shared" si="19"/>
        <v>0</v>
      </c>
      <c r="N290" s="184"/>
      <c r="O290" s="184"/>
      <c r="R290" s="107"/>
      <c r="S290" s="107"/>
      <c r="T290" s="107"/>
      <c r="U290" s="107"/>
      <c r="V290" s="107"/>
      <c r="W290" s="107"/>
      <c r="X290" s="107"/>
      <c r="Y290" s="107"/>
      <c r="Z290" s="107"/>
      <c r="AA290" s="107"/>
      <c r="AB290" s="107"/>
      <c r="AC290" s="107"/>
      <c r="AD290" s="720"/>
      <c r="AE290" s="720"/>
      <c r="AH290" s="105"/>
    </row>
    <row r="291" spans="1:35" outlineLevel="1">
      <c r="A291" s="545">
        <f>MAX($A$10:A290)+1</f>
        <v>282</v>
      </c>
      <c r="B291" s="716"/>
      <c r="C291" s="716"/>
      <c r="D291" s="2"/>
      <c r="E291" s="719">
        <v>394.1</v>
      </c>
      <c r="F291" s="103">
        <f t="shared" si="16"/>
        <v>2209605.8490629997</v>
      </c>
      <c r="G291" s="557">
        <f>'EOP Depn Exp Adj'!D43</f>
        <v>0.1066</v>
      </c>
      <c r="H291" s="711">
        <f t="shared" si="18"/>
        <v>235543.98351011577</v>
      </c>
      <c r="I291" s="1"/>
      <c r="K291" s="103">
        <f t="shared" si="17"/>
        <v>365700.07</v>
      </c>
      <c r="L291" s="72">
        <f t="shared" si="20"/>
        <v>0.1066</v>
      </c>
      <c r="M291" s="184">
        <f t="shared" si="19"/>
        <v>38983.627462000004</v>
      </c>
      <c r="N291" s="184"/>
      <c r="O291" s="184"/>
      <c r="R291" s="107"/>
      <c r="S291" s="107"/>
      <c r="T291" s="107"/>
      <c r="U291" s="107"/>
      <c r="V291" s="107"/>
      <c r="W291" s="107"/>
      <c r="X291" s="107"/>
      <c r="Y291" s="107"/>
      <c r="Z291" s="107"/>
      <c r="AA291" s="107"/>
      <c r="AB291" s="107"/>
      <c r="AC291" s="107"/>
      <c r="AD291" s="720"/>
      <c r="AE291" s="720"/>
      <c r="AH291" s="105"/>
    </row>
    <row r="292" spans="1:35" outlineLevel="1">
      <c r="A292" s="545">
        <f>MAX($A$10:A291)+1</f>
        <v>283</v>
      </c>
      <c r="B292" s="716"/>
      <c r="C292" s="716"/>
      <c r="D292" s="716"/>
      <c r="E292" s="719">
        <v>394.2</v>
      </c>
      <c r="F292" s="103">
        <f t="shared" si="16"/>
        <v>0</v>
      </c>
      <c r="G292" s="557">
        <f>'EOP Depn Exp Adj'!D44</f>
        <v>1.52E-2</v>
      </c>
      <c r="H292" s="711">
        <f t="shared" si="18"/>
        <v>0</v>
      </c>
      <c r="I292" s="1"/>
      <c r="K292" s="103">
        <f t="shared" si="17"/>
        <v>0</v>
      </c>
      <c r="L292" s="72">
        <f t="shared" si="20"/>
        <v>1.52E-2</v>
      </c>
      <c r="M292" s="184">
        <f t="shared" si="19"/>
        <v>0</v>
      </c>
      <c r="N292" s="184"/>
      <c r="O292" s="184"/>
      <c r="R292" s="107"/>
      <c r="S292" s="107"/>
      <c r="T292" s="107"/>
      <c r="U292" s="107"/>
      <c r="V292" s="107"/>
      <c r="W292" s="107"/>
      <c r="X292" s="107"/>
      <c r="Y292" s="107"/>
      <c r="Z292" s="107"/>
      <c r="AA292" s="107"/>
      <c r="AB292" s="107"/>
      <c r="AC292" s="107"/>
      <c r="AD292" s="720"/>
      <c r="AE292" s="720"/>
      <c r="AH292" s="105"/>
    </row>
    <row r="293" spans="1:35" outlineLevel="1">
      <c r="A293" s="545">
        <f>MAX($A$10:A292)+1</f>
        <v>284</v>
      </c>
      <c r="B293" s="716"/>
      <c r="C293" s="716"/>
      <c r="D293" s="716"/>
      <c r="E293" s="719">
        <v>395</v>
      </c>
      <c r="F293" s="103">
        <f t="shared" si="16"/>
        <v>0</v>
      </c>
      <c r="G293" s="557">
        <f>'EOP Depn Exp Adj'!D45</f>
        <v>0.14549999999999999</v>
      </c>
      <c r="H293" s="711">
        <f t="shared" si="18"/>
        <v>0</v>
      </c>
      <c r="I293" s="1"/>
      <c r="K293" s="103">
        <f t="shared" si="17"/>
        <v>0</v>
      </c>
      <c r="L293" s="72">
        <f t="shared" si="20"/>
        <v>0.14549999999999999</v>
      </c>
      <c r="M293" s="184">
        <f t="shared" si="19"/>
        <v>0</v>
      </c>
      <c r="N293" s="184"/>
      <c r="O293" s="184"/>
      <c r="R293" s="107"/>
      <c r="S293" s="107"/>
      <c r="T293" s="107"/>
      <c r="U293" s="107"/>
      <c r="V293" s="107"/>
      <c r="W293" s="107"/>
      <c r="X293" s="107"/>
      <c r="Y293" s="107"/>
      <c r="Z293" s="107"/>
      <c r="AA293" s="107"/>
      <c r="AB293" s="107"/>
      <c r="AC293" s="107"/>
      <c r="AD293" s="720"/>
      <c r="AE293" s="720"/>
      <c r="AH293" s="105"/>
    </row>
    <row r="294" spans="1:35" outlineLevel="1">
      <c r="A294" s="545">
        <f>MAX($A$10:A293)+1</f>
        <v>285</v>
      </c>
      <c r="B294" s="716"/>
      <c r="C294" s="716"/>
      <c r="D294" s="716"/>
      <c r="E294" s="719">
        <v>396.1</v>
      </c>
      <c r="F294" s="103">
        <f t="shared" si="16"/>
        <v>0</v>
      </c>
      <c r="G294" s="557">
        <f>'EOP Depn Exp Adj'!D47</f>
        <v>2.6100000000000002E-2</v>
      </c>
      <c r="H294" s="711">
        <f t="shared" si="18"/>
        <v>0</v>
      </c>
      <c r="I294" s="1" t="s">
        <v>2252</v>
      </c>
      <c r="K294" s="103">
        <f t="shared" si="17"/>
        <v>0</v>
      </c>
      <c r="L294" s="72">
        <f t="shared" si="20"/>
        <v>2.6100000000000002E-2</v>
      </c>
      <c r="M294" s="184">
        <f t="shared" si="19"/>
        <v>0</v>
      </c>
      <c r="N294" s="184"/>
      <c r="O294" s="184"/>
      <c r="P294" s="1" t="s">
        <v>2252</v>
      </c>
      <c r="R294" s="107"/>
      <c r="S294" s="107"/>
      <c r="T294" s="107"/>
      <c r="U294" s="107"/>
      <c r="V294" s="107"/>
      <c r="W294" s="107"/>
      <c r="X294" s="107"/>
      <c r="Y294" s="107"/>
      <c r="Z294" s="107"/>
      <c r="AA294" s="107"/>
      <c r="AB294" s="107"/>
      <c r="AC294" s="107"/>
      <c r="AD294" s="720"/>
      <c r="AE294" s="720"/>
      <c r="AH294" s="105"/>
    </row>
    <row r="295" spans="1:35" outlineLevel="1">
      <c r="A295" s="545">
        <f>MAX($A$10:A294)+1</f>
        <v>286</v>
      </c>
      <c r="B295" s="716"/>
      <c r="C295" s="716"/>
      <c r="D295" s="716"/>
      <c r="E295" s="719">
        <v>396.2</v>
      </c>
      <c r="F295" s="103">
        <f t="shared" si="16"/>
        <v>2463904.4573269999</v>
      </c>
      <c r="G295" s="557">
        <f>'EOP Depn Exp Adj'!D46</f>
        <v>9.6299999999999997E-2</v>
      </c>
      <c r="H295" s="711">
        <f t="shared" si="18"/>
        <v>237273.99924059008</v>
      </c>
      <c r="I295" s="1" t="s">
        <v>2252</v>
      </c>
      <c r="K295" s="103">
        <f t="shared" si="17"/>
        <v>2289180.1058280002</v>
      </c>
      <c r="L295" s="72">
        <f t="shared" si="20"/>
        <v>9.6299999999999997E-2</v>
      </c>
      <c r="M295" s="184">
        <f t="shared" si="19"/>
        <v>220448.0441912364</v>
      </c>
      <c r="N295" s="184"/>
      <c r="O295" s="184"/>
      <c r="P295" s="1" t="s">
        <v>2252</v>
      </c>
      <c r="R295" s="107"/>
      <c r="S295" s="107"/>
      <c r="T295" s="107"/>
      <c r="U295" s="107"/>
      <c r="V295" s="107"/>
      <c r="W295" s="107"/>
      <c r="X295" s="107"/>
      <c r="Y295" s="107"/>
      <c r="Z295" s="107"/>
      <c r="AA295" s="107"/>
      <c r="AB295" s="107"/>
      <c r="AC295" s="107"/>
      <c r="AD295" s="720"/>
      <c r="AE295" s="720"/>
    </row>
    <row r="296" spans="1:35" outlineLevel="1">
      <c r="A296" s="545">
        <f>MAX($A$10:A295)+1</f>
        <v>287</v>
      </c>
      <c r="B296" s="716"/>
      <c r="C296" s="716"/>
      <c r="D296" s="716"/>
      <c r="E296" s="719">
        <v>397.1</v>
      </c>
      <c r="F296" s="103">
        <f t="shared" si="16"/>
        <v>3741.15</v>
      </c>
      <c r="G296" s="557">
        <f>'EOP Depn Exp Adj'!D48</f>
        <v>5.3499999999999999E-2</v>
      </c>
      <c r="H296" s="711">
        <f t="shared" si="18"/>
        <v>200.15152499999999</v>
      </c>
      <c r="I296" s="1"/>
      <c r="K296" s="103">
        <f t="shared" si="17"/>
        <v>0</v>
      </c>
      <c r="L296" s="72">
        <f t="shared" si="20"/>
        <v>5.3499999999999999E-2</v>
      </c>
      <c r="M296" s="184">
        <f t="shared" si="19"/>
        <v>0</v>
      </c>
      <c r="N296" s="184"/>
      <c r="O296" s="184"/>
      <c r="R296" s="107"/>
      <c r="S296" s="107"/>
      <c r="T296" s="107"/>
      <c r="U296" s="107"/>
      <c r="V296" s="107"/>
      <c r="W296" s="107"/>
      <c r="X296" s="107"/>
      <c r="Y296" s="107"/>
      <c r="Z296" s="107"/>
      <c r="AA296" s="107"/>
      <c r="AB296" s="107"/>
      <c r="AC296" s="107"/>
      <c r="AD296" s="720"/>
      <c r="AE296" s="720"/>
    </row>
    <row r="297" spans="1:35" outlineLevel="1">
      <c r="A297" s="545">
        <f>MAX($A$10:A296)+1</f>
        <v>288</v>
      </c>
      <c r="B297" s="716"/>
      <c r="C297" s="716"/>
      <c r="D297" s="716"/>
      <c r="E297" s="719">
        <v>397.2</v>
      </c>
      <c r="F297" s="103">
        <f t="shared" si="16"/>
        <v>1599028.302283</v>
      </c>
      <c r="G297" s="557">
        <f>'EOP Depn Exp Adj'!D50</f>
        <v>5.5300000000000002E-2</v>
      </c>
      <c r="H297" s="711">
        <f t="shared" si="18"/>
        <v>88426.265116249895</v>
      </c>
      <c r="I297" s="1"/>
      <c r="K297" s="103">
        <f t="shared" si="17"/>
        <v>80099.389720000006</v>
      </c>
      <c r="L297" s="72">
        <f t="shared" si="20"/>
        <v>5.5300000000000002E-2</v>
      </c>
      <c r="M297" s="184">
        <f t="shared" si="19"/>
        <v>4429.4962515160005</v>
      </c>
      <c r="N297" s="184"/>
      <c r="O297" s="184"/>
      <c r="R297" s="107"/>
      <c r="S297" s="107"/>
      <c r="T297" s="107"/>
      <c r="U297" s="107"/>
      <c r="V297" s="107"/>
      <c r="W297" s="107"/>
      <c r="X297" s="107"/>
      <c r="Y297" s="107"/>
      <c r="Z297" s="107"/>
      <c r="AA297" s="107"/>
      <c r="AB297" s="107"/>
      <c r="AC297" s="107"/>
      <c r="AD297" s="720"/>
      <c r="AE297" s="720"/>
    </row>
    <row r="298" spans="1:35" outlineLevel="1">
      <c r="A298" s="545">
        <f>MAX($A$10:A297)+1</f>
        <v>289</v>
      </c>
      <c r="B298" s="716"/>
      <c r="C298" s="716"/>
      <c r="D298" s="716"/>
      <c r="E298" s="2">
        <v>397.3</v>
      </c>
      <c r="F298" s="103">
        <f t="shared" si="16"/>
        <v>75322.5</v>
      </c>
      <c r="G298" s="557">
        <f>'EOP Depn Exp Adj'!D51</f>
        <v>0.2162</v>
      </c>
      <c r="H298" s="711">
        <f t="shared" si="18"/>
        <v>16284.7245</v>
      </c>
      <c r="I298" s="1"/>
      <c r="K298" s="103">
        <f t="shared" si="17"/>
        <v>0</v>
      </c>
      <c r="L298" s="72">
        <f t="shared" si="20"/>
        <v>0.2162</v>
      </c>
      <c r="M298" s="184">
        <f t="shared" si="19"/>
        <v>0</v>
      </c>
      <c r="N298" s="184"/>
      <c r="O298" s="184"/>
      <c r="R298" s="107"/>
      <c r="S298" s="107"/>
      <c r="T298" s="107"/>
      <c r="U298" s="107"/>
      <c r="V298" s="107"/>
      <c r="W298" s="107"/>
      <c r="X298" s="107"/>
      <c r="Y298" s="107"/>
      <c r="Z298" s="107"/>
      <c r="AA298" s="107"/>
      <c r="AB298" s="107"/>
      <c r="AC298" s="107"/>
      <c r="AD298" s="720"/>
      <c r="AE298" s="720"/>
    </row>
    <row r="299" spans="1:35" outlineLevel="1">
      <c r="A299" s="545">
        <f>MAX($A$10:A298)+1</f>
        <v>290</v>
      </c>
      <c r="B299" s="716"/>
      <c r="C299" s="716"/>
      <c r="D299" s="716"/>
      <c r="E299" s="2" t="s">
        <v>2253</v>
      </c>
      <c r="F299" s="103">
        <f>F259</f>
        <v>398580.42</v>
      </c>
      <c r="G299" s="557" t="s">
        <v>2251</v>
      </c>
      <c r="H299" s="711">
        <f>F299/58*12</f>
        <v>82464.914482758613</v>
      </c>
      <c r="I299" s="1"/>
      <c r="K299" s="103">
        <f>J259</f>
        <v>0</v>
      </c>
      <c r="L299" s="434" t="s">
        <v>2251</v>
      </c>
      <c r="M299" s="184">
        <v>0</v>
      </c>
      <c r="N299" s="184"/>
      <c r="O299" s="184"/>
      <c r="R299" s="107"/>
      <c r="S299" s="107"/>
      <c r="T299" s="107"/>
      <c r="U299" s="107"/>
      <c r="V299" s="107"/>
      <c r="W299" s="107"/>
      <c r="X299" s="107"/>
      <c r="Y299" s="107"/>
      <c r="Z299" s="107"/>
      <c r="AA299" s="107"/>
      <c r="AB299" s="107"/>
      <c r="AC299" s="107"/>
      <c r="AD299" s="720"/>
      <c r="AE299" s="720"/>
    </row>
    <row r="300" spans="1:35" outlineLevel="1">
      <c r="A300" s="545">
        <f>MAX($A$10:A299)+1</f>
        <v>291</v>
      </c>
      <c r="B300" s="716"/>
      <c r="C300" s="716"/>
      <c r="D300" s="716"/>
      <c r="E300" s="2">
        <v>397.4</v>
      </c>
      <c r="F300" s="103">
        <f>+SUMIF($E$10:$E$259,E300,$G$10:$G$259)-F299</f>
        <v>0</v>
      </c>
      <c r="G300" s="557">
        <f>'EOP Depn Exp Adj'!D49</f>
        <v>6.9900000000000004E-2</v>
      </c>
      <c r="H300" s="711">
        <f>+F300*G300</f>
        <v>0</v>
      </c>
      <c r="I300" s="1"/>
      <c r="K300" s="103">
        <f>+SUMIF($E$10:$E$259,E300,$J$10:$J$259)-K299</f>
        <v>0</v>
      </c>
      <c r="L300" s="72">
        <f>+G300</f>
        <v>6.9900000000000004E-2</v>
      </c>
      <c r="M300" s="184">
        <f>+K300*L300</f>
        <v>0</v>
      </c>
      <c r="N300" s="184"/>
      <c r="O300" s="184"/>
      <c r="R300" s="107"/>
      <c r="S300" s="107"/>
      <c r="T300" s="107"/>
      <c r="U300" s="107"/>
      <c r="V300" s="107"/>
      <c r="W300" s="107"/>
      <c r="X300" s="107"/>
      <c r="Y300" s="107"/>
      <c r="Z300" s="107"/>
      <c r="AA300" s="107"/>
      <c r="AB300" s="107"/>
      <c r="AC300" s="107"/>
      <c r="AD300" s="720"/>
      <c r="AE300" s="720"/>
    </row>
    <row r="301" spans="1:35" outlineLevel="1">
      <c r="A301" s="545">
        <f>MAX($A$10:A300)+1</f>
        <v>292</v>
      </c>
      <c r="B301" s="716"/>
      <c r="C301" s="716"/>
      <c r="D301" s="716"/>
      <c r="E301" s="562">
        <v>398</v>
      </c>
      <c r="F301" s="103">
        <f>+SUMIF($E$10:$E$259,E301,$G$10:$G$259)</f>
        <v>2008.6000000000001</v>
      </c>
      <c r="G301" s="558">
        <f>'EOP Depn Exp Adj'!D52</f>
        <v>4.3499999999999997E-2</v>
      </c>
      <c r="H301" s="711">
        <f>+F301*G301</f>
        <v>87.374099999999999</v>
      </c>
      <c r="I301" s="1"/>
      <c r="K301" s="103">
        <f>+SUMIF($E$10:$E$259,E301,$J$10:$J$259)</f>
        <v>4026.4</v>
      </c>
      <c r="L301" s="741">
        <f>+G301</f>
        <v>4.3499999999999997E-2</v>
      </c>
      <c r="M301" s="184">
        <f>+K301*L301</f>
        <v>175.14839999999998</v>
      </c>
      <c r="N301" s="184"/>
      <c r="O301" s="184"/>
      <c r="R301" s="107"/>
      <c r="S301" s="107"/>
      <c r="T301" s="107"/>
      <c r="U301" s="107"/>
      <c r="V301" s="107"/>
      <c r="W301" s="107"/>
      <c r="X301" s="107"/>
      <c r="Y301" s="107"/>
      <c r="Z301" s="107"/>
      <c r="AA301" s="107"/>
      <c r="AB301" s="107"/>
      <c r="AC301" s="107"/>
      <c r="AD301" s="720"/>
      <c r="AE301" s="720"/>
    </row>
    <row r="302" spans="1:35" outlineLevel="1">
      <c r="A302" s="545">
        <f>MAX($A$10:A301)+1</f>
        <v>293</v>
      </c>
      <c r="B302" s="716"/>
      <c r="C302" s="716"/>
      <c r="D302" s="716"/>
      <c r="E302" s="742" t="s">
        <v>2254</v>
      </c>
      <c r="F302" s="495">
        <f>SUM(F266:F301)</f>
        <v>87087505.425510824</v>
      </c>
      <c r="G302" s="743"/>
      <c r="H302" s="713">
        <f>SUM(H266:H301)</f>
        <v>3315051.511822849</v>
      </c>
      <c r="I302" s="1"/>
      <c r="K302" s="495">
        <f>SUM(K266:K301)</f>
        <v>61775902.582505018</v>
      </c>
      <c r="L302" s="506"/>
      <c r="M302" s="744">
        <f>SUM(M266:M301)</f>
        <v>2637914.1257086657</v>
      </c>
      <c r="N302" s="42"/>
      <c r="O302" s="42"/>
      <c r="AD302" s="105"/>
      <c r="AE302" s="720"/>
      <c r="AG302" s="105"/>
      <c r="AH302" s="105"/>
    </row>
    <row r="303" spans="1:35" outlineLevel="1">
      <c r="B303" s="716"/>
      <c r="C303" s="716"/>
      <c r="D303" s="716"/>
      <c r="E303" s="561"/>
      <c r="F303" s="103"/>
      <c r="G303" s="103"/>
      <c r="H303" s="103"/>
      <c r="I303" s="718"/>
      <c r="J303" s="103"/>
      <c r="K303" s="103"/>
      <c r="L303" s="103"/>
      <c r="M303" s="716"/>
      <c r="N303"/>
      <c r="O303"/>
      <c r="P303"/>
      <c r="Q303"/>
      <c r="AE303" s="105"/>
      <c r="AF303" s="105"/>
      <c r="AI303" s="105"/>
    </row>
    <row r="304" spans="1:35" outlineLevel="1">
      <c r="B304" s="716"/>
      <c r="C304" s="716"/>
      <c r="D304" s="716"/>
      <c r="E304" s="561"/>
      <c r="F304" s="103"/>
      <c r="G304" s="103"/>
      <c r="H304" s="103"/>
      <c r="I304" s="718"/>
      <c r="J304" s="103"/>
      <c r="K304" s="103"/>
      <c r="L304" s="103"/>
      <c r="M304" s="716"/>
      <c r="N304"/>
      <c r="O304"/>
      <c r="P304"/>
      <c r="Q304"/>
    </row>
    <row r="306" spans="2:17">
      <c r="B306" s="5"/>
      <c r="N306"/>
      <c r="O306"/>
      <c r="P306"/>
      <c r="Q306"/>
    </row>
    <row r="318" spans="2:17">
      <c r="E318"/>
      <c r="N318"/>
      <c r="O318"/>
      <c r="P318"/>
      <c r="Q318"/>
    </row>
    <row r="319" spans="2:17">
      <c r="E319"/>
      <c r="N319"/>
      <c r="O319"/>
      <c r="P319"/>
      <c r="Q319"/>
    </row>
    <row r="320" spans="2:17">
      <c r="E320"/>
      <c r="N320"/>
      <c r="O320"/>
      <c r="P320"/>
      <c r="Q320"/>
    </row>
    <row r="321" spans="5:17">
      <c r="E321"/>
      <c r="N321"/>
      <c r="O321"/>
      <c r="P321"/>
      <c r="Q321"/>
    </row>
    <row r="322" spans="5:17">
      <c r="E322"/>
      <c r="N322"/>
      <c r="O322"/>
      <c r="P322"/>
      <c r="Q322"/>
    </row>
    <row r="323" spans="5:17">
      <c r="E323"/>
      <c r="N323"/>
      <c r="O323"/>
      <c r="P323"/>
      <c r="Q323"/>
    </row>
    <row r="324" spans="5:17">
      <c r="E324"/>
      <c r="N324"/>
      <c r="O324"/>
      <c r="P324"/>
      <c r="Q324"/>
    </row>
    <row r="325" spans="5:17">
      <c r="E325"/>
      <c r="N325"/>
      <c r="O325"/>
      <c r="P325"/>
      <c r="Q325"/>
    </row>
    <row r="326" spans="5:17">
      <c r="E326"/>
      <c r="N326"/>
      <c r="O326"/>
      <c r="P326"/>
      <c r="Q326"/>
    </row>
    <row r="327" spans="5:17">
      <c r="E327"/>
      <c r="N327"/>
      <c r="O327"/>
      <c r="P327"/>
      <c r="Q327"/>
    </row>
    <row r="328" spans="5:17">
      <c r="E328"/>
      <c r="N328"/>
      <c r="O328"/>
      <c r="P328"/>
      <c r="Q328"/>
    </row>
    <row r="329" spans="5:17">
      <c r="E329"/>
      <c r="N329"/>
      <c r="O329"/>
      <c r="P329"/>
      <c r="Q329"/>
    </row>
    <row r="330" spans="5:17">
      <c r="E330"/>
      <c r="N330"/>
      <c r="O330"/>
      <c r="P330"/>
      <c r="Q330"/>
    </row>
    <row r="331" spans="5:17">
      <c r="E331"/>
      <c r="N331"/>
      <c r="O331"/>
      <c r="P331"/>
      <c r="Q331"/>
    </row>
    <row r="332" spans="5:17">
      <c r="E332"/>
      <c r="N332"/>
      <c r="O332"/>
      <c r="P332"/>
      <c r="Q332"/>
    </row>
    <row r="333" spans="5:17">
      <c r="E333"/>
      <c r="N333"/>
      <c r="O333"/>
      <c r="P333"/>
      <c r="Q333"/>
    </row>
    <row r="334" spans="5:17">
      <c r="E334"/>
      <c r="N334"/>
      <c r="O334"/>
      <c r="P334"/>
      <c r="Q334"/>
    </row>
    <row r="335" spans="5:17">
      <c r="E335"/>
      <c r="N335"/>
      <c r="O335"/>
      <c r="P335"/>
      <c r="Q335"/>
    </row>
    <row r="336" spans="5:17">
      <c r="E336"/>
      <c r="N336"/>
      <c r="O336"/>
      <c r="P336"/>
      <c r="Q336"/>
    </row>
    <row r="337" spans="5:17">
      <c r="E337"/>
      <c r="N337"/>
      <c r="O337"/>
      <c r="P337"/>
      <c r="Q337"/>
    </row>
    <row r="338" spans="5:17">
      <c r="E338"/>
      <c r="N338"/>
      <c r="O338"/>
      <c r="P338"/>
      <c r="Q338"/>
    </row>
    <row r="339" spans="5:17">
      <c r="E339"/>
      <c r="N339"/>
      <c r="O339"/>
      <c r="P339"/>
      <c r="Q339"/>
    </row>
    <row r="340" spans="5:17">
      <c r="E340"/>
      <c r="N340"/>
      <c r="O340"/>
      <c r="P340"/>
      <c r="Q340"/>
    </row>
    <row r="341" spans="5:17">
      <c r="E341"/>
      <c r="N341"/>
      <c r="O341"/>
      <c r="P341"/>
      <c r="Q341"/>
    </row>
    <row r="342" spans="5:17">
      <c r="E342"/>
      <c r="N342"/>
      <c r="O342"/>
      <c r="P342"/>
      <c r="Q342"/>
    </row>
    <row r="343" spans="5:17">
      <c r="E343"/>
      <c r="N343"/>
      <c r="O343"/>
      <c r="P343"/>
      <c r="Q343"/>
    </row>
    <row r="344" spans="5:17">
      <c r="E344"/>
      <c r="N344"/>
      <c r="O344"/>
      <c r="P344"/>
      <c r="Q344"/>
    </row>
    <row r="345" spans="5:17">
      <c r="E345"/>
      <c r="N345"/>
      <c r="O345"/>
      <c r="P345"/>
      <c r="Q345"/>
    </row>
    <row r="346" spans="5:17">
      <c r="E346"/>
      <c r="N346"/>
      <c r="O346"/>
      <c r="P346"/>
      <c r="Q346"/>
    </row>
    <row r="347" spans="5:17">
      <c r="E347"/>
      <c r="N347"/>
      <c r="O347"/>
      <c r="P347"/>
      <c r="Q347"/>
    </row>
    <row r="348" spans="5:17">
      <c r="E348"/>
      <c r="N348"/>
      <c r="O348"/>
      <c r="P348"/>
      <c r="Q348"/>
    </row>
    <row r="349" spans="5:17">
      <c r="E349"/>
      <c r="N349"/>
      <c r="O349"/>
      <c r="P349"/>
      <c r="Q349"/>
    </row>
    <row r="350" spans="5:17">
      <c r="E350"/>
      <c r="N350"/>
      <c r="O350"/>
      <c r="P350"/>
      <c r="Q350"/>
    </row>
    <row r="351" spans="5:17">
      <c r="E351"/>
      <c r="N351"/>
      <c r="O351"/>
      <c r="P351"/>
      <c r="Q351"/>
    </row>
    <row r="352" spans="5:17">
      <c r="E352"/>
      <c r="N352"/>
      <c r="O352"/>
      <c r="P352"/>
      <c r="Q352"/>
    </row>
    <row r="353" spans="5:17">
      <c r="E353"/>
      <c r="N353"/>
      <c r="O353"/>
      <c r="P353"/>
      <c r="Q353"/>
    </row>
    <row r="354" spans="5:17">
      <c r="E354"/>
      <c r="N354"/>
      <c r="O354"/>
      <c r="P354"/>
      <c r="Q354"/>
    </row>
    <row r="355" spans="5:17">
      <c r="E355"/>
      <c r="N355"/>
      <c r="O355"/>
      <c r="P355"/>
      <c r="Q355"/>
    </row>
    <row r="356" spans="5:17">
      <c r="E356"/>
      <c r="N356"/>
      <c r="O356"/>
      <c r="P356"/>
      <c r="Q356"/>
    </row>
    <row r="357" spans="5:17">
      <c r="E357"/>
      <c r="N357"/>
      <c r="O357"/>
      <c r="P357"/>
      <c r="Q357"/>
    </row>
    <row r="358" spans="5:17">
      <c r="E358"/>
      <c r="N358"/>
      <c r="O358"/>
      <c r="P358"/>
      <c r="Q358"/>
    </row>
    <row r="359" spans="5:17">
      <c r="E359"/>
      <c r="N359"/>
      <c r="O359"/>
      <c r="P359"/>
      <c r="Q359"/>
    </row>
    <row r="360" spans="5:17">
      <c r="E360"/>
      <c r="N360"/>
      <c r="O360"/>
      <c r="P360"/>
      <c r="Q360"/>
    </row>
    <row r="361" spans="5:17">
      <c r="E361"/>
      <c r="N361"/>
      <c r="O361"/>
      <c r="P361"/>
      <c r="Q361"/>
    </row>
    <row r="362" spans="5:17">
      <c r="E362"/>
      <c r="N362"/>
      <c r="O362"/>
      <c r="P362"/>
      <c r="Q362"/>
    </row>
    <row r="363" spans="5:17">
      <c r="E363"/>
      <c r="N363"/>
      <c r="O363"/>
      <c r="P363"/>
      <c r="Q363"/>
    </row>
    <row r="364" spans="5:17">
      <c r="E364"/>
      <c r="N364"/>
      <c r="O364"/>
      <c r="P364"/>
      <c r="Q364"/>
    </row>
    <row r="365" spans="5:17">
      <c r="E365"/>
      <c r="N365"/>
      <c r="O365"/>
      <c r="P365"/>
      <c r="Q365"/>
    </row>
    <row r="366" spans="5:17">
      <c r="E366"/>
      <c r="N366"/>
      <c r="O366"/>
      <c r="P366"/>
      <c r="Q366"/>
    </row>
    <row r="367" spans="5:17">
      <c r="E367"/>
      <c r="N367"/>
      <c r="O367"/>
      <c r="P367"/>
      <c r="Q367"/>
    </row>
    <row r="368" spans="5:17">
      <c r="E368"/>
      <c r="N368"/>
      <c r="O368"/>
      <c r="P368"/>
      <c r="Q368"/>
    </row>
    <row r="1048576" spans="14:17">
      <c r="N1048576"/>
      <c r="O1048576"/>
      <c r="P1048576"/>
      <c r="Q1048576"/>
    </row>
  </sheetData>
  <mergeCells count="6">
    <mergeCell ref="A6:L6"/>
    <mergeCell ref="A1:L1"/>
    <mergeCell ref="A2:L2"/>
    <mergeCell ref="A3:L3"/>
    <mergeCell ref="A4:L4"/>
    <mergeCell ref="A5:L5"/>
  </mergeCells>
  <dataValidations count="2">
    <dataValidation type="list" allowBlank="1" showInputMessage="1" showErrorMessage="1" sqref="AL11:AL12 AL18:AL21 AL33" xr:uid="{8945A1F3-63ED-455E-B07F-6A8A2FC1AF0A}">
      <formula1>$AI$8:$AJ$8</formula1>
    </dataValidation>
    <dataValidation type="list" allowBlank="1" showInputMessage="1" showErrorMessage="1" sqref="AF9:AF10" xr:uid="{4ED544CC-E945-4C3E-A30B-23F76E311229}">
      <formula1>"Yes, No"</formula1>
    </dataValidation>
  </dataValidations>
  <pageMargins left="0.7" right="0.7" top="0.75" bottom="0.75" header="0.3" footer="0.3"/>
  <pageSetup scale="47" fitToHeight="0" orientation="landscape" useFirstPageNumber="1" r:id="rId1"/>
  <headerFooter scaleWithDoc="0" alignWithMargins="0">
    <oddHeader>&amp;RPage &amp;P of &amp;N</oddHeader>
    <oddFooter>&amp;LElectronic Tab Name: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08FA8-7DB5-4D24-AD64-1230CE5F34BC}">
  <sheetPr codeName="Sheet47"/>
  <dimension ref="A1:AE158"/>
  <sheetViews>
    <sheetView view="pageBreakPreview" zoomScale="60" zoomScaleNormal="100" workbookViewId="0">
      <selection sqref="A1:C1"/>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8" width="16.140625" style="53" customWidth="1"/>
    <col min="9" max="10" width="12" style="53" bestFit="1" customWidth="1"/>
    <col min="11" max="12" width="14.85546875" style="53" customWidth="1"/>
    <col min="13" max="13" width="12" style="53" bestFit="1" customWidth="1"/>
    <col min="14" max="14" width="8" style="53" bestFit="1" customWidth="1"/>
    <col min="15" max="16" width="9" style="53" bestFit="1" customWidth="1"/>
    <col min="17" max="18" width="10" style="53" bestFit="1" customWidth="1"/>
    <col min="19" max="19" width="8.5703125" bestFit="1" customWidth="1"/>
    <col min="20" max="23" width="9" style="53" bestFit="1" customWidth="1"/>
    <col min="24"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c r="F10" s="53" t="s">
        <v>4141</v>
      </c>
      <c r="J10" s="53" t="s">
        <v>4141</v>
      </c>
    </row>
    <row r="11" spans="1:31" outlineLevel="1">
      <c r="A11" s="124">
        <f>MAX($A$10:A10)+1</f>
        <v>2</v>
      </c>
      <c r="B11" s="53" t="s">
        <v>1701</v>
      </c>
      <c r="C11" s="745">
        <f>+'24-25 Plant Additions (RNG)'!G262</f>
        <v>131930279.35551073</v>
      </c>
      <c r="D11" s="449"/>
      <c r="G11" s="53" t="s">
        <v>4179</v>
      </c>
      <c r="H11" s="53" t="s">
        <v>4180</v>
      </c>
      <c r="K11" s="53" t="s">
        <v>4179</v>
      </c>
      <c r="L11" s="53" t="s">
        <v>4180</v>
      </c>
    </row>
    <row r="12" spans="1:31" outlineLevel="1">
      <c r="A12" s="124">
        <f>MAX($A$10:A11)+1</f>
        <v>3</v>
      </c>
      <c r="B12" s="424" t="s">
        <v>1702</v>
      </c>
      <c r="C12" s="746">
        <f>ROUND(C11*-2.9%,0)</f>
        <v>-3825978</v>
      </c>
      <c r="D12" s="254"/>
      <c r="F12" s="53" t="s">
        <v>4181</v>
      </c>
      <c r="G12" s="135">
        <f>+C13</f>
        <v>128104301.35551073</v>
      </c>
      <c r="H12" s="135">
        <f>+C43</f>
        <v>86338897.200505003</v>
      </c>
      <c r="J12" s="53" t="s">
        <v>4181</v>
      </c>
      <c r="K12" s="135">
        <v>136127827.58551073</v>
      </c>
      <c r="L12" s="135">
        <v>104148133.47050501</v>
      </c>
    </row>
    <row r="13" spans="1:31" outlineLevel="1">
      <c r="A13" s="124">
        <f>MAX($A$10:A12)+1</f>
        <v>4</v>
      </c>
      <c r="B13" s="424" t="s">
        <v>1703</v>
      </c>
      <c r="C13" s="745">
        <f>SUM(C11:C12)</f>
        <v>128104301.35551073</v>
      </c>
      <c r="F13" s="53" t="s">
        <v>1515</v>
      </c>
      <c r="G13" s="135">
        <f>+C18</f>
        <v>-31813400.211167395</v>
      </c>
      <c r="H13" s="135">
        <f>+C48</f>
        <v>-34146453.624279551</v>
      </c>
      <c r="J13" s="53" t="s">
        <v>1515</v>
      </c>
      <c r="K13" s="135">
        <v>-31646070.765377395</v>
      </c>
      <c r="L13" s="135">
        <v>-34196119.939198054</v>
      </c>
    </row>
    <row r="14" spans="1:31" outlineLevel="1">
      <c r="A14" s="124">
        <f>MAX($A$10:A13)+1</f>
        <v>5</v>
      </c>
      <c r="B14" s="424"/>
      <c r="C14" s="447"/>
      <c r="F14" t="s">
        <v>4182</v>
      </c>
      <c r="G14" s="135">
        <f>+C20</f>
        <v>68761.561904037371</v>
      </c>
      <c r="H14" s="135">
        <f>+C50</f>
        <v>-1767078.8683187142</v>
      </c>
      <c r="J14" t="s">
        <v>4182</v>
      </c>
      <c r="K14" s="135">
        <v>68761.561904037371</v>
      </c>
      <c r="L14" s="135">
        <v>-1767078.8683187142</v>
      </c>
    </row>
    <row r="15" spans="1:31" outlineLevel="1">
      <c r="A15" s="124">
        <f>MAX($A$10:A14)+1</f>
        <v>6</v>
      </c>
      <c r="B15" s="424" t="s">
        <v>1704</v>
      </c>
      <c r="C15" s="177">
        <f>-((C31/2)+'EOP Depn Exp Adj'!E55)</f>
        <v>-34108817.461167395</v>
      </c>
      <c r="F15" t="s">
        <v>568</v>
      </c>
      <c r="G15" s="135">
        <f>+SUM(G12:G14)</f>
        <v>96359662.706247374</v>
      </c>
      <c r="H15" s="135">
        <f>+SUM(H12:H14)</f>
        <v>50425364.707906738</v>
      </c>
      <c r="J15" t="s">
        <v>568</v>
      </c>
      <c r="K15" s="135">
        <v>104550518.38203737</v>
      </c>
      <c r="L15" s="135">
        <v>68184934.662988245</v>
      </c>
    </row>
    <row r="16" spans="1:31" outlineLevel="1">
      <c r="A16" s="124">
        <f>MAX($A$10:A15)+1</f>
        <v>7</v>
      </c>
      <c r="B16" s="424" t="s">
        <v>1702</v>
      </c>
      <c r="C16" s="747">
        <f>-C12</f>
        <v>3825978</v>
      </c>
    </row>
    <row r="17" spans="1:12" outlineLevel="1">
      <c r="A17" s="124">
        <f>MAX($A$10:A16)+1</f>
        <v>8</v>
      </c>
      <c r="B17" s="424" t="s">
        <v>1705</v>
      </c>
      <c r="C17" s="749">
        <f>'24-25 Cost of Removal'!F101</f>
        <v>-1530560.75</v>
      </c>
      <c r="F17" s="53" t="s">
        <v>4183</v>
      </c>
      <c r="G17" s="135">
        <f>+C31+C34</f>
        <v>3957819.9340527821</v>
      </c>
      <c r="H17" s="135">
        <f>+C61+C64</f>
        <v>2975589.2621715344</v>
      </c>
      <c r="J17" t="s">
        <v>4143</v>
      </c>
      <c r="K17" s="135">
        <v>4121894.0324727818</v>
      </c>
      <c r="L17" s="135">
        <v>3892709.5751685351</v>
      </c>
    </row>
    <row r="18" spans="1:12" outlineLevel="1">
      <c r="A18" s="124">
        <f>MAX($A$10:A17)+1</f>
        <v>9</v>
      </c>
      <c r="B18" s="424" t="s">
        <v>1706</v>
      </c>
      <c r="C18" s="747">
        <f>SUM(C15:C17)</f>
        <v>-31813400.211167395</v>
      </c>
    </row>
    <row r="19" spans="1:12" outlineLevel="1">
      <c r="A19" s="124">
        <f>MAX($A$10:A18)+1</f>
        <v>10</v>
      </c>
      <c r="B19" s="424"/>
      <c r="C19" s="447"/>
      <c r="D19" s="216"/>
    </row>
    <row r="20" spans="1:12" outlineLevel="1">
      <c r="A20" s="124">
        <f>MAX($A$10:A19)+1</f>
        <v>11</v>
      </c>
      <c r="B20" s="424" t="s">
        <v>1707</v>
      </c>
      <c r="C20" s="177">
        <f>'24-25 ADIT'!D16</f>
        <v>68761.561904037371</v>
      </c>
    </row>
    <row r="21" spans="1:12" outlineLevel="1">
      <c r="A21" s="124">
        <f>MAX($A$10:A20)+1</f>
        <v>12</v>
      </c>
      <c r="B21" s="60"/>
      <c r="C21" s="60"/>
      <c r="F21" s="53" t="s">
        <v>4142</v>
      </c>
      <c r="G21" s="53" t="s">
        <v>4179</v>
      </c>
      <c r="H21" s="53" t="s">
        <v>4180</v>
      </c>
    </row>
    <row r="22" spans="1:12" outlineLevel="1">
      <c r="A22" s="124">
        <f>MAX($A$10:A21)+1</f>
        <v>13</v>
      </c>
      <c r="B22" s="1403" t="s">
        <v>1708</v>
      </c>
      <c r="C22" s="1403"/>
      <c r="D22"/>
    </row>
    <row r="23" spans="1:12" outlineLevel="1">
      <c r="A23" s="124">
        <f>MAX($A$10:A22)+1</f>
        <v>14</v>
      </c>
      <c r="B23" s="53" t="s">
        <v>1709</v>
      </c>
      <c r="C23" s="565">
        <f>SUM(C110:N110,C115:N115,C122:N122)</f>
        <v>1571477.0432382778</v>
      </c>
      <c r="F23" s="53" t="s">
        <v>568</v>
      </c>
      <c r="G23" s="135">
        <f>+G15-K15</f>
        <v>-8190855.675789997</v>
      </c>
      <c r="H23" s="135">
        <f>+H15-L15</f>
        <v>-17759569.955081508</v>
      </c>
    </row>
    <row r="24" spans="1:12" outlineLevel="1">
      <c r="A24" s="124">
        <f>MAX($A$10:A23)+1</f>
        <v>15</v>
      </c>
      <c r="F24" s="53" t="s">
        <v>4183</v>
      </c>
      <c r="G24" s="135">
        <f>+G17-K17</f>
        <v>-164074.0984199997</v>
      </c>
      <c r="H24" s="135">
        <f>+H17-L17</f>
        <v>-917120.31299700076</v>
      </c>
    </row>
    <row r="25" spans="1:12" outlineLevel="1">
      <c r="A25" s="124">
        <f>MAX($A$10:A24)+1</f>
        <v>16</v>
      </c>
      <c r="B25" s="424" t="s">
        <v>1710</v>
      </c>
      <c r="C25" s="177">
        <f>'Operating Report'!AG54</f>
        <v>66819.203878491579</v>
      </c>
      <c r="D25" s="121"/>
    </row>
    <row r="26" spans="1:12" outlineLevel="1">
      <c r="A26" s="124">
        <f>MAX($A$10:A25)+1</f>
        <v>17</v>
      </c>
      <c r="B26" s="424"/>
      <c r="C26" s="177"/>
    </row>
    <row r="27" spans="1:12" outlineLevel="1">
      <c r="A27" s="124">
        <f>MAX($A$10:A26)+1</f>
        <v>18</v>
      </c>
      <c r="B27" s="53" t="s">
        <v>1711</v>
      </c>
      <c r="C27" s="135">
        <f>'Operating Report'!AG94</f>
        <v>10558.529677620663</v>
      </c>
    </row>
    <row r="28" spans="1:12" outlineLevel="1">
      <c r="A28" s="124">
        <f>MAX($A$10:A27)+1</f>
        <v>19</v>
      </c>
    </row>
    <row r="29" spans="1:12" outlineLevel="1">
      <c r="A29" s="124">
        <f>MAX($A$10:A28)+1</f>
        <v>20</v>
      </c>
      <c r="B29" s="53" t="s">
        <v>1712</v>
      </c>
      <c r="C29" s="177">
        <f>+'24-25 Plant Additions (RNG)'!H302-'24-25 Plant Additions (RNG)'!H289-'24-25 Plant Additions (RNG)'!H295-'24-25 Plant Additions (RNG)'!H288-'24-25 Plant Additions (RNG)'!H294</f>
        <v>3764051.2540527824</v>
      </c>
    </row>
    <row r="30" spans="1:12" outlineLevel="1">
      <c r="A30" s="124">
        <f>MAX($A$10:A29)+1</f>
        <v>21</v>
      </c>
      <c r="B30" s="53" t="s">
        <v>1713</v>
      </c>
      <c r="C30" s="214">
        <f>ROUND(C12*0.0306,2)</f>
        <v>-117074.93</v>
      </c>
      <c r="E30" s="121"/>
    </row>
    <row r="31" spans="1:12" outlineLevel="1">
      <c r="A31" s="124">
        <f>MAX($A$10:A30)+1</f>
        <v>22</v>
      </c>
      <c r="B31" s="53" t="s">
        <v>1714</v>
      </c>
      <c r="C31" s="177">
        <f>C29+C30</f>
        <v>3646976.3240527823</v>
      </c>
      <c r="E31" s="121"/>
    </row>
    <row r="32" spans="1:12"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310843.61</v>
      </c>
      <c r="E34" s="121"/>
      <c r="F34" s="112"/>
    </row>
    <row r="35" spans="1:7" outlineLevel="1">
      <c r="A35" s="124">
        <f>MAX($A$10:A34)+1</f>
        <v>26</v>
      </c>
      <c r="C35" s="177"/>
    </row>
    <row r="36" spans="1:7" outlineLevel="1">
      <c r="A36" s="124">
        <f>MAX($A$10:A35)+1</f>
        <v>27</v>
      </c>
      <c r="B36" t="s">
        <v>1716</v>
      </c>
      <c r="C36" s="177">
        <f>-'24-25 Plant Additions (RNG)'!L10-'24-25 Plant Additions (RNG)'!L11-'24-25 Plant Additions (RNG)'!L25-'24-25 Plant Additions (RNG)'!L240</f>
        <v>-292500</v>
      </c>
      <c r="D36" s="53" t="s">
        <v>1717</v>
      </c>
      <c r="E36" s="121">
        <f>C36-E37</f>
        <v>-280000</v>
      </c>
      <c r="F36" s="121"/>
    </row>
    <row r="37" spans="1:7" outlineLevel="1">
      <c r="A37" s="124">
        <f>MAX($A$10:A36)+1</f>
        <v>28</v>
      </c>
      <c r="C37" s="177"/>
      <c r="D37" s="53" t="s">
        <v>1718</v>
      </c>
      <c r="E37" s="121">
        <f>-'24-25 Plant Additions (RNG)'!L11</f>
        <v>-12500</v>
      </c>
      <c r="G37" s="121"/>
    </row>
    <row r="38" spans="1:7" outlineLevel="1">
      <c r="A38" s="124">
        <f>MAX($A$10:A37)+1</f>
        <v>29</v>
      </c>
      <c r="B38" s="53" t="s">
        <v>1719</v>
      </c>
      <c r="C38" s="565">
        <f>((C23-SUM(C25,C27,C34,C31,C36))*'Exh JAD-6, Conversion Factor'!$C$33)</f>
        <v>-455956.33111782954</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 (RNG)'!J262</f>
        <v>88917505.200505003</v>
      </c>
    </row>
    <row r="42" spans="1:7">
      <c r="A42" s="124">
        <f>MAX($A$10:A41)+1</f>
        <v>33</v>
      </c>
      <c r="B42" s="424" t="s">
        <v>1702</v>
      </c>
      <c r="C42" s="746">
        <f>ROUND(C41*-2.9%,0)</f>
        <v>-2578608</v>
      </c>
      <c r="D42" s="254"/>
    </row>
    <row r="43" spans="1:7">
      <c r="A43" s="124">
        <f>MAX($A$10:A42)+1</f>
        <v>34</v>
      </c>
      <c r="B43" s="424" t="s">
        <v>1703</v>
      </c>
      <c r="C43" s="745">
        <f>SUM(C41:C42)</f>
        <v>86338897.200505003</v>
      </c>
    </row>
    <row r="44" spans="1:7">
      <c r="A44" s="124">
        <f>MAX($A$10:A43)+1</f>
        <v>35</v>
      </c>
      <c r="B44" s="424"/>
    </row>
    <row r="45" spans="1:7">
      <c r="A45" s="124">
        <f>MAX($A$10:A44)+1</f>
        <v>36</v>
      </c>
      <c r="B45" s="424" t="s">
        <v>1704</v>
      </c>
      <c r="C45" s="177">
        <f>-((C61/2)+'EOP Depn Exp Adj'!E55+C31)</f>
        <v>-37315350.084279552</v>
      </c>
    </row>
    <row r="46" spans="1:7">
      <c r="A46" s="124">
        <f>MAX($A$10:A45)+1</f>
        <v>37</v>
      </c>
      <c r="B46" s="424" t="s">
        <v>1702</v>
      </c>
      <c r="C46" s="135">
        <f>-C42</f>
        <v>2578608</v>
      </c>
    </row>
    <row r="47" spans="1:7">
      <c r="A47" s="124">
        <f>MAX($A$10:A46)+1</f>
        <v>38</v>
      </c>
      <c r="B47" s="424" t="s">
        <v>1705</v>
      </c>
      <c r="C47" s="256">
        <f>'24-25 Cost of Removal'!H101</f>
        <v>590288.46</v>
      </c>
    </row>
    <row r="48" spans="1:7">
      <c r="A48" s="124">
        <f>MAX($A$10:A47)+1</f>
        <v>39</v>
      </c>
      <c r="B48" s="424" t="s">
        <v>1706</v>
      </c>
      <c r="C48" s="747">
        <f>SUM(C45:C47)</f>
        <v>-34146453.624279551</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 (RNG)'!M302-'24-25 Plant Additions (RNG)'!M289-'24-25 Plant Additions (RNG)'!M295-'24-25 Plant Additions (RNG)'!M288-'24-25 Plant Additions (RNG)'!M294</f>
        <v>2844994.3221715344</v>
      </c>
    </row>
    <row r="60" spans="1:6">
      <c r="A60" s="124">
        <f>MAX($A$10:A59)+1</f>
        <v>51</v>
      </c>
      <c r="B60" s="53" t="s">
        <v>1713</v>
      </c>
      <c r="C60" s="214">
        <f>ROUND(C42*0.0306,2)</f>
        <v>-78905.399999999994</v>
      </c>
    </row>
    <row r="61" spans="1:6">
      <c r="A61" s="124">
        <f>MAX($A$10:A60)+1</f>
        <v>52</v>
      </c>
      <c r="B61" s="53" t="s">
        <v>1714</v>
      </c>
      <c r="C61" s="177">
        <f>C59+C60</f>
        <v>2766088.9221715345</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209500.34</v>
      </c>
      <c r="D64"/>
    </row>
    <row r="65" spans="1:26">
      <c r="A65" s="124">
        <f>MAX($A$10:A64)+1</f>
        <v>56</v>
      </c>
      <c r="C65" s="177"/>
    </row>
    <row r="66" spans="1:26">
      <c r="A66" s="124">
        <f>MAX($A$10:A65)+1</f>
        <v>57</v>
      </c>
      <c r="B66" t="s">
        <v>1716</v>
      </c>
      <c r="C66" s="177">
        <f>-'24-25 Plant Additions (RNG)'!L12-'24-25 Plant Additions (RNG)'!L21-'24-25 Plant Additions (RNG)'!L242</f>
        <v>-455000</v>
      </c>
      <c r="D66" s="53" t="s">
        <v>1717</v>
      </c>
      <c r="E66" s="121">
        <f>C66-E67</f>
        <v>-280000</v>
      </c>
    </row>
    <row r="67" spans="1:26">
      <c r="A67" s="124">
        <f>MAX($A$10:A66)+1</f>
        <v>58</v>
      </c>
      <c r="D67" s="53" t="s">
        <v>1718</v>
      </c>
      <c r="E67" s="121">
        <f>-'24-25 Plant Additions (RNG)'!L21</f>
        <v>-175000</v>
      </c>
      <c r="G67" s="121"/>
    </row>
    <row r="68" spans="1:26">
      <c r="A68" s="124">
        <f>MAX($A$10:A67)+1</f>
        <v>59</v>
      </c>
      <c r="B68" s="53" t="s">
        <v>1719</v>
      </c>
      <c r="C68" s="565">
        <f>((C53-SUM(C55,C57,C64,C61,C66))*'Exh JAD-6, Conversion Factor'!$C$33)</f>
        <v>-120604.49820362752</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Z91"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si="6"/>
        <v>385491.19998866279</v>
      </c>
      <c r="P90" s="227">
        <f t="shared" si="6"/>
        <v>302531.08998857351</v>
      </c>
      <c r="Q90" s="227">
        <f t="shared" si="6"/>
        <v>258359.36310493672</v>
      </c>
      <c r="R90" s="227">
        <f t="shared" si="6"/>
        <v>166989.45714193527</v>
      </c>
      <c r="S90" s="227">
        <f t="shared" si="6"/>
        <v>105889.04837542165</v>
      </c>
      <c r="T90" s="227">
        <f t="shared" si="6"/>
        <v>55094.697291316523</v>
      </c>
      <c r="U90" s="227">
        <f t="shared" si="6"/>
        <v>56920.540896655511</v>
      </c>
      <c r="V90" s="227">
        <f t="shared" si="6"/>
        <v>29875.01268982593</v>
      </c>
      <c r="W90" s="227">
        <f t="shared" si="6"/>
        <v>65064.277468612738</v>
      </c>
      <c r="X90" s="227">
        <f t="shared" si="6"/>
        <v>158403.32068045993</v>
      </c>
      <c r="Y90" s="227">
        <f t="shared" si="6"/>
        <v>297252.83165960899</v>
      </c>
      <c r="Z90" s="227">
        <f t="shared" si="6"/>
        <v>383972.72520805482</v>
      </c>
    </row>
    <row r="91" spans="1:26">
      <c r="A91" s="124">
        <f>MAX($A$10:A90)+1</f>
        <v>82</v>
      </c>
      <c r="B91" s="53" t="s">
        <v>87</v>
      </c>
      <c r="C91" s="227">
        <f t="shared" si="6"/>
        <v>239442.76957331412</v>
      </c>
      <c r="D91" s="227">
        <f t="shared" si="6"/>
        <v>190330.92276753276</v>
      </c>
      <c r="E91" s="227">
        <f t="shared" si="6"/>
        <v>155444.97708893236</v>
      </c>
      <c r="F91" s="227">
        <f t="shared" si="6"/>
        <v>99850.831062116151</v>
      </c>
      <c r="G91" s="227">
        <f t="shared" si="6"/>
        <v>69528.979308284062</v>
      </c>
      <c r="H91" s="227">
        <f t="shared" si="6"/>
        <v>44348.077901978504</v>
      </c>
      <c r="I91" s="227">
        <f t="shared" si="6"/>
        <v>45824.736200325831</v>
      </c>
      <c r="J91" s="227">
        <f t="shared" si="6"/>
        <v>45825.385737094039</v>
      </c>
      <c r="K91" s="227">
        <f t="shared" si="6"/>
        <v>64398.460924924628</v>
      </c>
      <c r="L91" s="227">
        <f t="shared" si="6"/>
        <v>117469.42760722029</v>
      </c>
      <c r="M91" s="227">
        <f t="shared" si="6"/>
        <v>174087.01507093274</v>
      </c>
      <c r="N91" s="227">
        <f t="shared" si="6"/>
        <v>235919.03655076443</v>
      </c>
      <c r="O91" s="227">
        <f t="shared" si="6"/>
        <v>235147.83200249233</v>
      </c>
      <c r="P91" s="227">
        <f t="shared" si="6"/>
        <v>186916.91518425863</v>
      </c>
      <c r="Q91" s="227">
        <f t="shared" si="6"/>
        <v>152656.72637881699</v>
      </c>
      <c r="R91" s="227">
        <f t="shared" si="6"/>
        <v>98059.784765037839</v>
      </c>
      <c r="S91" s="227">
        <f t="shared" si="6"/>
        <v>68281.822728763262</v>
      </c>
      <c r="T91" s="227">
        <f t="shared" si="6"/>
        <v>43552.596684005795</v>
      </c>
      <c r="U91" s="227">
        <f t="shared" si="6"/>
        <v>45002.767837988147</v>
      </c>
      <c r="V91" s="227">
        <f t="shared" si="6"/>
        <v>45003.405723872624</v>
      </c>
      <c r="W91" s="227">
        <f t="shared" si="6"/>
        <v>63243.331580979793</v>
      </c>
      <c r="X91" s="227">
        <f t="shared" si="6"/>
        <v>115362.35267256162</v>
      </c>
      <c r="Y91" s="227">
        <f t="shared" si="6"/>
        <v>170964.37802930168</v>
      </c>
      <c r="Z91" s="227">
        <f t="shared" si="6"/>
        <v>231687.30495344131</v>
      </c>
    </row>
    <row r="92" spans="1:26">
      <c r="A92" s="124">
        <f>MAX($A$10:A91)+1</f>
        <v>83</v>
      </c>
      <c r="B92" s="53" t="s">
        <v>1729</v>
      </c>
      <c r="C92" s="227">
        <f t="shared" ref="C92:Z94" si="7">C$80*C85</f>
        <v>2968.4233870967741</v>
      </c>
      <c r="D92" s="227">
        <f t="shared" si="7"/>
        <v>2768.4435483870966</v>
      </c>
      <c r="E92" s="227">
        <f t="shared" si="7"/>
        <v>2899.541414141414</v>
      </c>
      <c r="F92" s="227">
        <f t="shared" si="7"/>
        <v>2674.0570264765784</v>
      </c>
      <c r="G92" s="227">
        <f t="shared" si="7"/>
        <v>2264.957142857143</v>
      </c>
      <c r="H92" s="227">
        <f t="shared" si="7"/>
        <v>1450.6</v>
      </c>
      <c r="I92" s="227">
        <f t="shared" si="7"/>
        <v>1242.5214723926381</v>
      </c>
      <c r="J92" s="227">
        <f t="shared" si="7"/>
        <v>1189.0245901639344</v>
      </c>
      <c r="K92" s="227">
        <f t="shared" si="7"/>
        <v>1257.3463114754097</v>
      </c>
      <c r="L92" s="227">
        <f t="shared" si="7"/>
        <v>1558.7714285714287</v>
      </c>
      <c r="M92" s="227">
        <f t="shared" si="7"/>
        <v>2270.2576064908721</v>
      </c>
      <c r="N92" s="227">
        <f t="shared" si="7"/>
        <v>2721.0060606060606</v>
      </c>
      <c r="O92" s="227">
        <f t="shared" si="7"/>
        <v>2544.3629032258063</v>
      </c>
      <c r="P92" s="227">
        <f t="shared" si="7"/>
        <v>2372.9516129032259</v>
      </c>
      <c r="Q92" s="227">
        <f t="shared" si="7"/>
        <v>2485.3212121212118</v>
      </c>
      <c r="R92" s="227">
        <f t="shared" si="7"/>
        <v>2292.048879837067</v>
      </c>
      <c r="S92" s="227">
        <f t="shared" si="7"/>
        <v>1941.3918367346939</v>
      </c>
      <c r="T92" s="227">
        <f t="shared" si="7"/>
        <v>1243.3714285714286</v>
      </c>
      <c r="U92" s="227">
        <f t="shared" si="7"/>
        <v>1065.0184049079755</v>
      </c>
      <c r="V92" s="227">
        <f t="shared" si="7"/>
        <v>1019.1639344262295</v>
      </c>
      <c r="W92" s="227">
        <f t="shared" si="7"/>
        <v>1077.7254098360654</v>
      </c>
      <c r="X92" s="227">
        <f t="shared" si="7"/>
        <v>1336.0897959183674</v>
      </c>
      <c r="Y92" s="227">
        <f t="shared" si="7"/>
        <v>1945.9350912778905</v>
      </c>
      <c r="Z92" s="227">
        <f t="shared" si="7"/>
        <v>2332.2909090909088</v>
      </c>
    </row>
    <row r="93" spans="1:26">
      <c r="A93" s="124">
        <f>MAX($A$10:A92)+1</f>
        <v>84</v>
      </c>
      <c r="B93" s="53" t="s">
        <v>1730</v>
      </c>
      <c r="C93" s="227">
        <f t="shared" si="7"/>
        <v>11561.925403225807</v>
      </c>
      <c r="D93" s="227">
        <f t="shared" si="7"/>
        <v>9565.104838709678</v>
      </c>
      <c r="E93" s="227">
        <f t="shared" si="7"/>
        <v>10462.270707070707</v>
      </c>
      <c r="F93" s="227">
        <f t="shared" si="7"/>
        <v>8109.8635437881876</v>
      </c>
      <c r="G93" s="227">
        <f t="shared" si="7"/>
        <v>6412.1</v>
      </c>
      <c r="H93" s="227">
        <f t="shared" si="7"/>
        <v>3953.4428571428571</v>
      </c>
      <c r="I93" s="227">
        <f t="shared" si="7"/>
        <v>3180.6625766871166</v>
      </c>
      <c r="J93" s="227">
        <f t="shared" si="7"/>
        <v>3328.9733606557375</v>
      </c>
      <c r="K93" s="227">
        <f t="shared" si="7"/>
        <v>3472.5881147540981</v>
      </c>
      <c r="L93" s="227">
        <f t="shared" si="7"/>
        <v>4507.9285714285716</v>
      </c>
      <c r="M93" s="227">
        <f t="shared" si="7"/>
        <v>6303.0385395537523</v>
      </c>
      <c r="N93" s="227">
        <f t="shared" si="7"/>
        <v>9025.7292929292926</v>
      </c>
      <c r="O93" s="227">
        <f t="shared" si="7"/>
        <v>9910.2217741935492</v>
      </c>
      <c r="P93" s="227">
        <f t="shared" si="7"/>
        <v>8198.6612903225814</v>
      </c>
      <c r="Q93" s="227">
        <f t="shared" si="7"/>
        <v>8967.6606060606064</v>
      </c>
      <c r="R93" s="227">
        <f t="shared" si="7"/>
        <v>6951.311608961304</v>
      </c>
      <c r="S93" s="227">
        <f t="shared" si="7"/>
        <v>5496.0857142857149</v>
      </c>
      <c r="T93" s="227">
        <f t="shared" si="7"/>
        <v>3388.6653061224488</v>
      </c>
      <c r="U93" s="227">
        <f t="shared" si="7"/>
        <v>2726.282208588957</v>
      </c>
      <c r="V93" s="227">
        <f t="shared" si="7"/>
        <v>2853.405737704918</v>
      </c>
      <c r="W93" s="227">
        <f t="shared" si="7"/>
        <v>2976.5040983606555</v>
      </c>
      <c r="X93" s="227">
        <f t="shared" si="7"/>
        <v>3863.9387755102043</v>
      </c>
      <c r="Y93" s="227">
        <f t="shared" si="7"/>
        <v>5402.6044624746446</v>
      </c>
      <c r="Z93" s="227">
        <f t="shared" si="7"/>
        <v>7736.3393939393936</v>
      </c>
    </row>
    <row r="94" spans="1:26">
      <c r="A94" s="124">
        <f>MAX($A$10:A93)+1</f>
        <v>85</v>
      </c>
      <c r="B94" s="53" t="s">
        <v>1731</v>
      </c>
      <c r="C94" s="227">
        <f t="shared" si="7"/>
        <v>11548.800403225807</v>
      </c>
      <c r="D94" s="227">
        <f t="shared" si="7"/>
        <v>6506.1189516129034</v>
      </c>
      <c r="E94" s="227">
        <f t="shared" si="7"/>
        <v>9960.2222222222226</v>
      </c>
      <c r="F94" s="227">
        <f t="shared" si="7"/>
        <v>5435.9775967413443</v>
      </c>
      <c r="G94" s="227">
        <f t="shared" si="7"/>
        <v>4004.7142857142853</v>
      </c>
      <c r="H94" s="227">
        <f t="shared" si="7"/>
        <v>2302.3142857142857</v>
      </c>
      <c r="I94" s="227">
        <f t="shared" si="7"/>
        <v>1870.7464212678938</v>
      </c>
      <c r="J94" s="227">
        <f t="shared" si="7"/>
        <v>2444.405737704918</v>
      </c>
      <c r="K94" s="227">
        <f t="shared" si="7"/>
        <v>2941.219262295082</v>
      </c>
      <c r="L94" s="227">
        <f t="shared" si="7"/>
        <v>7069.7857142857147</v>
      </c>
      <c r="M94" s="227">
        <f t="shared" si="7"/>
        <v>5475.050709939148</v>
      </c>
      <c r="N94" s="227">
        <f t="shared" si="7"/>
        <v>7451.7474747474753</v>
      </c>
      <c r="O94" s="227">
        <f t="shared" si="7"/>
        <v>9898.9717741935492</v>
      </c>
      <c r="P94" s="227">
        <f t="shared" si="7"/>
        <v>5576.6733870967746</v>
      </c>
      <c r="Q94" s="227">
        <f t="shared" si="7"/>
        <v>8537.3333333333339</v>
      </c>
      <c r="R94" s="227">
        <f t="shared" si="7"/>
        <v>4659.4093686354381</v>
      </c>
      <c r="S94" s="227">
        <f t="shared" si="7"/>
        <v>3432.612244897959</v>
      </c>
      <c r="T94" s="227">
        <f t="shared" si="7"/>
        <v>1973.4122448979592</v>
      </c>
      <c r="U94" s="227">
        <f t="shared" si="7"/>
        <v>1603.4969325153374</v>
      </c>
      <c r="V94" s="227">
        <f t="shared" si="7"/>
        <v>2095.2049180327867</v>
      </c>
      <c r="W94" s="227">
        <f t="shared" si="7"/>
        <v>2521.0450819672133</v>
      </c>
      <c r="X94" s="227">
        <f t="shared" si="7"/>
        <v>6059.8163265306121</v>
      </c>
      <c r="Y94" s="227">
        <f t="shared" si="7"/>
        <v>4692.9006085192696</v>
      </c>
      <c r="Z94" s="227">
        <f t="shared" si="7"/>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8">C97*C78</f>
        <v>17880</v>
      </c>
      <c r="D108" s="566">
        <f t="shared" si="8"/>
        <v>17880</v>
      </c>
      <c r="E108" s="566">
        <f t="shared" si="8"/>
        <v>17880</v>
      </c>
      <c r="F108" s="566">
        <f t="shared" si="8"/>
        <v>17880</v>
      </c>
      <c r="G108" s="566">
        <f t="shared" si="8"/>
        <v>17880</v>
      </c>
      <c r="H108" s="566">
        <f t="shared" si="8"/>
        <v>17880</v>
      </c>
      <c r="I108" s="566">
        <f t="shared" si="8"/>
        <v>17880</v>
      </c>
      <c r="J108" s="566">
        <f t="shared" si="8"/>
        <v>17880</v>
      </c>
      <c r="K108" s="566">
        <f t="shared" si="8"/>
        <v>17880</v>
      </c>
      <c r="L108" s="566">
        <f t="shared" si="8"/>
        <v>17880</v>
      </c>
      <c r="M108" s="566">
        <f t="shared" si="8"/>
        <v>17880</v>
      </c>
      <c r="N108" s="566">
        <f t="shared" si="8"/>
        <v>17880</v>
      </c>
      <c r="O108" s="566">
        <f t="shared" si="8"/>
        <v>35670</v>
      </c>
      <c r="P108" s="566">
        <f t="shared" si="8"/>
        <v>35670</v>
      </c>
      <c r="Q108" s="566">
        <f t="shared" si="8"/>
        <v>35670</v>
      </c>
      <c r="R108" s="566">
        <f t="shared" si="8"/>
        <v>35670</v>
      </c>
      <c r="S108" s="566">
        <f t="shared" si="8"/>
        <v>35670</v>
      </c>
      <c r="T108" s="566">
        <f t="shared" si="8"/>
        <v>35670</v>
      </c>
      <c r="U108" s="566">
        <f t="shared" si="8"/>
        <v>35670</v>
      </c>
      <c r="V108" s="566">
        <f t="shared" si="8"/>
        <v>35670</v>
      </c>
      <c r="W108" s="566">
        <f t="shared" si="8"/>
        <v>35670</v>
      </c>
      <c r="X108" s="566">
        <f t="shared" si="8"/>
        <v>35670</v>
      </c>
      <c r="Y108" s="566">
        <f t="shared" si="8"/>
        <v>35670</v>
      </c>
      <c r="Z108" s="566">
        <f t="shared" si="8"/>
        <v>35670</v>
      </c>
    </row>
    <row r="109" spans="1:26">
      <c r="A109" s="124">
        <f>MAX($A$10:A108)+1</f>
        <v>100</v>
      </c>
      <c r="B109" t="s">
        <v>142</v>
      </c>
      <c r="C109" s="256">
        <f t="shared" ref="C109:Z109" si="9">C90*C98</f>
        <v>138044.88503789133</v>
      </c>
      <c r="D109" s="256">
        <f t="shared" si="9"/>
        <v>108336.76498734298</v>
      </c>
      <c r="E109" s="256">
        <f t="shared" si="9"/>
        <v>92518.813864837168</v>
      </c>
      <c r="F109" s="256">
        <f t="shared" si="9"/>
        <v>59799.13527047127</v>
      </c>
      <c r="G109" s="256">
        <f t="shared" si="9"/>
        <v>37919.001809085894</v>
      </c>
      <c r="H109" s="256">
        <f t="shared" si="9"/>
        <v>19729.48060552586</v>
      </c>
      <c r="I109" s="256">
        <f t="shared" si="9"/>
        <v>20383.317504016934</v>
      </c>
      <c r="J109" s="256">
        <f t="shared" si="9"/>
        <v>10698.279733477324</v>
      </c>
      <c r="K109" s="256">
        <f t="shared" si="9"/>
        <v>23299.599844282468</v>
      </c>
      <c r="L109" s="256">
        <f t="shared" si="9"/>
        <v>56724.428971653375</v>
      </c>
      <c r="M109" s="256">
        <f t="shared" si="9"/>
        <v>106446.61402087827</v>
      </c>
      <c r="N109" s="256">
        <f t="shared" si="9"/>
        <v>137501.11730330199</v>
      </c>
      <c r="O109" s="256">
        <f t="shared" si="9"/>
        <v>169797.3088590063</v>
      </c>
      <c r="P109" s="256">
        <f t="shared" si="9"/>
        <v>133255.86920726698</v>
      </c>
      <c r="Q109" s="256">
        <f t="shared" si="9"/>
        <v>113799.54866683147</v>
      </c>
      <c r="R109" s="256">
        <f t="shared" si="9"/>
        <v>73553.846187308227</v>
      </c>
      <c r="S109" s="256">
        <f t="shared" si="9"/>
        <v>46640.949137921976</v>
      </c>
      <c r="T109" s="256">
        <f t="shared" si="9"/>
        <v>24267.561315906187</v>
      </c>
      <c r="U109" s="256">
        <f t="shared" si="9"/>
        <v>25071.790648749851</v>
      </c>
      <c r="V109" s="256">
        <f t="shared" si="9"/>
        <v>13159.046839487626</v>
      </c>
      <c r="W109" s="256">
        <f t="shared" si="9"/>
        <v>28658.862296599851</v>
      </c>
      <c r="X109" s="256">
        <f t="shared" si="9"/>
        <v>69771.910660122187</v>
      </c>
      <c r="Y109" s="256">
        <f t="shared" si="9"/>
        <v>130930.95476110796</v>
      </c>
      <c r="Z109" s="256">
        <f t="shared" si="9"/>
        <v>169128.4662723919</v>
      </c>
    </row>
    <row r="110" spans="1:26">
      <c r="A110" s="124">
        <f>MAX($A$10:A109)+1</f>
        <v>101</v>
      </c>
      <c r="B110" t="s">
        <v>1734</v>
      </c>
      <c r="C110" s="254">
        <f t="shared" ref="C110:N110" si="10">SUM(C108:C109)</f>
        <v>155924.88503789133</v>
      </c>
      <c r="D110" s="254">
        <f t="shared" si="10"/>
        <v>126216.76498734298</v>
      </c>
      <c r="E110" s="254">
        <f t="shared" si="10"/>
        <v>110398.81386483717</v>
      </c>
      <c r="F110" s="254">
        <f t="shared" si="10"/>
        <v>77679.135270471277</v>
      </c>
      <c r="G110" s="254">
        <f t="shared" si="10"/>
        <v>55799.001809085894</v>
      </c>
      <c r="H110" s="254">
        <f t="shared" si="10"/>
        <v>37609.48060552586</v>
      </c>
      <c r="I110" s="254">
        <f t="shared" si="10"/>
        <v>38263.31750401693</v>
      </c>
      <c r="J110" s="254">
        <f t="shared" si="10"/>
        <v>28578.279733477324</v>
      </c>
      <c r="K110" s="254">
        <f t="shared" si="10"/>
        <v>41179.599844282464</v>
      </c>
      <c r="L110" s="254">
        <f t="shared" si="10"/>
        <v>74604.428971653368</v>
      </c>
      <c r="M110" s="254">
        <f t="shared" si="10"/>
        <v>124326.61402087827</v>
      </c>
      <c r="N110" s="254">
        <f t="shared" si="10"/>
        <v>155381.11730330199</v>
      </c>
      <c r="O110" s="254">
        <f t="shared" ref="O110:Z110" si="11">SUM(O108:O109)</f>
        <v>205467.3088590063</v>
      </c>
      <c r="P110" s="254">
        <f t="shared" si="11"/>
        <v>168925.86920726698</v>
      </c>
      <c r="Q110" s="254">
        <f t="shared" si="11"/>
        <v>149469.54866683146</v>
      </c>
      <c r="R110" s="254">
        <f t="shared" si="11"/>
        <v>109223.84618730823</v>
      </c>
      <c r="S110" s="254">
        <f t="shared" si="11"/>
        <v>82310.949137921969</v>
      </c>
      <c r="T110" s="254">
        <f t="shared" si="11"/>
        <v>59937.56131590619</v>
      </c>
      <c r="U110" s="254">
        <f t="shared" si="11"/>
        <v>60741.790648749855</v>
      </c>
      <c r="V110" s="254">
        <f t="shared" si="11"/>
        <v>48829.046839487622</v>
      </c>
      <c r="W110" s="254">
        <f t="shared" si="11"/>
        <v>64328.862296599851</v>
      </c>
      <c r="X110" s="254">
        <f t="shared" si="11"/>
        <v>105441.91066012219</v>
      </c>
      <c r="Y110" s="254">
        <f t="shared" si="11"/>
        <v>166600.95476110798</v>
      </c>
      <c r="Z110" s="254">
        <f t="shared" si="11"/>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2">C79*C99</f>
        <v>5798</v>
      </c>
      <c r="D113" s="566">
        <f t="shared" si="12"/>
        <v>5798</v>
      </c>
      <c r="E113" s="566">
        <f t="shared" si="12"/>
        <v>5798</v>
      </c>
      <c r="F113" s="566">
        <f t="shared" si="12"/>
        <v>5798</v>
      </c>
      <c r="G113" s="566">
        <f t="shared" si="12"/>
        <v>5798</v>
      </c>
      <c r="H113" s="566">
        <f t="shared" si="12"/>
        <v>5798</v>
      </c>
      <c r="I113" s="566">
        <f t="shared" si="12"/>
        <v>5798</v>
      </c>
      <c r="J113" s="566">
        <f t="shared" si="12"/>
        <v>5798</v>
      </c>
      <c r="K113" s="566">
        <f t="shared" si="12"/>
        <v>5798</v>
      </c>
      <c r="L113" s="566">
        <f t="shared" si="12"/>
        <v>5798</v>
      </c>
      <c r="M113" s="566">
        <f t="shared" si="12"/>
        <v>5798</v>
      </c>
      <c r="N113" s="566">
        <f t="shared" si="12"/>
        <v>5798</v>
      </c>
      <c r="O113" s="566">
        <f t="shared" si="12"/>
        <v>8760</v>
      </c>
      <c r="P113" s="566">
        <f t="shared" si="12"/>
        <v>8760</v>
      </c>
      <c r="Q113" s="566">
        <f t="shared" si="12"/>
        <v>8760</v>
      </c>
      <c r="R113" s="566">
        <f t="shared" si="12"/>
        <v>8760</v>
      </c>
      <c r="S113" s="566">
        <f t="shared" si="12"/>
        <v>8760</v>
      </c>
      <c r="T113" s="566">
        <f t="shared" si="12"/>
        <v>8760</v>
      </c>
      <c r="U113" s="566">
        <f t="shared" si="12"/>
        <v>8760</v>
      </c>
      <c r="V113" s="566">
        <f t="shared" si="12"/>
        <v>8760</v>
      </c>
      <c r="W113" s="566">
        <f t="shared" si="12"/>
        <v>8760</v>
      </c>
      <c r="X113" s="566">
        <f t="shared" si="12"/>
        <v>8760</v>
      </c>
      <c r="Y113" s="566">
        <f t="shared" si="12"/>
        <v>8760</v>
      </c>
      <c r="Z113" s="566">
        <f t="shared" si="12"/>
        <v>8760</v>
      </c>
    </row>
    <row r="114" spans="1:26">
      <c r="A114" s="124">
        <f>MAX($A$10:A113)+1</f>
        <v>105</v>
      </c>
      <c r="B114" t="s">
        <v>142</v>
      </c>
      <c r="C114" s="256">
        <f t="shared" ref="C114:Z114" si="13">C91*C100</f>
        <v>70702.660999608197</v>
      </c>
      <c r="D114" s="256">
        <f t="shared" si="13"/>
        <v>56200.914874797083</v>
      </c>
      <c r="E114" s="256">
        <f t="shared" si="13"/>
        <v>45899.792834819949</v>
      </c>
      <c r="F114" s="256">
        <f t="shared" si="13"/>
        <v>29483.953396021661</v>
      </c>
      <c r="G114" s="256">
        <f t="shared" si="13"/>
        <v>20530.517010150121</v>
      </c>
      <c r="H114" s="256">
        <f t="shared" si="13"/>
        <v>13095.100442896215</v>
      </c>
      <c r="I114" s="256">
        <f t="shared" si="13"/>
        <v>13531.128105232214</v>
      </c>
      <c r="J114" s="256">
        <f t="shared" si="13"/>
        <v>13531.319900449129</v>
      </c>
      <c r="K114" s="256">
        <f t="shared" si="13"/>
        <v>19015.577541911745</v>
      </c>
      <c r="L114" s="256">
        <f t="shared" si="13"/>
        <v>34686.372583860015</v>
      </c>
      <c r="M114" s="256">
        <f t="shared" si="13"/>
        <v>51404.41381014503</v>
      </c>
      <c r="N114" s="256">
        <f t="shared" si="13"/>
        <v>69662.17311270973</v>
      </c>
      <c r="O114" s="256">
        <f t="shared" si="13"/>
        <v>76813.390801934147</v>
      </c>
      <c r="P114" s="256">
        <f t="shared" si="13"/>
        <v>61058.279514089925</v>
      </c>
      <c r="Q114" s="256">
        <f t="shared" si="13"/>
        <v>49866.846238904363</v>
      </c>
      <c r="R114" s="256">
        <f t="shared" si="13"/>
        <v>32032.209291347262</v>
      </c>
      <c r="S114" s="256">
        <f t="shared" si="13"/>
        <v>22304.940212577807</v>
      </c>
      <c r="T114" s="256">
        <f t="shared" si="13"/>
        <v>14226.891232797334</v>
      </c>
      <c r="U114" s="256">
        <f t="shared" si="13"/>
        <v>14700.604141957208</v>
      </c>
      <c r="V114" s="256">
        <f t="shared" si="13"/>
        <v>14700.812513760231</v>
      </c>
      <c r="W114" s="256">
        <f t="shared" si="13"/>
        <v>20659.066694242858</v>
      </c>
      <c r="X114" s="256">
        <f t="shared" si="13"/>
        <v>37684.266124018985</v>
      </c>
      <c r="Y114" s="256">
        <f t="shared" si="13"/>
        <v>55847.223727051685</v>
      </c>
      <c r="Z114" s="256">
        <f t="shared" si="13"/>
        <v>75682.975036091142</v>
      </c>
    </row>
    <row r="115" spans="1:26">
      <c r="A115" s="124">
        <f>MAX($A$10:A114)+1</f>
        <v>106</v>
      </c>
      <c r="B115" t="s">
        <v>1735</v>
      </c>
      <c r="C115" s="254">
        <f t="shared" ref="C115:N115" si="14">SUM(C113:C114)</f>
        <v>76500.660999608197</v>
      </c>
      <c r="D115" s="254">
        <f t="shared" si="14"/>
        <v>61998.914874797083</v>
      </c>
      <c r="E115" s="254">
        <f t="shared" si="14"/>
        <v>51697.792834819949</v>
      </c>
      <c r="F115" s="254">
        <f t="shared" si="14"/>
        <v>35281.953396021665</v>
      </c>
      <c r="G115" s="254">
        <f t="shared" si="14"/>
        <v>26328.517010150121</v>
      </c>
      <c r="H115" s="254">
        <f t="shared" si="14"/>
        <v>18893.100442896215</v>
      </c>
      <c r="I115" s="254">
        <f t="shared" si="14"/>
        <v>19329.128105232216</v>
      </c>
      <c r="J115" s="254">
        <f t="shared" si="14"/>
        <v>19329.319900449129</v>
      </c>
      <c r="K115" s="254">
        <f t="shared" si="14"/>
        <v>24813.577541911745</v>
      </c>
      <c r="L115" s="254">
        <f t="shared" si="14"/>
        <v>40484.372583860015</v>
      </c>
      <c r="M115" s="254">
        <f t="shared" si="14"/>
        <v>57202.41381014503</v>
      </c>
      <c r="N115" s="254">
        <f t="shared" si="14"/>
        <v>75460.17311270973</v>
      </c>
      <c r="O115" s="254">
        <f t="shared" ref="O115:Z115" si="15">SUM(O113:O114)</f>
        <v>85573.390801934147</v>
      </c>
      <c r="P115" s="254">
        <f t="shared" si="15"/>
        <v>69818.279514089925</v>
      </c>
      <c r="Q115" s="254">
        <f t="shared" si="15"/>
        <v>58626.846238904363</v>
      </c>
      <c r="R115" s="254">
        <f t="shared" si="15"/>
        <v>40792.209291347259</v>
      </c>
      <c r="S115" s="254">
        <f t="shared" si="15"/>
        <v>31064.940212577807</v>
      </c>
      <c r="T115" s="254">
        <f t="shared" si="15"/>
        <v>22986.891232797334</v>
      </c>
      <c r="U115" s="254">
        <f t="shared" si="15"/>
        <v>23460.604141957207</v>
      </c>
      <c r="V115" s="254">
        <f t="shared" si="15"/>
        <v>23460.812513760233</v>
      </c>
      <c r="W115" s="254">
        <f t="shared" si="15"/>
        <v>29419.066694242858</v>
      </c>
      <c r="X115" s="254">
        <f t="shared" si="15"/>
        <v>46444.266124018985</v>
      </c>
      <c r="Y115" s="254">
        <f t="shared" si="15"/>
        <v>64607.223727051685</v>
      </c>
      <c r="Z115" s="254">
        <f t="shared" si="15"/>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16">C80*C101</f>
        <v>420</v>
      </c>
      <c r="D118" s="566">
        <f t="shared" si="16"/>
        <v>420</v>
      </c>
      <c r="E118" s="566">
        <f t="shared" si="16"/>
        <v>420</v>
      </c>
      <c r="F118" s="566">
        <f t="shared" si="16"/>
        <v>420</v>
      </c>
      <c r="G118" s="566">
        <f t="shared" si="16"/>
        <v>420</v>
      </c>
      <c r="H118" s="566">
        <f t="shared" si="16"/>
        <v>420</v>
      </c>
      <c r="I118" s="566">
        <f t="shared" si="16"/>
        <v>420</v>
      </c>
      <c r="J118" s="566">
        <f t="shared" si="16"/>
        <v>420</v>
      </c>
      <c r="K118" s="566">
        <f t="shared" si="16"/>
        <v>420</v>
      </c>
      <c r="L118" s="566">
        <f t="shared" si="16"/>
        <v>420</v>
      </c>
      <c r="M118" s="566">
        <f t="shared" si="16"/>
        <v>420</v>
      </c>
      <c r="N118" s="566">
        <f t="shared" si="16"/>
        <v>420</v>
      </c>
      <c r="O118" s="566">
        <f t="shared" si="16"/>
        <v>600</v>
      </c>
      <c r="P118" s="566">
        <f t="shared" si="16"/>
        <v>600</v>
      </c>
      <c r="Q118" s="566">
        <f t="shared" si="16"/>
        <v>600</v>
      </c>
      <c r="R118" s="566">
        <f t="shared" si="16"/>
        <v>600</v>
      </c>
      <c r="S118" s="566">
        <f t="shared" si="16"/>
        <v>600</v>
      </c>
      <c r="T118" s="566">
        <f t="shared" si="16"/>
        <v>600</v>
      </c>
      <c r="U118" s="566">
        <f t="shared" si="16"/>
        <v>600</v>
      </c>
      <c r="V118" s="566">
        <f t="shared" si="16"/>
        <v>600</v>
      </c>
      <c r="W118" s="566">
        <f t="shared" si="16"/>
        <v>600</v>
      </c>
      <c r="X118" s="566">
        <f t="shared" si="16"/>
        <v>600</v>
      </c>
      <c r="Y118" s="566">
        <f t="shared" si="16"/>
        <v>600</v>
      </c>
      <c r="Z118" s="566">
        <f t="shared" si="16"/>
        <v>600</v>
      </c>
    </row>
    <row r="119" spans="1:26">
      <c r="A119" s="124">
        <f>MAX($A$10:A118)+1</f>
        <v>110</v>
      </c>
      <c r="B119" t="s">
        <v>160</v>
      </c>
      <c r="C119" s="227">
        <f t="shared" ref="C119:Z121" si="17">C92*C102</f>
        <v>678.10663854838708</v>
      </c>
      <c r="D119" s="227">
        <f t="shared" si="17"/>
        <v>632.42324419354838</v>
      </c>
      <c r="E119" s="227">
        <f t="shared" si="17"/>
        <v>662.37124064646457</v>
      </c>
      <c r="F119" s="227">
        <f t="shared" si="17"/>
        <v>610.86158712830957</v>
      </c>
      <c r="G119" s="227">
        <f t="shared" si="17"/>
        <v>517.40680971428571</v>
      </c>
      <c r="H119" s="227">
        <f t="shared" si="17"/>
        <v>331.37506400000001</v>
      </c>
      <c r="I119" s="227">
        <f t="shared" si="17"/>
        <v>283.84160515337425</v>
      </c>
      <c r="J119" s="227">
        <f t="shared" si="17"/>
        <v>271.62077737704919</v>
      </c>
      <c r="K119" s="227">
        <f t="shared" si="17"/>
        <v>287.22819139344261</v>
      </c>
      <c r="L119" s="227">
        <f t="shared" si="17"/>
        <v>356.08574514285721</v>
      </c>
      <c r="M119" s="227">
        <f t="shared" si="17"/>
        <v>518.6176476267749</v>
      </c>
      <c r="N119" s="227">
        <f t="shared" si="17"/>
        <v>621.58662448484847</v>
      </c>
      <c r="O119" s="227">
        <f t="shared" si="17"/>
        <v>677.05496854838702</v>
      </c>
      <c r="P119" s="227">
        <f t="shared" si="17"/>
        <v>631.44242419354839</v>
      </c>
      <c r="Q119" s="227">
        <f t="shared" si="17"/>
        <v>661.34397454545444</v>
      </c>
      <c r="R119" s="227">
        <f t="shared" si="17"/>
        <v>609.91420692464351</v>
      </c>
      <c r="S119" s="227">
        <f t="shared" si="17"/>
        <v>516.60436775510209</v>
      </c>
      <c r="T119" s="227">
        <f t="shared" si="17"/>
        <v>330.86113714285716</v>
      </c>
      <c r="U119" s="227">
        <f t="shared" si="17"/>
        <v>283.40139754601228</v>
      </c>
      <c r="V119" s="227">
        <f t="shared" si="17"/>
        <v>271.1995229508197</v>
      </c>
      <c r="W119" s="227">
        <f t="shared" si="17"/>
        <v>286.78273155737702</v>
      </c>
      <c r="X119" s="227">
        <f t="shared" si="17"/>
        <v>355.53349469387757</v>
      </c>
      <c r="Y119" s="227">
        <f t="shared" si="17"/>
        <v>517.81332778904664</v>
      </c>
      <c r="Z119" s="227">
        <f t="shared" si="17"/>
        <v>620.62261090909089</v>
      </c>
    </row>
    <row r="120" spans="1:26">
      <c r="A120" s="124">
        <f>MAX($A$10:A119)+1</f>
        <v>111</v>
      </c>
      <c r="B120" t="s">
        <v>161</v>
      </c>
      <c r="C120" s="227">
        <f t="shared" si="17"/>
        <v>2186.7069515120966</v>
      </c>
      <c r="D120" s="227">
        <f t="shared" si="17"/>
        <v>1809.0482781451612</v>
      </c>
      <c r="E120" s="227">
        <f t="shared" si="17"/>
        <v>1978.7292588282828</v>
      </c>
      <c r="F120" s="227">
        <f t="shared" si="17"/>
        <v>1533.8184920366598</v>
      </c>
      <c r="G120" s="227">
        <f t="shared" si="17"/>
        <v>1212.7204730000001</v>
      </c>
      <c r="H120" s="227">
        <f t="shared" si="17"/>
        <v>747.71464757142849</v>
      </c>
      <c r="I120" s="227">
        <f t="shared" si="17"/>
        <v>601.55871312883437</v>
      </c>
      <c r="J120" s="227">
        <f t="shared" si="17"/>
        <v>629.60873170081959</v>
      </c>
      <c r="K120" s="227">
        <f t="shared" si="17"/>
        <v>656.77059014344252</v>
      </c>
      <c r="L120" s="227">
        <f t="shared" si="17"/>
        <v>852.58453071428573</v>
      </c>
      <c r="M120" s="227">
        <f t="shared" si="17"/>
        <v>1192.093678985801</v>
      </c>
      <c r="N120" s="227">
        <f t="shared" si="17"/>
        <v>1707.0361811717171</v>
      </c>
      <c r="O120" s="227">
        <f t="shared" si="17"/>
        <v>2183.320959072581</v>
      </c>
      <c r="P120" s="227">
        <f t="shared" si="17"/>
        <v>1806.247068870968</v>
      </c>
      <c r="Q120" s="227">
        <f t="shared" si="17"/>
        <v>1975.6653081212123</v>
      </c>
      <c r="R120" s="227">
        <f t="shared" si="17"/>
        <v>1531.443460570265</v>
      </c>
      <c r="S120" s="227">
        <f t="shared" si="17"/>
        <v>1210.8426437142859</v>
      </c>
      <c r="T120" s="227">
        <f t="shared" si="17"/>
        <v>746.55685359183667</v>
      </c>
      <c r="U120" s="227">
        <f t="shared" si="17"/>
        <v>600.62723337423313</v>
      </c>
      <c r="V120" s="227">
        <f t="shared" si="17"/>
        <v>628.6338180737705</v>
      </c>
      <c r="W120" s="227">
        <f t="shared" si="17"/>
        <v>655.75361790983607</v>
      </c>
      <c r="X120" s="227">
        <f t="shared" si="17"/>
        <v>851.26435163265319</v>
      </c>
      <c r="Y120" s="227">
        <f t="shared" si="17"/>
        <v>1190.247789127789</v>
      </c>
      <c r="Z120" s="227">
        <f t="shared" si="17"/>
        <v>1704.3929318787877</v>
      </c>
    </row>
    <row r="121" spans="1:26">
      <c r="A121" s="124">
        <f>MAX($A$10:A120)+1</f>
        <v>112</v>
      </c>
      <c r="B121" t="s">
        <v>162</v>
      </c>
      <c r="C121" s="256">
        <f t="shared" si="17"/>
        <v>2115.6247458669354</v>
      </c>
      <c r="D121" s="256">
        <f t="shared" si="17"/>
        <v>1191.8559307459677</v>
      </c>
      <c r="E121" s="256">
        <f t="shared" si="17"/>
        <v>1824.613108888889</v>
      </c>
      <c r="F121" s="256">
        <f t="shared" si="17"/>
        <v>995.81673594704682</v>
      </c>
      <c r="G121" s="256">
        <f t="shared" si="17"/>
        <v>733.62360999999987</v>
      </c>
      <c r="H121" s="256">
        <f t="shared" si="17"/>
        <v>421.76095399999997</v>
      </c>
      <c r="I121" s="256">
        <f t="shared" si="17"/>
        <v>342.70203691206547</v>
      </c>
      <c r="J121" s="256">
        <f t="shared" si="17"/>
        <v>447.79068709016389</v>
      </c>
      <c r="K121" s="256">
        <f t="shared" si="17"/>
        <v>538.80195665983604</v>
      </c>
      <c r="L121" s="256">
        <f t="shared" si="17"/>
        <v>1295.114045</v>
      </c>
      <c r="M121" s="256">
        <f t="shared" si="17"/>
        <v>1002.9745395537525</v>
      </c>
      <c r="N121" s="256">
        <f t="shared" si="17"/>
        <v>1365.08561989899</v>
      </c>
      <c r="O121" s="256">
        <f t="shared" si="17"/>
        <v>2112.3415868951615</v>
      </c>
      <c r="P121" s="256">
        <f t="shared" si="17"/>
        <v>1190.0063340725808</v>
      </c>
      <c r="Q121" s="256">
        <f t="shared" si="17"/>
        <v>1821.7815600000001</v>
      </c>
      <c r="R121" s="256">
        <f t="shared" si="17"/>
        <v>994.27136517311612</v>
      </c>
      <c r="S121" s="256">
        <f t="shared" si="17"/>
        <v>732.48512693877547</v>
      </c>
      <c r="T121" s="256">
        <f t="shared" si="17"/>
        <v>421.10643893877551</v>
      </c>
      <c r="U121" s="256">
        <f t="shared" si="17"/>
        <v>342.17021042944788</v>
      </c>
      <c r="V121" s="256">
        <f t="shared" si="17"/>
        <v>447.09577745901635</v>
      </c>
      <c r="W121" s="256">
        <f t="shared" si="17"/>
        <v>537.96581004098368</v>
      </c>
      <c r="X121" s="256">
        <f t="shared" si="17"/>
        <v>1293.1042059183674</v>
      </c>
      <c r="Y121" s="256">
        <f t="shared" si="17"/>
        <v>1001.418060851927</v>
      </c>
      <c r="Z121" s="256">
        <f t="shared" si="17"/>
        <v>1362.9671945454547</v>
      </c>
    </row>
    <row r="122" spans="1:26">
      <c r="A122" s="124">
        <f>MAX($A$10:A121)+1</f>
        <v>113</v>
      </c>
      <c r="B122" t="s">
        <v>1736</v>
      </c>
      <c r="C122" s="254">
        <f t="shared" ref="C122:N122" si="18">SUM(C118:C121)</f>
        <v>5400.4383359274198</v>
      </c>
      <c r="D122" s="254">
        <f t="shared" si="18"/>
        <v>4053.327453084677</v>
      </c>
      <c r="E122" s="254">
        <f t="shared" si="18"/>
        <v>4885.713608363636</v>
      </c>
      <c r="F122" s="254">
        <f t="shared" si="18"/>
        <v>3560.4968151120161</v>
      </c>
      <c r="G122" s="254">
        <f t="shared" si="18"/>
        <v>2883.7508927142853</v>
      </c>
      <c r="H122" s="254">
        <f t="shared" si="18"/>
        <v>1920.8506655714286</v>
      </c>
      <c r="I122" s="254">
        <f t="shared" si="18"/>
        <v>1648.1023551942742</v>
      </c>
      <c r="J122" s="254">
        <f t="shared" si="18"/>
        <v>1769.0201961680327</v>
      </c>
      <c r="K122" s="254">
        <f t="shared" si="18"/>
        <v>1902.8007381967209</v>
      </c>
      <c r="L122" s="254">
        <f t="shared" si="18"/>
        <v>2923.784320857143</v>
      </c>
      <c r="M122" s="254">
        <f t="shared" si="18"/>
        <v>3133.6858661663287</v>
      </c>
      <c r="N122" s="254">
        <f t="shared" si="18"/>
        <v>4113.7084255555556</v>
      </c>
      <c r="O122" s="254">
        <f t="shared" ref="O122:Z122" si="19">SUM(O118:O121)</f>
        <v>5572.7175145161291</v>
      </c>
      <c r="P122" s="254">
        <f t="shared" si="19"/>
        <v>4227.6958271370977</v>
      </c>
      <c r="Q122" s="254">
        <f t="shared" si="19"/>
        <v>5058.7908426666672</v>
      </c>
      <c r="R122" s="254">
        <f t="shared" si="19"/>
        <v>3735.6290326680246</v>
      </c>
      <c r="S122" s="254">
        <f t="shared" si="19"/>
        <v>3059.9321384081632</v>
      </c>
      <c r="T122" s="254">
        <f t="shared" si="19"/>
        <v>2098.5244296734695</v>
      </c>
      <c r="U122" s="254">
        <f t="shared" si="19"/>
        <v>1826.1988413496933</v>
      </c>
      <c r="V122" s="254">
        <f t="shared" si="19"/>
        <v>1946.9291184836065</v>
      </c>
      <c r="W122" s="254">
        <f t="shared" si="19"/>
        <v>2080.5021595081967</v>
      </c>
      <c r="X122" s="254">
        <f t="shared" si="19"/>
        <v>3099.9020522448982</v>
      </c>
      <c r="Y122" s="254">
        <f t="shared" si="19"/>
        <v>3309.4791777687624</v>
      </c>
      <c r="Z122" s="254">
        <f t="shared" si="19"/>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10:C10"/>
    <mergeCell ref="B22:C22"/>
    <mergeCell ref="B40:C40"/>
    <mergeCell ref="B52:C52"/>
    <mergeCell ref="B70:Z70"/>
    <mergeCell ref="A6:C6"/>
    <mergeCell ref="A1:C1"/>
    <mergeCell ref="A2:C2"/>
    <mergeCell ref="A3:C3"/>
    <mergeCell ref="A4:C4"/>
    <mergeCell ref="A5:C5"/>
  </mergeCells>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E2C4C-F520-4DC9-B308-55CFF3611B09}">
  <sheetPr codeName="Sheet48">
    <pageSetUpPr fitToPage="1"/>
  </sheetPr>
  <dimension ref="A1:AY1048576"/>
  <sheetViews>
    <sheetView view="pageBreakPreview" zoomScale="70" zoomScaleNormal="100" zoomScaleSheetLayoutView="70" workbookViewId="0">
      <selection activeCell="N25" sqref="N25"/>
    </sheetView>
  </sheetViews>
  <sheetFormatPr defaultColWidth="9.140625" defaultRowHeight="15" outlineLevelRow="1"/>
  <cols>
    <col min="1" max="1" width="6.28515625" style="2" customWidth="1"/>
    <col min="2" max="2" width="14.140625" style="1" bestFit="1" customWidth="1"/>
    <col min="3" max="3" width="17.42578125" style="1" customWidth="1"/>
    <col min="4" max="4" width="60.140625" style="1" bestFit="1" customWidth="1"/>
    <col min="5" max="5" width="13.5703125" style="2" bestFit="1" customWidth="1"/>
    <col min="6" max="6" width="18.85546875" style="1" bestFit="1" customWidth="1"/>
    <col min="7" max="8" width="18.85546875" style="1" customWidth="1"/>
    <col min="9" max="9" width="16.7109375" style="722" bestFit="1" customWidth="1"/>
    <col min="10" max="12" width="18" style="1" customWidth="1"/>
    <col min="13" max="13" width="15.140625" style="1" bestFit="1" customWidth="1"/>
    <col min="14" max="15" width="15.140625" style="1" customWidth="1"/>
    <col min="16" max="16" width="16.5703125" style="1" bestFit="1" customWidth="1"/>
    <col min="17" max="17" width="16.5703125" style="1" customWidth="1"/>
    <col min="18" max="30" width="18.5703125" style="1" customWidth="1"/>
    <col min="31" max="31" width="15" style="1" bestFit="1" customWidth="1"/>
    <col min="32" max="32" width="15" style="1" customWidth="1"/>
    <col min="33" max="33" width="9.140625" style="1"/>
    <col min="34" max="34" width="13.28515625" style="1" customWidth="1"/>
    <col min="35" max="36" width="16.140625" style="1" customWidth="1"/>
    <col min="37" max="37" width="9.140625" style="1"/>
    <col min="38" max="38" width="10.85546875" style="1" customWidth="1"/>
    <col min="39" max="39" width="9.140625" style="1"/>
    <col min="40" max="40" width="15.28515625" style="1" customWidth="1"/>
    <col min="41" max="41" width="14.7109375" style="1" customWidth="1"/>
    <col min="42" max="42" width="9.140625" style="1" customWidth="1"/>
    <col min="43" max="43" width="9.140625" style="1"/>
    <col min="44" max="44" width="13.5703125" style="1" customWidth="1"/>
    <col min="45" max="45" width="15.140625" style="1" customWidth="1"/>
    <col min="46" max="46" width="11.28515625" style="1" bestFit="1" customWidth="1"/>
    <col min="47" max="48" width="9.140625" style="1"/>
    <col min="49" max="49" width="15.7109375" style="1" customWidth="1"/>
    <col min="50" max="50" width="16.85546875" style="1" bestFit="1" customWidth="1"/>
    <col min="51" max="52" width="9.140625" style="1"/>
    <col min="53" max="53" width="9.7109375" style="1" bestFit="1" customWidth="1"/>
    <col min="54" max="16384" width="9.140625" style="1"/>
  </cols>
  <sheetData>
    <row r="1" spans="1:50">
      <c r="A1" s="1405" t="str">
        <f>Company</f>
        <v>Cascade Natural Gas Corp.</v>
      </c>
      <c r="B1" s="1405"/>
      <c r="C1" s="1405"/>
      <c r="D1" s="1405"/>
      <c r="E1" s="1405"/>
      <c r="F1" s="1405"/>
      <c r="G1" s="1405"/>
      <c r="H1" s="1405"/>
      <c r="I1" s="1405"/>
      <c r="J1" s="1405"/>
      <c r="K1" s="1405"/>
      <c r="L1" s="1405"/>
      <c r="M1" s="1275"/>
      <c r="N1" s="1275"/>
      <c r="O1" s="1275"/>
      <c r="P1" s="1" t="s">
        <v>1737</v>
      </c>
    </row>
    <row r="2" spans="1:50">
      <c r="A2" s="1405" t="str">
        <f>Title1</f>
        <v>Washington Jurisdiction</v>
      </c>
      <c r="B2" s="1405"/>
      <c r="C2" s="1405"/>
      <c r="D2" s="1405"/>
      <c r="E2" s="1405"/>
      <c r="F2" s="1405"/>
      <c r="G2" s="1405"/>
      <c r="H2" s="1405"/>
      <c r="I2" s="1405"/>
      <c r="J2" s="1405"/>
      <c r="K2" s="1405"/>
      <c r="L2" s="1405"/>
      <c r="M2" s="1275"/>
      <c r="N2" s="1275"/>
      <c r="O2" s="1275"/>
    </row>
    <row r="3" spans="1:50">
      <c r="A3" s="1405" t="str">
        <f>Title2</f>
        <v>Twelve-Months ended December 31, 2023</v>
      </c>
      <c r="B3" s="1405"/>
      <c r="C3" s="1405"/>
      <c r="D3" s="1405"/>
      <c r="E3" s="1405"/>
      <c r="F3" s="1405"/>
      <c r="G3" s="1405"/>
      <c r="H3" s="1405"/>
      <c r="I3" s="1405"/>
      <c r="J3" s="1405"/>
      <c r="K3" s="1405"/>
      <c r="L3" s="1405"/>
      <c r="M3" s="1275"/>
      <c r="N3" s="1275"/>
      <c r="O3" s="1275"/>
    </row>
    <row r="4" spans="1:50">
      <c r="A4" s="1405" t="str">
        <f>Title8</f>
        <v>UG-240008</v>
      </c>
      <c r="B4" s="1405"/>
      <c r="C4" s="1405"/>
      <c r="D4" s="1405"/>
      <c r="E4" s="1405"/>
      <c r="F4" s="1405"/>
      <c r="G4" s="1405"/>
      <c r="H4" s="1405"/>
      <c r="I4" s="1405"/>
      <c r="J4" s="1405"/>
      <c r="K4" s="1405"/>
      <c r="L4" s="1405"/>
      <c r="M4" s="1275"/>
      <c r="N4" s="1275"/>
      <c r="O4" s="1266"/>
    </row>
    <row r="5" spans="1:50">
      <c r="A5" s="1405" t="s">
        <v>708</v>
      </c>
      <c r="B5" s="1405"/>
      <c r="C5" s="1405"/>
      <c r="D5" s="1405"/>
      <c r="E5" s="1405"/>
      <c r="F5" s="1405"/>
      <c r="G5" s="1405"/>
      <c r="H5" s="1405"/>
      <c r="I5" s="1405"/>
      <c r="J5" s="1405"/>
      <c r="K5" s="1405"/>
      <c r="L5" s="1405"/>
      <c r="M5" s="1275"/>
      <c r="N5" s="1275"/>
      <c r="O5" s="1275"/>
    </row>
    <row r="6" spans="1:50">
      <c r="A6" s="1405" t="s">
        <v>1738</v>
      </c>
      <c r="B6" s="1405"/>
      <c r="C6" s="1405"/>
      <c r="D6" s="1405"/>
      <c r="E6" s="1405"/>
      <c r="F6" s="1405"/>
      <c r="G6" s="1405"/>
      <c r="H6" s="1405"/>
      <c r="I6" s="1405"/>
      <c r="J6" s="1405"/>
      <c r="K6" s="1405"/>
      <c r="L6" s="1405"/>
      <c r="M6" s="1275"/>
      <c r="N6" s="1275"/>
      <c r="O6" s="1275"/>
    </row>
    <row r="7" spans="1:50">
      <c r="D7" s="1274"/>
      <c r="N7" s="1">
        <v>1</v>
      </c>
      <c r="O7" s="1">
        <v>0</v>
      </c>
      <c r="P7" s="1">
        <v>0</v>
      </c>
      <c r="Q7" s="1">
        <v>0</v>
      </c>
      <c r="R7" s="1266">
        <f>+SUM(R10:R259)</f>
        <v>140193437.58551058</v>
      </c>
      <c r="S7" s="1266">
        <f>+SUM(S10:S259)</f>
        <v>107258633.47050503</v>
      </c>
      <c r="T7" s="1266">
        <f>+SUM(T10:T259)</f>
        <v>70238276.422495037</v>
      </c>
      <c r="U7" s="1266">
        <f>+SUM(U10:U259)</f>
        <v>47923572.6538091</v>
      </c>
    </row>
    <row r="8" spans="1:50" ht="45" outlineLevel="1">
      <c r="A8" s="67" t="s">
        <v>504</v>
      </c>
      <c r="B8" s="725" t="s">
        <v>1739</v>
      </c>
      <c r="C8" s="725" t="s">
        <v>1740</v>
      </c>
      <c r="D8" s="725" t="s">
        <v>1741</v>
      </c>
      <c r="E8" s="104" t="s">
        <v>1742</v>
      </c>
      <c r="F8" s="104" t="s">
        <v>1743</v>
      </c>
      <c r="G8" s="725" t="s">
        <v>1744</v>
      </c>
      <c r="H8" s="725" t="s">
        <v>1745</v>
      </c>
      <c r="I8" s="710" t="s">
        <v>1746</v>
      </c>
      <c r="J8" s="725" t="s">
        <v>1747</v>
      </c>
      <c r="K8" s="725" t="s">
        <v>1748</v>
      </c>
      <c r="L8" s="725" t="s">
        <v>1749</v>
      </c>
      <c r="M8"/>
      <c r="N8" s="1298" t="s">
        <v>4170</v>
      </c>
      <c r="O8" s="1298" t="s">
        <v>4171</v>
      </c>
      <c r="P8" s="1298" t="s">
        <v>4172</v>
      </c>
      <c r="Q8" s="1298" t="s">
        <v>4173</v>
      </c>
      <c r="R8" s="556" t="s">
        <v>4175</v>
      </c>
      <c r="S8" s="556" t="s">
        <v>4176</v>
      </c>
      <c r="T8" s="556" t="s">
        <v>4178</v>
      </c>
      <c r="U8" s="556" t="s">
        <v>4177</v>
      </c>
      <c r="V8" s="556"/>
      <c r="W8" s="556"/>
      <c r="X8" s="556"/>
      <c r="Y8" s="556"/>
      <c r="Z8" s="556"/>
      <c r="AA8" s="556"/>
      <c r="AB8" s="556"/>
      <c r="AC8" s="556"/>
      <c r="AD8" s="556"/>
      <c r="AF8" s="1273" t="s">
        <v>1750</v>
      </c>
      <c r="AL8" s="2"/>
    </row>
    <row r="9" spans="1:50" outlineLevel="1">
      <c r="A9" s="67"/>
      <c r="B9" s="725" t="s">
        <v>439</v>
      </c>
      <c r="C9" s="725" t="s">
        <v>208</v>
      </c>
      <c r="D9" s="725" t="s">
        <v>209</v>
      </c>
      <c r="E9" s="104" t="s">
        <v>440</v>
      </c>
      <c r="F9" s="104" t="s">
        <v>441</v>
      </c>
      <c r="G9" s="725" t="s">
        <v>442</v>
      </c>
      <c r="H9" s="725" t="s">
        <v>443</v>
      </c>
      <c r="I9" s="726" t="s">
        <v>444</v>
      </c>
      <c r="J9" s="725" t="s">
        <v>445</v>
      </c>
      <c r="K9" s="725" t="s">
        <v>446</v>
      </c>
      <c r="L9" s="725" t="s">
        <v>447</v>
      </c>
      <c r="M9"/>
      <c r="N9"/>
      <c r="O9"/>
      <c r="P9"/>
      <c r="Q9"/>
      <c r="AF9" s="1272" t="s">
        <v>1751</v>
      </c>
      <c r="AL9" s="2"/>
    </row>
    <row r="10" spans="1:50" ht="14.25" customHeight="1" outlineLevel="1">
      <c r="A10" s="545">
        <v>1</v>
      </c>
      <c r="B10" s="716" t="s">
        <v>1752</v>
      </c>
      <c r="C10" s="727" t="s">
        <v>1753</v>
      </c>
      <c r="D10" s="727" t="s">
        <v>1754</v>
      </c>
      <c r="E10" s="559">
        <v>303</v>
      </c>
      <c r="F10" s="1302" cm="1">
        <f t="array" ref="F10">+IF(SUM(VALUE(N10:Q10)*$N$7:$Q$7)=0,R10,T10)</f>
        <v>3980874.52</v>
      </c>
      <c r="G10" s="103">
        <f>+F10</f>
        <v>3980874.52</v>
      </c>
      <c r="H10" s="990">
        <v>45657</v>
      </c>
      <c r="I10" s="1302" cm="1">
        <f t="array" ref="I10">+IF(SUM(VALUE(N10:Q10)*$N$7:$Q$7)=0,S10,U10)</f>
        <v>1038161.99</v>
      </c>
      <c r="J10" s="103">
        <f t="shared" ref="J10:J30" si="0">+I10</f>
        <v>1038161.99</v>
      </c>
      <c r="K10" s="575">
        <v>46022</v>
      </c>
      <c r="L10" s="6">
        <v>250000</v>
      </c>
      <c r="M10"/>
      <c r="N10" s="1299">
        <v>0</v>
      </c>
      <c r="O10" s="1300">
        <v>0</v>
      </c>
      <c r="P10" s="1300">
        <v>1</v>
      </c>
      <c r="Q10" s="1300">
        <v>0</v>
      </c>
      <c r="R10" s="1266">
        <v>3980874.52</v>
      </c>
      <c r="S10" s="1266">
        <v>1038161.99</v>
      </c>
      <c r="T10" s="1266">
        <f>+IF($Q10=1,$G10,INDEX([1]Summary!$K$5:$K$110,MATCH($C10,[1]Summary!$D$5:$D111,0)))</f>
        <v>3643178.61</v>
      </c>
      <c r="U10" s="1266">
        <f>+IF($Q10=1,$J10,INDEX([1]Summary!$L$5:$L$110,MATCH($C10,[1]Summary!$D$5:$D111,0)))</f>
        <v>0</v>
      </c>
      <c r="AF10" s="1272"/>
      <c r="AL10" s="2"/>
    </row>
    <row r="11" spans="1:50" outlineLevel="1">
      <c r="A11" s="545">
        <f>MAX($A$10:A10)+1</f>
        <v>2</v>
      </c>
      <c r="B11" s="716" t="s">
        <v>1752</v>
      </c>
      <c r="C11" s="716" t="s">
        <v>1755</v>
      </c>
      <c r="D11" s="716" t="s">
        <v>1756</v>
      </c>
      <c r="E11" s="559">
        <v>303</v>
      </c>
      <c r="F11" s="1302" cm="1">
        <f t="array" ref="F11">+IF(SUM(VALUE(N11:Q11)*$N$7:$Q$7)=0,R11,T11)</f>
        <v>148544.66</v>
      </c>
      <c r="G11" s="103">
        <f>+F11</f>
        <v>148544.66</v>
      </c>
      <c r="H11" s="575">
        <v>45657</v>
      </c>
      <c r="I11" s="1302" cm="1">
        <f t="array" ref="I11">+IF(SUM(VALUE(N11:Q11)*$N$7:$Q$7)=0,S11,U11)</f>
        <v>185337.55</v>
      </c>
      <c r="J11" s="103">
        <f t="shared" si="0"/>
        <v>185337.55</v>
      </c>
      <c r="K11" s="575">
        <v>46022</v>
      </c>
      <c r="L11" s="6">
        <v>12500</v>
      </c>
      <c r="M11"/>
      <c r="N11" s="1299">
        <v>0</v>
      </c>
      <c r="O11" s="1300">
        <v>0</v>
      </c>
      <c r="P11" s="1300">
        <v>1</v>
      </c>
      <c r="Q11" s="1300">
        <v>0</v>
      </c>
      <c r="R11" s="1266">
        <v>148544.66</v>
      </c>
      <c r="S11" s="1266">
        <v>185337.55</v>
      </c>
      <c r="T11" s="1266">
        <f>+IF($Q11=1,$G11,INDEX([1]Summary!$K$5:$K$110,MATCH($C11,[1]Summary!$D$5:$D112,0)))</f>
        <v>89593.503333333341</v>
      </c>
      <c r="U11" s="1266">
        <f>+IF($Q11=1,$J11,INDEX([1]Summary!$L$5:$L$110,MATCH($C11,[1]Summary!$D$5:$D112,0)))</f>
        <v>89593.503333333341</v>
      </c>
      <c r="V11" s="721"/>
      <c r="W11" s="721"/>
      <c r="X11" s="721"/>
      <c r="Y11" s="721"/>
      <c r="Z11" s="721"/>
      <c r="AA11" s="721"/>
      <c r="AB11" s="721"/>
      <c r="AC11" s="721"/>
      <c r="AD11" s="721"/>
      <c r="AF11" s="720"/>
      <c r="AI11" s="105"/>
      <c r="AJ11" s="105"/>
      <c r="AL11" s="2"/>
      <c r="AN11" s="105"/>
      <c r="AO11" s="105"/>
      <c r="AP11" s="105"/>
      <c r="AS11" s="105"/>
      <c r="AT11" s="721"/>
      <c r="AW11" s="105"/>
      <c r="AX11" s="721"/>
    </row>
    <row r="12" spans="1:50" outlineLevel="1">
      <c r="A12" s="545">
        <f>MAX($A$10:A11)+1</f>
        <v>3</v>
      </c>
      <c r="B12" s="716" t="s">
        <v>1752</v>
      </c>
      <c r="C12" s="14" t="s">
        <v>1757</v>
      </c>
      <c r="D12" s="14" t="s">
        <v>1758</v>
      </c>
      <c r="E12" s="559">
        <v>303</v>
      </c>
      <c r="F12" s="1302" cm="1">
        <f t="array" ref="F12">+IF(SUM(VALUE(N12:Q12)*$N$7:$Q$7)=0,R12,T12)</f>
        <v>0</v>
      </c>
      <c r="G12" s="103"/>
      <c r="H12" s="103"/>
      <c r="I12" s="1302" cm="1">
        <f t="array" ref="I12">+IF(SUM(VALUE(N12:Q12)*$N$7:$Q$7)=0,S12,U12)</f>
        <v>2616181.56</v>
      </c>
      <c r="J12" s="103">
        <f t="shared" si="0"/>
        <v>2616181.56</v>
      </c>
      <c r="K12" s="575">
        <v>45839</v>
      </c>
      <c r="L12" s="6">
        <v>20000</v>
      </c>
      <c r="M12"/>
      <c r="N12" s="1299">
        <v>0</v>
      </c>
      <c r="O12" s="1300">
        <v>1</v>
      </c>
      <c r="P12" s="1300">
        <v>0</v>
      </c>
      <c r="Q12" s="1300">
        <v>0</v>
      </c>
      <c r="R12" s="1266">
        <v>0</v>
      </c>
      <c r="S12" s="1266">
        <v>2616181.56</v>
      </c>
      <c r="T12" s="1266">
        <f>+IF($Q12=1,$G12,INDEX([1]Summary!$K$5:$K$110,MATCH($C12,[1]Summary!$D$5:$D113,0)))</f>
        <v>0</v>
      </c>
      <c r="U12" s="1266">
        <f>+IF($Q12=1,$J12,INDEX([1]Summary!$L$5:$L$110,MATCH($C12,[1]Summary!$D$5:$D113,0)))</f>
        <v>2616181.56</v>
      </c>
      <c r="V12" s="721"/>
      <c r="W12" s="721"/>
      <c r="X12" s="721"/>
      <c r="Y12" s="721"/>
      <c r="Z12" s="721"/>
      <c r="AA12" s="721"/>
      <c r="AB12" s="721"/>
      <c r="AC12" s="721"/>
      <c r="AD12" s="721"/>
      <c r="AF12" s="720"/>
      <c r="AI12" s="105"/>
      <c r="AJ12" s="105"/>
      <c r="AL12" s="2"/>
      <c r="AN12" s="105"/>
      <c r="AO12" s="105"/>
      <c r="AP12" s="105"/>
      <c r="AS12" s="105"/>
      <c r="AT12" s="721"/>
      <c r="AW12" s="105"/>
      <c r="AX12" s="721"/>
    </row>
    <row r="13" spans="1:50" outlineLevel="1">
      <c r="A13" s="545">
        <f>MAX($A$10:A12)+1</f>
        <v>4</v>
      </c>
      <c r="B13" s="716" t="s">
        <v>1752</v>
      </c>
      <c r="C13" s="716" t="s">
        <v>1759</v>
      </c>
      <c r="D13" s="716" t="s">
        <v>1760</v>
      </c>
      <c r="E13" s="559">
        <v>303</v>
      </c>
      <c r="F13" s="1302" cm="1">
        <f t="array" ref="F13">+IF(SUM(VALUE(N13:Q13)*$N$7:$Q$7)=0,R13,T13)</f>
        <v>109304.13</v>
      </c>
      <c r="G13" s="103">
        <f>+F13</f>
        <v>109304.13</v>
      </c>
      <c r="H13" s="575">
        <v>45657</v>
      </c>
      <c r="I13" s="1302" cm="1">
        <f t="array" ref="I13">+IF(SUM(VALUE(N13:Q13)*$N$7:$Q$7)=0,S13,U13)</f>
        <v>20571.150000000001</v>
      </c>
      <c r="J13" s="103">
        <f t="shared" si="0"/>
        <v>20571.150000000001</v>
      </c>
      <c r="K13" s="575">
        <v>46022</v>
      </c>
      <c r="L13" s="6"/>
      <c r="M13"/>
      <c r="N13" s="1299">
        <v>0</v>
      </c>
      <c r="O13" s="1300">
        <v>0</v>
      </c>
      <c r="P13" s="1300">
        <v>0</v>
      </c>
      <c r="Q13" s="1300">
        <v>1</v>
      </c>
      <c r="R13" s="1266">
        <v>109304.13</v>
      </c>
      <c r="S13" s="1266">
        <v>20571.150000000001</v>
      </c>
      <c r="T13" s="1266">
        <f>+IF($Q13=1,$G13,INDEX([1]Summary!$K$5:$K$110,MATCH($C13,[1]Summary!$D$5:$D114,0)))</f>
        <v>109304.13</v>
      </c>
      <c r="U13" s="1266">
        <f>+IF($Q13=1,$J13,INDEX([1]Summary!$L$5:$L$110,MATCH($C13,[1]Summary!$D$5:$D114,0)))</f>
        <v>20571.150000000001</v>
      </c>
      <c r="V13" s="721"/>
      <c r="W13" s="721"/>
      <c r="X13" s="721"/>
      <c r="Y13" s="721"/>
      <c r="Z13" s="721"/>
      <c r="AA13" s="721"/>
      <c r="AB13" s="721"/>
      <c r="AC13" s="721"/>
      <c r="AD13" s="721"/>
      <c r="AF13" s="720"/>
      <c r="AI13" s="105"/>
      <c r="AJ13" s="105"/>
      <c r="AN13" s="105"/>
      <c r="AO13" s="105"/>
      <c r="AP13" s="105"/>
      <c r="AS13" s="105"/>
      <c r="AT13" s="721"/>
      <c r="AW13" s="105"/>
      <c r="AX13" s="721"/>
    </row>
    <row r="14" spans="1:50" outlineLevel="1">
      <c r="A14" s="545">
        <f>MAX($A$10:A13)+1</f>
        <v>5</v>
      </c>
      <c r="B14" s="716" t="s">
        <v>1752</v>
      </c>
      <c r="C14" s="716" t="s">
        <v>1761</v>
      </c>
      <c r="D14" s="716" t="s">
        <v>1762</v>
      </c>
      <c r="E14" s="559">
        <v>303</v>
      </c>
      <c r="F14" s="1302" cm="1">
        <f t="array" ref="F14">+IF(SUM(VALUE(N14:Q14)*$N$7:$Q$7)=0,R14,T14)</f>
        <v>3016751.45</v>
      </c>
      <c r="G14" s="103">
        <f>+F14</f>
        <v>3016751.45</v>
      </c>
      <c r="H14" s="575">
        <v>45595</v>
      </c>
      <c r="I14" s="1302" cm="1">
        <f t="array" ref="I14">+IF(SUM(VALUE(N14:Q14)*$N$7:$Q$7)=0,S14,U14)</f>
        <v>0</v>
      </c>
      <c r="J14" s="103">
        <f t="shared" si="0"/>
        <v>0</v>
      </c>
      <c r="K14" s="103"/>
      <c r="L14" s="6"/>
      <c r="M14"/>
      <c r="N14" s="1299">
        <v>0</v>
      </c>
      <c r="O14" s="1300">
        <v>1</v>
      </c>
      <c r="P14" s="1300">
        <v>0</v>
      </c>
      <c r="Q14" s="1300">
        <v>0</v>
      </c>
      <c r="R14" s="1266">
        <v>3016751.45</v>
      </c>
      <c r="S14" s="1266">
        <v>0</v>
      </c>
      <c r="T14" s="1266">
        <f>+IF($Q14=1,$G14,INDEX([1]Summary!$K$5:$K$110,MATCH($C14,[1]Summary!$D$5:$D115,0)))</f>
        <v>3016751.45</v>
      </c>
      <c r="U14" s="1266">
        <f>+IF($Q14=1,$J14,INDEX([1]Summary!$L$5:$L$110,MATCH($C14,[1]Summary!$D$5:$D115,0)))</f>
        <v>0</v>
      </c>
      <c r="V14" s="721"/>
      <c r="W14" s="721"/>
      <c r="X14" s="721"/>
      <c r="Y14" s="721"/>
      <c r="Z14" s="721"/>
      <c r="AA14" s="721"/>
      <c r="AB14" s="721"/>
      <c r="AC14" s="721"/>
      <c r="AD14" s="721"/>
      <c r="AF14" s="720"/>
      <c r="AI14" s="105"/>
      <c r="AJ14" s="105"/>
      <c r="AN14" s="105"/>
      <c r="AO14" s="105"/>
      <c r="AP14" s="105"/>
      <c r="AS14" s="105"/>
      <c r="AT14" s="721"/>
      <c r="AW14" s="105"/>
      <c r="AX14" s="721"/>
    </row>
    <row r="15" spans="1:50" outlineLevel="1">
      <c r="A15" s="545">
        <f>MAX($A$10:A14)+1</f>
        <v>6</v>
      </c>
      <c r="B15" s="716" t="s">
        <v>1752</v>
      </c>
      <c r="C15" s="14" t="s">
        <v>1763</v>
      </c>
      <c r="D15" s="14" t="s">
        <v>1764</v>
      </c>
      <c r="E15" s="559">
        <v>303</v>
      </c>
      <c r="F15" s="1302" cm="1">
        <f t="array" ref="F15">+IF(SUM(VALUE(N15:Q15)*$N$7:$Q$7)=0,R15,T15)</f>
        <v>0</v>
      </c>
      <c r="G15" s="103"/>
      <c r="I15" s="1302" cm="1">
        <f t="array" ref="I15">+IF(SUM(VALUE(N15:Q15)*$N$7:$Q$7)=0,S15,U15)</f>
        <v>5054117.12</v>
      </c>
      <c r="J15" s="103">
        <f t="shared" si="0"/>
        <v>5054117.12</v>
      </c>
      <c r="K15" s="717">
        <v>45962</v>
      </c>
      <c r="L15" s="6"/>
      <c r="M15"/>
      <c r="N15" s="1299">
        <v>0</v>
      </c>
      <c r="O15" s="1300">
        <v>1</v>
      </c>
      <c r="P15" s="1300">
        <v>0</v>
      </c>
      <c r="Q15" s="1300">
        <v>0</v>
      </c>
      <c r="R15" s="1266">
        <v>0</v>
      </c>
      <c r="S15" s="1266">
        <v>5054117.12</v>
      </c>
      <c r="T15" s="1266">
        <f>+IF($Q15=1,$G15,INDEX([1]Summary!$K$5:$K$110,MATCH($C15,[1]Summary!$D$5:$D116,0)))</f>
        <v>0</v>
      </c>
      <c r="U15" s="1266">
        <f>+IF($Q15=1,$J15,INDEX([1]Summary!$L$5:$L$110,MATCH($C15,[1]Summary!$D$5:$D116,0)))</f>
        <v>0</v>
      </c>
      <c r="V15" s="721"/>
      <c r="W15" s="721"/>
      <c r="X15" s="721"/>
      <c r="Y15" s="721"/>
      <c r="Z15" s="721"/>
      <c r="AA15" s="721"/>
      <c r="AB15" s="721"/>
      <c r="AC15" s="721"/>
      <c r="AD15" s="721"/>
      <c r="AF15" s="720"/>
      <c r="AI15" s="105"/>
      <c r="AJ15" s="105"/>
      <c r="AN15" s="105"/>
      <c r="AO15" s="105"/>
      <c r="AP15" s="105"/>
      <c r="AS15" s="105"/>
      <c r="AT15" s="721"/>
      <c r="AW15" s="105"/>
      <c r="AX15" s="721"/>
    </row>
    <row r="16" spans="1:50" outlineLevel="1">
      <c r="A16" s="545">
        <f>MAX($A$10:A15)+1</f>
        <v>7</v>
      </c>
      <c r="B16" s="716" t="s">
        <v>1752</v>
      </c>
      <c r="C16" s="716" t="s">
        <v>1765</v>
      </c>
      <c r="D16" s="716" t="s">
        <v>1766</v>
      </c>
      <c r="E16" s="559">
        <v>303</v>
      </c>
      <c r="F16" s="1302" cm="1">
        <f t="array" ref="F16">+IF(SUM(VALUE(N16:Q16)*$N$7:$Q$7)=0,R16,T16)</f>
        <v>44563.44</v>
      </c>
      <c r="G16" s="103">
        <f t="shared" ref="G16:G25" si="1">+F16</f>
        <v>44563.44</v>
      </c>
      <c r="H16" s="717">
        <v>45657</v>
      </c>
      <c r="I16" s="1302" cm="1">
        <f t="array" ref="I16">+IF(SUM(VALUE(N16:Q16)*$N$7:$Q$7)=0,S16,U16)</f>
        <v>48576.72</v>
      </c>
      <c r="J16" s="103">
        <f t="shared" si="0"/>
        <v>48576.72</v>
      </c>
      <c r="K16" s="575">
        <v>46022</v>
      </c>
      <c r="L16" s="6"/>
      <c r="M16"/>
      <c r="N16" s="1299">
        <v>0</v>
      </c>
      <c r="O16" s="1300">
        <v>0</v>
      </c>
      <c r="P16" s="1300">
        <v>1</v>
      </c>
      <c r="Q16" s="1300">
        <v>0</v>
      </c>
      <c r="R16" s="1266">
        <v>44563.44</v>
      </c>
      <c r="S16" s="1266">
        <v>48576.72</v>
      </c>
      <c r="T16" s="1266">
        <f>+IF($Q16=1,$G16,INDEX([1]Summary!$K$5:$K$110,MATCH($C16,[1]Summary!$D$5:$D117,0)))</f>
        <v>30964.215000000004</v>
      </c>
      <c r="U16" s="1266">
        <f>+IF($Q16=1,$J16,INDEX([1]Summary!$L$5:$L$110,MATCH($C16,[1]Summary!$D$5:$D117,0)))</f>
        <v>30964.215000000004</v>
      </c>
      <c r="V16" s="721"/>
      <c r="W16" s="721"/>
      <c r="X16" s="721"/>
      <c r="Y16" s="721"/>
      <c r="Z16" s="721"/>
      <c r="AA16" s="721"/>
      <c r="AB16" s="721"/>
      <c r="AC16" s="721"/>
      <c r="AD16" s="721"/>
      <c r="AF16" s="720"/>
      <c r="AI16" s="105"/>
      <c r="AJ16" s="105"/>
      <c r="AN16" s="105"/>
      <c r="AO16" s="105"/>
      <c r="AP16" s="105"/>
      <c r="AS16" s="105"/>
      <c r="AT16" s="721"/>
      <c r="AW16" s="105"/>
      <c r="AX16" s="721"/>
    </row>
    <row r="17" spans="1:50" outlineLevel="1">
      <c r="A17" s="545">
        <f>MAX($A$10:A16)+1</f>
        <v>8</v>
      </c>
      <c r="B17" s="716" t="s">
        <v>1752</v>
      </c>
      <c r="C17" s="716" t="s">
        <v>1767</v>
      </c>
      <c r="D17" s="716" t="s">
        <v>1768</v>
      </c>
      <c r="E17" s="559">
        <v>303</v>
      </c>
      <c r="F17" s="1302" cm="1">
        <f t="array" ref="F17">+IF(SUM(VALUE(N17:Q17)*$N$7:$Q$7)=0,R17,T17)</f>
        <v>395808.65</v>
      </c>
      <c r="G17" s="103">
        <f t="shared" si="1"/>
        <v>395808.65</v>
      </c>
      <c r="H17" s="717">
        <v>45505</v>
      </c>
      <c r="I17" s="1302" cm="1">
        <f t="array" ref="I17">+IF(SUM(VALUE(N17:Q17)*$N$7:$Q$7)=0,S17,U17)</f>
        <v>0</v>
      </c>
      <c r="J17" s="103">
        <f t="shared" si="0"/>
        <v>0</v>
      </c>
      <c r="K17" s="103"/>
      <c r="L17" s="6"/>
      <c r="M17"/>
      <c r="N17" s="1299">
        <v>0</v>
      </c>
      <c r="O17" s="1300">
        <v>0</v>
      </c>
      <c r="P17" s="1300">
        <v>0</v>
      </c>
      <c r="Q17" s="1300">
        <v>1</v>
      </c>
      <c r="R17" s="1266">
        <v>395808.65</v>
      </c>
      <c r="S17" s="1266">
        <v>0</v>
      </c>
      <c r="T17" s="1266">
        <f>+IF($Q17=1,$G17,INDEX([1]Summary!$K$5:$K$110,MATCH($C17,[1]Summary!$D$5:$D118,0)))</f>
        <v>395808.65</v>
      </c>
      <c r="U17" s="1266">
        <f>+IF($Q17=1,$J17,INDEX([1]Summary!$L$5:$L$110,MATCH($C17,[1]Summary!$D$5:$D118,0)))</f>
        <v>0</v>
      </c>
      <c r="V17" s="721"/>
      <c r="W17" s="721"/>
      <c r="X17" s="721"/>
      <c r="Y17" s="721"/>
      <c r="Z17" s="721"/>
      <c r="AA17" s="721"/>
      <c r="AB17" s="721"/>
      <c r="AC17" s="721"/>
      <c r="AD17" s="721"/>
      <c r="AF17" s="720"/>
      <c r="AI17" s="105"/>
      <c r="AJ17" s="105"/>
      <c r="AL17" s="2"/>
      <c r="AN17" s="105"/>
      <c r="AO17" s="105"/>
      <c r="AP17" s="105"/>
      <c r="AS17" s="105"/>
      <c r="AT17" s="721"/>
      <c r="AW17" s="105"/>
      <c r="AX17" s="721"/>
    </row>
    <row r="18" spans="1:50" outlineLevel="1">
      <c r="A18" s="545">
        <f>MAX($A$10:A17)+1</f>
        <v>9</v>
      </c>
      <c r="B18" s="716" t="s">
        <v>1752</v>
      </c>
      <c r="C18" s="716" t="s">
        <v>1769</v>
      </c>
      <c r="D18" s="716" t="s">
        <v>1770</v>
      </c>
      <c r="E18" s="559">
        <v>303</v>
      </c>
      <c r="F18" s="1302" cm="1">
        <f t="array" ref="F18">+IF(SUM(VALUE(N18:Q18)*$N$7:$Q$7)=0,R18,T18)</f>
        <v>249076.76</v>
      </c>
      <c r="G18" s="103">
        <f t="shared" si="1"/>
        <v>249076.76</v>
      </c>
      <c r="H18" s="717">
        <v>45565</v>
      </c>
      <c r="I18" s="1302" cm="1">
        <f t="array" ref="I18">+IF(SUM(VALUE(N18:Q18)*$N$7:$Q$7)=0,S18,U18)</f>
        <v>0</v>
      </c>
      <c r="J18" s="103">
        <f t="shared" si="0"/>
        <v>0</v>
      </c>
      <c r="K18" s="103"/>
      <c r="L18" s="6"/>
      <c r="M18"/>
      <c r="N18" s="1299">
        <v>0</v>
      </c>
      <c r="O18" s="1300">
        <v>0</v>
      </c>
      <c r="P18" s="1300">
        <v>0</v>
      </c>
      <c r="Q18" s="1300">
        <v>1</v>
      </c>
      <c r="R18" s="1266">
        <v>249076.76</v>
      </c>
      <c r="S18" s="1266">
        <v>0</v>
      </c>
      <c r="T18" s="1266">
        <f>+IF($Q18=1,$G18,INDEX([1]Summary!$K$5:$K$110,MATCH($C18,[1]Summary!$D$5:$D119,0)))</f>
        <v>249076.76</v>
      </c>
      <c r="U18" s="1266">
        <f>+IF($Q18=1,$J18,INDEX([1]Summary!$L$5:$L$110,MATCH($C18,[1]Summary!$D$5:$D119,0)))</f>
        <v>0</v>
      </c>
      <c r="V18" s="721"/>
      <c r="W18" s="721"/>
      <c r="X18" s="721"/>
      <c r="Y18" s="721"/>
      <c r="Z18" s="721"/>
      <c r="AA18" s="721"/>
      <c r="AB18" s="721"/>
      <c r="AC18" s="721"/>
      <c r="AD18" s="721"/>
      <c r="AF18" s="720"/>
      <c r="AI18" s="105"/>
      <c r="AJ18" s="105"/>
      <c r="AL18" s="2"/>
      <c r="AN18" s="105"/>
      <c r="AO18" s="105"/>
      <c r="AP18" s="105"/>
      <c r="AS18" s="105"/>
      <c r="AT18" s="721"/>
      <c r="AW18" s="105"/>
      <c r="AX18" s="721"/>
    </row>
    <row r="19" spans="1:50" outlineLevel="1">
      <c r="A19" s="545">
        <f>MAX($A$10:A18)+1</f>
        <v>10</v>
      </c>
      <c r="B19" s="716" t="s">
        <v>1752</v>
      </c>
      <c r="C19" s="14" t="s">
        <v>1771</v>
      </c>
      <c r="D19" s="14" t="s">
        <v>1772</v>
      </c>
      <c r="E19" s="559">
        <v>303</v>
      </c>
      <c r="F19" s="1302" cm="1">
        <f t="array" ref="F19">+IF(SUM(VALUE(N19:Q19)*$N$7:$Q$7)=0,R19,T19)</f>
        <v>0</v>
      </c>
      <c r="G19" s="103">
        <f t="shared" si="1"/>
        <v>0</v>
      </c>
      <c r="I19" s="1302" cm="1">
        <f t="array" ref="I19">+IF(SUM(VALUE(N19:Q19)*$N$7:$Q$7)=0,S19,U19)</f>
        <v>870373.19</v>
      </c>
      <c r="J19" s="103">
        <f t="shared" si="0"/>
        <v>870373.19</v>
      </c>
      <c r="K19" s="717">
        <v>45991</v>
      </c>
      <c r="L19" s="6"/>
      <c r="M19"/>
      <c r="N19" s="1299">
        <v>0</v>
      </c>
      <c r="O19" s="1300">
        <v>0</v>
      </c>
      <c r="P19" s="1300">
        <v>0</v>
      </c>
      <c r="Q19" s="1300">
        <v>1</v>
      </c>
      <c r="R19" s="1266">
        <v>0</v>
      </c>
      <c r="S19" s="1266">
        <v>870373.19</v>
      </c>
      <c r="T19" s="1266">
        <f>+IF($Q19=1,$G19,INDEX([1]Summary!$K$5:$K$110,MATCH($C19,[1]Summary!$D$5:$D120,0)))</f>
        <v>0</v>
      </c>
      <c r="U19" s="1266">
        <f>+IF($Q19=1,$J19,INDEX([1]Summary!$L$5:$L$110,MATCH($C19,[1]Summary!$D$5:$D120,0)))</f>
        <v>870373.19</v>
      </c>
      <c r="V19" s="721"/>
      <c r="W19" s="721"/>
      <c r="X19" s="721"/>
      <c r="Y19" s="721"/>
      <c r="Z19" s="721"/>
      <c r="AA19" s="721"/>
      <c r="AB19" s="721"/>
      <c r="AC19" s="721"/>
      <c r="AD19" s="721"/>
      <c r="AF19" s="720"/>
      <c r="AI19" s="105"/>
      <c r="AJ19" s="105"/>
      <c r="AL19" s="2"/>
      <c r="AN19" s="105"/>
      <c r="AO19" s="105"/>
      <c r="AP19" s="105"/>
      <c r="AS19" s="105"/>
      <c r="AT19" s="721"/>
      <c r="AW19" s="105"/>
      <c r="AX19" s="721"/>
    </row>
    <row r="20" spans="1:50" outlineLevel="1">
      <c r="A20" s="545">
        <f>MAX($A$10:A19)+1</f>
        <v>11</v>
      </c>
      <c r="B20" s="716" t="s">
        <v>1752</v>
      </c>
      <c r="C20" s="716" t="s">
        <v>1773</v>
      </c>
      <c r="D20" s="1" t="s">
        <v>1774</v>
      </c>
      <c r="E20" s="559">
        <v>303</v>
      </c>
      <c r="F20" s="1302" cm="1">
        <f t="array" ref="F20">+IF(SUM(VALUE(N20:Q20)*$N$7:$Q$7)=0,R20,T20)</f>
        <v>0</v>
      </c>
      <c r="G20" s="103">
        <f t="shared" si="1"/>
        <v>0</v>
      </c>
      <c r="H20" s="717"/>
      <c r="I20" s="1302" cm="1">
        <f t="array" ref="I20">+IF(SUM(VALUE(N20:Q20)*$N$7:$Q$7)=0,S20,U20)</f>
        <v>52427.32</v>
      </c>
      <c r="J20" s="103">
        <f t="shared" si="0"/>
        <v>52427.32</v>
      </c>
      <c r="K20" s="575">
        <v>45809</v>
      </c>
      <c r="L20" s="6"/>
      <c r="M20"/>
      <c r="N20" s="1299">
        <v>0</v>
      </c>
      <c r="O20" s="1300">
        <v>0</v>
      </c>
      <c r="P20" s="1300">
        <v>0</v>
      </c>
      <c r="Q20" s="1300">
        <v>1</v>
      </c>
      <c r="R20" s="1266">
        <v>0</v>
      </c>
      <c r="S20" s="1266">
        <v>52427.32</v>
      </c>
      <c r="T20" s="1266">
        <f>+IF($Q20=1,$G20,INDEX([1]Summary!$K$5:$K$110,MATCH($C20,[1]Summary!$D$5:$D121,0)))</f>
        <v>0</v>
      </c>
      <c r="U20" s="1266">
        <f>+IF($Q20=1,$J20,INDEX([1]Summary!$L$5:$L$110,MATCH($C20,[1]Summary!$D$5:$D121,0)))</f>
        <v>52427.32</v>
      </c>
      <c r="V20" s="721"/>
      <c r="W20" s="721"/>
      <c r="X20" s="721"/>
      <c r="Y20" s="721"/>
      <c r="Z20" s="721"/>
      <c r="AA20" s="721"/>
      <c r="AB20" s="721"/>
      <c r="AC20" s="721"/>
      <c r="AD20" s="721"/>
      <c r="AF20" s="720"/>
      <c r="AI20" s="105"/>
      <c r="AJ20" s="105"/>
      <c r="AL20" s="2"/>
      <c r="AN20" s="105"/>
      <c r="AO20" s="105"/>
      <c r="AP20" s="105"/>
      <c r="AS20" s="105"/>
      <c r="AT20" s="721"/>
      <c r="AW20" s="105"/>
      <c r="AX20" s="721"/>
    </row>
    <row r="21" spans="1:50" outlineLevel="1">
      <c r="A21" s="545">
        <f>MAX($A$10:A20)+1</f>
        <v>12</v>
      </c>
      <c r="B21" s="716" t="s">
        <v>1752</v>
      </c>
      <c r="C21" s="716" t="s">
        <v>1775</v>
      </c>
      <c r="D21" s="1" t="s">
        <v>1776</v>
      </c>
      <c r="E21" s="559">
        <v>303</v>
      </c>
      <c r="F21" s="1302" cm="1">
        <f t="array" ref="F21">+IF(SUM(VALUE(N21:Q21)*$N$7:$Q$7)=0,R21,T21)</f>
        <v>0</v>
      </c>
      <c r="G21" s="103">
        <f t="shared" si="1"/>
        <v>0</v>
      </c>
      <c r="I21" s="1302" cm="1">
        <f t="array" ref="I21">+IF(SUM(VALUE(N21:Q21)*$N$7:$Q$7)=0,S21,U21)</f>
        <v>267463.90999999997</v>
      </c>
      <c r="J21" s="103">
        <f t="shared" si="0"/>
        <v>267463.90999999997</v>
      </c>
      <c r="K21" s="717">
        <v>46022</v>
      </c>
      <c r="L21" s="6">
        <v>175000</v>
      </c>
      <c r="M21"/>
      <c r="N21" s="1299">
        <v>0</v>
      </c>
      <c r="O21" s="1300">
        <v>0</v>
      </c>
      <c r="P21" s="1300">
        <v>0</v>
      </c>
      <c r="Q21" s="1300">
        <v>1</v>
      </c>
      <c r="R21" s="1266">
        <v>0</v>
      </c>
      <c r="S21" s="1266">
        <v>267463.90999999997</v>
      </c>
      <c r="T21" s="1266">
        <f>+IF($Q21=1,$G21,INDEX([1]Summary!$K$5:$K$110,MATCH($C21,[1]Summary!$D$5:$D122,0)))</f>
        <v>0</v>
      </c>
      <c r="U21" s="1266">
        <f>+IF($Q21=1,$J21,INDEX([1]Summary!$L$5:$L$110,MATCH($C21,[1]Summary!$D$5:$D122,0)))</f>
        <v>267463.90999999997</v>
      </c>
      <c r="V21" s="721"/>
      <c r="W21" s="721"/>
      <c r="X21" s="721"/>
      <c r="Y21" s="721"/>
      <c r="Z21" s="721"/>
      <c r="AA21" s="721"/>
      <c r="AB21" s="721"/>
      <c r="AC21" s="721"/>
      <c r="AD21" s="721"/>
      <c r="AF21" s="720"/>
      <c r="AI21" s="105"/>
      <c r="AJ21" s="105"/>
      <c r="AL21" s="2"/>
      <c r="AN21" s="105"/>
      <c r="AO21" s="105"/>
      <c r="AP21" s="105"/>
      <c r="AS21" s="105"/>
      <c r="AT21" s="721"/>
      <c r="AW21" s="105"/>
      <c r="AX21" s="721"/>
    </row>
    <row r="22" spans="1:50" outlineLevel="1">
      <c r="A22" s="545">
        <f>MAX($A$10:A21)+1</f>
        <v>13</v>
      </c>
      <c r="B22" s="716" t="s">
        <v>1752</v>
      </c>
      <c r="C22" s="716" t="s">
        <v>1777</v>
      </c>
      <c r="D22" s="716" t="s">
        <v>1778</v>
      </c>
      <c r="E22" s="559">
        <v>303</v>
      </c>
      <c r="F22" s="1302" cm="1">
        <f t="array" ref="F22">+IF(SUM(VALUE(N22:Q22)*$N$7:$Q$7)=0,R22,T22)</f>
        <v>41466.040550000005</v>
      </c>
      <c r="G22" s="103">
        <f t="shared" si="1"/>
        <v>41466.040550000005</v>
      </c>
      <c r="H22" s="717">
        <v>45651</v>
      </c>
      <c r="I22" s="1302" cm="1">
        <f t="array" ref="I22">+IF(SUM(VALUE(N22:Q22)*$N$7:$Q$7)=0,S22,U22)</f>
        <v>0</v>
      </c>
      <c r="J22" s="103">
        <f t="shared" si="0"/>
        <v>0</v>
      </c>
      <c r="K22" s="103"/>
      <c r="L22" s="6"/>
      <c r="M22"/>
      <c r="N22" s="1299">
        <v>0</v>
      </c>
      <c r="O22" s="1300">
        <v>0</v>
      </c>
      <c r="P22" s="1300">
        <v>0</v>
      </c>
      <c r="Q22" s="1300">
        <v>1</v>
      </c>
      <c r="R22" s="1266">
        <v>41466.040550000005</v>
      </c>
      <c r="S22" s="1266">
        <v>0</v>
      </c>
      <c r="T22" s="1266">
        <f>+IF($Q22=1,$G22,INDEX([1]Summary!$K$5:$K$110,MATCH($C22,[1]Summary!$D$5:$D123,0)))</f>
        <v>41466.040550000005</v>
      </c>
      <c r="U22" s="1266">
        <f>+IF($Q22=1,$J22,INDEX([1]Summary!$L$5:$L$110,MATCH($C22,[1]Summary!$D$5:$D123,0)))</f>
        <v>0</v>
      </c>
      <c r="V22" s="721"/>
      <c r="W22" s="721"/>
      <c r="X22" s="721"/>
      <c r="Y22" s="721"/>
      <c r="Z22" s="721"/>
      <c r="AA22" s="721"/>
      <c r="AB22" s="721"/>
      <c r="AC22" s="721"/>
      <c r="AD22" s="721"/>
      <c r="AF22" s="720"/>
      <c r="AI22" s="105"/>
      <c r="AJ22" s="105"/>
      <c r="AN22" s="105"/>
      <c r="AO22" s="105"/>
      <c r="AP22" s="105"/>
      <c r="AS22" s="105"/>
      <c r="AT22" s="721"/>
      <c r="AW22" s="105"/>
      <c r="AX22" s="721"/>
    </row>
    <row r="23" spans="1:50" outlineLevel="1">
      <c r="A23" s="545">
        <f>MAX($A$10:A22)+1</f>
        <v>14</v>
      </c>
      <c r="B23" s="716" t="s">
        <v>1752</v>
      </c>
      <c r="C23" s="716" t="s">
        <v>1779</v>
      </c>
      <c r="D23" s="716" t="s">
        <v>1780</v>
      </c>
      <c r="E23" s="559">
        <v>303</v>
      </c>
      <c r="F23" s="1302" cm="1">
        <f t="array" ref="F23">+IF(SUM(VALUE(N23:Q23)*$N$7:$Q$7)=0,R23,T23)</f>
        <v>7539.2800999999999</v>
      </c>
      <c r="G23" s="103">
        <f t="shared" si="1"/>
        <v>7539.2800999999999</v>
      </c>
      <c r="H23" s="717">
        <v>45444</v>
      </c>
      <c r="I23" s="1302" cm="1">
        <f t="array" ref="I23">+IF(SUM(VALUE(N23:Q23)*$N$7:$Q$7)=0,S23,U23)</f>
        <v>0</v>
      </c>
      <c r="J23" s="103">
        <f t="shared" si="0"/>
        <v>0</v>
      </c>
      <c r="K23" s="103"/>
      <c r="L23" s="6"/>
      <c r="M23"/>
      <c r="N23" s="1299">
        <v>0</v>
      </c>
      <c r="O23" s="1300">
        <v>0</v>
      </c>
      <c r="P23" s="1300">
        <v>0</v>
      </c>
      <c r="Q23" s="1300">
        <v>1</v>
      </c>
      <c r="R23" s="1266">
        <v>7539.2800999999999</v>
      </c>
      <c r="S23" s="1266">
        <v>0</v>
      </c>
      <c r="T23" s="1266">
        <f>+IF($Q23=1,$G23,INDEX([1]Summary!$K$5:$K$110,MATCH($C23,[1]Summary!$D$5:$D124,0)))</f>
        <v>7539.2800999999999</v>
      </c>
      <c r="U23" s="1266">
        <f>+IF($Q23=1,$J23,INDEX([1]Summary!$L$5:$L$110,MATCH($C23,[1]Summary!$D$5:$D124,0)))</f>
        <v>0</v>
      </c>
      <c r="V23" s="721"/>
      <c r="W23" s="721"/>
      <c r="X23" s="721"/>
      <c r="Y23" s="721"/>
      <c r="Z23" s="721"/>
      <c r="AA23" s="721"/>
      <c r="AB23" s="721"/>
      <c r="AC23" s="721"/>
      <c r="AD23" s="721"/>
      <c r="AF23" s="720"/>
      <c r="AI23" s="105"/>
      <c r="AJ23" s="105"/>
      <c r="AN23" s="105"/>
      <c r="AO23" s="105"/>
      <c r="AP23" s="105"/>
      <c r="AS23" s="105"/>
      <c r="AT23" s="721"/>
      <c r="AW23" s="105"/>
      <c r="AX23" s="721"/>
    </row>
    <row r="24" spans="1:50" outlineLevel="1">
      <c r="A24" s="545">
        <f>MAX($A$10:A23)+1</f>
        <v>15</v>
      </c>
      <c r="B24" s="716" t="s">
        <v>1752</v>
      </c>
      <c r="C24" s="716" t="s">
        <v>1781</v>
      </c>
      <c r="D24" s="716" t="s">
        <v>1782</v>
      </c>
      <c r="E24" s="559">
        <v>303</v>
      </c>
      <c r="F24" s="1302" cm="1">
        <f t="array" ref="F24">+IF(SUM(VALUE(N24:Q24)*$N$7:$Q$7)=0,R24,T24)</f>
        <v>0</v>
      </c>
      <c r="G24" s="103">
        <f t="shared" si="1"/>
        <v>0</v>
      </c>
      <c r="H24" s="717"/>
      <c r="I24" s="1302" cm="1">
        <f t="array" ref="I24">+IF(SUM(VALUE(N24:Q24)*$N$7:$Q$7)=0,S24,U24)</f>
        <v>24020.778488</v>
      </c>
      <c r="J24" s="103">
        <f t="shared" si="0"/>
        <v>24020.778488</v>
      </c>
      <c r="K24" s="575">
        <v>45992</v>
      </c>
      <c r="L24" s="6"/>
      <c r="M24"/>
      <c r="N24" s="1299">
        <v>0</v>
      </c>
      <c r="O24" s="1300">
        <v>0</v>
      </c>
      <c r="P24" s="1300">
        <v>0</v>
      </c>
      <c r="Q24" s="1300">
        <v>1</v>
      </c>
      <c r="R24" s="1266">
        <v>0</v>
      </c>
      <c r="S24" s="1266">
        <v>24020.778488</v>
      </c>
      <c r="T24" s="1266">
        <f>+IF($Q24=1,$G24,INDEX([1]Summary!$K$5:$K$110,MATCH($C24,[1]Summary!$D$5:$D125,0)))</f>
        <v>0</v>
      </c>
      <c r="U24" s="1266">
        <f>+IF($Q24=1,$J24,INDEX([1]Summary!$L$5:$L$110,MATCH($C24,[1]Summary!$D$5:$D125,0)))</f>
        <v>24020.778488</v>
      </c>
      <c r="V24" s="721"/>
      <c r="W24" s="721"/>
      <c r="X24" s="721"/>
      <c r="Y24" s="721"/>
      <c r="Z24" s="721"/>
      <c r="AA24" s="721"/>
      <c r="AB24" s="721"/>
      <c r="AC24" s="721"/>
      <c r="AD24" s="721"/>
      <c r="AF24" s="720"/>
      <c r="AI24" s="105"/>
      <c r="AJ24" s="105"/>
      <c r="AN24" s="105"/>
      <c r="AO24" s="105"/>
      <c r="AP24" s="105"/>
      <c r="AS24" s="105"/>
      <c r="AT24" s="721"/>
      <c r="AW24" s="105"/>
      <c r="AX24" s="721"/>
    </row>
    <row r="25" spans="1:50" outlineLevel="1">
      <c r="A25" s="545">
        <f>MAX($A$10:A24)+1</f>
        <v>16</v>
      </c>
      <c r="B25" s="716" t="s">
        <v>1752</v>
      </c>
      <c r="C25" s="716" t="s">
        <v>1783</v>
      </c>
      <c r="D25" s="716" t="s">
        <v>1784</v>
      </c>
      <c r="E25" s="559">
        <v>303</v>
      </c>
      <c r="F25" s="1302" cm="1">
        <f t="array" ref="F25">+IF(SUM(VALUE(N25:Q25)*$N$7:$Q$7)=0,R25,T25)</f>
        <v>810507.85611499997</v>
      </c>
      <c r="G25" s="103">
        <f t="shared" si="1"/>
        <v>810507.85611499997</v>
      </c>
      <c r="H25" s="717">
        <v>45382</v>
      </c>
      <c r="I25" s="1302" cm="1">
        <f t="array" ref="I25">+IF(SUM(VALUE(N25:Q25)*$N$7:$Q$7)=0,S25,U25)</f>
        <v>0</v>
      </c>
      <c r="J25" s="103">
        <f t="shared" si="0"/>
        <v>0</v>
      </c>
      <c r="K25" s="103"/>
      <c r="L25" s="6">
        <v>10000</v>
      </c>
      <c r="M25"/>
      <c r="N25" s="1299">
        <v>0</v>
      </c>
      <c r="O25" s="1300">
        <v>0</v>
      </c>
      <c r="P25" s="1300">
        <v>0</v>
      </c>
      <c r="Q25" s="1300">
        <v>1</v>
      </c>
      <c r="R25" s="1266">
        <v>810507.85611499997</v>
      </c>
      <c r="S25" s="1266">
        <v>0</v>
      </c>
      <c r="T25" s="1266">
        <f>+IF($Q25=1,$G25,INDEX([1]Summary!$K$5:$K$110,MATCH($C25,[1]Summary!$D$5:$D126,0)))</f>
        <v>810507.85611499997</v>
      </c>
      <c r="U25" s="1266">
        <f>+IF($Q25=1,$J25,INDEX([1]Summary!$L$5:$L$110,MATCH($C25,[1]Summary!$D$5:$D126,0)))</f>
        <v>0</v>
      </c>
      <c r="V25" s="721"/>
      <c r="W25" s="721"/>
      <c r="X25" s="721"/>
      <c r="Y25" s="721"/>
      <c r="Z25" s="721"/>
      <c r="AA25" s="721"/>
      <c r="AB25" s="721"/>
      <c r="AC25" s="721"/>
      <c r="AD25" s="721"/>
      <c r="AF25" s="720"/>
      <c r="AI25" s="105"/>
      <c r="AJ25" s="105"/>
      <c r="AN25" s="105"/>
      <c r="AO25" s="105"/>
      <c r="AP25" s="105"/>
      <c r="AS25" s="105"/>
      <c r="AT25" s="721"/>
      <c r="AW25" s="105"/>
      <c r="AX25" s="721"/>
    </row>
    <row r="26" spans="1:50" outlineLevel="1">
      <c r="A26" s="545">
        <f>MAX($A$10:A25)+1</f>
        <v>17</v>
      </c>
      <c r="B26" s="716" t="s">
        <v>1752</v>
      </c>
      <c r="C26" s="14" t="s">
        <v>1785</v>
      </c>
      <c r="D26" s="14" t="s">
        <v>1786</v>
      </c>
      <c r="E26" s="559">
        <v>303</v>
      </c>
      <c r="F26" s="1302" cm="1">
        <f t="array" ref="F26">+IF(SUM(VALUE(N26:Q26)*$N$7:$Q$7)=0,R26,T26)</f>
        <v>0</v>
      </c>
      <c r="G26" s="103"/>
      <c r="I26" s="1302" cm="1">
        <f t="array" ref="I26">+IF(SUM(VALUE(N26:Q26)*$N$7:$Q$7)=0,S26,U26)</f>
        <v>61073.288584000002</v>
      </c>
      <c r="J26" s="103">
        <f t="shared" si="0"/>
        <v>61073.288584000002</v>
      </c>
      <c r="K26" s="717">
        <v>46022</v>
      </c>
      <c r="L26" s="6"/>
      <c r="M26"/>
      <c r="N26" s="1299">
        <v>0</v>
      </c>
      <c r="O26" s="1300">
        <v>0</v>
      </c>
      <c r="P26" s="1300">
        <v>0</v>
      </c>
      <c r="Q26" s="1300">
        <v>1</v>
      </c>
      <c r="R26" s="1266">
        <v>0</v>
      </c>
      <c r="S26" s="1266">
        <v>61073.288584000002</v>
      </c>
      <c r="T26" s="1266">
        <f>+IF($Q26=1,$G26,INDEX([1]Summary!$K$5:$K$110,MATCH($C26,[1]Summary!$D$5:$D127,0)))</f>
        <v>0</v>
      </c>
      <c r="U26" s="1266">
        <f>+IF($Q26=1,$J26,INDEX([1]Summary!$L$5:$L$110,MATCH($C26,[1]Summary!$D$5:$D127,0)))</f>
        <v>61073.288584000002</v>
      </c>
      <c r="V26" s="721"/>
      <c r="W26" s="721"/>
      <c r="X26" s="721"/>
      <c r="Y26" s="721"/>
      <c r="Z26" s="721"/>
      <c r="AA26" s="721"/>
      <c r="AB26" s="721"/>
      <c r="AC26" s="721"/>
      <c r="AD26" s="721"/>
      <c r="AF26" s="720"/>
      <c r="AI26" s="105"/>
      <c r="AJ26" s="105"/>
      <c r="AN26" s="105"/>
      <c r="AO26" s="105"/>
      <c r="AP26" s="105"/>
      <c r="AS26" s="105"/>
      <c r="AT26" s="721"/>
      <c r="AW26" s="105"/>
      <c r="AX26" s="721"/>
    </row>
    <row r="27" spans="1:50" outlineLevel="1">
      <c r="A27" s="545">
        <f>MAX($A$10:A26)+1</f>
        <v>18</v>
      </c>
      <c r="B27" s="716" t="s">
        <v>1752</v>
      </c>
      <c r="C27" s="716" t="s">
        <v>1787</v>
      </c>
      <c r="D27" s="716" t="s">
        <v>1788</v>
      </c>
      <c r="E27" s="559">
        <v>303</v>
      </c>
      <c r="F27" s="1302" cm="1">
        <f t="array" ref="F27">+IF(SUM(VALUE(N27:Q27)*$N$7:$Q$7)=0,R27,T27)</f>
        <v>52501.443155000008</v>
      </c>
      <c r="G27" s="103">
        <f>+F27</f>
        <v>52501.443155000008</v>
      </c>
      <c r="H27" s="717">
        <v>45657</v>
      </c>
      <c r="I27" s="1302" cm="1">
        <f t="array" ref="I27">+IF(SUM(VALUE(N27:Q27)*$N$7:$Q$7)=0,S27,U27)</f>
        <v>34898.571628000005</v>
      </c>
      <c r="J27" s="103">
        <f t="shared" si="0"/>
        <v>34898.571628000005</v>
      </c>
      <c r="K27" s="717">
        <v>46022</v>
      </c>
      <c r="L27" s="6"/>
      <c r="M27"/>
      <c r="N27" s="1299">
        <v>0</v>
      </c>
      <c r="O27" s="1300">
        <v>0</v>
      </c>
      <c r="P27" s="1300">
        <v>0</v>
      </c>
      <c r="Q27" s="1300">
        <v>1</v>
      </c>
      <c r="R27" s="1266">
        <v>52501.443155000008</v>
      </c>
      <c r="S27" s="1266">
        <v>34898.571628000005</v>
      </c>
      <c r="T27" s="1266">
        <f>+IF($Q27=1,$G27,INDEX([1]Summary!$K$5:$K$110,MATCH($C27,[1]Summary!$D$5:$D128,0)))</f>
        <v>52501.443155000008</v>
      </c>
      <c r="U27" s="1266">
        <f>+IF($Q27=1,$J27,INDEX([1]Summary!$L$5:$L$110,MATCH($C27,[1]Summary!$D$5:$D128,0)))</f>
        <v>34898.571628000005</v>
      </c>
      <c r="V27" s="721"/>
      <c r="W27" s="721"/>
      <c r="X27" s="721"/>
      <c r="Y27" s="721"/>
      <c r="Z27" s="721"/>
      <c r="AA27" s="721"/>
      <c r="AB27" s="721"/>
      <c r="AC27" s="721"/>
      <c r="AD27" s="721"/>
      <c r="AF27" s="720"/>
      <c r="AI27" s="105"/>
      <c r="AJ27" s="105"/>
      <c r="AN27" s="105"/>
      <c r="AO27" s="105"/>
      <c r="AP27" s="105"/>
      <c r="AS27" s="105"/>
      <c r="AT27" s="721"/>
      <c r="AW27" s="105"/>
      <c r="AX27" s="721"/>
    </row>
    <row r="28" spans="1:50" outlineLevel="1">
      <c r="A28" s="545">
        <f>MAX($A$10:A27)+1</f>
        <v>19</v>
      </c>
      <c r="B28" s="716" t="s">
        <v>1752</v>
      </c>
      <c r="C28" s="716" t="s">
        <v>1789</v>
      </c>
      <c r="D28" s="716" t="s">
        <v>1790</v>
      </c>
      <c r="E28" s="559">
        <v>303</v>
      </c>
      <c r="F28" s="1302" cm="1">
        <f t="array" ref="F28">+IF(SUM(VALUE(N28:Q28)*$N$7:$Q$7)=0,R28,T28)</f>
        <v>149733.94637000002</v>
      </c>
      <c r="G28" s="103">
        <f>+F28</f>
        <v>149733.94637000002</v>
      </c>
      <c r="H28" s="717">
        <v>45383</v>
      </c>
      <c r="I28" s="1302" cm="1">
        <f t="array" ref="I28">+IF(SUM(VALUE(N28:Q28)*$N$7:$Q$7)=0,S28,U28)</f>
        <v>0</v>
      </c>
      <c r="J28" s="103">
        <f t="shared" si="0"/>
        <v>0</v>
      </c>
      <c r="K28" s="103"/>
      <c r="L28" s="6"/>
      <c r="M28"/>
      <c r="N28" s="1299">
        <v>0</v>
      </c>
      <c r="O28" s="1300">
        <v>0</v>
      </c>
      <c r="P28" s="1300">
        <v>0</v>
      </c>
      <c r="Q28" s="1300">
        <v>1</v>
      </c>
      <c r="R28" s="1266">
        <v>149733.94637000002</v>
      </c>
      <c r="S28" s="1266">
        <v>0</v>
      </c>
      <c r="T28" s="1266">
        <f>+IF($Q28=1,$G28,INDEX([1]Summary!$K$5:$K$110,MATCH($C28,[1]Summary!$D$5:$D129,0)))</f>
        <v>149733.94637000002</v>
      </c>
      <c r="U28" s="1266">
        <f>+IF($Q28=1,$J28,INDEX([1]Summary!$L$5:$L$110,MATCH($C28,[1]Summary!$D$5:$D129,0)))</f>
        <v>0</v>
      </c>
      <c r="V28" s="721"/>
      <c r="W28" s="721"/>
      <c r="X28" s="721"/>
      <c r="Y28" s="721"/>
      <c r="Z28" s="721"/>
      <c r="AA28" s="721"/>
      <c r="AB28" s="721"/>
      <c r="AC28" s="721"/>
      <c r="AD28" s="721"/>
      <c r="AF28" s="720"/>
      <c r="AI28" s="105"/>
      <c r="AJ28" s="105"/>
      <c r="AN28" s="105"/>
      <c r="AO28" s="105"/>
      <c r="AP28" s="105"/>
      <c r="AS28" s="105"/>
      <c r="AT28" s="721"/>
      <c r="AW28" s="105"/>
      <c r="AX28" s="721"/>
    </row>
    <row r="29" spans="1:50" outlineLevel="1">
      <c r="A29" s="545">
        <f>MAX($A$10:A28)+1</f>
        <v>20</v>
      </c>
      <c r="B29" s="716" t="s">
        <v>1752</v>
      </c>
      <c r="C29" s="14" t="s">
        <v>1791</v>
      </c>
      <c r="D29" s="14" t="s">
        <v>1792</v>
      </c>
      <c r="E29" s="559">
        <v>303</v>
      </c>
      <c r="F29" s="1302" cm="1">
        <f t="array" ref="F29">+IF(SUM(VALUE(N29:Q29)*$N$7:$Q$7)=0,R29,T29)</f>
        <v>0</v>
      </c>
      <c r="G29" s="103">
        <f>+F29</f>
        <v>0</v>
      </c>
      <c r="I29" s="1302" cm="1">
        <f t="array" ref="I29">+IF(SUM(VALUE(N29:Q29)*$N$7:$Q$7)=0,S29,U29)</f>
        <v>345851.46120300004</v>
      </c>
      <c r="J29" s="103">
        <f t="shared" si="0"/>
        <v>345851.46120300004</v>
      </c>
      <c r="K29" s="717">
        <v>45992</v>
      </c>
      <c r="L29" s="6"/>
      <c r="M29"/>
      <c r="N29" s="1299">
        <v>0</v>
      </c>
      <c r="O29" s="1300">
        <v>0</v>
      </c>
      <c r="P29" s="1300">
        <v>0</v>
      </c>
      <c r="Q29" s="1300">
        <v>1</v>
      </c>
      <c r="R29" s="1266">
        <v>0</v>
      </c>
      <c r="S29" s="1266">
        <v>345851.46120300004</v>
      </c>
      <c r="T29" s="1266">
        <f>+IF($Q29=1,$G29,INDEX([1]Summary!$K$5:$K$110,MATCH($C29,[1]Summary!$D$5:$D130,0)))</f>
        <v>0</v>
      </c>
      <c r="U29" s="1266">
        <f>+IF($Q29=1,$J29,INDEX([1]Summary!$L$5:$L$110,MATCH($C29,[1]Summary!$D$5:$D130,0)))</f>
        <v>345851.46120300004</v>
      </c>
      <c r="V29" s="721"/>
      <c r="W29" s="721"/>
      <c r="X29" s="721"/>
      <c r="Y29" s="721"/>
      <c r="Z29" s="721"/>
      <c r="AA29" s="721"/>
      <c r="AB29" s="721"/>
      <c r="AC29" s="721"/>
      <c r="AD29" s="721"/>
      <c r="AF29" s="720"/>
      <c r="AI29" s="105"/>
      <c r="AJ29" s="105"/>
      <c r="AN29" s="105"/>
      <c r="AO29" s="105"/>
      <c r="AP29" s="105"/>
      <c r="AS29" s="105"/>
      <c r="AT29" s="721"/>
      <c r="AW29" s="105"/>
      <c r="AX29" s="721"/>
    </row>
    <row r="30" spans="1:50" outlineLevel="1">
      <c r="A30" s="545">
        <f>MAX($A$10:A29)+1</f>
        <v>21</v>
      </c>
      <c r="B30" s="716" t="s">
        <v>1752</v>
      </c>
      <c r="C30" s="14" t="s">
        <v>1793</v>
      </c>
      <c r="D30" s="14" t="s">
        <v>1794</v>
      </c>
      <c r="E30" s="559">
        <v>303</v>
      </c>
      <c r="F30" s="1302" cm="1">
        <f t="array" ref="F30">+IF(SUM(VALUE(N30:Q30)*$N$7:$Q$7)=0,R30,T30)</f>
        <v>0</v>
      </c>
      <c r="G30" s="103">
        <f>+F30</f>
        <v>0</v>
      </c>
      <c r="I30" s="1302" cm="1">
        <f t="array" ref="I30">+IF(SUM(VALUE(N30:Q30)*$N$7:$Q$7)=0,S30,U30)</f>
        <v>221968.01196600002</v>
      </c>
      <c r="J30" s="103">
        <f t="shared" si="0"/>
        <v>221968.01196600002</v>
      </c>
      <c r="K30" s="717">
        <v>45992</v>
      </c>
      <c r="L30" s="6"/>
      <c r="M30"/>
      <c r="N30" s="1299">
        <v>0</v>
      </c>
      <c r="O30" s="1300">
        <v>0</v>
      </c>
      <c r="P30" s="1300">
        <v>0</v>
      </c>
      <c r="Q30" s="1300">
        <v>1</v>
      </c>
      <c r="R30" s="1266">
        <v>0</v>
      </c>
      <c r="S30" s="1266">
        <v>221968.01196600002</v>
      </c>
      <c r="T30" s="1266">
        <f>+IF($Q30=1,$G30,INDEX([1]Summary!$K$5:$K$110,MATCH($C30,[1]Summary!$D$5:$D131,0)))</f>
        <v>0</v>
      </c>
      <c r="U30" s="1266">
        <f>+IF($Q30=1,$J30,INDEX([1]Summary!$L$5:$L$110,MATCH($C30,[1]Summary!$D$5:$D131,0)))</f>
        <v>221968.01196600002</v>
      </c>
      <c r="V30" s="721"/>
      <c r="W30" s="721"/>
      <c r="X30" s="721"/>
      <c r="Y30" s="721"/>
      <c r="Z30" s="721"/>
      <c r="AA30" s="721"/>
      <c r="AB30" s="721"/>
      <c r="AC30" s="721"/>
      <c r="AD30" s="721"/>
      <c r="AF30" s="720"/>
      <c r="AI30" s="105"/>
      <c r="AJ30" s="105"/>
      <c r="AN30" s="105"/>
      <c r="AO30" s="105"/>
      <c r="AP30" s="105"/>
      <c r="AS30" s="105"/>
      <c r="AT30" s="721"/>
      <c r="AW30" s="105"/>
      <c r="AX30" s="721"/>
    </row>
    <row r="31" spans="1:50" outlineLevel="1">
      <c r="A31" s="545">
        <f>MAX($A$10:A30)+1</f>
        <v>22</v>
      </c>
      <c r="B31" s="729"/>
      <c r="C31" s="729"/>
      <c r="D31" s="730" t="s">
        <v>1795</v>
      </c>
      <c r="E31" s="560"/>
      <c r="F31" s="495">
        <f>SUM(F10:F30)</f>
        <v>9006672.1762900017</v>
      </c>
      <c r="G31" s="495">
        <f>SUM(G10:G30)</f>
        <v>9006672.1762900017</v>
      </c>
      <c r="H31" s="495"/>
      <c r="I31" s="713">
        <f>SUM(I10:I30)</f>
        <v>10841022.621869002</v>
      </c>
      <c r="J31" s="495">
        <f>SUM(J10:J30)</f>
        <v>10841022.621869002</v>
      </c>
      <c r="K31" s="495"/>
      <c r="L31" s="507">
        <f>SUM(L10:L30)</f>
        <v>467500</v>
      </c>
      <c r="M31"/>
      <c r="N31"/>
      <c r="O31" s="449"/>
      <c r="P31" s="449"/>
      <c r="Q31" s="449"/>
      <c r="R31" s="1266"/>
      <c r="S31" s="1266"/>
      <c r="T31" s="1266"/>
      <c r="U31" s="1266"/>
      <c r="V31" s="721"/>
      <c r="W31" s="721"/>
      <c r="X31" s="721"/>
      <c r="Y31" s="721"/>
      <c r="Z31" s="721"/>
      <c r="AA31" s="721"/>
      <c r="AB31" s="721"/>
      <c r="AC31" s="721"/>
      <c r="AD31" s="721"/>
      <c r="AI31" s="105"/>
      <c r="AJ31" s="105"/>
      <c r="AN31" s="105"/>
      <c r="AO31" s="105"/>
      <c r="AP31" s="105"/>
      <c r="AS31" s="105"/>
      <c r="AT31" s="721"/>
      <c r="AW31" s="105"/>
      <c r="AX31" s="721"/>
    </row>
    <row r="32" spans="1:50" outlineLevel="1">
      <c r="A32" s="545">
        <f>MAX($A$10:A31)+1</f>
        <v>23</v>
      </c>
      <c r="B32" s="731"/>
      <c r="C32" s="731"/>
      <c r="D32" s="732"/>
      <c r="E32" s="561"/>
      <c r="F32" s="103"/>
      <c r="G32" s="103"/>
      <c r="H32" s="103"/>
      <c r="I32" s="711"/>
      <c r="J32" s="103"/>
      <c r="K32" s="103"/>
      <c r="L32" s="103"/>
      <c r="M32"/>
      <c r="N32"/>
      <c r="O32" s="449"/>
      <c r="P32" s="449"/>
      <c r="Q32" s="449"/>
      <c r="R32" s="1266"/>
      <c r="S32" s="1266"/>
      <c r="T32" s="1266"/>
      <c r="U32" s="1266"/>
      <c r="V32" s="721"/>
      <c r="W32" s="721"/>
      <c r="X32" s="721"/>
      <c r="Y32" s="721"/>
      <c r="Z32" s="721"/>
      <c r="AA32" s="721"/>
      <c r="AB32" s="721"/>
      <c r="AC32" s="721"/>
      <c r="AD32" s="721"/>
      <c r="AI32" s="105"/>
      <c r="AJ32" s="105"/>
      <c r="AN32" s="105"/>
      <c r="AO32" s="105"/>
      <c r="AP32" s="105"/>
      <c r="AS32" s="105"/>
      <c r="AT32" s="721"/>
      <c r="AW32" s="105"/>
      <c r="AX32" s="721"/>
    </row>
    <row r="33" spans="1:51" outlineLevel="1">
      <c r="A33" s="545">
        <f>MAX($A$10:A32)+1</f>
        <v>24</v>
      </c>
      <c r="B33" s="716" t="s">
        <v>1752</v>
      </c>
      <c r="C33" s="105" t="s">
        <v>1796</v>
      </c>
      <c r="D33" s="105" t="s">
        <v>1797</v>
      </c>
      <c r="E33" s="559">
        <v>333</v>
      </c>
      <c r="G33" s="103"/>
      <c r="I33" s="1302" cm="1">
        <f t="array" ref="I33">+IF(SUM(VALUE(N33:Q33)*$N$7:$Q$7)=0,S33,U33)</f>
        <v>0</v>
      </c>
      <c r="J33" s="103">
        <f>+I33</f>
        <v>0</v>
      </c>
      <c r="K33" s="717">
        <v>45823</v>
      </c>
      <c r="M33"/>
      <c r="N33" s="1300">
        <v>1</v>
      </c>
      <c r="O33" s="1300">
        <v>0</v>
      </c>
      <c r="P33" s="1300">
        <v>0</v>
      </c>
      <c r="Q33" s="1300">
        <v>0</v>
      </c>
      <c r="R33" s="1266">
        <v>0</v>
      </c>
      <c r="S33" s="1266">
        <v>17454194.260000002</v>
      </c>
      <c r="T33" s="1266">
        <f>+IF($Q33=1,$G33,INDEX([1]Summary!$K$5:$K$110,MATCH($C33,[1]Summary!$D$5:$D134,0)))</f>
        <v>0</v>
      </c>
      <c r="U33" s="1266">
        <f>+IF($Q33=1,$J33,INDEX([1]Summary!$L$5:$L$110,MATCH($C33,[1]Summary!$D$5:$D134,0)))</f>
        <v>0</v>
      </c>
      <c r="V33" s="721"/>
      <c r="W33" s="721"/>
      <c r="X33" s="721"/>
      <c r="Y33" s="721"/>
      <c r="Z33" s="721"/>
      <c r="AA33" s="721"/>
      <c r="AB33" s="721"/>
      <c r="AC33" s="721"/>
      <c r="AD33" s="721"/>
      <c r="AF33" s="720"/>
      <c r="AI33" s="105"/>
      <c r="AJ33" s="105"/>
      <c r="AL33" s="2"/>
      <c r="AN33" s="105"/>
      <c r="AO33" s="105"/>
      <c r="AP33" s="105"/>
      <c r="AS33" s="105"/>
      <c r="AT33" s="721"/>
      <c r="AW33" s="105"/>
      <c r="AX33" s="721"/>
    </row>
    <row r="34" spans="1:51" outlineLevel="1">
      <c r="A34" s="545">
        <f>MAX($A$10:A33)+1</f>
        <v>25</v>
      </c>
      <c r="B34" s="729"/>
      <c r="C34" s="729"/>
      <c r="D34" s="730" t="s">
        <v>1798</v>
      </c>
      <c r="E34" s="560"/>
      <c r="F34" s="495">
        <f>F33</f>
        <v>0</v>
      </c>
      <c r="G34" s="495">
        <f>G33</f>
        <v>0</v>
      </c>
      <c r="H34" s="495"/>
      <c r="I34" s="713">
        <f>I33</f>
        <v>0</v>
      </c>
      <c r="J34" s="495">
        <f>J33</f>
        <v>0</v>
      </c>
      <c r="K34" s="495"/>
      <c r="L34" s="495">
        <f>L33</f>
        <v>0</v>
      </c>
      <c r="M34"/>
      <c r="N34"/>
      <c r="O34" s="449"/>
      <c r="P34" s="449"/>
      <c r="Q34" s="449"/>
      <c r="R34" s="1266"/>
      <c r="S34" s="1266"/>
      <c r="T34" s="1266"/>
      <c r="U34" s="1266"/>
      <c r="V34" s="721"/>
      <c r="W34" s="721"/>
      <c r="X34" s="721"/>
      <c r="Y34" s="721"/>
      <c r="Z34" s="721"/>
      <c r="AA34" s="721"/>
      <c r="AB34" s="721"/>
      <c r="AC34" s="721"/>
      <c r="AD34" s="721"/>
      <c r="AI34" s="105"/>
      <c r="AJ34" s="105"/>
      <c r="AN34" s="105"/>
      <c r="AO34" s="105"/>
      <c r="AP34" s="105"/>
      <c r="AS34" s="105"/>
      <c r="AT34" s="721"/>
      <c r="AW34" s="105"/>
      <c r="AX34" s="721"/>
    </row>
    <row r="35" spans="1:51" outlineLevel="1">
      <c r="A35" s="545">
        <f>MAX($A$10:A34)+1</f>
        <v>26</v>
      </c>
      <c r="B35" s="731"/>
      <c r="C35" s="731"/>
      <c r="D35" s="731"/>
      <c r="E35" s="561"/>
      <c r="F35" s="103"/>
      <c r="G35" s="103"/>
      <c r="H35" s="103"/>
      <c r="I35" s="733"/>
      <c r="J35" s="103"/>
      <c r="K35" s="103"/>
      <c r="L35" s="103"/>
      <c r="M35"/>
      <c r="N35"/>
      <c r="O35" s="449"/>
      <c r="P35" s="449"/>
      <c r="Q35" s="449"/>
      <c r="R35" s="1266"/>
      <c r="S35" s="1266"/>
      <c r="T35" s="1266"/>
      <c r="U35" s="1266"/>
      <c r="V35" s="721"/>
      <c r="W35" s="721"/>
      <c r="X35" s="721"/>
      <c r="Y35" s="721"/>
      <c r="Z35" s="721"/>
      <c r="AA35" s="721"/>
      <c r="AB35" s="721"/>
      <c r="AC35" s="721"/>
      <c r="AD35" s="721"/>
      <c r="AI35" s="105"/>
      <c r="AJ35" s="105"/>
      <c r="AN35" s="105"/>
      <c r="AO35" s="105"/>
      <c r="AP35" s="105"/>
      <c r="AS35" s="105"/>
      <c r="AT35" s="721"/>
      <c r="AW35" s="105"/>
      <c r="AX35" s="721"/>
    </row>
    <row r="36" spans="1:51" outlineLevel="1">
      <c r="A36" s="545">
        <f>MAX($A$10:A35)+1</f>
        <v>27</v>
      </c>
      <c r="B36" s="716" t="s">
        <v>1799</v>
      </c>
      <c r="C36" s="716" t="s">
        <v>1800</v>
      </c>
      <c r="D36" s="731" t="s">
        <v>1801</v>
      </c>
      <c r="E36" s="559">
        <v>378</v>
      </c>
      <c r="F36" s="1302" cm="1">
        <f t="array" ref="F36">+IF(SUM(VALUE(N36:Q36)*$N$7:$Q$7)=0,R36,T36)</f>
        <v>242320</v>
      </c>
      <c r="G36" s="103">
        <f t="shared" ref="G36:G86" si="2">+F36</f>
        <v>242320</v>
      </c>
      <c r="H36" s="575">
        <v>45657</v>
      </c>
      <c r="I36" s="1303" cm="1">
        <f t="array" ref="I36">+IF(SUM(VALUE(N36:Q36)*$N$7:$Q$7)=0,S36,U36)</f>
        <v>725580</v>
      </c>
      <c r="J36" s="103">
        <f t="shared" ref="J36:J41" si="3">+I36</f>
        <v>725580</v>
      </c>
      <c r="K36" s="575">
        <v>46022</v>
      </c>
      <c r="M36"/>
      <c r="N36" s="1300">
        <v>0</v>
      </c>
      <c r="O36" s="1300">
        <v>0</v>
      </c>
      <c r="P36" s="1300">
        <v>1</v>
      </c>
      <c r="Q36" s="1300">
        <v>0</v>
      </c>
      <c r="R36" s="1266">
        <v>242320</v>
      </c>
      <c r="S36" s="1266">
        <v>725580</v>
      </c>
      <c r="T36" s="1266">
        <f>+IF($Q36=1,$G36,INDEX([1]Summary!$K$5:$K$110,MATCH($C36,[1]Summary!$D$5:$D137,0)))</f>
        <v>240662.24066667259</v>
      </c>
      <c r="U36" s="1266">
        <f>+IF($Q36=1,$J36,INDEX([1]Summary!$L$5:$L$110,MATCH($C36,[1]Summary!$D$5:$D137,0)))</f>
        <v>267234.101809524</v>
      </c>
      <c r="V36" s="721"/>
      <c r="W36" s="721"/>
      <c r="X36" s="721"/>
      <c r="Y36" s="721"/>
      <c r="Z36" s="721"/>
      <c r="AA36" s="721"/>
      <c r="AB36" s="721"/>
      <c r="AC36" s="721"/>
      <c r="AD36" s="721"/>
      <c r="AI36" s="105"/>
      <c r="AJ36" s="105"/>
      <c r="AN36" s="105"/>
      <c r="AO36" s="105"/>
      <c r="AP36" s="105"/>
      <c r="AS36" s="105"/>
      <c r="AT36" s="721"/>
      <c r="AW36" s="105"/>
      <c r="AX36" s="721"/>
    </row>
    <row r="37" spans="1:51" outlineLevel="1">
      <c r="A37" s="545">
        <f>MAX($A$10:A36)+1</f>
        <v>28</v>
      </c>
      <c r="B37" s="716" t="s">
        <v>1799</v>
      </c>
      <c r="C37" s="716" t="s">
        <v>1802</v>
      </c>
      <c r="D37" s="731" t="s">
        <v>1803</v>
      </c>
      <c r="E37" s="559">
        <v>378</v>
      </c>
      <c r="F37" s="1302" cm="1">
        <f t="array" ref="F37">+IF(SUM(VALUE(N37:Q37)*$N$7:$Q$7)=0,R37,T37)</f>
        <v>498617.42</v>
      </c>
      <c r="G37" s="103">
        <f t="shared" si="2"/>
        <v>498617.42</v>
      </c>
      <c r="H37" s="575">
        <v>45657</v>
      </c>
      <c r="I37" s="1303" cm="1">
        <f t="array" ref="I37">+IF(SUM(VALUE(N37:Q37)*$N$7:$Q$7)=0,S37,U37)</f>
        <v>460976.94</v>
      </c>
      <c r="J37" s="103">
        <f t="shared" si="3"/>
        <v>460976.94</v>
      </c>
      <c r="K37" s="575">
        <v>46022</v>
      </c>
      <c r="M37"/>
      <c r="N37" s="1300">
        <v>0</v>
      </c>
      <c r="O37" s="1300">
        <v>0</v>
      </c>
      <c r="P37" s="1300">
        <v>1</v>
      </c>
      <c r="Q37" s="1300">
        <v>0</v>
      </c>
      <c r="R37" s="1266">
        <v>498617.42</v>
      </c>
      <c r="S37" s="1266">
        <v>460976.94</v>
      </c>
      <c r="T37" s="1266">
        <f>+IF($Q37=1,$G37,INDEX([1]Summary!$K$5:$K$110,MATCH($C37,[1]Summary!$D$5:$D138,0)))</f>
        <v>406860.71</v>
      </c>
      <c r="U37" s="1266">
        <f>+IF($Q37=1,$J37,INDEX([1]Summary!$L$5:$L$110,MATCH($C37,[1]Summary!$D$5:$D138,0)))</f>
        <v>406860.71</v>
      </c>
      <c r="V37" s="721"/>
      <c r="W37" s="721"/>
      <c r="X37" s="721"/>
      <c r="Y37" s="721"/>
      <c r="Z37" s="721"/>
      <c r="AA37" s="721"/>
      <c r="AB37" s="721"/>
      <c r="AC37" s="721"/>
      <c r="AD37" s="721"/>
      <c r="AF37" s="720"/>
      <c r="AI37" s="105"/>
      <c r="AJ37" s="105"/>
      <c r="AN37" s="105"/>
      <c r="AO37" s="105"/>
      <c r="AP37" s="105"/>
      <c r="AS37" s="105"/>
      <c r="AT37" s="721"/>
      <c r="AW37" s="105"/>
      <c r="AX37" s="721"/>
    </row>
    <row r="38" spans="1:51" outlineLevel="1">
      <c r="A38" s="545">
        <f>MAX($A$10:A37)+1</f>
        <v>29</v>
      </c>
      <c r="B38" s="716" t="s">
        <v>1799</v>
      </c>
      <c r="C38" s="716" t="s">
        <v>1804</v>
      </c>
      <c r="D38" s="716" t="s">
        <v>1805</v>
      </c>
      <c r="E38" s="559">
        <v>381</v>
      </c>
      <c r="F38" s="1302" cm="1">
        <f t="array" ref="F38">+IF(SUM(VALUE(N38:Q38)*$N$7:$Q$7)=0,R38,T38)</f>
        <v>5937987.0246250005</v>
      </c>
      <c r="G38" s="103">
        <f t="shared" si="2"/>
        <v>5937987.0246250005</v>
      </c>
      <c r="H38" s="575">
        <v>45657</v>
      </c>
      <c r="I38" s="1303" cm="1">
        <f t="array" ref="I38">+IF(SUM(VALUE(N38:Q38)*$N$7:$Q$7)=0,S38,U38)</f>
        <v>6106833.2000000002</v>
      </c>
      <c r="J38" s="103">
        <f t="shared" si="3"/>
        <v>6106833.2000000002</v>
      </c>
      <c r="K38" s="575">
        <v>46022</v>
      </c>
      <c r="M38"/>
      <c r="N38" s="1300">
        <v>0</v>
      </c>
      <c r="O38" s="1300">
        <v>0</v>
      </c>
      <c r="P38" s="1300">
        <v>1</v>
      </c>
      <c r="Q38" s="1300">
        <v>0</v>
      </c>
      <c r="R38" s="1266">
        <v>5937987.0246250005</v>
      </c>
      <c r="S38" s="1266">
        <v>6106833.2000000002</v>
      </c>
      <c r="T38" s="1266">
        <f>+IF($Q38=1,$G38,INDEX([1]Summary!$K$5:$K$110,MATCH($C38,[1]Summary!$D$5:$D139,0)))</f>
        <v>3195561.9529540865</v>
      </c>
      <c r="U38" s="1266">
        <f>+IF($Q38=1,$J38,INDEX([1]Summary!$L$5:$L$110,MATCH($C38,[1]Summary!$D$5:$D139,0)))</f>
        <v>4750341.8353332281</v>
      </c>
      <c r="V38" s="721"/>
      <c r="W38" s="721"/>
      <c r="X38" s="721"/>
      <c r="Y38" s="721"/>
      <c r="Z38" s="721"/>
      <c r="AA38" s="721"/>
      <c r="AB38" s="721"/>
      <c r="AC38" s="721"/>
      <c r="AD38" s="721"/>
      <c r="AF38" s="720"/>
      <c r="AI38" s="105"/>
      <c r="AJ38" s="105"/>
      <c r="AN38" s="105"/>
      <c r="AO38" s="105"/>
      <c r="AP38" s="105"/>
    </row>
    <row r="39" spans="1:51" outlineLevel="1">
      <c r="A39" s="545">
        <f>MAX($A$10:A38)+1</f>
        <v>30</v>
      </c>
      <c r="B39" s="716" t="s">
        <v>1799</v>
      </c>
      <c r="C39" s="716" t="s">
        <v>1806</v>
      </c>
      <c r="D39" s="716" t="s">
        <v>1807</v>
      </c>
      <c r="E39" s="559">
        <v>383</v>
      </c>
      <c r="F39" s="1302" cm="1">
        <f t="array" ref="F39">+IF(SUM(VALUE(N39:Q39)*$N$7:$Q$7)=0,R39,T39)</f>
        <v>547264.69999999995</v>
      </c>
      <c r="G39" s="103">
        <f t="shared" si="2"/>
        <v>547264.69999999995</v>
      </c>
      <c r="H39" s="575">
        <v>45657</v>
      </c>
      <c r="I39" s="1303" cm="1">
        <f t="array" ref="I39">+IF(SUM(VALUE(N39:Q39)*$N$7:$Q$7)=0,S39,U39)</f>
        <v>562922.22</v>
      </c>
      <c r="J39" s="103">
        <f t="shared" si="3"/>
        <v>562922.22</v>
      </c>
      <c r="K39" s="575">
        <v>46022</v>
      </c>
      <c r="M39"/>
      <c r="N39" s="1300">
        <v>0</v>
      </c>
      <c r="O39" s="1300">
        <v>0</v>
      </c>
      <c r="P39" s="1300">
        <v>1</v>
      </c>
      <c r="Q39" s="1300">
        <v>0</v>
      </c>
      <c r="R39" s="1266">
        <v>547264.69999999995</v>
      </c>
      <c r="S39" s="1266">
        <v>562922.22</v>
      </c>
      <c r="T39" s="1266">
        <f>+IF($Q39=1,$G39,INDEX([1]Summary!$K$5:$K$110,MATCH($C39,[1]Summary!$D$5:$D140,0)))</f>
        <v>533478.22499999998</v>
      </c>
      <c r="U39" s="1266">
        <f>+IF($Q39=1,$J39,INDEX([1]Summary!$L$5:$L$110,MATCH($C39,[1]Summary!$D$5:$D140,0)))</f>
        <v>533478.22499999998</v>
      </c>
      <c r="V39" s="721"/>
      <c r="W39" s="721"/>
      <c r="X39" s="721"/>
      <c r="Y39" s="721"/>
      <c r="Z39" s="721"/>
      <c r="AA39" s="721"/>
      <c r="AB39" s="721"/>
      <c r="AC39" s="721"/>
      <c r="AD39" s="721"/>
      <c r="AE39" s="716"/>
      <c r="AF39" s="720"/>
      <c r="AI39" s="105"/>
      <c r="AJ39" s="105"/>
      <c r="AN39" s="105"/>
      <c r="AO39" s="105"/>
      <c r="AP39" s="105"/>
      <c r="AS39" s="105"/>
      <c r="AU39" s="106"/>
      <c r="AW39" s="105"/>
      <c r="AY39" s="106"/>
    </row>
    <row r="40" spans="1:51" outlineLevel="1">
      <c r="A40" s="545">
        <f>MAX($A$10:A39)+1</f>
        <v>31</v>
      </c>
      <c r="B40" s="716" t="s">
        <v>1799</v>
      </c>
      <c r="C40" s="716" t="s">
        <v>1808</v>
      </c>
      <c r="D40" s="716" t="s">
        <v>1809</v>
      </c>
      <c r="E40" s="559">
        <v>376.1</v>
      </c>
      <c r="F40" s="1302" cm="1">
        <f t="array" ref="F40">+IF(SUM(VALUE(N40:Q40)*$N$7:$Q$7)=0,R40,T40)</f>
        <v>602782.14</v>
      </c>
      <c r="G40" s="103">
        <f t="shared" si="2"/>
        <v>602782.14</v>
      </c>
      <c r="H40" s="575">
        <v>45657</v>
      </c>
      <c r="I40" s="1303" cm="1">
        <f t="array" ref="I40">+IF(SUM(VALUE(N40:Q40)*$N$7:$Q$7)=0,S40,U40)</f>
        <v>576860.29</v>
      </c>
      <c r="J40" s="103">
        <f t="shared" si="3"/>
        <v>576860.29</v>
      </c>
      <c r="K40" s="575">
        <v>46022</v>
      </c>
      <c r="M40"/>
      <c r="N40" s="1300">
        <v>0</v>
      </c>
      <c r="O40" s="1300">
        <v>0</v>
      </c>
      <c r="P40" s="1300">
        <v>1</v>
      </c>
      <c r="Q40" s="1300">
        <v>0</v>
      </c>
      <c r="R40" s="1266">
        <v>602782.14</v>
      </c>
      <c r="S40" s="1266">
        <v>576860.29</v>
      </c>
      <c r="T40" s="1266">
        <f>+IF($Q40=1,$G40,INDEX([1]Summary!$K$5:$K$110,MATCH($C40,[1]Summary!$D$5:$D141,0)))</f>
        <v>296728.8033333334</v>
      </c>
      <c r="U40" s="1266">
        <f>+IF($Q40=1,$J40,INDEX([1]Summary!$L$5:$L$110,MATCH($C40,[1]Summary!$D$5:$D141,0)))</f>
        <v>296728.8033333334</v>
      </c>
      <c r="V40" s="721"/>
      <c r="W40" s="721"/>
      <c r="X40" s="721"/>
      <c r="Y40" s="721"/>
      <c r="Z40" s="721"/>
      <c r="AA40" s="721"/>
      <c r="AB40" s="721"/>
      <c r="AC40" s="721"/>
      <c r="AD40" s="721"/>
      <c r="AF40" s="720"/>
      <c r="AI40" s="105"/>
      <c r="AJ40" s="105"/>
      <c r="AK40" s="105"/>
      <c r="AN40" s="105"/>
      <c r="AO40" s="105"/>
      <c r="AP40" s="105"/>
      <c r="AW40" s="105"/>
      <c r="AY40" s="106"/>
    </row>
    <row r="41" spans="1:51" outlineLevel="1">
      <c r="A41" s="545">
        <f>MAX($A$10:A40)+1</f>
        <v>32</v>
      </c>
      <c r="B41" s="716" t="s">
        <v>1799</v>
      </c>
      <c r="C41" s="716" t="s">
        <v>1810</v>
      </c>
      <c r="D41" s="716" t="s">
        <v>1811</v>
      </c>
      <c r="E41" s="559">
        <v>376.2</v>
      </c>
      <c r="F41" s="1302" cm="1">
        <f t="array" ref="F41">+IF(SUM(VALUE(N41:Q41)*$N$7:$Q$7)=0,R41,T41)</f>
        <v>0</v>
      </c>
      <c r="G41" s="103">
        <f t="shared" si="2"/>
        <v>0</v>
      </c>
      <c r="I41" s="1303" cm="1">
        <f t="array" ref="I41">+IF(SUM(VALUE(N41:Q41)*$N$7:$Q$7)=0,S41,U41)</f>
        <v>5827349.1699999999</v>
      </c>
      <c r="J41" s="103">
        <f t="shared" si="3"/>
        <v>5827349.1699999999</v>
      </c>
      <c r="K41" s="717">
        <v>45961</v>
      </c>
      <c r="M41"/>
      <c r="N41" s="1300">
        <v>0</v>
      </c>
      <c r="O41" s="1300">
        <v>1</v>
      </c>
      <c r="P41" s="1300">
        <v>0</v>
      </c>
      <c r="Q41" s="1300">
        <v>0</v>
      </c>
      <c r="R41" s="1266">
        <v>0</v>
      </c>
      <c r="S41" s="1266">
        <v>5827349.1699999999</v>
      </c>
      <c r="T41" s="1266">
        <f>+IF($Q41=1,$G41,INDEX([1]Summary!$K$5:$K$110,MATCH($C41,[1]Summary!$D$5:$D142,0)))</f>
        <v>0</v>
      </c>
      <c r="U41" s="1266">
        <f>+IF($Q41=1,$J41,INDEX([1]Summary!$L$5:$L$110,MATCH($C41,[1]Summary!$D$5:$D142,0)))</f>
        <v>0</v>
      </c>
      <c r="V41" s="721"/>
      <c r="W41" s="721"/>
      <c r="X41" s="721"/>
      <c r="Y41" s="721"/>
      <c r="Z41" s="721"/>
      <c r="AA41" s="721"/>
      <c r="AB41" s="721"/>
      <c r="AC41" s="721"/>
      <c r="AD41" s="721"/>
      <c r="AF41" s="720"/>
      <c r="AI41" s="105"/>
      <c r="AJ41" s="105"/>
      <c r="AK41" s="105"/>
      <c r="AN41" s="105"/>
      <c r="AO41" s="105"/>
      <c r="AP41" s="105"/>
      <c r="AW41" s="105"/>
      <c r="AY41" s="106"/>
    </row>
    <row r="42" spans="1:51" outlineLevel="1">
      <c r="A42" s="545">
        <f>MAX($A$10:A41)+1</f>
        <v>33</v>
      </c>
      <c r="B42" s="716" t="s">
        <v>1799</v>
      </c>
      <c r="C42" s="716" t="s">
        <v>1812</v>
      </c>
      <c r="D42" s="716" t="s">
        <v>1813</v>
      </c>
      <c r="E42" s="559">
        <v>376.2</v>
      </c>
      <c r="F42" s="1302" cm="1">
        <f t="array" ref="F42">+IF(SUM(VALUE(N42:Q42)*$N$7:$Q$7)=0,R42,T42)</f>
        <v>2430742.7749890001</v>
      </c>
      <c r="G42" s="103">
        <f t="shared" si="2"/>
        <v>2430742.7749890001</v>
      </c>
      <c r="H42" s="575">
        <v>45342</v>
      </c>
      <c r="I42" s="1303" cm="1">
        <f t="array" ref="I42">+IF(SUM(VALUE(N42:Q42)*$N$7:$Q$7)=0,S42,U42)</f>
        <v>0</v>
      </c>
      <c r="J42" s="103"/>
      <c r="K42" s="717"/>
      <c r="M42"/>
      <c r="N42" s="1300">
        <v>0</v>
      </c>
      <c r="O42" s="1300">
        <v>1</v>
      </c>
      <c r="P42" s="1300">
        <v>0</v>
      </c>
      <c r="Q42" s="1300">
        <v>0</v>
      </c>
      <c r="R42" s="1266">
        <v>2430742.7749890001</v>
      </c>
      <c r="S42" s="1266">
        <v>0</v>
      </c>
      <c r="T42" s="1266">
        <f>+IF($Q42=1,$G42,INDEX([1]Summary!$K$5:$K$110,MATCH($C42,[1]Summary!$D$5:$D143,0)))</f>
        <v>2430742.7749890001</v>
      </c>
      <c r="U42" s="1266">
        <f>+IF($Q42=1,$J42,INDEX([1]Summary!$L$5:$L$110,MATCH($C42,[1]Summary!$D$5:$D143,0)))</f>
        <v>0</v>
      </c>
      <c r="V42" s="721"/>
      <c r="W42" s="721"/>
      <c r="X42" s="721"/>
      <c r="Y42" s="721"/>
      <c r="Z42" s="721"/>
      <c r="AA42" s="721"/>
      <c r="AB42" s="721"/>
      <c r="AC42" s="721"/>
      <c r="AD42" s="721"/>
      <c r="AF42" s="720"/>
      <c r="AI42" s="105"/>
      <c r="AJ42" s="105"/>
      <c r="AK42" s="105"/>
      <c r="AN42" s="105"/>
      <c r="AO42" s="105"/>
      <c r="AP42" s="105"/>
      <c r="AW42" s="105"/>
      <c r="AY42" s="106"/>
    </row>
    <row r="43" spans="1:51" outlineLevel="1">
      <c r="A43" s="545">
        <f>MAX($A$10:A42)+1</f>
        <v>34</v>
      </c>
      <c r="B43" s="716" t="s">
        <v>1799</v>
      </c>
      <c r="C43" s="716" t="s">
        <v>1814</v>
      </c>
      <c r="D43" s="716" t="s">
        <v>1815</v>
      </c>
      <c r="E43" s="559">
        <v>376.2</v>
      </c>
      <c r="F43" s="1302" cm="1">
        <f t="array" ref="F43">+IF(SUM(VALUE(N43:Q43)*$N$7:$Q$7)=0,R43,T43)</f>
        <v>427000</v>
      </c>
      <c r="G43" s="103">
        <f t="shared" si="2"/>
        <v>427000</v>
      </c>
      <c r="H43" s="575">
        <v>45443</v>
      </c>
      <c r="I43" s="1303" cm="1">
        <f t="array" ref="I43">+IF(SUM(VALUE(N43:Q43)*$N$7:$Q$7)=0,S43,U43)</f>
        <v>0</v>
      </c>
      <c r="J43" s="103"/>
      <c r="K43" s="717"/>
      <c r="M43"/>
      <c r="N43" s="1300">
        <v>0</v>
      </c>
      <c r="O43" s="1300">
        <v>0</v>
      </c>
      <c r="P43" s="1300">
        <v>0</v>
      </c>
      <c r="Q43" s="1300">
        <v>1</v>
      </c>
      <c r="R43" s="1266">
        <v>427000</v>
      </c>
      <c r="S43" s="1266">
        <v>0</v>
      </c>
      <c r="T43" s="1266">
        <f>+IF($Q43=1,$G43,INDEX([1]Summary!$K$5:$K$110,MATCH($C43,[1]Summary!$D$5:$D144,0)))</f>
        <v>427000</v>
      </c>
      <c r="U43" s="1266">
        <f>+IF($Q43=1,$J43,INDEX([1]Summary!$L$5:$L$110,MATCH($C43,[1]Summary!$D$5:$D144,0)))</f>
        <v>0</v>
      </c>
      <c r="V43" s="721"/>
      <c r="W43" s="721"/>
      <c r="X43" s="721"/>
      <c r="Y43" s="721"/>
      <c r="Z43" s="721"/>
      <c r="AA43" s="721"/>
      <c r="AB43" s="721"/>
      <c r="AC43" s="721"/>
      <c r="AD43" s="721"/>
      <c r="AF43" s="720"/>
      <c r="AI43" s="105"/>
      <c r="AJ43" s="105"/>
      <c r="AK43" s="105"/>
      <c r="AN43" s="105"/>
      <c r="AO43" s="105"/>
      <c r="AP43" s="105"/>
      <c r="AW43" s="105"/>
      <c r="AY43" s="106"/>
    </row>
    <row r="44" spans="1:51" outlineLevel="1">
      <c r="A44" s="545">
        <f>MAX($A$10:A43)+1</f>
        <v>35</v>
      </c>
      <c r="B44" s="716" t="s">
        <v>1799</v>
      </c>
      <c r="C44" s="716" t="s">
        <v>1816</v>
      </c>
      <c r="D44" s="716" t="s">
        <v>1817</v>
      </c>
      <c r="E44" s="559">
        <v>376.2</v>
      </c>
      <c r="F44" s="1302" cm="1">
        <f t="array" ref="F44">+IF(SUM(VALUE(N44:Q44)*$N$7:$Q$7)=0,R44,T44)</f>
        <v>0</v>
      </c>
      <c r="G44" s="103">
        <f t="shared" si="2"/>
        <v>0</v>
      </c>
      <c r="H44" s="717">
        <v>0</v>
      </c>
      <c r="I44" s="1303" cm="1">
        <f t="array" ref="I44">+IF(SUM(VALUE(N44:Q44)*$N$7:$Q$7)=0,S44,U44)</f>
        <v>1191031.1399999999</v>
      </c>
      <c r="J44" s="103">
        <f>+I44</f>
        <v>1191031.1399999999</v>
      </c>
      <c r="K44" s="575">
        <v>45961</v>
      </c>
      <c r="M44"/>
      <c r="N44" s="1300">
        <v>0</v>
      </c>
      <c r="O44" s="1300">
        <v>1</v>
      </c>
      <c r="P44" s="1300">
        <v>0</v>
      </c>
      <c r="Q44" s="1300">
        <v>0</v>
      </c>
      <c r="R44" s="1266">
        <v>0</v>
      </c>
      <c r="S44" s="1266">
        <v>1191031.1399999999</v>
      </c>
      <c r="T44" s="1266">
        <f>+IF($Q44=1,$G44,INDEX([1]Summary!$K$5:$K$110,MATCH($C44,[1]Summary!$D$5:$D145,0)))</f>
        <v>0</v>
      </c>
      <c r="U44" s="1266">
        <f>+IF($Q44=1,$J44,INDEX([1]Summary!$L$5:$L$110,MATCH($C44,[1]Summary!$D$5:$D145,0)))</f>
        <v>0</v>
      </c>
      <c r="V44" s="721"/>
      <c r="W44" s="721"/>
      <c r="X44" s="721"/>
      <c r="Y44" s="721"/>
      <c r="Z44" s="721"/>
      <c r="AA44" s="721"/>
      <c r="AB44" s="721"/>
      <c r="AC44" s="721"/>
      <c r="AD44" s="721"/>
      <c r="AF44" s="720"/>
      <c r="AI44" s="105"/>
      <c r="AJ44" s="105"/>
      <c r="AN44" s="105"/>
      <c r="AO44" s="105"/>
      <c r="AP44" s="105"/>
    </row>
    <row r="45" spans="1:51" outlineLevel="1">
      <c r="A45" s="545">
        <f>MAX($A$10:A44)+1</f>
        <v>36</v>
      </c>
      <c r="B45" s="716" t="s">
        <v>1799</v>
      </c>
      <c r="C45" s="716" t="s">
        <v>1818</v>
      </c>
      <c r="D45" s="716" t="s">
        <v>1819</v>
      </c>
      <c r="E45" s="559">
        <v>376.2</v>
      </c>
      <c r="F45" s="1302" cm="1">
        <f t="array" ref="F45">+IF(SUM(VALUE(N45:Q45)*$N$7:$Q$7)=0,R45,T45)</f>
        <v>3037182.6</v>
      </c>
      <c r="G45" s="103">
        <f t="shared" si="2"/>
        <v>3037182.6</v>
      </c>
      <c r="H45" s="717">
        <v>45566</v>
      </c>
      <c r="I45" s="1303" cm="1">
        <f t="array" ref="I45">+IF(SUM(VALUE(N45:Q45)*$N$7:$Q$7)=0,S45,U45)</f>
        <v>0</v>
      </c>
      <c r="J45" s="103">
        <f>+I45</f>
        <v>0</v>
      </c>
      <c r="K45" s="103"/>
      <c r="M45"/>
      <c r="N45" s="1300">
        <v>0</v>
      </c>
      <c r="O45" s="1300">
        <v>1</v>
      </c>
      <c r="P45" s="1300">
        <v>0</v>
      </c>
      <c r="Q45" s="1300">
        <v>0</v>
      </c>
      <c r="R45" s="1266">
        <v>3037182.6</v>
      </c>
      <c r="S45" s="1266">
        <v>0</v>
      </c>
      <c r="T45" s="1266">
        <f>+IF($Q45=1,$G45,INDEX([1]Summary!$K$5:$K$110,MATCH($C45,[1]Summary!$D$5:$D146,0)))</f>
        <v>3037182.6</v>
      </c>
      <c r="U45" s="1266">
        <f>+IF($Q45=1,$J45,INDEX([1]Summary!$L$5:$L$110,MATCH($C45,[1]Summary!$D$5:$D146,0)))</f>
        <v>0</v>
      </c>
      <c r="V45" s="721"/>
      <c r="W45" s="721"/>
      <c r="X45" s="721"/>
      <c r="Y45" s="721"/>
      <c r="Z45" s="721"/>
      <c r="AA45" s="721"/>
      <c r="AB45" s="721"/>
      <c r="AC45" s="721"/>
      <c r="AD45" s="721"/>
      <c r="AF45" s="720"/>
      <c r="AI45" s="105"/>
      <c r="AJ45" s="105"/>
      <c r="AN45" s="105"/>
      <c r="AO45" s="105"/>
      <c r="AP45" s="105"/>
    </row>
    <row r="46" spans="1:51" outlineLevel="1">
      <c r="A46" s="545">
        <f>MAX($A$10:A45)+1</f>
        <v>37</v>
      </c>
      <c r="B46" s="716" t="s">
        <v>1799</v>
      </c>
      <c r="C46" s="716" t="s">
        <v>1820</v>
      </c>
      <c r="D46" s="716" t="s">
        <v>1821</v>
      </c>
      <c r="E46" s="559">
        <v>376.2</v>
      </c>
      <c r="F46" s="1302" cm="1">
        <f t="array" ref="F46">+IF(SUM(VALUE(N46:Q46)*$N$7:$Q$7)=0,R46,T46)</f>
        <v>750000</v>
      </c>
      <c r="G46" s="103">
        <f t="shared" si="2"/>
        <v>750000</v>
      </c>
      <c r="H46" s="717">
        <v>45535</v>
      </c>
      <c r="I46" s="1303" cm="1">
        <f t="array" ref="I46">+IF(SUM(VALUE(N46:Q46)*$N$7:$Q$7)=0,S46,U46)</f>
        <v>0</v>
      </c>
      <c r="J46" s="103"/>
      <c r="K46" s="103"/>
      <c r="M46"/>
      <c r="N46" s="1300">
        <v>0</v>
      </c>
      <c r="O46" s="1300">
        <v>0</v>
      </c>
      <c r="P46" s="1300">
        <v>0</v>
      </c>
      <c r="Q46" s="1300">
        <v>1</v>
      </c>
      <c r="R46" s="1266">
        <v>750000</v>
      </c>
      <c r="S46" s="1266">
        <v>0</v>
      </c>
      <c r="T46" s="1266">
        <f>+IF($Q46=1,$G46,INDEX([1]Summary!$K$5:$K$110,MATCH($C46,[1]Summary!$D$5:$D147,0)))</f>
        <v>750000</v>
      </c>
      <c r="U46" s="1266">
        <f>+IF($Q46=1,$J46,INDEX([1]Summary!$L$5:$L$110,MATCH($C46,[1]Summary!$D$5:$D147,0)))</f>
        <v>0</v>
      </c>
      <c r="V46" s="721"/>
      <c r="W46" s="721"/>
      <c r="X46" s="721"/>
      <c r="Y46" s="721"/>
      <c r="Z46" s="721"/>
      <c r="AA46" s="721"/>
      <c r="AB46" s="721"/>
      <c r="AC46" s="721"/>
      <c r="AD46" s="721"/>
      <c r="AF46" s="720"/>
      <c r="AI46" s="105"/>
      <c r="AJ46" s="105"/>
      <c r="AN46" s="105"/>
      <c r="AO46" s="105"/>
      <c r="AP46" s="105"/>
    </row>
    <row r="47" spans="1:51" outlineLevel="1">
      <c r="A47" s="545">
        <f>MAX($A$10:A46)+1</f>
        <v>38</v>
      </c>
      <c r="B47" s="716" t="s">
        <v>1799</v>
      </c>
      <c r="C47" s="716" t="s">
        <v>1822</v>
      </c>
      <c r="D47" s="716" t="s">
        <v>1823</v>
      </c>
      <c r="E47" s="559">
        <v>376.3</v>
      </c>
      <c r="F47" s="1302" cm="1">
        <f t="array" ref="F47">+IF(SUM(VALUE(N47:Q47)*$N$7:$Q$7)=0,R47,T47)</f>
        <v>87598.680000000008</v>
      </c>
      <c r="G47" s="103">
        <f t="shared" si="2"/>
        <v>87598.680000000008</v>
      </c>
      <c r="H47" s="575">
        <v>45657</v>
      </c>
      <c r="I47" s="1303" cm="1">
        <f t="array" ref="I47">+IF(SUM(VALUE(N47:Q47)*$N$7:$Q$7)=0,S47,U47)</f>
        <v>90059.04</v>
      </c>
      <c r="J47" s="103">
        <f t="shared" ref="J47:J85" si="4">+I47</f>
        <v>90059.04</v>
      </c>
      <c r="K47" s="575">
        <v>46022</v>
      </c>
      <c r="M47"/>
      <c r="N47" s="1300">
        <v>0</v>
      </c>
      <c r="O47" s="1300">
        <v>0</v>
      </c>
      <c r="P47" s="1300">
        <v>1</v>
      </c>
      <c r="Q47" s="1300">
        <v>0</v>
      </c>
      <c r="R47" s="1266">
        <v>87598.680000000008</v>
      </c>
      <c r="S47" s="1266">
        <v>90059.04</v>
      </c>
      <c r="T47" s="1266">
        <f>+IF($Q47=1,$G47,INDEX([1]Summary!$K$5:$K$110,MATCH($C47,[1]Summary!$D$5:$D148,0)))</f>
        <v>143661.82750000001</v>
      </c>
      <c r="U47" s="1266">
        <f>+IF($Q47=1,$J47,INDEX([1]Summary!$L$5:$L$110,MATCH($C47,[1]Summary!$D$5:$D148,0)))</f>
        <v>143661.82750000001</v>
      </c>
      <c r="V47" s="721"/>
      <c r="W47" s="721"/>
      <c r="X47" s="721"/>
      <c r="Y47" s="721"/>
      <c r="Z47" s="721"/>
      <c r="AA47" s="721"/>
      <c r="AB47" s="721"/>
      <c r="AC47" s="721"/>
      <c r="AD47" s="721"/>
      <c r="AF47" s="720"/>
      <c r="AI47" s="105"/>
      <c r="AJ47" s="105"/>
      <c r="AN47" s="105"/>
      <c r="AO47" s="105"/>
      <c r="AP47" s="105"/>
      <c r="AS47" s="105"/>
    </row>
    <row r="48" spans="1:51" outlineLevel="1">
      <c r="A48" s="545">
        <f>MAX($A$10:A47)+1</f>
        <v>39</v>
      </c>
      <c r="B48" s="716" t="s">
        <v>1799</v>
      </c>
      <c r="C48" s="716" t="s">
        <v>1824</v>
      </c>
      <c r="D48" s="716" t="s">
        <v>1825</v>
      </c>
      <c r="E48" s="559">
        <v>376.3</v>
      </c>
      <c r="F48" s="1302" cm="1">
        <f t="array" ref="F48">+IF(SUM(VALUE(N48:Q48)*$N$7:$Q$7)=0,R48,T48)</f>
        <v>260834.37784400009</v>
      </c>
      <c r="G48" s="103">
        <f t="shared" si="2"/>
        <v>260834.37784400009</v>
      </c>
      <c r="H48" s="575">
        <v>45657</v>
      </c>
      <c r="I48" s="1303" cm="1">
        <f t="array" ref="I48">+IF(SUM(VALUE(N48:Q48)*$N$7:$Q$7)=0,S48,U48)</f>
        <v>224689.91446899995</v>
      </c>
      <c r="J48" s="103">
        <f t="shared" si="4"/>
        <v>224689.91446899995</v>
      </c>
      <c r="K48" s="575">
        <v>46022</v>
      </c>
      <c r="M48"/>
      <c r="N48" s="1300">
        <v>0</v>
      </c>
      <c r="O48" s="1300">
        <v>0</v>
      </c>
      <c r="P48" s="1300">
        <v>1</v>
      </c>
      <c r="Q48" s="1300">
        <v>0</v>
      </c>
      <c r="R48" s="1266">
        <v>260834.37784400009</v>
      </c>
      <c r="S48" s="1266">
        <v>224689.91446899995</v>
      </c>
      <c r="T48" s="1266">
        <f>+IF($Q48=1,$G48,INDEX([1]Summary!$K$5:$K$110,MATCH($C48,[1]Summary!$D$5:$D149,0)))</f>
        <v>84544.570000000298</v>
      </c>
      <c r="U48" s="1266">
        <f>+IF($Q48=1,$J48,INDEX([1]Summary!$L$5:$L$110,MATCH($C48,[1]Summary!$D$5:$D149,0)))</f>
        <v>69125.594999998808</v>
      </c>
      <c r="V48" s="721"/>
      <c r="W48" s="721"/>
      <c r="X48" s="721"/>
      <c r="Y48" s="721"/>
      <c r="Z48" s="721"/>
      <c r="AA48" s="721"/>
      <c r="AB48" s="721"/>
      <c r="AC48" s="721"/>
      <c r="AD48" s="721"/>
      <c r="AF48" s="720"/>
      <c r="AI48" s="105"/>
      <c r="AJ48" s="105"/>
      <c r="AN48" s="105"/>
      <c r="AO48" s="105"/>
      <c r="AP48" s="105"/>
      <c r="AS48" s="105"/>
    </row>
    <row r="49" spans="1:45" outlineLevel="1">
      <c r="A49" s="545">
        <f>MAX($A$10:A48)+1</f>
        <v>40</v>
      </c>
      <c r="B49" s="716" t="s">
        <v>1799</v>
      </c>
      <c r="C49" s="716" t="s">
        <v>1826</v>
      </c>
      <c r="D49" s="716" t="s">
        <v>1827</v>
      </c>
      <c r="E49" s="559">
        <v>380.3</v>
      </c>
      <c r="F49" s="1302" cm="1">
        <f t="array" ref="F49">+IF(SUM(VALUE(N49:Q49)*$N$7:$Q$7)=0,R49,T49)</f>
        <v>432802.92000000016</v>
      </c>
      <c r="G49" s="103">
        <f t="shared" si="2"/>
        <v>432802.92000000016</v>
      </c>
      <c r="H49" s="575">
        <v>45657</v>
      </c>
      <c r="I49" s="1303" cm="1">
        <f t="array" ref="I49">+IF(SUM(VALUE(N49:Q49)*$N$7:$Q$7)=0,S49,U49)</f>
        <v>444940.08000000013</v>
      </c>
      <c r="J49" s="103">
        <f t="shared" si="4"/>
        <v>444940.08000000013</v>
      </c>
      <c r="K49" s="575">
        <v>46022</v>
      </c>
      <c r="M49"/>
      <c r="N49" s="1300">
        <v>0</v>
      </c>
      <c r="O49" s="1300">
        <v>0</v>
      </c>
      <c r="P49" s="1300">
        <v>1</v>
      </c>
      <c r="Q49" s="1300">
        <v>0</v>
      </c>
      <c r="R49" s="1266">
        <v>432802.92000000016</v>
      </c>
      <c r="S49" s="1266">
        <v>444940.08000000013</v>
      </c>
      <c r="T49" s="1266">
        <f>+IF($Q49=1,$G49,INDEX([1]Summary!$K$5:$K$110,MATCH($C49,[1]Summary!$D$5:$D150,0)))</f>
        <v>421666.68799999997</v>
      </c>
      <c r="U49" s="1266">
        <f>+IF($Q49=1,$J49,INDEX([1]Summary!$L$5:$L$110,MATCH($C49,[1]Summary!$D$5:$D150,0)))</f>
        <v>421666.68799999997</v>
      </c>
      <c r="V49" s="721"/>
      <c r="W49" s="721"/>
      <c r="X49" s="721"/>
      <c r="Y49" s="721"/>
      <c r="Z49" s="721"/>
      <c r="AA49" s="721"/>
      <c r="AB49" s="721"/>
      <c r="AC49" s="721"/>
      <c r="AD49" s="721"/>
      <c r="AF49" s="720"/>
      <c r="AI49" s="105"/>
      <c r="AJ49" s="105"/>
      <c r="AK49" s="105"/>
      <c r="AN49" s="105"/>
      <c r="AO49" s="105"/>
      <c r="AP49" s="105"/>
      <c r="AS49" s="105"/>
    </row>
    <row r="50" spans="1:45" outlineLevel="1">
      <c r="A50" s="545">
        <f>MAX($A$10:A49)+1</f>
        <v>41</v>
      </c>
      <c r="B50" s="716" t="s">
        <v>1799</v>
      </c>
      <c r="C50" s="716" t="s">
        <v>1828</v>
      </c>
      <c r="D50" s="716" t="s">
        <v>1829</v>
      </c>
      <c r="E50" s="559">
        <v>380.3</v>
      </c>
      <c r="F50" s="1302" cm="1">
        <f t="array" ref="F50">+IF(SUM(VALUE(N50:Q50)*$N$7:$Q$7)=0,R50,T50)</f>
        <v>230492.44047400006</v>
      </c>
      <c r="G50" s="103">
        <f t="shared" si="2"/>
        <v>230492.44047400006</v>
      </c>
      <c r="H50" s="575">
        <v>45657</v>
      </c>
      <c r="I50" s="1303" cm="1">
        <f t="array" ref="I50">+IF(SUM(VALUE(N50:Q50)*$N$7:$Q$7)=0,S50,U50)</f>
        <v>178839.24196299998</v>
      </c>
      <c r="J50" s="103">
        <f t="shared" si="4"/>
        <v>178839.24196299998</v>
      </c>
      <c r="K50" s="575">
        <v>46022</v>
      </c>
      <c r="M50"/>
      <c r="N50" s="1300">
        <v>0</v>
      </c>
      <c r="O50" s="1300">
        <v>0</v>
      </c>
      <c r="P50" s="1300">
        <v>1</v>
      </c>
      <c r="Q50" s="1300">
        <v>0</v>
      </c>
      <c r="R50" s="1266">
        <v>230492.44047400006</v>
      </c>
      <c r="S50" s="1266">
        <v>178839.24196299998</v>
      </c>
      <c r="T50" s="1266">
        <f>+IF($Q50=1,$G50,INDEX([1]Summary!$K$5:$K$110,MATCH($C50,[1]Summary!$D$5:$D151,0)))</f>
        <v>184523.08750000002</v>
      </c>
      <c r="U50" s="1266">
        <f>+IF($Q50=1,$J50,INDEX([1]Summary!$L$5:$L$110,MATCH($C50,[1]Summary!$D$5:$D151,0)))</f>
        <v>184523.08750000002</v>
      </c>
      <c r="V50" s="721"/>
      <c r="W50" s="721"/>
      <c r="X50" s="721"/>
      <c r="Y50" s="721"/>
      <c r="Z50" s="721"/>
      <c r="AA50" s="721"/>
      <c r="AB50" s="721"/>
      <c r="AC50" s="721"/>
      <c r="AD50" s="721"/>
      <c r="AF50" s="720"/>
      <c r="AI50" s="105"/>
      <c r="AJ50" s="105"/>
      <c r="AN50" s="105"/>
      <c r="AO50" s="105"/>
      <c r="AP50" s="105"/>
      <c r="AS50" s="105"/>
    </row>
    <row r="51" spans="1:45" outlineLevel="1">
      <c r="A51" s="545">
        <f>MAX($A$10:A50)+1</f>
        <v>42</v>
      </c>
      <c r="B51" s="716" t="s">
        <v>1799</v>
      </c>
      <c r="C51" s="716" t="s">
        <v>1830</v>
      </c>
      <c r="D51" s="716" t="s">
        <v>1831</v>
      </c>
      <c r="E51" s="559">
        <v>376.3</v>
      </c>
      <c r="F51" s="1302" cm="1">
        <f t="array" ref="F51">+IF(SUM(VALUE(N51:Q51)*$N$7:$Q$7)=0,R51,T51)</f>
        <v>14539.2</v>
      </c>
      <c r="G51" s="103">
        <f t="shared" si="2"/>
        <v>14539.2</v>
      </c>
      <c r="H51" s="575">
        <v>45657</v>
      </c>
      <c r="I51" s="1303" cm="1">
        <f t="array" ref="I51">+IF(SUM(VALUE(N51:Q51)*$N$7:$Q$7)=0,S51,U51)</f>
        <v>14511.600000000002</v>
      </c>
      <c r="J51" s="103">
        <f t="shared" si="4"/>
        <v>14511.600000000002</v>
      </c>
      <c r="K51" s="575">
        <v>46022</v>
      </c>
      <c r="M51"/>
      <c r="N51" s="1300">
        <v>0</v>
      </c>
      <c r="O51" s="1300">
        <v>0</v>
      </c>
      <c r="P51" s="1300">
        <v>1</v>
      </c>
      <c r="Q51" s="1300">
        <v>0</v>
      </c>
      <c r="R51" s="1266">
        <v>14539.2</v>
      </c>
      <c r="S51" s="1266">
        <v>14511.600000000002</v>
      </c>
      <c r="T51" s="1266">
        <f>+IF($Q51=1,$G51,INDEX([1]Summary!$K$5:$K$110,MATCH($C51,[1]Summary!$D$5:$D152,0)))</f>
        <v>4725.4375</v>
      </c>
      <c r="U51" s="1266">
        <f>+IF($Q51=1,$J51,INDEX([1]Summary!$L$5:$L$110,MATCH($C51,[1]Summary!$D$5:$D152,0)))</f>
        <v>4725.4375</v>
      </c>
      <c r="V51" s="721"/>
      <c r="W51" s="721"/>
      <c r="X51" s="721"/>
      <c r="Y51" s="721"/>
      <c r="Z51" s="721"/>
      <c r="AA51" s="721"/>
      <c r="AB51" s="721"/>
      <c r="AC51" s="721"/>
      <c r="AD51" s="721"/>
      <c r="AF51" s="720"/>
      <c r="AI51" s="105"/>
      <c r="AJ51" s="105"/>
      <c r="AN51" s="105"/>
      <c r="AO51" s="105"/>
      <c r="AP51" s="105"/>
      <c r="AS51" s="105"/>
    </row>
    <row r="52" spans="1:45" outlineLevel="1">
      <c r="A52" s="545">
        <f>MAX($A$10:A51)+1</f>
        <v>43</v>
      </c>
      <c r="B52" s="716" t="s">
        <v>1799</v>
      </c>
      <c r="C52" s="716" t="s">
        <v>1832</v>
      </c>
      <c r="D52" s="716" t="s">
        <v>1833</v>
      </c>
      <c r="E52" s="559">
        <v>376.3</v>
      </c>
      <c r="F52" s="1302" cm="1">
        <f t="array" ref="F52">+IF(SUM(VALUE(N52:Q52)*$N$7:$Q$7)=0,R52,T52)</f>
        <v>19699.351382000001</v>
      </c>
      <c r="G52" s="103">
        <f t="shared" si="2"/>
        <v>19699.351382000001</v>
      </c>
      <c r="H52" s="575">
        <v>45657</v>
      </c>
      <c r="I52" s="1303" cm="1">
        <f t="array" ref="I52">+IF(SUM(VALUE(N52:Q52)*$N$7:$Q$7)=0,S52,U52)</f>
        <v>18350.622632999999</v>
      </c>
      <c r="J52" s="103">
        <f t="shared" si="4"/>
        <v>18350.622632999999</v>
      </c>
      <c r="K52" s="575">
        <v>46022</v>
      </c>
      <c r="M52"/>
      <c r="N52" s="1300">
        <v>0</v>
      </c>
      <c r="O52" s="1300">
        <v>0</v>
      </c>
      <c r="P52" s="1300">
        <v>1</v>
      </c>
      <c r="Q52" s="1300">
        <v>0</v>
      </c>
      <c r="R52" s="1266">
        <v>19699.351382000001</v>
      </c>
      <c r="S52" s="1266">
        <v>18350.622632999999</v>
      </c>
      <c r="T52" s="1266">
        <f>+IF($Q52=1,$G52,INDEX([1]Summary!$K$5:$K$110,MATCH($C52,[1]Summary!$D$5:$D153,0)))</f>
        <v>13623.474999999999</v>
      </c>
      <c r="U52" s="1266">
        <f>+IF($Q52=1,$J52,INDEX([1]Summary!$L$5:$L$110,MATCH($C52,[1]Summary!$D$5:$D153,0)))</f>
        <v>13623.474999999999</v>
      </c>
      <c r="V52" s="721"/>
      <c r="W52" s="721"/>
      <c r="X52" s="721"/>
      <c r="Y52" s="721"/>
      <c r="Z52" s="721"/>
      <c r="AA52" s="721"/>
      <c r="AB52" s="721"/>
      <c r="AC52" s="721"/>
      <c r="AD52" s="721"/>
      <c r="AF52" s="720"/>
      <c r="AI52" s="105"/>
      <c r="AJ52" s="105"/>
      <c r="AN52" s="105"/>
      <c r="AO52" s="105"/>
      <c r="AP52" s="105"/>
      <c r="AS52" s="105"/>
    </row>
    <row r="53" spans="1:45" outlineLevel="1">
      <c r="A53" s="545">
        <f>MAX($A$10:A52)+1</f>
        <v>44</v>
      </c>
      <c r="B53" s="716" t="s">
        <v>1799</v>
      </c>
      <c r="C53" s="716" t="s">
        <v>1834</v>
      </c>
      <c r="D53" s="716" t="s">
        <v>1835</v>
      </c>
      <c r="E53" s="559">
        <v>380.3</v>
      </c>
      <c r="F53" s="1302" cm="1">
        <f t="array" ref="F53">+IF(SUM(VALUE(N53:Q53)*$N$7:$Q$7)=0,R53,T53)</f>
        <v>54194.889999999992</v>
      </c>
      <c r="G53" s="103">
        <f t="shared" si="2"/>
        <v>54194.889999999992</v>
      </c>
      <c r="H53" s="575">
        <v>45657</v>
      </c>
      <c r="I53" s="1303" cm="1">
        <f t="array" ref="I53">+IF(SUM(VALUE(N53:Q53)*$N$7:$Q$7)=0,S53,U53)</f>
        <v>58743</v>
      </c>
      <c r="J53" s="103">
        <f t="shared" si="4"/>
        <v>58743</v>
      </c>
      <c r="K53" s="575">
        <v>46022</v>
      </c>
      <c r="M53"/>
      <c r="N53" s="1300">
        <v>0</v>
      </c>
      <c r="O53" s="1300">
        <v>0</v>
      </c>
      <c r="P53" s="1300">
        <v>1</v>
      </c>
      <c r="Q53" s="1300">
        <v>0</v>
      </c>
      <c r="R53" s="1266">
        <v>54194.889999999992</v>
      </c>
      <c r="S53" s="1266">
        <v>58743</v>
      </c>
      <c r="T53" s="1266">
        <f>+IF($Q53=1,$G53,INDEX([1]Summary!$K$5:$K$110,MATCH($C53,[1]Summary!$D$5:$D154,0)))</f>
        <v>106420.70333333332</v>
      </c>
      <c r="U53" s="1266">
        <f>+IF($Q53=1,$J53,INDEX([1]Summary!$L$5:$L$110,MATCH($C53,[1]Summary!$D$5:$D154,0)))</f>
        <v>106420.70333333332</v>
      </c>
      <c r="V53" s="721"/>
      <c r="W53" s="721"/>
      <c r="X53" s="721"/>
      <c r="Y53" s="721"/>
      <c r="Z53" s="721"/>
      <c r="AA53" s="721"/>
      <c r="AB53" s="721"/>
      <c r="AC53" s="721"/>
      <c r="AD53" s="721"/>
      <c r="AF53" s="720"/>
      <c r="AI53" s="105"/>
      <c r="AJ53" s="105"/>
      <c r="AN53" s="105"/>
      <c r="AO53" s="105"/>
      <c r="AP53" s="105"/>
      <c r="AS53" s="105"/>
    </row>
    <row r="54" spans="1:45" outlineLevel="1">
      <c r="A54" s="545">
        <f>MAX($A$10:A53)+1</f>
        <v>45</v>
      </c>
      <c r="B54" s="716" t="s">
        <v>1799</v>
      </c>
      <c r="C54" s="716" t="s">
        <v>1836</v>
      </c>
      <c r="D54" s="716" t="s">
        <v>1837</v>
      </c>
      <c r="E54" s="559">
        <v>380.3</v>
      </c>
      <c r="F54" s="1302" cm="1">
        <f t="array" ref="F54">+IF(SUM(VALUE(N54:Q54)*$N$7:$Q$7)=0,R54,T54)</f>
        <v>64673.637801999997</v>
      </c>
      <c r="G54" s="103">
        <f t="shared" si="2"/>
        <v>64673.637801999997</v>
      </c>
      <c r="H54" s="575">
        <v>45657</v>
      </c>
      <c r="I54" s="1303" cm="1">
        <f t="array" ref="I54">+IF(SUM(VALUE(N54:Q54)*$N$7:$Q$7)=0,S54,U54)</f>
        <v>52841.280960999982</v>
      </c>
      <c r="J54" s="103">
        <f t="shared" si="4"/>
        <v>52841.280960999982</v>
      </c>
      <c r="K54" s="575">
        <v>46022</v>
      </c>
      <c r="M54"/>
      <c r="N54" s="1300">
        <v>0</v>
      </c>
      <c r="O54" s="1300">
        <v>0</v>
      </c>
      <c r="P54" s="1300">
        <v>1</v>
      </c>
      <c r="Q54" s="1300">
        <v>0</v>
      </c>
      <c r="R54" s="1266">
        <v>64673.637801999997</v>
      </c>
      <c r="S54" s="1266">
        <v>52841.280960999982</v>
      </c>
      <c r="T54" s="1266">
        <f>+IF($Q54=1,$G54,INDEX([1]Summary!$K$5:$K$110,MATCH($C54,[1]Summary!$D$5:$D155,0)))</f>
        <v>1010.115</v>
      </c>
      <c r="U54" s="1266">
        <f>+IF($Q54=1,$J54,INDEX([1]Summary!$L$5:$L$110,MATCH($C54,[1]Summary!$D$5:$D155,0)))</f>
        <v>1010.115</v>
      </c>
      <c r="V54" s="721"/>
      <c r="W54" s="721"/>
      <c r="X54" s="721"/>
      <c r="Y54" s="721"/>
      <c r="Z54" s="721"/>
      <c r="AA54" s="721"/>
      <c r="AB54" s="721"/>
      <c r="AC54" s="721"/>
      <c r="AD54" s="721"/>
      <c r="AF54" s="720"/>
      <c r="AI54" s="105"/>
      <c r="AJ54" s="105"/>
      <c r="AN54" s="105"/>
      <c r="AO54" s="105"/>
      <c r="AP54" s="105"/>
      <c r="AS54" s="105"/>
    </row>
    <row r="55" spans="1:45" outlineLevel="1">
      <c r="A55" s="545">
        <f>MAX($A$10:A54)+1</f>
        <v>46</v>
      </c>
      <c r="B55" s="716" t="s">
        <v>1799</v>
      </c>
      <c r="C55" s="716" t="s">
        <v>1838</v>
      </c>
      <c r="D55" s="716" t="s">
        <v>1839</v>
      </c>
      <c r="E55" s="559">
        <v>376.3</v>
      </c>
      <c r="F55" s="1302" cm="1">
        <f t="array" ref="F55">+IF(SUM(VALUE(N55:Q55)*$N$7:$Q$7)=0,R55,T55)</f>
        <v>102137.88000000002</v>
      </c>
      <c r="G55" s="103">
        <f t="shared" si="2"/>
        <v>102137.88000000002</v>
      </c>
      <c r="H55" s="575">
        <v>45657</v>
      </c>
      <c r="I55" s="1303" cm="1">
        <f t="array" ref="I55">+IF(SUM(VALUE(N55:Q55)*$N$7:$Q$7)=0,S55,U55)</f>
        <v>104991.36</v>
      </c>
      <c r="J55" s="103">
        <f t="shared" si="4"/>
        <v>104991.36</v>
      </c>
      <c r="K55" s="575">
        <v>46022</v>
      </c>
      <c r="M55"/>
      <c r="N55" s="1300">
        <v>0</v>
      </c>
      <c r="O55" s="1300">
        <v>0</v>
      </c>
      <c r="P55" s="1300">
        <v>1</v>
      </c>
      <c r="Q55" s="1300">
        <v>0</v>
      </c>
      <c r="R55" s="1266">
        <v>102137.88000000002</v>
      </c>
      <c r="S55" s="1266">
        <v>104991.36</v>
      </c>
      <c r="T55" s="1266">
        <f>+IF($Q55=1,$G55,INDEX([1]Summary!$K$5:$K$110,MATCH($C55,[1]Summary!$D$5:$D156,0)))</f>
        <v>247300.73250000001</v>
      </c>
      <c r="U55" s="1266">
        <f>+IF($Q55=1,$J55,INDEX([1]Summary!$L$5:$L$110,MATCH($C55,[1]Summary!$D$5:$D156,0)))</f>
        <v>247300.73250000001</v>
      </c>
      <c r="V55" s="721"/>
      <c r="W55" s="721"/>
      <c r="X55" s="721"/>
      <c r="Y55" s="721"/>
      <c r="Z55" s="721"/>
      <c r="AA55" s="721"/>
      <c r="AB55" s="721"/>
      <c r="AC55" s="721"/>
      <c r="AD55" s="721"/>
      <c r="AF55" s="720"/>
      <c r="AI55" s="105"/>
      <c r="AJ55" s="105"/>
      <c r="AN55" s="105"/>
      <c r="AO55" s="105"/>
      <c r="AP55" s="105"/>
      <c r="AS55" s="105"/>
    </row>
    <row r="56" spans="1:45" outlineLevel="1">
      <c r="A56" s="545">
        <f>MAX($A$10:A55)+1</f>
        <v>47</v>
      </c>
      <c r="B56" s="716" t="s">
        <v>1799</v>
      </c>
      <c r="C56" s="716" t="s">
        <v>1840</v>
      </c>
      <c r="D56" s="716" t="s">
        <v>1841</v>
      </c>
      <c r="E56" s="559">
        <v>376.3</v>
      </c>
      <c r="F56" s="1302" cm="1">
        <f t="array" ref="F56">+IF(SUM(VALUE(N56:Q56)*$N$7:$Q$7)=0,R56,T56)</f>
        <v>183118.15119299997</v>
      </c>
      <c r="G56" s="103">
        <f t="shared" si="2"/>
        <v>183118.15119299997</v>
      </c>
      <c r="H56" s="575">
        <v>45657</v>
      </c>
      <c r="I56" s="1303" cm="1">
        <f t="array" ref="I56">+IF(SUM(VALUE(N56:Q56)*$N$7:$Q$7)=0,S56,U56)</f>
        <v>188332.45476299999</v>
      </c>
      <c r="J56" s="103">
        <f t="shared" si="4"/>
        <v>188332.45476299999</v>
      </c>
      <c r="K56" s="575">
        <v>46022</v>
      </c>
      <c r="M56"/>
      <c r="N56" s="1300">
        <v>0</v>
      </c>
      <c r="O56" s="1300">
        <v>0</v>
      </c>
      <c r="P56" s="1300">
        <v>1</v>
      </c>
      <c r="Q56" s="1300">
        <v>0</v>
      </c>
      <c r="R56" s="1266">
        <v>183118.15119299997</v>
      </c>
      <c r="S56" s="1266">
        <v>188332.45476299999</v>
      </c>
      <c r="T56" s="1266">
        <f>+IF($Q56=1,$G56,INDEX([1]Summary!$K$5:$K$110,MATCH($C56,[1]Summary!$D$5:$D157,0)))</f>
        <v>201854.49000000209</v>
      </c>
      <c r="U56" s="1266">
        <f>+IF($Q56=1,$J56,INDEX([1]Summary!$L$5:$L$110,MATCH($C56,[1]Summary!$D$5:$D157,0)))</f>
        <v>224484.68599999696</v>
      </c>
      <c r="V56" s="721"/>
      <c r="W56" s="721"/>
      <c r="X56" s="721"/>
      <c r="Y56" s="721"/>
      <c r="Z56" s="721"/>
      <c r="AA56" s="721"/>
      <c r="AB56" s="721"/>
      <c r="AC56" s="721"/>
      <c r="AD56" s="721"/>
      <c r="AF56" s="720"/>
      <c r="AI56" s="105"/>
      <c r="AJ56" s="105"/>
      <c r="AN56" s="105"/>
      <c r="AO56" s="105"/>
      <c r="AP56" s="105"/>
      <c r="AS56" s="105"/>
    </row>
    <row r="57" spans="1:45" outlineLevel="1">
      <c r="A57" s="545">
        <f>MAX($A$10:A56)+1</f>
        <v>48</v>
      </c>
      <c r="B57" s="716" t="s">
        <v>1799</v>
      </c>
      <c r="C57" s="716" t="s">
        <v>1842</v>
      </c>
      <c r="D57" s="716" t="s">
        <v>1843</v>
      </c>
      <c r="E57" s="559">
        <v>380.3</v>
      </c>
      <c r="F57" s="1302" cm="1">
        <f t="array" ref="F57">+IF(SUM(VALUE(N57:Q57)*$N$7:$Q$7)=0,R57,T57)</f>
        <v>674851.56</v>
      </c>
      <c r="G57" s="103">
        <f t="shared" si="2"/>
        <v>674851.56</v>
      </c>
      <c r="H57" s="575">
        <v>45657</v>
      </c>
      <c r="I57" s="1303" cm="1">
        <f t="array" ref="I57">+IF(SUM(VALUE(N57:Q57)*$N$7:$Q$7)=0,S57,U57)</f>
        <v>693785.04</v>
      </c>
      <c r="J57" s="103">
        <f t="shared" si="4"/>
        <v>693785.04</v>
      </c>
      <c r="K57" s="575">
        <v>46022</v>
      </c>
      <c r="M57"/>
      <c r="N57" s="1300">
        <v>0</v>
      </c>
      <c r="O57" s="1300">
        <v>0</v>
      </c>
      <c r="P57" s="1300">
        <v>1</v>
      </c>
      <c r="Q57" s="1300">
        <v>0</v>
      </c>
      <c r="R57" s="1266">
        <v>674851.56</v>
      </c>
      <c r="S57" s="1266">
        <v>693785.04</v>
      </c>
      <c r="T57" s="1266">
        <f>+IF($Q57=1,$G57,INDEX([1]Summary!$K$5:$K$110,MATCH($C57,[1]Summary!$D$5:$D158,0)))</f>
        <v>481502.20266669989</v>
      </c>
      <c r="U57" s="1266">
        <f>+IF($Q57=1,$J57,INDEX([1]Summary!$L$5:$L$110,MATCH($C57,[1]Summary!$D$5:$D158,0)))</f>
        <v>327047.00009524822</v>
      </c>
      <c r="V57" s="721"/>
      <c r="W57" s="721"/>
      <c r="X57" s="721"/>
      <c r="Y57" s="721"/>
      <c r="Z57" s="721"/>
      <c r="AA57" s="721"/>
      <c r="AB57" s="721"/>
      <c r="AC57" s="721"/>
      <c r="AD57" s="721"/>
      <c r="AF57" s="720"/>
      <c r="AI57" s="105"/>
      <c r="AJ57" s="105"/>
      <c r="AN57" s="105"/>
      <c r="AO57" s="105"/>
      <c r="AP57" s="105"/>
      <c r="AS57" s="105"/>
    </row>
    <row r="58" spans="1:45" outlineLevel="1">
      <c r="A58" s="545">
        <f>MAX($A$10:A57)+1</f>
        <v>49</v>
      </c>
      <c r="B58" s="716" t="s">
        <v>1799</v>
      </c>
      <c r="C58" s="716" t="s">
        <v>1844</v>
      </c>
      <c r="D58" s="716" t="s">
        <v>1845</v>
      </c>
      <c r="E58" s="559">
        <v>380.3</v>
      </c>
      <c r="F58" s="1302" cm="1">
        <f t="array" ref="F58">+IF(SUM(VALUE(N58:Q58)*$N$7:$Q$7)=0,R58,T58)</f>
        <v>315682.85518500005</v>
      </c>
      <c r="G58" s="103">
        <f t="shared" si="2"/>
        <v>315682.85518500005</v>
      </c>
      <c r="H58" s="575">
        <v>45657</v>
      </c>
      <c r="I58" s="1303" cm="1">
        <f t="array" ref="I58">+IF(SUM(VALUE(N58:Q58)*$N$7:$Q$7)=0,S58,U58)</f>
        <v>293445.8054769999</v>
      </c>
      <c r="J58" s="103">
        <f t="shared" si="4"/>
        <v>293445.8054769999</v>
      </c>
      <c r="K58" s="575">
        <v>46022</v>
      </c>
      <c r="M58"/>
      <c r="N58" s="1300">
        <v>0</v>
      </c>
      <c r="O58" s="1300">
        <v>0</v>
      </c>
      <c r="P58" s="1300">
        <v>1</v>
      </c>
      <c r="Q58" s="1300">
        <v>0</v>
      </c>
      <c r="R58" s="1266">
        <v>315682.85518500005</v>
      </c>
      <c r="S58" s="1266">
        <v>293445.8054769999</v>
      </c>
      <c r="T58" s="1266">
        <f>+IF($Q58=1,$G58,INDEX([1]Summary!$K$5:$K$110,MATCH($C58,[1]Summary!$D$5:$D159,0)))</f>
        <v>91630.605000000447</v>
      </c>
      <c r="U58" s="1266">
        <f>+IF($Q58=1,$J58,INDEX([1]Summary!$L$5:$L$110,MATCH($C58,[1]Summary!$D$5:$D159,0)))</f>
        <v>105890.96400000155</v>
      </c>
      <c r="V58" s="721"/>
      <c r="W58" s="721"/>
      <c r="X58" s="721"/>
      <c r="Y58" s="721"/>
      <c r="Z58" s="721"/>
      <c r="AA58" s="721"/>
      <c r="AB58" s="721"/>
      <c r="AC58" s="721"/>
      <c r="AD58" s="721"/>
      <c r="AF58" s="720"/>
      <c r="AI58" s="105"/>
      <c r="AJ58" s="105"/>
      <c r="AN58" s="105"/>
      <c r="AO58" s="105"/>
      <c r="AP58" s="105"/>
      <c r="AS58" s="105"/>
    </row>
    <row r="59" spans="1:45" outlineLevel="1">
      <c r="A59" s="545">
        <f>MAX($A$10:A58)+1</f>
        <v>50</v>
      </c>
      <c r="B59" s="716" t="s">
        <v>1799</v>
      </c>
      <c r="C59" s="716" t="s">
        <v>1846</v>
      </c>
      <c r="D59" s="716" t="s">
        <v>1847</v>
      </c>
      <c r="E59" s="559">
        <v>376.3</v>
      </c>
      <c r="F59" s="1302" cm="1">
        <f t="array" ref="F59">+IF(SUM(VALUE(N59:Q59)*$N$7:$Q$7)=0,R59,T59)</f>
        <v>167040.84000000005</v>
      </c>
      <c r="G59" s="103">
        <f t="shared" si="2"/>
        <v>167040.84000000005</v>
      </c>
      <c r="H59" s="575">
        <v>45657</v>
      </c>
      <c r="I59" s="1303" cm="1">
        <f t="array" ref="I59">+IF(SUM(VALUE(N59:Q59)*$N$7:$Q$7)=0,S59,U59)</f>
        <v>171725.36000000002</v>
      </c>
      <c r="J59" s="103">
        <f t="shared" si="4"/>
        <v>171725.36000000002</v>
      </c>
      <c r="K59" s="575">
        <v>46022</v>
      </c>
      <c r="M59"/>
      <c r="N59" s="1300">
        <v>0</v>
      </c>
      <c r="O59" s="1300">
        <v>0</v>
      </c>
      <c r="P59" s="1300">
        <v>1</v>
      </c>
      <c r="Q59" s="1300">
        <v>0</v>
      </c>
      <c r="R59" s="1266">
        <v>167040.84000000005</v>
      </c>
      <c r="S59" s="1266">
        <v>171725.36000000002</v>
      </c>
      <c r="T59" s="1266">
        <f>+IF($Q59=1,$G59,INDEX([1]Summary!$K$5:$K$110,MATCH($C59,[1]Summary!$D$5:$D160,0)))</f>
        <v>103605.74499999732</v>
      </c>
      <c r="U59" s="1266">
        <f>+IF($Q59=1,$J59,INDEX([1]Summary!$L$5:$L$110,MATCH($C59,[1]Summary!$D$5:$D160,0)))</f>
        <v>125973.51999999583</v>
      </c>
      <c r="V59" s="721"/>
      <c r="W59" s="721"/>
      <c r="X59" s="721"/>
      <c r="Y59" s="721"/>
      <c r="Z59" s="721"/>
      <c r="AA59" s="721"/>
      <c r="AB59" s="721"/>
      <c r="AC59" s="721"/>
      <c r="AD59" s="721"/>
      <c r="AF59" s="720"/>
      <c r="AI59" s="105"/>
      <c r="AJ59" s="105"/>
      <c r="AN59" s="105"/>
      <c r="AO59" s="105"/>
      <c r="AP59" s="105"/>
      <c r="AS59" s="105"/>
    </row>
    <row r="60" spans="1:45" outlineLevel="1">
      <c r="A60" s="545">
        <f>MAX($A$10:A59)+1</f>
        <v>51</v>
      </c>
      <c r="B60" s="716" t="s">
        <v>1799</v>
      </c>
      <c r="C60" s="716" t="s">
        <v>1848</v>
      </c>
      <c r="D60" s="1" t="s">
        <v>1849</v>
      </c>
      <c r="E60" s="559">
        <v>376.3</v>
      </c>
      <c r="F60" s="1302" cm="1">
        <f t="array" ref="F60">+IF(SUM(VALUE(N60:Q60)*$N$7:$Q$7)=0,R60,T60)</f>
        <v>53179.953616999999</v>
      </c>
      <c r="G60" s="103">
        <f t="shared" si="2"/>
        <v>53179.953616999999</v>
      </c>
      <c r="H60" s="575">
        <v>45657</v>
      </c>
      <c r="I60" s="1303" cm="1">
        <f t="array" ref="I60">+IF(SUM(VALUE(N60:Q60)*$N$7:$Q$7)=0,S60,U60)</f>
        <v>51291.966120000005</v>
      </c>
      <c r="J60" s="103">
        <f t="shared" si="4"/>
        <v>51291.966120000005</v>
      </c>
      <c r="K60" s="575">
        <v>46022</v>
      </c>
      <c r="M60"/>
      <c r="N60" s="1300">
        <v>0</v>
      </c>
      <c r="O60" s="1300">
        <v>0</v>
      </c>
      <c r="P60" s="1300">
        <v>1</v>
      </c>
      <c r="Q60" s="1300">
        <v>0</v>
      </c>
      <c r="R60" s="1266">
        <v>53179.953616999999</v>
      </c>
      <c r="S60" s="1266">
        <v>51291.966120000005</v>
      </c>
      <c r="T60" s="1266">
        <f>+IF($Q60=1,$G60,INDEX([1]Summary!$K$5:$K$110,MATCH($C60,[1]Summary!$D$5:$D161,0)))</f>
        <v>88272.780000001192</v>
      </c>
      <c r="U60" s="1266">
        <f>+IF($Q60=1,$J60,INDEX([1]Summary!$L$5:$L$110,MATCH($C60,[1]Summary!$D$5:$D161,0)))</f>
        <v>120934.13000000268</v>
      </c>
      <c r="V60" s="721"/>
      <c r="W60" s="721"/>
      <c r="X60" s="721"/>
      <c r="Y60" s="721"/>
      <c r="Z60" s="721"/>
      <c r="AA60" s="721"/>
      <c r="AB60" s="721"/>
      <c r="AC60" s="721"/>
      <c r="AD60" s="721"/>
      <c r="AF60" s="720"/>
      <c r="AI60" s="105"/>
      <c r="AJ60" s="105"/>
      <c r="AN60" s="105"/>
      <c r="AO60" s="105"/>
      <c r="AP60" s="105"/>
      <c r="AS60" s="105"/>
    </row>
    <row r="61" spans="1:45" outlineLevel="1">
      <c r="A61" s="545">
        <f>MAX($A$10:A60)+1</f>
        <v>52</v>
      </c>
      <c r="B61" s="716" t="s">
        <v>1799</v>
      </c>
      <c r="C61" s="716" t="s">
        <v>1850</v>
      </c>
      <c r="D61" s="1" t="s">
        <v>1851</v>
      </c>
      <c r="E61" s="734">
        <v>380.3</v>
      </c>
      <c r="F61" s="1302" cm="1">
        <f t="array" ref="F61">+IF(SUM(VALUE(N61:Q61)*$N$7:$Q$7)=0,R61,T61)</f>
        <v>266465.95999999996</v>
      </c>
      <c r="G61" s="103">
        <f t="shared" si="2"/>
        <v>266465.95999999996</v>
      </c>
      <c r="H61" s="575">
        <v>45657</v>
      </c>
      <c r="I61" s="1303" cm="1">
        <f t="array" ref="I61">+IF(SUM(VALUE(N61:Q61)*$N$7:$Q$7)=0,S61,U61)</f>
        <v>273939.12000000005</v>
      </c>
      <c r="J61" s="103">
        <f t="shared" si="4"/>
        <v>273939.12000000005</v>
      </c>
      <c r="K61" s="575">
        <v>46022</v>
      </c>
      <c r="M61"/>
      <c r="N61" s="1300">
        <v>0</v>
      </c>
      <c r="O61" s="1300">
        <v>0</v>
      </c>
      <c r="P61" s="1300">
        <v>1</v>
      </c>
      <c r="Q61" s="1300">
        <v>0</v>
      </c>
      <c r="R61" s="1266">
        <v>266465.95999999996</v>
      </c>
      <c r="S61" s="1266">
        <v>273939.12000000005</v>
      </c>
      <c r="T61" s="1266">
        <f>+IF($Q61=1,$G61,INDEX([1]Summary!$K$5:$K$110,MATCH($C61,[1]Summary!$D$5:$D162,0)))</f>
        <v>122716.02933332324</v>
      </c>
      <c r="U61" s="1266">
        <f>+IF($Q61=1,$J61,INDEX([1]Summary!$L$5:$L$110,MATCH($C61,[1]Summary!$D$5:$D162,0)))</f>
        <v>66874.709619045258</v>
      </c>
      <c r="V61" s="721"/>
      <c r="W61" s="721"/>
      <c r="X61" s="721"/>
      <c r="Y61" s="721"/>
      <c r="Z61" s="721"/>
      <c r="AA61" s="721"/>
      <c r="AB61" s="721"/>
      <c r="AC61" s="721"/>
      <c r="AD61" s="721"/>
      <c r="AF61" s="720"/>
      <c r="AI61" s="105"/>
      <c r="AJ61" s="105"/>
      <c r="AN61" s="105"/>
      <c r="AO61" s="105"/>
      <c r="AP61" s="105"/>
      <c r="AS61" s="105"/>
    </row>
    <row r="62" spans="1:45" outlineLevel="1">
      <c r="A62" s="545">
        <f>MAX($A$10:A61)+1</f>
        <v>53</v>
      </c>
      <c r="B62" s="716" t="s">
        <v>1799</v>
      </c>
      <c r="C62" s="716" t="s">
        <v>1852</v>
      </c>
      <c r="D62" s="716" t="s">
        <v>1853</v>
      </c>
      <c r="E62" s="559">
        <v>380.3</v>
      </c>
      <c r="F62" s="1302" cm="1">
        <f t="array" ref="F62">+IF(SUM(VALUE(N62:Q62)*$N$7:$Q$7)=0,R62,T62)</f>
        <v>282029.444426</v>
      </c>
      <c r="G62" s="103">
        <f t="shared" si="2"/>
        <v>282029.444426</v>
      </c>
      <c r="H62" s="575">
        <v>45657</v>
      </c>
      <c r="I62" s="1303" cm="1">
        <f t="array" ref="I62">+IF(SUM(VALUE(N62:Q62)*$N$7:$Q$7)=0,S62,U62)</f>
        <v>265057.40761200001</v>
      </c>
      <c r="J62" s="103">
        <f t="shared" si="4"/>
        <v>265057.40761200001</v>
      </c>
      <c r="K62" s="575">
        <v>46022</v>
      </c>
      <c r="M62"/>
      <c r="N62" s="1300">
        <v>0</v>
      </c>
      <c r="O62" s="1300">
        <v>0</v>
      </c>
      <c r="P62" s="1300">
        <v>1</v>
      </c>
      <c r="Q62" s="1300">
        <v>0</v>
      </c>
      <c r="R62" s="1266">
        <v>282029.444426</v>
      </c>
      <c r="S62" s="1266">
        <v>265057.40761200001</v>
      </c>
      <c r="T62" s="1266">
        <f>+IF($Q62=1,$G62,INDEX([1]Summary!$K$5:$K$110,MATCH($C62,[1]Summary!$D$5:$D163,0)))</f>
        <v>90396.394999999553</v>
      </c>
      <c r="U62" s="1266">
        <f>+IF($Q62=1,$J62,INDEX([1]Summary!$L$5:$L$110,MATCH($C62,[1]Summary!$D$5:$D163,0)))</f>
        <v>106121.63399999961</v>
      </c>
      <c r="V62" s="721"/>
      <c r="W62" s="721"/>
      <c r="X62" s="721"/>
      <c r="Y62" s="721"/>
      <c r="Z62" s="721"/>
      <c r="AA62" s="721"/>
      <c r="AB62" s="721"/>
      <c r="AC62" s="721"/>
      <c r="AD62" s="721"/>
      <c r="AF62" s="720"/>
      <c r="AI62" s="105"/>
      <c r="AJ62" s="105"/>
      <c r="AN62" s="105"/>
      <c r="AO62" s="105"/>
      <c r="AP62" s="105"/>
      <c r="AS62" s="105"/>
    </row>
    <row r="63" spans="1:45" outlineLevel="1">
      <c r="A63" s="545">
        <f>MAX($A$10:A62)+1</f>
        <v>54</v>
      </c>
      <c r="B63" s="716" t="s">
        <v>1799</v>
      </c>
      <c r="C63" s="716" t="s">
        <v>1854</v>
      </c>
      <c r="D63" s="716" t="s">
        <v>1855</v>
      </c>
      <c r="E63" s="559">
        <v>376.3</v>
      </c>
      <c r="F63" s="1302" cm="1">
        <f t="array" ref="F63">+IF(SUM(VALUE(N63:Q63)*$N$7:$Q$7)=0,R63,T63)</f>
        <v>808875.54000000015</v>
      </c>
      <c r="G63" s="103">
        <f t="shared" si="2"/>
        <v>808875.54000000015</v>
      </c>
      <c r="H63" s="575">
        <v>45657</v>
      </c>
      <c r="I63" s="1303" cm="1">
        <f t="array" ref="I63">+IF(SUM(VALUE(N63:Q63)*$N$7:$Q$7)=0,S63,U63)</f>
        <v>802352.47</v>
      </c>
      <c r="J63" s="103">
        <f t="shared" si="4"/>
        <v>802352.47</v>
      </c>
      <c r="K63" s="575">
        <v>46022</v>
      </c>
      <c r="M63"/>
      <c r="N63" s="1300">
        <v>0</v>
      </c>
      <c r="O63" s="1300">
        <v>0</v>
      </c>
      <c r="P63" s="1300">
        <v>1</v>
      </c>
      <c r="Q63" s="1300">
        <v>0</v>
      </c>
      <c r="R63" s="1266">
        <v>808875.54000000015</v>
      </c>
      <c r="S63" s="1266">
        <v>802352.47</v>
      </c>
      <c r="T63" s="1266">
        <f>+IF($Q63=1,$G63,INDEX([1]Summary!$K$5:$K$110,MATCH($C63,[1]Summary!$D$5:$D164,0)))</f>
        <v>312546.42500000447</v>
      </c>
      <c r="U63" s="1266">
        <f>+IF($Q63=1,$J63,INDEX([1]Summary!$L$5:$L$110,MATCH($C63,[1]Summary!$D$5:$D164,0)))</f>
        <v>285193.96500000358</v>
      </c>
      <c r="V63" s="721"/>
      <c r="W63" s="721"/>
      <c r="X63" s="721"/>
      <c r="Y63" s="721"/>
      <c r="Z63" s="721"/>
      <c r="AA63" s="721"/>
      <c r="AB63" s="721"/>
      <c r="AC63" s="721"/>
      <c r="AD63" s="721"/>
      <c r="AF63" s="720"/>
      <c r="AI63" s="105"/>
      <c r="AJ63" s="105"/>
      <c r="AN63" s="105"/>
      <c r="AO63" s="105"/>
      <c r="AP63" s="105"/>
      <c r="AS63" s="105"/>
    </row>
    <row r="64" spans="1:45" outlineLevel="1">
      <c r="A64" s="545">
        <f>MAX($A$10:A63)+1</f>
        <v>55</v>
      </c>
      <c r="B64" s="716" t="s">
        <v>1799</v>
      </c>
      <c r="C64" s="716" t="s">
        <v>1856</v>
      </c>
      <c r="D64" s="716" t="s">
        <v>1857</v>
      </c>
      <c r="E64" s="559">
        <v>376.3</v>
      </c>
      <c r="F64" s="1302" cm="1">
        <f t="array" ref="F64">+IF(SUM(VALUE(N64:Q64)*$N$7:$Q$7)=0,R64,T64)</f>
        <v>386986.508164</v>
      </c>
      <c r="G64" s="103">
        <f t="shared" si="2"/>
        <v>386986.508164</v>
      </c>
      <c r="H64" s="575">
        <v>45657</v>
      </c>
      <c r="I64" s="1303" cm="1">
        <f t="array" ref="I64">+IF(SUM(VALUE(N64:Q64)*$N$7:$Q$7)=0,S64,U64)</f>
        <v>332380.73159999988</v>
      </c>
      <c r="J64" s="103">
        <f t="shared" si="4"/>
        <v>332380.73159999988</v>
      </c>
      <c r="K64" s="575">
        <v>46022</v>
      </c>
      <c r="M64"/>
      <c r="N64" s="1300">
        <v>0</v>
      </c>
      <c r="O64" s="1300">
        <v>0</v>
      </c>
      <c r="P64" s="1300">
        <v>1</v>
      </c>
      <c r="Q64" s="1300">
        <v>0</v>
      </c>
      <c r="R64" s="1266">
        <v>386986.508164</v>
      </c>
      <c r="S64" s="1266">
        <v>332380.73159999988</v>
      </c>
      <c r="T64" s="1266">
        <f>+IF($Q64=1,$G64,INDEX([1]Summary!$K$5:$K$110,MATCH($C64,[1]Summary!$D$5:$D165,0)))</f>
        <v>268742.82999999914</v>
      </c>
      <c r="U64" s="1266">
        <f>+IF($Q64=1,$J64,INDEX([1]Summary!$L$5:$L$110,MATCH($C64,[1]Summary!$D$5:$D165,0)))</f>
        <v>271558.39899999928</v>
      </c>
      <c r="V64" s="721"/>
      <c r="W64" s="721"/>
      <c r="X64" s="721"/>
      <c r="Y64" s="721"/>
      <c r="Z64" s="721"/>
      <c r="AA64" s="721"/>
      <c r="AB64" s="721"/>
      <c r="AC64" s="721"/>
      <c r="AD64" s="721"/>
      <c r="AF64" s="720"/>
      <c r="AI64" s="105"/>
      <c r="AJ64" s="105"/>
      <c r="AN64" s="105"/>
      <c r="AO64" s="105"/>
      <c r="AP64" s="105"/>
      <c r="AS64" s="105"/>
    </row>
    <row r="65" spans="1:45" outlineLevel="1">
      <c r="A65" s="545">
        <f>MAX($A$10:A64)+1</f>
        <v>56</v>
      </c>
      <c r="B65" s="716" t="s">
        <v>1799</v>
      </c>
      <c r="C65" s="716" t="s">
        <v>1858</v>
      </c>
      <c r="D65" s="716" t="s">
        <v>1859</v>
      </c>
      <c r="E65" s="559">
        <v>380.3</v>
      </c>
      <c r="F65" s="1302" cm="1">
        <f t="array" ref="F65">+IF(SUM(VALUE(N65:Q65)*$N$7:$Q$7)=0,R65,T65)</f>
        <v>1278711.4899999998</v>
      </c>
      <c r="G65" s="103">
        <f t="shared" si="2"/>
        <v>1278711.4899999998</v>
      </c>
      <c r="H65" s="575">
        <v>45657</v>
      </c>
      <c r="I65" s="1303" cm="1">
        <f t="array" ref="I65">+IF(SUM(VALUE(N65:Q65)*$N$7:$Q$7)=0,S65,U65)</f>
        <v>1314530.92</v>
      </c>
      <c r="J65" s="103">
        <f t="shared" si="4"/>
        <v>1314530.92</v>
      </c>
      <c r="K65" s="575">
        <v>46022</v>
      </c>
      <c r="M65"/>
      <c r="N65" s="1300">
        <v>0</v>
      </c>
      <c r="O65" s="1300">
        <v>0</v>
      </c>
      <c r="P65" s="1300">
        <v>1</v>
      </c>
      <c r="Q65" s="1300">
        <v>0</v>
      </c>
      <c r="R65" s="1266">
        <v>1278711.4899999998</v>
      </c>
      <c r="S65" s="1266">
        <v>1314530.92</v>
      </c>
      <c r="T65" s="1266">
        <f>+IF($Q65=1,$G65,INDEX([1]Summary!$K$5:$K$110,MATCH($C65,[1]Summary!$D$5:$D166,0)))</f>
        <v>690700.33266669512</v>
      </c>
      <c r="U65" s="1266">
        <f>+IF($Q65=1,$J65,INDEX([1]Summary!$L$5:$L$110,MATCH($C65,[1]Summary!$D$5:$D166,0)))</f>
        <v>504010.32866668701</v>
      </c>
      <c r="V65" s="721"/>
      <c r="W65" s="721"/>
      <c r="X65" s="721"/>
      <c r="Y65" s="721"/>
      <c r="Z65" s="721"/>
      <c r="AA65" s="721"/>
      <c r="AB65" s="721"/>
      <c r="AC65" s="721"/>
      <c r="AD65" s="721"/>
      <c r="AF65" s="720"/>
      <c r="AI65" s="105"/>
      <c r="AJ65" s="105"/>
      <c r="AN65" s="105"/>
      <c r="AO65" s="105"/>
      <c r="AP65" s="105"/>
      <c r="AS65" s="105"/>
    </row>
    <row r="66" spans="1:45" outlineLevel="1">
      <c r="A66" s="545">
        <f>MAX($A$10:A65)+1</f>
        <v>57</v>
      </c>
      <c r="B66" s="716" t="s">
        <v>1799</v>
      </c>
      <c r="C66" s="716" t="s">
        <v>1860</v>
      </c>
      <c r="D66" s="716" t="s">
        <v>1861</v>
      </c>
      <c r="E66" s="559">
        <v>380.3</v>
      </c>
      <c r="F66" s="1302" cm="1">
        <f t="array" ref="F66">+IF(SUM(VALUE(N66:Q66)*$N$7:$Q$7)=0,R66,T66)</f>
        <v>338345.28705900005</v>
      </c>
      <c r="G66" s="103">
        <f t="shared" si="2"/>
        <v>338345.28705900005</v>
      </c>
      <c r="H66" s="575">
        <v>45657</v>
      </c>
      <c r="I66" s="1303" cm="1">
        <f t="array" ref="I66">+IF(SUM(VALUE(N66:Q66)*$N$7:$Q$7)=0,S66,U66)</f>
        <v>253990.75584</v>
      </c>
      <c r="J66" s="103">
        <f t="shared" si="4"/>
        <v>253990.75584</v>
      </c>
      <c r="K66" s="575">
        <v>46022</v>
      </c>
      <c r="M66"/>
      <c r="N66" s="1300">
        <v>0</v>
      </c>
      <c r="O66" s="1300">
        <v>0</v>
      </c>
      <c r="P66" s="1300">
        <v>1</v>
      </c>
      <c r="Q66" s="1300">
        <v>0</v>
      </c>
      <c r="R66" s="1266">
        <v>338345.28705900005</v>
      </c>
      <c r="S66" s="1266">
        <v>253990.75584</v>
      </c>
      <c r="T66" s="1266">
        <f>+IF($Q66=1,$G66,INDEX([1]Summary!$K$5:$K$110,MATCH($C66,[1]Summary!$D$5:$D167,0)))</f>
        <v>122634.6400000006</v>
      </c>
      <c r="U66" s="1266">
        <f>+IF($Q66=1,$J66,INDEX([1]Summary!$L$5:$L$110,MATCH($C66,[1]Summary!$D$5:$D167,0)))</f>
        <v>130637.57599999942</v>
      </c>
      <c r="V66" s="721"/>
      <c r="W66" s="721"/>
      <c r="X66" s="721"/>
      <c r="Y66" s="721"/>
      <c r="Z66" s="721"/>
      <c r="AA66" s="721"/>
      <c r="AB66" s="721"/>
      <c r="AC66" s="721"/>
      <c r="AD66" s="721"/>
      <c r="AF66" s="720"/>
      <c r="AI66" s="105"/>
      <c r="AJ66" s="105"/>
      <c r="AN66" s="105"/>
      <c r="AO66" s="105"/>
      <c r="AP66" s="105"/>
      <c r="AS66" s="105"/>
    </row>
    <row r="67" spans="1:45" outlineLevel="1">
      <c r="A67" s="545">
        <f>MAX($A$10:A66)+1</f>
        <v>58</v>
      </c>
      <c r="B67" s="716" t="s">
        <v>1799</v>
      </c>
      <c r="C67" s="716" t="s">
        <v>1862</v>
      </c>
      <c r="D67" s="1" t="s">
        <v>1863</v>
      </c>
      <c r="E67" s="559">
        <v>376.3</v>
      </c>
      <c r="F67" s="1302" cm="1">
        <f t="array" ref="F67">+IF(SUM(VALUE(N67:Q67)*$N$7:$Q$7)=0,R67,T67)</f>
        <v>910308.31000000029</v>
      </c>
      <c r="G67" s="103">
        <f t="shared" si="2"/>
        <v>910308.31000000029</v>
      </c>
      <c r="H67" s="575">
        <v>45657</v>
      </c>
      <c r="I67" s="1303" cm="1">
        <f t="array" ref="I67">+IF(SUM(VALUE(N67:Q67)*$N$7:$Q$7)=0,S67,U67)</f>
        <v>989922.18000000017</v>
      </c>
      <c r="J67" s="103">
        <f t="shared" si="4"/>
        <v>989922.18000000017</v>
      </c>
      <c r="K67" s="575">
        <v>46022</v>
      </c>
      <c r="M67"/>
      <c r="N67" s="1300">
        <v>0</v>
      </c>
      <c r="O67" s="1300">
        <v>0</v>
      </c>
      <c r="P67" s="1300">
        <v>1</v>
      </c>
      <c r="Q67" s="1300">
        <v>0</v>
      </c>
      <c r="R67" s="1266">
        <v>910308.31000000029</v>
      </c>
      <c r="S67" s="1266">
        <v>989922.18000000017</v>
      </c>
      <c r="T67" s="1266">
        <f>+IF($Q67=1,$G67,INDEX([1]Summary!$K$5:$K$110,MATCH($C67,[1]Summary!$D$5:$D168,0)))</f>
        <v>379746.03999999911</v>
      </c>
      <c r="U67" s="1266">
        <f>+IF($Q67=1,$J67,INDEX([1]Summary!$L$5:$L$110,MATCH($C67,[1]Summary!$D$5:$D168,0)))</f>
        <v>399297.27099999785</v>
      </c>
      <c r="V67" s="721"/>
      <c r="W67" s="721"/>
      <c r="X67" s="721"/>
      <c r="Y67" s="721"/>
      <c r="Z67" s="721"/>
      <c r="AA67" s="721"/>
      <c r="AB67" s="721"/>
      <c r="AC67" s="721"/>
      <c r="AD67" s="721"/>
      <c r="AI67" s="105"/>
      <c r="AJ67" s="105"/>
      <c r="AN67" s="105"/>
      <c r="AO67" s="105"/>
      <c r="AP67" s="105"/>
      <c r="AS67" s="105"/>
    </row>
    <row r="68" spans="1:45" outlineLevel="1">
      <c r="A68" s="545">
        <f>MAX($A$10:A67)+1</f>
        <v>59</v>
      </c>
      <c r="B68" s="716" t="s">
        <v>1799</v>
      </c>
      <c r="C68" s="716" t="s">
        <v>1864</v>
      </c>
      <c r="D68" s="716" t="s">
        <v>1865</v>
      </c>
      <c r="E68" s="559">
        <v>376.3</v>
      </c>
      <c r="F68" s="1302" cm="1">
        <f t="array" ref="F68">+IF(SUM(VALUE(N68:Q68)*$N$7:$Q$7)=0,R68,T68)</f>
        <v>209100.09783299998</v>
      </c>
      <c r="G68" s="103">
        <f t="shared" si="2"/>
        <v>209100.09783299998</v>
      </c>
      <c r="H68" s="575">
        <v>45657</v>
      </c>
      <c r="I68" s="1303" cm="1">
        <f t="array" ref="I68">+IF(SUM(VALUE(N68:Q68)*$N$7:$Q$7)=0,S68,U68)</f>
        <v>191980.12066799999</v>
      </c>
      <c r="J68" s="103">
        <f t="shared" si="4"/>
        <v>191980.12066799999</v>
      </c>
      <c r="K68" s="575">
        <v>46022</v>
      </c>
      <c r="M68"/>
      <c r="N68" s="1300">
        <v>0</v>
      </c>
      <c r="O68" s="1300">
        <v>0</v>
      </c>
      <c r="P68" s="1300">
        <v>1</v>
      </c>
      <c r="Q68" s="1300">
        <v>0</v>
      </c>
      <c r="R68" s="1266">
        <v>209100.09783299998</v>
      </c>
      <c r="S68" s="1266">
        <v>191980.12066799999</v>
      </c>
      <c r="T68" s="1266">
        <f>+IF($Q68=1,$G68,INDEX([1]Summary!$K$5:$K$110,MATCH($C68,[1]Summary!$D$5:$D169,0)))</f>
        <v>100617.66500000004</v>
      </c>
      <c r="U68" s="1266">
        <f>+IF($Q68=1,$J68,INDEX([1]Summary!$L$5:$L$110,MATCH($C68,[1]Summary!$D$5:$D169,0)))</f>
        <v>103594.5</v>
      </c>
      <c r="V68" s="721"/>
      <c r="W68" s="721"/>
      <c r="X68" s="721"/>
      <c r="Y68" s="721"/>
      <c r="Z68" s="721"/>
      <c r="AA68" s="721"/>
      <c r="AB68" s="721"/>
      <c r="AC68" s="721"/>
      <c r="AD68" s="721"/>
      <c r="AF68" s="105"/>
      <c r="AI68" s="105"/>
      <c r="AJ68" s="105"/>
      <c r="AN68" s="105"/>
      <c r="AO68" s="105"/>
      <c r="AP68" s="105"/>
      <c r="AS68" s="105"/>
    </row>
    <row r="69" spans="1:45" outlineLevel="1">
      <c r="A69" s="545">
        <f>MAX($A$10:A68)+1</f>
        <v>60</v>
      </c>
      <c r="B69" s="716" t="s">
        <v>1799</v>
      </c>
      <c r="C69" s="716" t="s">
        <v>1866</v>
      </c>
      <c r="D69" s="716" t="s">
        <v>1867</v>
      </c>
      <c r="E69" s="559">
        <v>380.3</v>
      </c>
      <c r="F69" s="1302" cm="1">
        <f t="array" ref="F69">+IF(SUM(VALUE(N69:Q69)*$N$7:$Q$7)=0,R69,T69)</f>
        <v>1179967.52</v>
      </c>
      <c r="G69" s="103">
        <f t="shared" si="2"/>
        <v>1179967.52</v>
      </c>
      <c r="H69" s="575">
        <v>45657</v>
      </c>
      <c r="I69" s="1303" cm="1">
        <f t="array" ref="I69">+IF(SUM(VALUE(N69:Q69)*$N$7:$Q$7)=0,S69,U69)</f>
        <v>1213059.6800000004</v>
      </c>
      <c r="J69" s="103">
        <f t="shared" si="4"/>
        <v>1213059.6800000004</v>
      </c>
      <c r="K69" s="575">
        <v>46022</v>
      </c>
      <c r="M69"/>
      <c r="N69" s="1300">
        <v>0</v>
      </c>
      <c r="O69" s="1300">
        <v>0</v>
      </c>
      <c r="P69" s="1300">
        <v>1</v>
      </c>
      <c r="Q69" s="1300">
        <v>0</v>
      </c>
      <c r="R69" s="1266">
        <v>1179967.52</v>
      </c>
      <c r="S69" s="1266">
        <v>1213059.6800000004</v>
      </c>
      <c r="T69" s="1266">
        <f>+IF($Q69=1,$G69,INDEX([1]Summary!$K$5:$K$110,MATCH($C69,[1]Summary!$D$5:$D170,0)))</f>
        <v>878460.73133337498</v>
      </c>
      <c r="U69" s="1266">
        <f>+IF($Q69=1,$J69,INDEX([1]Summary!$L$5:$L$110,MATCH($C69,[1]Summary!$D$5:$D170,0)))</f>
        <v>528919.24504756927</v>
      </c>
      <c r="V69" s="721"/>
      <c r="W69" s="721"/>
      <c r="X69" s="721"/>
      <c r="Y69" s="721"/>
      <c r="Z69" s="721"/>
      <c r="AA69" s="721"/>
      <c r="AB69" s="721"/>
      <c r="AC69" s="721"/>
      <c r="AD69" s="721"/>
      <c r="AI69" s="105"/>
      <c r="AJ69" s="105"/>
      <c r="AN69" s="105"/>
      <c r="AO69" s="105"/>
      <c r="AP69" s="105"/>
      <c r="AS69" s="105"/>
    </row>
    <row r="70" spans="1:45" outlineLevel="1">
      <c r="A70" s="545">
        <f>MAX($A$10:A69)+1</f>
        <v>61</v>
      </c>
      <c r="B70" s="716" t="s">
        <v>1799</v>
      </c>
      <c r="C70" s="716" t="s">
        <v>1868</v>
      </c>
      <c r="D70" s="716" t="s">
        <v>1869</v>
      </c>
      <c r="E70" s="559">
        <v>380.3</v>
      </c>
      <c r="F70" s="1302" cm="1">
        <f t="array" ref="F70">+IF(SUM(VALUE(N70:Q70)*$N$7:$Q$7)=0,R70,T70)</f>
        <v>127046.58327200002</v>
      </c>
      <c r="G70" s="103">
        <f t="shared" si="2"/>
        <v>127046.58327200002</v>
      </c>
      <c r="H70" s="575">
        <v>45657</v>
      </c>
      <c r="I70" s="1303" cm="1">
        <f t="array" ref="I70">+IF(SUM(VALUE(N70:Q70)*$N$7:$Q$7)=0,S70,U70)</f>
        <v>94866.156276000023</v>
      </c>
      <c r="J70" s="103">
        <f t="shared" si="4"/>
        <v>94866.156276000023</v>
      </c>
      <c r="K70" s="575">
        <v>46022</v>
      </c>
      <c r="M70"/>
      <c r="N70" s="1300">
        <v>0</v>
      </c>
      <c r="O70" s="1300">
        <v>0</v>
      </c>
      <c r="P70" s="1300">
        <v>1</v>
      </c>
      <c r="Q70" s="1300">
        <v>0</v>
      </c>
      <c r="R70" s="1266">
        <v>127046.58327200002</v>
      </c>
      <c r="S70" s="1266">
        <v>94866.156276000023</v>
      </c>
      <c r="T70" s="1266">
        <f>+IF($Q70=1,$G70,INDEX([1]Summary!$K$5:$K$110,MATCH($C70,[1]Summary!$D$5:$D171,0)))</f>
        <v>30673.550000000745</v>
      </c>
      <c r="U70" s="1266">
        <f>+IF($Q70=1,$J70,INDEX([1]Summary!$L$5:$L$110,MATCH($C70,[1]Summary!$D$5:$D171,0)))</f>
        <v>36571.064999999478</v>
      </c>
      <c r="V70" s="721"/>
      <c r="W70" s="721"/>
      <c r="X70" s="721"/>
      <c r="Y70" s="721"/>
      <c r="Z70" s="721"/>
      <c r="AA70" s="721"/>
      <c r="AB70" s="721"/>
      <c r="AC70" s="721"/>
      <c r="AD70" s="721"/>
      <c r="AI70" s="105"/>
      <c r="AJ70" s="105"/>
      <c r="AN70" s="105"/>
      <c r="AO70" s="105"/>
      <c r="AP70" s="105"/>
      <c r="AS70" s="105"/>
    </row>
    <row r="71" spans="1:45" outlineLevel="1">
      <c r="A71" s="545">
        <f>MAX($A$10:A70)+1</f>
        <v>62</v>
      </c>
      <c r="B71" s="716" t="s">
        <v>1799</v>
      </c>
      <c r="C71" s="716" t="s">
        <v>1870</v>
      </c>
      <c r="D71" s="716" t="s">
        <v>1871</v>
      </c>
      <c r="E71" s="559">
        <v>376.3</v>
      </c>
      <c r="F71" s="1302" cm="1">
        <f t="array" ref="F71">+IF(SUM(VALUE(N71:Q71)*$N$7:$Q$7)=0,R71,T71)</f>
        <v>6249.8099999999995</v>
      </c>
      <c r="G71" s="103">
        <f t="shared" si="2"/>
        <v>6249.8099999999995</v>
      </c>
      <c r="H71" s="575">
        <v>45657</v>
      </c>
      <c r="I71" s="1303" cm="1">
        <f t="array" ref="I71">+IF(SUM(VALUE(N71:Q71)*$N$7:$Q$7)=0,S71,U71)</f>
        <v>20139.649999999994</v>
      </c>
      <c r="J71" s="103">
        <f t="shared" si="4"/>
        <v>20139.649999999994</v>
      </c>
      <c r="K71" s="575">
        <v>46022</v>
      </c>
      <c r="M71"/>
      <c r="N71" s="1300">
        <v>0</v>
      </c>
      <c r="O71" s="1300">
        <v>0</v>
      </c>
      <c r="P71" s="1300">
        <v>1</v>
      </c>
      <c r="Q71" s="1300">
        <v>0</v>
      </c>
      <c r="R71" s="1266">
        <v>6249.8099999999995</v>
      </c>
      <c r="S71" s="1266">
        <v>20139.649999999994</v>
      </c>
      <c r="T71" s="1266">
        <f>+IF($Q71=1,$G71,INDEX([1]Summary!$K$5:$K$110,MATCH($C71,[1]Summary!$D$5:$D172,0)))</f>
        <v>43225.069999992847</v>
      </c>
      <c r="U71" s="1266">
        <f>+IF($Q71=1,$J71,INDEX([1]Summary!$L$5:$L$110,MATCH($C71,[1]Summary!$D$5:$D172,0)))</f>
        <v>1510.777999997139</v>
      </c>
      <c r="V71" s="721"/>
      <c r="W71" s="721"/>
      <c r="X71" s="721"/>
      <c r="Y71" s="721"/>
      <c r="Z71" s="721"/>
      <c r="AA71" s="721"/>
      <c r="AB71" s="721"/>
      <c r="AC71" s="721"/>
      <c r="AD71" s="721"/>
      <c r="AI71" s="105"/>
      <c r="AJ71" s="105"/>
      <c r="AN71" s="105"/>
      <c r="AO71" s="105"/>
      <c r="AP71" s="105"/>
      <c r="AS71" s="105"/>
    </row>
    <row r="72" spans="1:45" outlineLevel="1">
      <c r="A72" s="545">
        <f>MAX($A$10:A71)+1</f>
        <v>63</v>
      </c>
      <c r="B72" s="716" t="s">
        <v>1799</v>
      </c>
      <c r="C72" s="716" t="s">
        <v>1872</v>
      </c>
      <c r="D72" s="716" t="s">
        <v>1873</v>
      </c>
      <c r="E72" s="559">
        <v>376.3</v>
      </c>
      <c r="F72" s="1302" cm="1">
        <f t="array" ref="F72">+IF(SUM(VALUE(N72:Q72)*$N$7:$Q$7)=0,R72,T72)</f>
        <v>294068.29199999996</v>
      </c>
      <c r="G72" s="103">
        <f t="shared" si="2"/>
        <v>294068.29199999996</v>
      </c>
      <c r="H72" s="575">
        <v>45657</v>
      </c>
      <c r="I72" s="1303" cm="1">
        <f t="array" ref="I72">+IF(SUM(VALUE(N72:Q72)*$N$7:$Q$7)=0,S72,U72)</f>
        <v>300913.47839999996</v>
      </c>
      <c r="J72" s="103">
        <f t="shared" si="4"/>
        <v>300913.47839999996</v>
      </c>
      <c r="K72" s="575">
        <v>46022</v>
      </c>
      <c r="M72"/>
      <c r="N72" s="1300">
        <v>0</v>
      </c>
      <c r="O72" s="1300">
        <v>0</v>
      </c>
      <c r="P72" s="1300">
        <v>1</v>
      </c>
      <c r="Q72" s="1300">
        <v>0</v>
      </c>
      <c r="R72" s="1266">
        <v>294068.29199999996</v>
      </c>
      <c r="S72" s="1266">
        <v>300913.47839999996</v>
      </c>
      <c r="T72" s="1266">
        <f>+IF($Q72=1,$G72,INDEX([1]Summary!$K$5:$K$110,MATCH($C72,[1]Summary!$D$5:$D173,0)))</f>
        <v>340327.31000000238</v>
      </c>
      <c r="U72" s="1266">
        <f>+IF($Q72=1,$J72,INDEX([1]Summary!$L$5:$L$110,MATCH($C72,[1]Summary!$D$5:$D173,0)))</f>
        <v>456767.68999999762</v>
      </c>
      <c r="V72" s="721"/>
      <c r="W72" s="721"/>
      <c r="X72" s="721"/>
      <c r="Y72" s="721"/>
      <c r="Z72" s="721"/>
      <c r="AA72" s="721"/>
      <c r="AB72" s="721"/>
      <c r="AC72" s="721"/>
      <c r="AD72" s="721"/>
      <c r="AI72" s="105"/>
      <c r="AJ72" s="105"/>
      <c r="AN72" s="105"/>
      <c r="AO72" s="105"/>
      <c r="AP72" s="105"/>
      <c r="AS72" s="105"/>
    </row>
    <row r="73" spans="1:45" outlineLevel="1">
      <c r="A73" s="545">
        <f>MAX($A$10:A72)+1</f>
        <v>64</v>
      </c>
      <c r="B73" s="716" t="s">
        <v>1799</v>
      </c>
      <c r="C73" s="716" t="s">
        <v>1874</v>
      </c>
      <c r="D73" s="716" t="s">
        <v>1875</v>
      </c>
      <c r="E73" s="559">
        <v>380.3</v>
      </c>
      <c r="F73" s="1302" cm="1">
        <f t="array" ref="F73">+IF(SUM(VALUE(N73:Q73)*$N$7:$Q$7)=0,R73,T73)</f>
        <v>344511.1700000001</v>
      </c>
      <c r="G73" s="103">
        <f t="shared" si="2"/>
        <v>344511.1700000001</v>
      </c>
      <c r="H73" s="575">
        <v>45657</v>
      </c>
      <c r="I73" s="1303" cm="1">
        <f t="array" ref="I73">+IF(SUM(VALUE(N73:Q73)*$N$7:$Q$7)=0,S73,U73)</f>
        <v>354172.51</v>
      </c>
      <c r="J73" s="103">
        <f t="shared" si="4"/>
        <v>354172.51</v>
      </c>
      <c r="K73" s="575">
        <v>46022</v>
      </c>
      <c r="M73"/>
      <c r="N73" s="1300">
        <v>0</v>
      </c>
      <c r="O73" s="1300">
        <v>0</v>
      </c>
      <c r="P73" s="1300">
        <v>1</v>
      </c>
      <c r="Q73" s="1300">
        <v>0</v>
      </c>
      <c r="R73" s="1266">
        <v>344511.1700000001</v>
      </c>
      <c r="S73" s="1266">
        <v>354172.51</v>
      </c>
      <c r="T73" s="1266">
        <f>+IF($Q73=1,$G73,INDEX([1]Summary!$K$5:$K$110,MATCH($C73,[1]Summary!$D$5:$D174,0)))</f>
        <v>196882.61866667867</v>
      </c>
      <c r="U73" s="1266">
        <f>+IF($Q73=1,$J73,INDEX([1]Summary!$L$5:$L$110,MATCH($C73,[1]Summary!$D$5:$D174,0)))</f>
        <v>91313.063523828983</v>
      </c>
      <c r="V73" s="721"/>
      <c r="W73" s="721"/>
      <c r="X73" s="721"/>
      <c r="Y73" s="721"/>
      <c r="Z73" s="721"/>
      <c r="AA73" s="721"/>
      <c r="AB73" s="721"/>
      <c r="AC73" s="721"/>
      <c r="AD73" s="721"/>
      <c r="AI73" s="105"/>
      <c r="AJ73" s="105"/>
      <c r="AN73" s="105"/>
      <c r="AO73" s="105"/>
      <c r="AP73" s="105"/>
      <c r="AS73" s="105"/>
    </row>
    <row r="74" spans="1:45" outlineLevel="1">
      <c r="A74" s="545">
        <f>MAX($A$10:A73)+1</f>
        <v>65</v>
      </c>
      <c r="B74" s="716" t="s">
        <v>1799</v>
      </c>
      <c r="C74" s="716" t="s">
        <v>1876</v>
      </c>
      <c r="D74" s="716" t="s">
        <v>1877</v>
      </c>
      <c r="E74" s="559">
        <v>380.3</v>
      </c>
      <c r="F74" s="1302" cm="1">
        <f t="array" ref="F74">+IF(SUM(VALUE(N74:Q74)*$N$7:$Q$7)=0,R74,T74)</f>
        <v>100146.05000999998</v>
      </c>
      <c r="G74" s="103">
        <f t="shared" si="2"/>
        <v>100146.05000999998</v>
      </c>
      <c r="H74" s="575">
        <v>45657</v>
      </c>
      <c r="I74" s="1303" cm="1">
        <f t="array" ref="I74">+IF(SUM(VALUE(N74:Q74)*$N$7:$Q$7)=0,S74,U74)</f>
        <v>94811.555040000021</v>
      </c>
      <c r="J74" s="103">
        <f t="shared" si="4"/>
        <v>94811.555040000021</v>
      </c>
      <c r="K74" s="575">
        <v>46022</v>
      </c>
      <c r="M74"/>
      <c r="N74" s="1300">
        <v>0</v>
      </c>
      <c r="O74" s="1300">
        <v>0</v>
      </c>
      <c r="P74" s="1300">
        <v>1</v>
      </c>
      <c r="Q74" s="1300">
        <v>0</v>
      </c>
      <c r="R74" s="1266">
        <v>100146.05000999998</v>
      </c>
      <c r="S74" s="1266">
        <v>94811.555040000021</v>
      </c>
      <c r="T74" s="1266">
        <f>+IF($Q74=1,$G74,INDEX([1]Summary!$K$5:$K$110,MATCH($C74,[1]Summary!$D$5:$D175,0)))</f>
        <v>16580.8475</v>
      </c>
      <c r="U74" s="1266">
        <f>+IF($Q74=1,$J74,INDEX([1]Summary!$L$5:$L$110,MATCH($C74,[1]Summary!$D$5:$D175,0)))</f>
        <v>16580.8475</v>
      </c>
      <c r="V74" s="721"/>
      <c r="W74" s="721"/>
      <c r="X74" s="721"/>
      <c r="Y74" s="721"/>
      <c r="Z74" s="721"/>
      <c r="AA74" s="721"/>
      <c r="AB74" s="721"/>
      <c r="AC74" s="721"/>
      <c r="AD74" s="721"/>
      <c r="AI74" s="105"/>
      <c r="AJ74" s="105"/>
      <c r="AN74" s="105"/>
      <c r="AO74" s="105"/>
      <c r="AP74" s="105"/>
      <c r="AS74" s="105"/>
    </row>
    <row r="75" spans="1:45" outlineLevel="1">
      <c r="A75" s="545">
        <f>MAX($A$10:A74)+1</f>
        <v>66</v>
      </c>
      <c r="B75" s="716" t="s">
        <v>1799</v>
      </c>
      <c r="C75" s="716" t="s">
        <v>1878</v>
      </c>
      <c r="D75" s="716" t="s">
        <v>1879</v>
      </c>
      <c r="E75" s="559">
        <v>376.3</v>
      </c>
      <c r="F75" s="1302" cm="1">
        <f t="array" ref="F75">+IF(SUM(VALUE(N75:Q75)*$N$7:$Q$7)=0,R75,T75)</f>
        <v>502438.18999999989</v>
      </c>
      <c r="G75" s="103">
        <f t="shared" si="2"/>
        <v>502438.18999999989</v>
      </c>
      <c r="H75" s="575">
        <v>45657</v>
      </c>
      <c r="I75" s="1303" cm="1">
        <f t="array" ref="I75">+IF(SUM(VALUE(N75:Q75)*$N$7:$Q$7)=0,S75,U75)</f>
        <v>574643.58999999985</v>
      </c>
      <c r="J75" s="103">
        <f t="shared" si="4"/>
        <v>574643.58999999985</v>
      </c>
      <c r="K75" s="575">
        <v>46022</v>
      </c>
      <c r="M75"/>
      <c r="N75" s="1300">
        <v>0</v>
      </c>
      <c r="O75" s="1300">
        <v>0</v>
      </c>
      <c r="P75" s="1300">
        <v>1</v>
      </c>
      <c r="Q75" s="1300">
        <v>0</v>
      </c>
      <c r="R75" s="1266">
        <v>502438.18999999989</v>
      </c>
      <c r="S75" s="1266">
        <v>574643.58999999985</v>
      </c>
      <c r="T75" s="1266">
        <f>+IF($Q75=1,$G75,INDEX([1]Summary!$K$5:$K$110,MATCH($C75,[1]Summary!$D$5:$D176,0)))</f>
        <v>323725.55750000005</v>
      </c>
      <c r="U75" s="1266">
        <f>+IF($Q75=1,$J75,INDEX([1]Summary!$L$5:$L$110,MATCH($C75,[1]Summary!$D$5:$D176,0)))</f>
        <v>323725.55750000005</v>
      </c>
      <c r="V75" s="721"/>
      <c r="W75" s="721"/>
      <c r="X75" s="721"/>
      <c r="Y75" s="721"/>
      <c r="Z75" s="721"/>
      <c r="AA75" s="721"/>
      <c r="AB75" s="721"/>
      <c r="AC75" s="721"/>
      <c r="AD75" s="721"/>
      <c r="AI75" s="105"/>
      <c r="AJ75" s="105"/>
      <c r="AN75" s="105"/>
      <c r="AO75" s="105"/>
      <c r="AP75" s="105"/>
      <c r="AS75" s="105"/>
    </row>
    <row r="76" spans="1:45" outlineLevel="1">
      <c r="A76" s="545">
        <f>MAX($A$10:A75)+1</f>
        <v>67</v>
      </c>
      <c r="B76" s="716" t="s">
        <v>1799</v>
      </c>
      <c r="C76" s="716" t="s">
        <v>1880</v>
      </c>
      <c r="D76" s="716" t="s">
        <v>1881</v>
      </c>
      <c r="E76" s="559">
        <v>376.3</v>
      </c>
      <c r="F76" s="1302" cm="1">
        <f t="array" ref="F76">+IF(SUM(VALUE(N76:Q76)*$N$7:$Q$7)=0,R76,T76)</f>
        <v>270192.07960999996</v>
      </c>
      <c r="G76" s="103">
        <f t="shared" si="2"/>
        <v>270192.07960999996</v>
      </c>
      <c r="H76" s="575">
        <v>45657</v>
      </c>
      <c r="I76" s="1303" cm="1">
        <f t="array" ref="I76">+IF(SUM(VALUE(N76:Q76)*$N$7:$Q$7)=0,S76,U76)</f>
        <v>199395.12877200003</v>
      </c>
      <c r="J76" s="103">
        <f t="shared" si="4"/>
        <v>199395.12877200003</v>
      </c>
      <c r="K76" s="575">
        <v>46022</v>
      </c>
      <c r="M76"/>
      <c r="N76" s="1300">
        <v>0</v>
      </c>
      <c r="O76" s="1300">
        <v>0</v>
      </c>
      <c r="P76" s="1300">
        <v>1</v>
      </c>
      <c r="Q76" s="1300">
        <v>0</v>
      </c>
      <c r="R76" s="1266">
        <v>270192.07960999996</v>
      </c>
      <c r="S76" s="1266">
        <v>199395.12877200003</v>
      </c>
      <c r="T76" s="1266">
        <f>+IF($Q76=1,$G76,INDEX([1]Summary!$K$5:$K$110,MATCH($C76,[1]Summary!$D$5:$D177,0)))</f>
        <v>150820.62</v>
      </c>
      <c r="U76" s="1266">
        <f>+IF($Q76=1,$J76,INDEX([1]Summary!$L$5:$L$110,MATCH($C76,[1]Summary!$D$5:$D177,0)))</f>
        <v>150820.62</v>
      </c>
      <c r="V76" s="721"/>
      <c r="W76" s="721"/>
      <c r="X76" s="721"/>
      <c r="Y76" s="721"/>
      <c r="Z76" s="721"/>
      <c r="AA76" s="721"/>
      <c r="AB76" s="721"/>
      <c r="AC76" s="721"/>
      <c r="AD76" s="721"/>
      <c r="AI76" s="105"/>
      <c r="AJ76" s="105"/>
      <c r="AN76" s="105"/>
      <c r="AO76" s="105"/>
      <c r="AP76" s="105"/>
      <c r="AS76" s="105"/>
    </row>
    <row r="77" spans="1:45" outlineLevel="1">
      <c r="A77" s="545">
        <f>MAX($A$10:A76)+1</f>
        <v>68</v>
      </c>
      <c r="B77" s="716" t="s">
        <v>1799</v>
      </c>
      <c r="C77" s="716" t="s">
        <v>1882</v>
      </c>
      <c r="D77" s="716" t="s">
        <v>1883</v>
      </c>
      <c r="E77" s="559">
        <v>380.3</v>
      </c>
      <c r="F77" s="1302" cm="1">
        <f t="array" ref="F77">+IF(SUM(VALUE(N77:Q77)*$N$7:$Q$7)=0,R77,T77)</f>
        <v>1103684.1000000003</v>
      </c>
      <c r="G77" s="103">
        <f t="shared" si="2"/>
        <v>1103684.1000000003</v>
      </c>
      <c r="H77" s="575">
        <v>45657</v>
      </c>
      <c r="I77" s="1303" cm="1">
        <f t="array" ref="I77">+IF(SUM(VALUE(N77:Q77)*$N$7:$Q$7)=0,S77,U77)</f>
        <v>1123492.8500000001</v>
      </c>
      <c r="J77" s="103">
        <f t="shared" si="4"/>
        <v>1123492.8500000001</v>
      </c>
      <c r="K77" s="575">
        <v>46022</v>
      </c>
      <c r="M77"/>
      <c r="N77" s="1300">
        <v>0</v>
      </c>
      <c r="O77" s="1300">
        <v>0</v>
      </c>
      <c r="P77" s="1300">
        <v>1</v>
      </c>
      <c r="Q77" s="1300">
        <v>0</v>
      </c>
      <c r="R77" s="1266">
        <v>1103684.1000000003</v>
      </c>
      <c r="S77" s="1266">
        <v>1123492.8500000001</v>
      </c>
      <c r="T77" s="1266">
        <f>+IF($Q77=1,$G77,INDEX([1]Summary!$K$5:$K$110,MATCH($C77,[1]Summary!$D$5:$D178,0)))</f>
        <v>425175.603333354</v>
      </c>
      <c r="U77" s="1266">
        <f>+IF($Q77=1,$J77,INDEX([1]Summary!$L$5:$L$110,MATCH($C77,[1]Summary!$D$5:$D178,0)))</f>
        <v>196913.94190478325</v>
      </c>
      <c r="V77" s="721"/>
      <c r="W77" s="721"/>
      <c r="X77" s="721"/>
      <c r="Y77" s="721"/>
      <c r="Z77" s="721"/>
      <c r="AA77" s="721"/>
      <c r="AB77" s="721"/>
      <c r="AC77" s="721"/>
      <c r="AD77" s="721"/>
      <c r="AI77" s="105"/>
      <c r="AJ77" s="105"/>
      <c r="AN77" s="105"/>
      <c r="AO77" s="105"/>
      <c r="AP77" s="105"/>
      <c r="AS77" s="105"/>
    </row>
    <row r="78" spans="1:45" outlineLevel="1">
      <c r="A78" s="545">
        <f>MAX($A$10:A77)+1</f>
        <v>69</v>
      </c>
      <c r="B78" s="716" t="s">
        <v>1799</v>
      </c>
      <c r="C78" s="716" t="s">
        <v>1884</v>
      </c>
      <c r="D78" s="716" t="s">
        <v>1885</v>
      </c>
      <c r="E78" s="559">
        <v>380.3</v>
      </c>
      <c r="F78" s="1302" cm="1">
        <f t="array" ref="F78">+IF(SUM(VALUE(N78:Q78)*$N$7:$Q$7)=0,R78,T78)</f>
        <v>231192.58399599997</v>
      </c>
      <c r="G78" s="103">
        <f t="shared" si="2"/>
        <v>231192.58399599997</v>
      </c>
      <c r="H78" s="575">
        <v>45657</v>
      </c>
      <c r="I78" s="1303" cm="1">
        <f t="array" ref="I78">+IF(SUM(VALUE(N78:Q78)*$N$7:$Q$7)=0,S78,U78)</f>
        <v>207994.88067599997</v>
      </c>
      <c r="J78" s="103">
        <f t="shared" si="4"/>
        <v>207994.88067599997</v>
      </c>
      <c r="K78" s="575">
        <v>46022</v>
      </c>
      <c r="M78"/>
      <c r="N78" s="1300">
        <v>0</v>
      </c>
      <c r="O78" s="1300">
        <v>0</v>
      </c>
      <c r="P78" s="1300">
        <v>1</v>
      </c>
      <c r="Q78" s="1300">
        <v>0</v>
      </c>
      <c r="R78" s="1266">
        <v>231192.58399599997</v>
      </c>
      <c r="S78" s="1266">
        <v>207994.88067599997</v>
      </c>
      <c r="T78" s="1266">
        <f>+IF($Q78=1,$G78,INDEX([1]Summary!$K$5:$K$110,MATCH($C78,[1]Summary!$D$5:$D179,0)))</f>
        <v>120608.11749999999</v>
      </c>
      <c r="U78" s="1266">
        <f>+IF($Q78=1,$J78,INDEX([1]Summary!$L$5:$L$110,MATCH($C78,[1]Summary!$D$5:$D179,0)))</f>
        <v>120608.11749999999</v>
      </c>
      <c r="V78" s="721"/>
      <c r="W78" s="721"/>
      <c r="X78" s="721"/>
      <c r="Y78" s="721"/>
      <c r="Z78" s="721"/>
      <c r="AA78" s="721"/>
      <c r="AB78" s="721"/>
      <c r="AC78" s="721"/>
      <c r="AD78" s="721"/>
      <c r="AI78" s="105"/>
      <c r="AJ78" s="105"/>
      <c r="AN78" s="105"/>
      <c r="AO78" s="105"/>
      <c r="AP78" s="105"/>
      <c r="AS78" s="105"/>
    </row>
    <row r="79" spans="1:45" outlineLevel="1">
      <c r="A79" s="545">
        <f>MAX($A$10:A78)+1</f>
        <v>70</v>
      </c>
      <c r="B79" s="716" t="s">
        <v>1799</v>
      </c>
      <c r="C79" s="716" t="s">
        <v>1886</v>
      </c>
      <c r="D79" s="716" t="s">
        <v>1887</v>
      </c>
      <c r="E79" s="559">
        <v>376.3</v>
      </c>
      <c r="F79" s="1302" cm="1">
        <f t="array" ref="F79">+IF(SUM(VALUE(N79:Q79)*$N$7:$Q$7)=0,R79,T79)</f>
        <v>1222711.99</v>
      </c>
      <c r="G79" s="103">
        <f t="shared" si="2"/>
        <v>1222711.99</v>
      </c>
      <c r="H79" s="575">
        <v>45657</v>
      </c>
      <c r="I79" s="1303" cm="1">
        <f t="array" ref="I79">+IF(SUM(VALUE(N79:Q79)*$N$7:$Q$7)=0,S79,U79)</f>
        <v>1161647.57</v>
      </c>
      <c r="J79" s="103">
        <f t="shared" si="4"/>
        <v>1161647.57</v>
      </c>
      <c r="K79" s="575">
        <v>46022</v>
      </c>
      <c r="M79"/>
      <c r="N79" s="1300">
        <v>0</v>
      </c>
      <c r="O79" s="1300">
        <v>0</v>
      </c>
      <c r="P79" s="1300">
        <v>1</v>
      </c>
      <c r="Q79" s="1300">
        <v>0</v>
      </c>
      <c r="R79" s="1266">
        <v>1222711.99</v>
      </c>
      <c r="S79" s="1266">
        <v>1161647.57</v>
      </c>
      <c r="T79" s="1266">
        <f>+IF($Q79=1,$G79,INDEX([1]Summary!$K$5:$K$110,MATCH($C79,[1]Summary!$D$5:$D180,0)))</f>
        <v>1127764.46</v>
      </c>
      <c r="U79" s="1266">
        <f>+IF($Q79=1,$J79,INDEX([1]Summary!$L$5:$L$110,MATCH($C79,[1]Summary!$D$5:$D180,0)))</f>
        <v>1127764.46</v>
      </c>
      <c r="V79" s="721"/>
      <c r="W79" s="721"/>
      <c r="X79" s="721"/>
      <c r="Y79" s="721"/>
      <c r="Z79" s="721"/>
      <c r="AA79" s="721"/>
      <c r="AB79" s="721"/>
      <c r="AC79" s="721"/>
      <c r="AD79" s="721"/>
      <c r="AI79" s="105"/>
      <c r="AJ79" s="105"/>
      <c r="AN79" s="105"/>
      <c r="AO79" s="105"/>
      <c r="AP79" s="105"/>
      <c r="AS79" s="105"/>
    </row>
    <row r="80" spans="1:45" outlineLevel="1">
      <c r="A80" s="545">
        <f>MAX($A$10:A79)+1</f>
        <v>71</v>
      </c>
      <c r="B80" s="716" t="s">
        <v>1799</v>
      </c>
      <c r="C80" s="1" t="s">
        <v>1888</v>
      </c>
      <c r="D80" s="1" t="s">
        <v>1889</v>
      </c>
      <c r="E80" s="559">
        <v>376.3</v>
      </c>
      <c r="F80" s="1302" cm="1">
        <f t="array" ref="F80">+IF(SUM(VALUE(N80:Q80)*$N$7:$Q$7)=0,R80,T80)</f>
        <v>121240.83308500001</v>
      </c>
      <c r="G80" s="103">
        <f t="shared" si="2"/>
        <v>121240.83308500001</v>
      </c>
      <c r="H80" s="575">
        <v>45657</v>
      </c>
      <c r="I80" s="1303" cm="1">
        <f t="array" ref="I80">+IF(SUM(VALUE(N80:Q80)*$N$7:$Q$7)=0,S80,U80)</f>
        <v>124081.232498</v>
      </c>
      <c r="J80" s="103">
        <f t="shared" si="4"/>
        <v>124081.232498</v>
      </c>
      <c r="K80" s="575">
        <v>46022</v>
      </c>
      <c r="M80"/>
      <c r="N80" s="1300">
        <v>0</v>
      </c>
      <c r="O80" s="1300">
        <v>0</v>
      </c>
      <c r="P80" s="1300">
        <v>1</v>
      </c>
      <c r="Q80" s="1300">
        <v>0</v>
      </c>
      <c r="R80" s="1266">
        <v>121240.83308500001</v>
      </c>
      <c r="S80" s="1266">
        <v>124081.232498</v>
      </c>
      <c r="T80" s="1266">
        <f>+IF($Q80=1,$G80,INDEX([1]Summary!$K$5:$K$110,MATCH($C80,[1]Summary!$D$5:$D181,0)))</f>
        <v>130715.46500000078</v>
      </c>
      <c r="U80" s="1266">
        <f>+IF($Q80=1,$J80,INDEX([1]Summary!$L$5:$L$110,MATCH($C80,[1]Summary!$D$5:$D181,0)))</f>
        <v>134134.77600000054</v>
      </c>
      <c r="V80" s="721"/>
      <c r="W80" s="721"/>
      <c r="X80" s="721"/>
      <c r="Y80" s="721"/>
      <c r="Z80" s="721"/>
      <c r="AA80" s="721"/>
      <c r="AB80" s="721"/>
      <c r="AC80" s="721"/>
      <c r="AD80" s="721"/>
      <c r="AI80" s="105"/>
      <c r="AJ80" s="105"/>
      <c r="AN80" s="105"/>
      <c r="AO80" s="105"/>
      <c r="AP80" s="105"/>
    </row>
    <row r="81" spans="1:45" outlineLevel="1">
      <c r="A81" s="545">
        <f>MAX($A$10:A80)+1</f>
        <v>72</v>
      </c>
      <c r="B81" s="716" t="s">
        <v>1799</v>
      </c>
      <c r="C81" s="716" t="s">
        <v>1890</v>
      </c>
      <c r="D81" s="716" t="s">
        <v>1891</v>
      </c>
      <c r="E81" s="559">
        <v>380.3</v>
      </c>
      <c r="F81" s="1302" cm="1">
        <f t="array" ref="F81">+IF(SUM(VALUE(N81:Q81)*$N$7:$Q$7)=0,R81,T81)</f>
        <v>1692514.2700000005</v>
      </c>
      <c r="G81" s="103">
        <f t="shared" si="2"/>
        <v>1692514.2700000005</v>
      </c>
      <c r="H81" s="575">
        <v>45657</v>
      </c>
      <c r="I81" s="1303" cm="1">
        <f t="array" ref="I81">+IF(SUM(VALUE(N81:Q81)*$N$7:$Q$7)=0,S81,U81)</f>
        <v>1739980.7999999996</v>
      </c>
      <c r="J81" s="103">
        <f t="shared" si="4"/>
        <v>1739980.7999999996</v>
      </c>
      <c r="K81" s="575">
        <v>46022</v>
      </c>
      <c r="M81"/>
      <c r="N81" s="1300">
        <v>0</v>
      </c>
      <c r="O81" s="1300">
        <v>0</v>
      </c>
      <c r="P81" s="1300">
        <v>1</v>
      </c>
      <c r="Q81" s="1300">
        <v>0</v>
      </c>
      <c r="R81" s="1266">
        <v>1692514.2700000005</v>
      </c>
      <c r="S81" s="1266">
        <v>1739980.7999999996</v>
      </c>
      <c r="T81" s="1266">
        <f>+IF($Q81=1,$G81,INDEX([1]Summary!$K$5:$K$110,MATCH($C81,[1]Summary!$D$5:$D182,0)))</f>
        <v>1058346.5406666994</v>
      </c>
      <c r="U81" s="1266">
        <f>+IF($Q81=1,$J81,INDEX([1]Summary!$L$5:$L$110,MATCH($C81,[1]Summary!$D$5:$D182,0)))</f>
        <v>707665.09752380848</v>
      </c>
      <c r="V81" s="721"/>
      <c r="W81" s="721"/>
      <c r="X81" s="721"/>
      <c r="Y81" s="721"/>
      <c r="Z81" s="721"/>
      <c r="AA81" s="721"/>
      <c r="AB81" s="721"/>
      <c r="AC81" s="721"/>
      <c r="AD81" s="721"/>
      <c r="AI81" s="105"/>
      <c r="AJ81" s="105"/>
      <c r="AN81" s="105"/>
      <c r="AO81" s="105"/>
      <c r="AP81" s="105"/>
      <c r="AS81" s="105"/>
    </row>
    <row r="82" spans="1:45" outlineLevel="1">
      <c r="A82" s="545">
        <f>MAX($A$10:A81)+1</f>
        <v>73</v>
      </c>
      <c r="B82" s="716" t="s">
        <v>1799</v>
      </c>
      <c r="C82" s="716" t="s">
        <v>1892</v>
      </c>
      <c r="D82" s="716" t="s">
        <v>1893</v>
      </c>
      <c r="E82" s="559">
        <v>380.3</v>
      </c>
      <c r="F82" s="1302" cm="1">
        <f t="array" ref="F82">+IF(SUM(VALUE(N82:Q82)*$N$7:$Q$7)=0,R82,T82)</f>
        <v>88759.269398000004</v>
      </c>
      <c r="G82" s="103">
        <f t="shared" si="2"/>
        <v>88759.269398000004</v>
      </c>
      <c r="H82" s="575">
        <v>45657</v>
      </c>
      <c r="I82" s="1303" cm="1">
        <f t="array" ref="I82">+IF(SUM(VALUE(N82:Q82)*$N$7:$Q$7)=0,S82,U82)</f>
        <v>86246.944812000016</v>
      </c>
      <c r="J82" s="103">
        <f t="shared" si="4"/>
        <v>86246.944812000016</v>
      </c>
      <c r="K82" s="575">
        <v>46022</v>
      </c>
      <c r="M82"/>
      <c r="N82" s="1300">
        <v>0</v>
      </c>
      <c r="O82" s="1300">
        <v>0</v>
      </c>
      <c r="P82" s="1300">
        <v>0</v>
      </c>
      <c r="Q82" s="1300">
        <v>1</v>
      </c>
      <c r="R82" s="1266">
        <v>88759.269398000004</v>
      </c>
      <c r="S82" s="1266">
        <v>86246.944812000016</v>
      </c>
      <c r="T82" s="1266">
        <f>+IF($Q82=1,$G82,INDEX([1]Summary!$K$5:$K$110,MATCH($C82,[1]Summary!$D$5:$D183,0)))</f>
        <v>88759.269398000004</v>
      </c>
      <c r="U82" s="1266">
        <f>+IF($Q82=1,$J82,INDEX([1]Summary!$L$5:$L$110,MATCH($C82,[1]Summary!$D$5:$D183,0)))</f>
        <v>86246.944812000016</v>
      </c>
      <c r="V82" s="721"/>
      <c r="W82" s="721"/>
      <c r="X82" s="721"/>
      <c r="Y82" s="721"/>
      <c r="Z82" s="721"/>
      <c r="AA82" s="721"/>
      <c r="AB82" s="721"/>
      <c r="AC82" s="721"/>
      <c r="AD82" s="721"/>
      <c r="AI82" s="105"/>
      <c r="AJ82" s="105"/>
      <c r="AN82" s="105"/>
      <c r="AO82" s="105"/>
      <c r="AP82" s="105"/>
    </row>
    <row r="83" spans="1:45" outlineLevel="1">
      <c r="A83" s="545">
        <f>MAX($A$10:A82)+1</f>
        <v>74</v>
      </c>
      <c r="B83" s="716" t="s">
        <v>1799</v>
      </c>
      <c r="C83" s="716" t="s">
        <v>1894</v>
      </c>
      <c r="D83" s="716" t="s">
        <v>1895</v>
      </c>
      <c r="E83" s="559">
        <v>376.3</v>
      </c>
      <c r="F83" s="1302" cm="1">
        <f t="array" ref="F83">+IF(SUM(VALUE(N83:Q83)*$N$7:$Q$7)=0,R83,T83)</f>
        <v>111603.304754</v>
      </c>
      <c r="G83" s="103">
        <f t="shared" si="2"/>
        <v>111603.304754</v>
      </c>
      <c r="H83" s="575">
        <v>45657</v>
      </c>
      <c r="I83" s="1303" cm="1">
        <f t="array" ref="I83">+IF(SUM(VALUE(N83:Q83)*$N$7:$Q$7)=0,S83,U83)</f>
        <v>230710.25399999999</v>
      </c>
      <c r="J83" s="103">
        <f t="shared" si="4"/>
        <v>230710.25399999999</v>
      </c>
      <c r="K83" s="575">
        <v>46022</v>
      </c>
      <c r="M83"/>
      <c r="N83" s="1300">
        <v>0</v>
      </c>
      <c r="O83" s="1300">
        <v>0</v>
      </c>
      <c r="P83" s="1300">
        <v>1</v>
      </c>
      <c r="Q83" s="1300">
        <v>0</v>
      </c>
      <c r="R83" s="1266">
        <v>111603.304754</v>
      </c>
      <c r="S83" s="1266">
        <v>230710.25399999999</v>
      </c>
      <c r="T83" s="1266">
        <f>+IF($Q83=1,$G83,INDEX([1]Summary!$K$5:$K$110,MATCH($C83,[1]Summary!$D$5:$D184,0)))</f>
        <v>120281.75666666665</v>
      </c>
      <c r="U83" s="1266">
        <f>+IF($Q83=1,$J83,INDEX([1]Summary!$L$5:$L$110,MATCH($C83,[1]Summary!$D$5:$D184,0)))</f>
        <v>120281.75666666665</v>
      </c>
      <c r="V83" s="721"/>
      <c r="W83" s="721"/>
      <c r="X83" s="721"/>
      <c r="Y83" s="721"/>
      <c r="Z83" s="721"/>
      <c r="AA83" s="721"/>
      <c r="AB83" s="721"/>
      <c r="AC83" s="721"/>
      <c r="AD83" s="721"/>
      <c r="AF83" s="105"/>
      <c r="AI83" s="105"/>
      <c r="AJ83" s="105"/>
      <c r="AN83" s="105"/>
      <c r="AO83" s="105"/>
      <c r="AP83" s="105"/>
    </row>
    <row r="84" spans="1:45" outlineLevel="1">
      <c r="A84" s="545">
        <f>MAX($A$10:A83)+1</f>
        <v>75</v>
      </c>
      <c r="B84" s="716" t="s">
        <v>1799</v>
      </c>
      <c r="C84" s="716" t="s">
        <v>1896</v>
      </c>
      <c r="D84" s="716" t="s">
        <v>1897</v>
      </c>
      <c r="E84" s="559">
        <v>376.3</v>
      </c>
      <c r="F84" s="1302" cm="1">
        <f t="array" ref="F84">+IF(SUM(VALUE(N84:Q84)*$N$7:$Q$7)=0,R84,T84)</f>
        <v>3504094.9597229999</v>
      </c>
      <c r="G84" s="103">
        <f t="shared" si="2"/>
        <v>3504094.9597229999</v>
      </c>
      <c r="H84" s="575">
        <v>45657</v>
      </c>
      <c r="I84" s="1303" cm="1">
        <f t="array" ref="I84">+IF(SUM(VALUE(N84:Q84)*$N$7:$Q$7)=0,S84,U84)</f>
        <v>3997962.8722509998</v>
      </c>
      <c r="J84" s="103">
        <f t="shared" si="4"/>
        <v>3997962.8722509998</v>
      </c>
      <c r="K84" s="575">
        <v>46022</v>
      </c>
      <c r="M84"/>
      <c r="N84" s="1300">
        <v>0</v>
      </c>
      <c r="O84" s="1300">
        <v>0</v>
      </c>
      <c r="P84" s="1300">
        <v>1</v>
      </c>
      <c r="Q84" s="1300">
        <v>0</v>
      </c>
      <c r="R84" s="1266">
        <v>3504094.9597229999</v>
      </c>
      <c r="S84" s="1266">
        <v>3997962.8722509998</v>
      </c>
      <c r="T84" s="1266">
        <f>+IF($Q84=1,$G84,INDEX([1]Summary!$K$5:$K$110,MATCH($C84,[1]Summary!$D$5:$D185,0)))</f>
        <v>3518348.4725000006</v>
      </c>
      <c r="U84" s="1266">
        <f>+IF($Q84=1,$J84,INDEX([1]Summary!$L$5:$L$110,MATCH($C84,[1]Summary!$D$5:$D185,0)))</f>
        <v>3518348.4725000006</v>
      </c>
      <c r="V84" s="721"/>
      <c r="W84" s="721"/>
      <c r="X84" s="721"/>
      <c r="Y84" s="721"/>
      <c r="Z84" s="721"/>
      <c r="AA84" s="721"/>
      <c r="AB84" s="721"/>
      <c r="AC84" s="721"/>
      <c r="AD84" s="721"/>
      <c r="AE84" s="105"/>
      <c r="AI84" s="105"/>
      <c r="AJ84" s="105"/>
      <c r="AN84" s="105"/>
      <c r="AO84" s="105"/>
      <c r="AP84" s="105"/>
    </row>
    <row r="85" spans="1:45" outlineLevel="1">
      <c r="A85" s="545">
        <f>MAX($A$10:A84)+1</f>
        <v>76</v>
      </c>
      <c r="B85" s="716" t="s">
        <v>1799</v>
      </c>
      <c r="C85" s="716" t="s">
        <v>1898</v>
      </c>
      <c r="D85" s="716" t="s">
        <v>1899</v>
      </c>
      <c r="E85" s="559">
        <v>380.3</v>
      </c>
      <c r="F85" s="1302" cm="1">
        <f t="array" ref="F85">+IF(SUM(VALUE(N85:Q85)*$N$7:$Q$7)=0,R85,T85)</f>
        <v>3511692.4775140001</v>
      </c>
      <c r="G85" s="103">
        <f t="shared" si="2"/>
        <v>3511692.4775140001</v>
      </c>
      <c r="H85" s="575">
        <v>45657</v>
      </c>
      <c r="I85" s="1303" cm="1">
        <f t="array" ref="I85">+IF(SUM(VALUE(N85:Q85)*$N$7:$Q$7)=0,S85,U85)</f>
        <v>3997962.8722509998</v>
      </c>
      <c r="J85" s="103">
        <f t="shared" si="4"/>
        <v>3997962.8722509998</v>
      </c>
      <c r="K85" s="575">
        <v>46022</v>
      </c>
      <c r="M85"/>
      <c r="N85" s="1300">
        <v>0</v>
      </c>
      <c r="O85" s="1300">
        <v>0</v>
      </c>
      <c r="P85" s="1300">
        <v>1</v>
      </c>
      <c r="Q85" s="1300">
        <v>0</v>
      </c>
      <c r="R85" s="1266">
        <v>3511692.4775140001</v>
      </c>
      <c r="S85" s="1266">
        <v>3997962.8722509998</v>
      </c>
      <c r="T85" s="1266">
        <f>+IF($Q85=1,$G85,INDEX([1]Summary!$K$5:$K$110,MATCH($C85,[1]Summary!$D$5:$D186,0)))</f>
        <v>926264.08999999613</v>
      </c>
      <c r="U85" s="1266">
        <f>+IF($Q85=1,$J85,INDEX([1]Summary!$L$5:$L$110,MATCH($C85,[1]Summary!$D$5:$D186,0)))</f>
        <v>943597.51099999994</v>
      </c>
      <c r="V85" s="721"/>
      <c r="W85" s="721"/>
      <c r="X85" s="721"/>
      <c r="Y85" s="721"/>
      <c r="Z85" s="721"/>
      <c r="AA85" s="721"/>
      <c r="AB85" s="721"/>
      <c r="AC85" s="721"/>
      <c r="AD85" s="721"/>
      <c r="AE85" s="105"/>
      <c r="AI85" s="105"/>
      <c r="AJ85" s="105"/>
      <c r="AN85" s="105"/>
      <c r="AO85" s="105"/>
      <c r="AP85" s="105"/>
    </row>
    <row r="86" spans="1:45" outlineLevel="1">
      <c r="A86" s="545">
        <f>MAX($A$10:A85)+1</f>
        <v>77</v>
      </c>
      <c r="B86" s="716" t="s">
        <v>1799</v>
      </c>
      <c r="C86" s="716" t="s">
        <v>1900</v>
      </c>
      <c r="D86" s="716" t="s">
        <v>1901</v>
      </c>
      <c r="E86" s="559">
        <v>376.3</v>
      </c>
      <c r="F86" s="1302" cm="1">
        <f t="array" ref="F86">+IF(SUM(VALUE(N86:Q86)*$N$7:$Q$7)=0,R86,T86)</f>
        <v>1403134.75</v>
      </c>
      <c r="G86" s="103">
        <f t="shared" si="2"/>
        <v>1403134.75</v>
      </c>
      <c r="H86" s="575">
        <v>45626</v>
      </c>
      <c r="I86" s="1303" cm="1">
        <f t="array" ref="I86">+IF(SUM(VALUE(N86:Q86)*$N$7:$Q$7)=0,S86,U86)</f>
        <v>0</v>
      </c>
      <c r="J86" s="103"/>
      <c r="K86" s="575"/>
      <c r="M86"/>
      <c r="N86" s="1300">
        <v>0</v>
      </c>
      <c r="O86" s="1300">
        <v>1</v>
      </c>
      <c r="P86" s="1300">
        <v>0</v>
      </c>
      <c r="Q86" s="1300">
        <v>0</v>
      </c>
      <c r="R86" s="1266">
        <v>1403134.75</v>
      </c>
      <c r="S86" s="1266">
        <v>0</v>
      </c>
      <c r="T86" s="1266">
        <f>+IF($Q86=1,$G86,INDEX([1]Summary!$K$5:$K$110,MATCH($C86,[1]Summary!$D$5:$D187,0)))</f>
        <v>0</v>
      </c>
      <c r="U86" s="1266">
        <f>+IF($Q86=1,$J86,INDEX([1]Summary!$L$5:$L$110,MATCH($C86,[1]Summary!$D$5:$D187,0)))</f>
        <v>1403134.75</v>
      </c>
      <c r="V86" s="721"/>
      <c r="W86" s="721"/>
      <c r="X86" s="721"/>
      <c r="Y86" s="721"/>
      <c r="Z86" s="721"/>
      <c r="AA86" s="721"/>
      <c r="AB86" s="721"/>
      <c r="AC86" s="721"/>
      <c r="AD86" s="721"/>
      <c r="AE86" s="105"/>
      <c r="AI86" s="105"/>
      <c r="AJ86" s="105"/>
      <c r="AN86" s="105"/>
      <c r="AO86" s="105"/>
      <c r="AP86" s="105"/>
    </row>
    <row r="87" spans="1:45" outlineLevel="1">
      <c r="A87" s="545">
        <f>MAX($A$10:A86)+1</f>
        <v>78</v>
      </c>
      <c r="B87" s="716" t="s">
        <v>1799</v>
      </c>
      <c r="C87" s="720" t="s">
        <v>1902</v>
      </c>
      <c r="D87" s="720" t="s">
        <v>1903</v>
      </c>
      <c r="E87" s="559">
        <v>376.1</v>
      </c>
      <c r="F87" s="1302" cm="1">
        <f t="array" ref="F87">+IF(SUM(VALUE(N87:Q87)*$N$7:$Q$7)=0,R87,T87)</f>
        <v>0</v>
      </c>
      <c r="G87" s="103"/>
      <c r="I87" s="1303" cm="1">
        <f t="array" ref="I87">+IF(SUM(VALUE(N87:Q87)*$N$7:$Q$7)=0,S87,U87)</f>
        <v>57633.22</v>
      </c>
      <c r="J87" s="103">
        <f t="shared" ref="J87:J95" si="5">+I87</f>
        <v>57633.22</v>
      </c>
      <c r="K87" s="717">
        <v>45961</v>
      </c>
      <c r="M87"/>
      <c r="N87" s="1300">
        <v>0</v>
      </c>
      <c r="O87" s="1300">
        <v>0</v>
      </c>
      <c r="P87" s="1300">
        <v>0</v>
      </c>
      <c r="Q87" s="1300">
        <v>1</v>
      </c>
      <c r="R87" s="1266">
        <v>0</v>
      </c>
      <c r="S87" s="1266">
        <v>57633.22</v>
      </c>
      <c r="T87" s="1266">
        <f>+IF($Q87=1,$G87,INDEX([1]Summary!$K$5:$K$110,MATCH($C87,[1]Summary!$D$5:$D188,0)))</f>
        <v>0</v>
      </c>
      <c r="U87" s="1266">
        <f>+IF($Q87=1,$J87,INDEX([1]Summary!$L$5:$L$110,MATCH($C87,[1]Summary!$D$5:$D188,0)))</f>
        <v>57633.22</v>
      </c>
      <c r="V87" s="721"/>
      <c r="W87" s="721"/>
      <c r="X87" s="721"/>
      <c r="Y87" s="721"/>
      <c r="Z87" s="721"/>
      <c r="AA87" s="721"/>
      <c r="AB87" s="721"/>
      <c r="AC87" s="721"/>
      <c r="AD87" s="721"/>
      <c r="AE87" s="105"/>
      <c r="AI87" s="105"/>
      <c r="AJ87" s="105"/>
      <c r="AN87" s="105"/>
      <c r="AO87" s="105"/>
      <c r="AP87" s="105"/>
    </row>
    <row r="88" spans="1:45" outlineLevel="1">
      <c r="A88" s="545">
        <f>MAX($A$10:A87)+1</f>
        <v>79</v>
      </c>
      <c r="B88" s="716" t="s">
        <v>1799</v>
      </c>
      <c r="C88" s="716" t="s">
        <v>1904</v>
      </c>
      <c r="D88" s="716" t="s">
        <v>1905</v>
      </c>
      <c r="E88" s="559">
        <v>367.1</v>
      </c>
      <c r="F88" s="1302" cm="1">
        <f t="array" ref="F88">+IF(SUM(VALUE(N88:Q88)*$N$7:$Q$7)=0,R88,T88)</f>
        <v>533956.21821900003</v>
      </c>
      <c r="G88" s="103">
        <f>+F88</f>
        <v>533956.21821900003</v>
      </c>
      <c r="H88" s="717">
        <v>45534</v>
      </c>
      <c r="I88" s="1303" cm="1">
        <f t="array" ref="I88">+IF(SUM(VALUE(N88:Q88)*$N$7:$Q$7)=0,S88,U88)</f>
        <v>0</v>
      </c>
      <c r="J88" s="103">
        <f t="shared" si="5"/>
        <v>0</v>
      </c>
      <c r="K88" s="103"/>
      <c r="M88"/>
      <c r="N88" s="1300">
        <v>0</v>
      </c>
      <c r="O88" s="1300">
        <v>0</v>
      </c>
      <c r="P88" s="1300">
        <v>0</v>
      </c>
      <c r="Q88" s="1300">
        <v>1</v>
      </c>
      <c r="R88" s="1266">
        <v>533956.21821900003</v>
      </c>
      <c r="S88" s="1266">
        <v>0</v>
      </c>
      <c r="T88" s="1266">
        <f>+IF($Q88=1,$G88,INDEX([1]Summary!$K$5:$K$110,MATCH($C88,[1]Summary!$D$5:$D189,0)))</f>
        <v>533956.21821900003</v>
      </c>
      <c r="U88" s="1266">
        <f>+IF($Q88=1,$J88,INDEX([1]Summary!$L$5:$L$110,MATCH($C88,[1]Summary!$D$5:$D189,0)))</f>
        <v>0</v>
      </c>
      <c r="V88" s="721"/>
      <c r="W88" s="721"/>
      <c r="X88" s="721"/>
      <c r="Y88" s="721"/>
      <c r="Z88" s="721"/>
      <c r="AA88" s="721"/>
      <c r="AB88" s="721"/>
      <c r="AC88" s="721"/>
      <c r="AD88" s="721"/>
      <c r="AE88" s="105"/>
      <c r="AI88" s="105"/>
      <c r="AJ88" s="105"/>
      <c r="AN88" s="105"/>
      <c r="AO88" s="105"/>
      <c r="AP88" s="105"/>
    </row>
    <row r="89" spans="1:45" outlineLevel="1">
      <c r="A89" s="545">
        <f>MAX($A$10:A88)+1</f>
        <v>80</v>
      </c>
      <c r="B89" s="716" t="s">
        <v>1799</v>
      </c>
      <c r="C89" s="716" t="s">
        <v>1906</v>
      </c>
      <c r="D89" s="716" t="s">
        <v>1907</v>
      </c>
      <c r="E89" s="559">
        <v>378</v>
      </c>
      <c r="F89" s="1302" cm="1">
        <f t="array" ref="F89">+IF(SUM(VALUE(N89:Q89)*$N$7:$Q$7)=0,R89,T89)</f>
        <v>1901518.06</v>
      </c>
      <c r="G89" s="103">
        <f>+F89</f>
        <v>1901518.06</v>
      </c>
      <c r="H89" s="717">
        <v>45626</v>
      </c>
      <c r="I89" s="1303" cm="1">
        <f t="array" ref="I89">+IF(SUM(VALUE(N89:Q89)*$N$7:$Q$7)=0,S89,U89)</f>
        <v>0</v>
      </c>
      <c r="J89" s="103">
        <f t="shared" si="5"/>
        <v>0</v>
      </c>
      <c r="K89" s="103"/>
      <c r="M89"/>
      <c r="N89" s="1300">
        <v>0</v>
      </c>
      <c r="O89" s="1300">
        <v>1</v>
      </c>
      <c r="P89" s="1300">
        <v>0</v>
      </c>
      <c r="Q89" s="1300">
        <v>0</v>
      </c>
      <c r="R89" s="1266">
        <v>1901518.06</v>
      </c>
      <c r="S89" s="1266">
        <v>0</v>
      </c>
      <c r="T89" s="1266">
        <f>+IF($Q89=1,$G89,INDEX([1]Summary!$K$5:$K$110,MATCH($C89,[1]Summary!$D$5:$D190,0)))</f>
        <v>1901518.06</v>
      </c>
      <c r="U89" s="1266">
        <f>+IF($Q89=1,$J89,INDEX([1]Summary!$L$5:$L$110,MATCH($C89,[1]Summary!$D$5:$D190,0)))</f>
        <v>0</v>
      </c>
      <c r="V89" s="721"/>
      <c r="W89" s="721"/>
      <c r="X89" s="721"/>
      <c r="Y89" s="721"/>
      <c r="Z89" s="721"/>
      <c r="AA89" s="721"/>
      <c r="AB89" s="721"/>
      <c r="AC89" s="721"/>
      <c r="AD89" s="721"/>
      <c r="AE89" s="105"/>
      <c r="AI89" s="105"/>
      <c r="AJ89" s="105"/>
      <c r="AN89" s="105"/>
      <c r="AO89" s="105"/>
      <c r="AP89" s="105"/>
    </row>
    <row r="90" spans="1:45" outlineLevel="1">
      <c r="A90" s="545">
        <f>MAX($A$10:A89)+1</f>
        <v>81</v>
      </c>
      <c r="B90" s="716" t="s">
        <v>1799</v>
      </c>
      <c r="C90" s="716" t="s">
        <v>1908</v>
      </c>
      <c r="D90" s="716" t="s">
        <v>1909</v>
      </c>
      <c r="E90" s="559">
        <v>376.3</v>
      </c>
      <c r="F90" s="1302" cm="1">
        <f t="array" ref="F90">+IF(SUM(VALUE(N90:Q90)*$N$7:$Q$7)=0,R90,T90)</f>
        <v>2258569</v>
      </c>
      <c r="G90" s="103">
        <f>+F90</f>
        <v>2258569</v>
      </c>
      <c r="H90" s="717">
        <v>45566</v>
      </c>
      <c r="I90" s="1303" cm="1">
        <f t="array" ref="I90">+IF(SUM(VALUE(N90:Q90)*$N$7:$Q$7)=0,S90,U90)</f>
        <v>0</v>
      </c>
      <c r="J90" s="103">
        <f t="shared" si="5"/>
        <v>0</v>
      </c>
      <c r="K90" s="103"/>
      <c r="M90"/>
      <c r="N90" s="1300">
        <v>0</v>
      </c>
      <c r="O90" s="1300">
        <v>1</v>
      </c>
      <c r="P90" s="1300">
        <v>0</v>
      </c>
      <c r="Q90" s="1300">
        <v>0</v>
      </c>
      <c r="R90" s="1266">
        <v>2258569</v>
      </c>
      <c r="S90" s="1266">
        <v>0</v>
      </c>
      <c r="T90" s="1266">
        <f>+IF($Q90=1,$G90,INDEX([1]Summary!$K$5:$K$110,MATCH($C90,[1]Summary!$D$5:$D191,0)))</f>
        <v>0</v>
      </c>
      <c r="U90" s="1266">
        <f>+IF($Q90=1,$J90,INDEX([1]Summary!$L$5:$L$110,MATCH($C90,[1]Summary!$D$5:$D191,0)))</f>
        <v>2258569</v>
      </c>
      <c r="V90" s="721"/>
      <c r="W90" s="721"/>
      <c r="X90" s="721"/>
      <c r="Y90" s="721"/>
      <c r="Z90" s="721"/>
      <c r="AA90" s="721"/>
      <c r="AB90" s="721"/>
      <c r="AC90" s="721"/>
      <c r="AD90" s="721"/>
      <c r="AE90" s="105"/>
      <c r="AI90" s="105"/>
      <c r="AJ90" s="105"/>
      <c r="AN90" s="105"/>
      <c r="AO90" s="105"/>
      <c r="AP90" s="105"/>
    </row>
    <row r="91" spans="1:45" outlineLevel="1">
      <c r="A91" s="545">
        <f>MAX($A$10:A90)+1</f>
        <v>82</v>
      </c>
      <c r="B91" s="716" t="s">
        <v>1799</v>
      </c>
      <c r="C91" s="720" t="s">
        <v>1910</v>
      </c>
      <c r="D91" s="720" t="s">
        <v>1911</v>
      </c>
      <c r="E91" s="559">
        <v>376.2</v>
      </c>
      <c r="F91" s="1302" cm="1">
        <f t="array" ref="F91">+IF(SUM(VALUE(N91:Q91)*$N$7:$Q$7)=0,R91,T91)</f>
        <v>0</v>
      </c>
      <c r="G91" s="103"/>
      <c r="I91" s="1303" cm="1">
        <f t="array" ref="I91">+IF(SUM(VALUE(N91:Q91)*$N$7:$Q$7)=0,S91,U91)</f>
        <v>543633.23800999997</v>
      </c>
      <c r="J91" s="103">
        <f t="shared" si="5"/>
        <v>543633.23800999997</v>
      </c>
      <c r="K91" s="717">
        <v>45991</v>
      </c>
      <c r="M91"/>
      <c r="N91" s="1300">
        <v>0</v>
      </c>
      <c r="O91" s="1300">
        <v>0</v>
      </c>
      <c r="P91" s="1300">
        <v>0</v>
      </c>
      <c r="Q91" s="1300">
        <v>1</v>
      </c>
      <c r="R91" s="1266">
        <v>0</v>
      </c>
      <c r="S91" s="1266">
        <v>543633.23800999997</v>
      </c>
      <c r="T91" s="1266">
        <f>+IF($Q91=1,$G91,INDEX([1]Summary!$K$5:$K$110,MATCH($C91,[1]Summary!$D$5:$D192,0)))</f>
        <v>0</v>
      </c>
      <c r="U91" s="1266">
        <f>+IF($Q91=1,$J91,INDEX([1]Summary!$L$5:$L$110,MATCH($C91,[1]Summary!$D$5:$D192,0)))</f>
        <v>543633.23800999997</v>
      </c>
      <c r="V91" s="721"/>
      <c r="W91" s="721"/>
      <c r="X91" s="721"/>
      <c r="Y91" s="721"/>
      <c r="Z91" s="721"/>
      <c r="AA91" s="721"/>
      <c r="AB91" s="721"/>
      <c r="AC91" s="721"/>
      <c r="AD91" s="721"/>
      <c r="AE91" s="105"/>
      <c r="AI91" s="105"/>
      <c r="AJ91" s="105"/>
      <c r="AN91" s="105"/>
      <c r="AO91" s="105"/>
      <c r="AP91" s="105"/>
    </row>
    <row r="92" spans="1:45" outlineLevel="1">
      <c r="A92" s="545">
        <f>MAX($A$10:A91)+1</f>
        <v>83</v>
      </c>
      <c r="B92" s="716" t="s">
        <v>1799</v>
      </c>
      <c r="C92" s="720" t="s">
        <v>1912</v>
      </c>
      <c r="D92" s="720" t="s">
        <v>1913</v>
      </c>
      <c r="E92" s="559">
        <v>378</v>
      </c>
      <c r="F92" s="1302" cm="1">
        <f t="array" ref="F92">+IF(SUM(VALUE(N92:Q92)*$N$7:$Q$7)=0,R92,T92)</f>
        <v>0</v>
      </c>
      <c r="G92" s="103"/>
      <c r="I92" s="1303" cm="1">
        <f t="array" ref="I92">+IF(SUM(VALUE(N92:Q92)*$N$7:$Q$7)=0,S92,U92)</f>
        <v>377211.26529000001</v>
      </c>
      <c r="J92" s="103">
        <f t="shared" si="5"/>
        <v>377211.26529000001</v>
      </c>
      <c r="K92" s="717">
        <v>45960</v>
      </c>
      <c r="M92"/>
      <c r="N92" s="1300">
        <v>0</v>
      </c>
      <c r="O92" s="1300">
        <v>0</v>
      </c>
      <c r="P92" s="1300">
        <v>0</v>
      </c>
      <c r="Q92" s="1300">
        <v>1</v>
      </c>
      <c r="R92" s="1266">
        <v>0</v>
      </c>
      <c r="S92" s="1266">
        <v>377211.26529000001</v>
      </c>
      <c r="T92" s="1266">
        <f>+IF($Q92=1,$G92,INDEX([1]Summary!$K$5:$K$110,MATCH($C92,[1]Summary!$D$5:$D193,0)))</f>
        <v>0</v>
      </c>
      <c r="U92" s="1266">
        <f>+IF($Q92=1,$J92,INDEX([1]Summary!$L$5:$L$110,MATCH($C92,[1]Summary!$D$5:$D193,0)))</f>
        <v>377211.26529000001</v>
      </c>
      <c r="V92" s="721"/>
      <c r="W92" s="721"/>
      <c r="X92" s="721"/>
      <c r="Y92" s="721"/>
      <c r="Z92" s="721"/>
      <c r="AA92" s="721"/>
      <c r="AB92" s="721"/>
      <c r="AC92" s="721"/>
      <c r="AD92" s="721"/>
      <c r="AE92" s="105"/>
      <c r="AI92" s="105"/>
      <c r="AJ92" s="105"/>
      <c r="AN92" s="105"/>
      <c r="AO92" s="105"/>
      <c r="AP92" s="105"/>
    </row>
    <row r="93" spans="1:45" outlineLevel="1">
      <c r="A93" s="545">
        <f>MAX($A$10:A92)+1</f>
        <v>84</v>
      </c>
      <c r="B93" s="716" t="s">
        <v>1799</v>
      </c>
      <c r="C93" s="716" t="s">
        <v>1914</v>
      </c>
      <c r="D93" s="716" t="s">
        <v>1915</v>
      </c>
      <c r="E93" s="559">
        <v>376.3</v>
      </c>
      <c r="F93" s="1302" cm="1">
        <f t="array" ref="F93">+IF(SUM(VALUE(N93:Q93)*$N$7:$Q$7)=0,R93,T93)</f>
        <v>3610320.72</v>
      </c>
      <c r="G93" s="103">
        <f t="shared" ref="G93:G99" si="6">+F93</f>
        <v>3610320.72</v>
      </c>
      <c r="H93" s="575">
        <v>45657</v>
      </c>
      <c r="I93" s="1303" cm="1">
        <f t="array" ref="I93">+IF(SUM(VALUE(N93:Q93)*$N$7:$Q$7)=0,S93,U93)</f>
        <v>5910841.3118439987</v>
      </c>
      <c r="J93" s="103">
        <f t="shared" si="5"/>
        <v>5910841.3118439987</v>
      </c>
      <c r="K93" s="575">
        <v>46022</v>
      </c>
      <c r="M93"/>
      <c r="N93" s="1300">
        <v>0</v>
      </c>
      <c r="O93" s="1300">
        <v>0</v>
      </c>
      <c r="P93" s="1300">
        <v>1</v>
      </c>
      <c r="Q93" s="1300">
        <v>0</v>
      </c>
      <c r="R93" s="1266">
        <v>3610320.72</v>
      </c>
      <c r="S93" s="1266">
        <v>5910841.3118439987</v>
      </c>
      <c r="T93" s="1266">
        <f>+IF($Q93=1,$G93,INDEX([1]Summary!$K$5:$K$110,MATCH($C93,[1]Summary!$D$5:$D194,0)))</f>
        <v>153338.53499999997</v>
      </c>
      <c r="U93" s="1266">
        <f>+IF($Q93=1,$J93,INDEX([1]Summary!$L$5:$L$110,MATCH($C93,[1]Summary!$D$5:$D194,0)))</f>
        <v>153338.53499999997</v>
      </c>
      <c r="V93" s="721"/>
      <c r="W93" s="721"/>
      <c r="X93" s="721"/>
      <c r="Y93" s="721"/>
      <c r="Z93" s="721"/>
      <c r="AA93" s="721"/>
      <c r="AB93" s="721"/>
      <c r="AC93" s="721"/>
      <c r="AD93" s="721"/>
      <c r="AE93" s="105"/>
      <c r="AI93" s="105"/>
      <c r="AJ93" s="105"/>
      <c r="AN93" s="105"/>
      <c r="AO93" s="105"/>
      <c r="AP93" s="105"/>
    </row>
    <row r="94" spans="1:45" outlineLevel="1">
      <c r="A94" s="545">
        <f>MAX($A$10:A93)+1</f>
        <v>85</v>
      </c>
      <c r="B94" s="716" t="s">
        <v>1799</v>
      </c>
      <c r="C94" s="716" t="s">
        <v>1916</v>
      </c>
      <c r="D94" s="716" t="s">
        <v>1917</v>
      </c>
      <c r="E94" s="559">
        <v>380.3</v>
      </c>
      <c r="F94" s="1302" cm="1">
        <f t="array" ref="F94">+IF(SUM(VALUE(N94:Q94)*$N$7:$Q$7)=0,R94,T94)</f>
        <v>375340.57199999999</v>
      </c>
      <c r="G94" s="103">
        <f t="shared" si="6"/>
        <v>375340.57199999999</v>
      </c>
      <c r="H94" s="575">
        <v>45657</v>
      </c>
      <c r="I94" s="1303" cm="1">
        <f t="array" ref="I94">+IF(SUM(VALUE(N94:Q94)*$N$7:$Q$7)=0,S94,U94)</f>
        <v>912858.45250000001</v>
      </c>
      <c r="J94" s="103">
        <f t="shared" si="5"/>
        <v>912858.45250000001</v>
      </c>
      <c r="K94" s="575">
        <v>46022</v>
      </c>
      <c r="M94"/>
      <c r="N94" s="1300">
        <v>0</v>
      </c>
      <c r="O94" s="1300">
        <v>0</v>
      </c>
      <c r="P94" s="1300">
        <v>1</v>
      </c>
      <c r="Q94" s="1300">
        <v>0</v>
      </c>
      <c r="R94" s="1266">
        <v>375340.57199999999</v>
      </c>
      <c r="S94" s="1266">
        <v>912858.45250000001</v>
      </c>
      <c r="T94" s="1266">
        <f>+IF($Q94=1,$G94,INDEX([1]Summary!$K$5:$K$110,MATCH($C94,[1]Summary!$D$5:$D195,0)))</f>
        <v>128877.07666666668</v>
      </c>
      <c r="U94" s="1266">
        <f>+IF($Q94=1,$J94,INDEX([1]Summary!$L$5:$L$110,MATCH($C94,[1]Summary!$D$5:$D195,0)))</f>
        <v>128877.07666666668</v>
      </c>
      <c r="V94" s="721"/>
      <c r="W94" s="721"/>
      <c r="X94" s="721"/>
      <c r="Y94" s="721"/>
      <c r="Z94" s="721"/>
      <c r="AA94" s="721"/>
      <c r="AB94" s="721"/>
      <c r="AC94" s="721"/>
      <c r="AD94" s="721"/>
      <c r="AE94" s="105"/>
      <c r="AI94" s="105"/>
      <c r="AJ94" s="105"/>
      <c r="AN94" s="105"/>
      <c r="AO94" s="105"/>
      <c r="AP94" s="105"/>
    </row>
    <row r="95" spans="1:45" outlineLevel="1">
      <c r="A95" s="545">
        <f>MAX($A$10:A94)+1</f>
        <v>86</v>
      </c>
      <c r="B95" s="716" t="s">
        <v>1799</v>
      </c>
      <c r="C95" s="720" t="s">
        <v>1918</v>
      </c>
      <c r="D95" s="720" t="s">
        <v>1919</v>
      </c>
      <c r="E95" s="559">
        <v>376.2</v>
      </c>
      <c r="F95" s="1302" cm="1">
        <f t="array" ref="F95">+IF(SUM(VALUE(N95:Q95)*$N$7:$Q$7)=0,R95,T95)</f>
        <v>0</v>
      </c>
      <c r="G95" s="103">
        <f t="shared" si="6"/>
        <v>0</v>
      </c>
      <c r="H95" s="103"/>
      <c r="I95" s="1303" cm="1">
        <f t="array" ref="I95">+IF(SUM(VALUE(N95:Q95)*$N$7:$Q$7)=0,S95,U95)</f>
        <v>1796668.1126259998</v>
      </c>
      <c r="J95" s="103">
        <f t="shared" si="5"/>
        <v>1796668.1126259998</v>
      </c>
      <c r="K95" s="717">
        <v>45961</v>
      </c>
      <c r="M95"/>
      <c r="N95" s="1300">
        <v>0</v>
      </c>
      <c r="O95" s="1300">
        <v>1</v>
      </c>
      <c r="P95" s="1300">
        <v>0</v>
      </c>
      <c r="Q95" s="1300">
        <v>0</v>
      </c>
      <c r="R95" s="1266">
        <v>0</v>
      </c>
      <c r="S95" s="1266">
        <v>1796668.1126259998</v>
      </c>
      <c r="T95" s="1266">
        <f>+IF($Q95=1,$G95,INDEX([1]Summary!$K$5:$K$110,MATCH($C95,[1]Summary!$D$5:$D196,0)))</f>
        <v>0</v>
      </c>
      <c r="U95" s="1266">
        <f>+IF($Q95=1,$J95,INDEX([1]Summary!$L$5:$L$110,MATCH($C95,[1]Summary!$D$5:$D196,0)))</f>
        <v>1796668.1126259998</v>
      </c>
      <c r="V95" s="721"/>
      <c r="W95" s="721"/>
      <c r="X95" s="721"/>
      <c r="Y95" s="721"/>
      <c r="Z95" s="721"/>
      <c r="AA95" s="721"/>
      <c r="AB95" s="721"/>
      <c r="AC95" s="721"/>
      <c r="AD95" s="721"/>
      <c r="AE95" s="105"/>
      <c r="AI95" s="105"/>
      <c r="AJ95" s="105"/>
      <c r="AN95" s="105"/>
      <c r="AO95" s="105"/>
      <c r="AP95" s="105"/>
    </row>
    <row r="96" spans="1:45" outlineLevel="1">
      <c r="A96" s="545">
        <f>MAX($A$10:A95)+1</f>
        <v>87</v>
      </c>
      <c r="B96" s="716" t="s">
        <v>1799</v>
      </c>
      <c r="C96" s="720" t="s">
        <v>1920</v>
      </c>
      <c r="D96" s="720" t="s">
        <v>1921</v>
      </c>
      <c r="E96" s="559">
        <v>376.2</v>
      </c>
      <c r="F96" s="1302" cm="1">
        <f t="array" ref="F96">+IF(SUM(VALUE(N96:Q96)*$N$7:$Q$7)=0,R96,T96)</f>
        <v>1069397.6499999999</v>
      </c>
      <c r="G96" s="103">
        <f t="shared" si="6"/>
        <v>1069397.6499999999</v>
      </c>
      <c r="H96" s="575">
        <v>45412</v>
      </c>
      <c r="I96" s="1303" cm="1">
        <f t="array" ref="I96">+IF(SUM(VALUE(N96:Q96)*$N$7:$Q$7)=0,S96,U96)</f>
        <v>0</v>
      </c>
      <c r="J96" s="103"/>
      <c r="K96" s="717"/>
      <c r="M96"/>
      <c r="N96" s="1300">
        <v>0</v>
      </c>
      <c r="O96" s="1300">
        <v>1</v>
      </c>
      <c r="P96" s="1300">
        <v>0</v>
      </c>
      <c r="Q96" s="1300">
        <v>0</v>
      </c>
      <c r="R96" s="1266">
        <v>1069397.6499999999</v>
      </c>
      <c r="S96" s="1266">
        <v>0</v>
      </c>
      <c r="T96" s="1266">
        <f>+IF($Q96=1,$G96,INDEX([1]Summary!$K$5:$K$110,MATCH($C96,[1]Summary!$D$5:$D197,0)))</f>
        <v>0</v>
      </c>
      <c r="U96" s="1266">
        <f>+IF($Q96=1,$J96,INDEX([1]Summary!$L$5:$L$110,MATCH($C96,[1]Summary!$D$5:$D197,0)))</f>
        <v>1069397.6499999999</v>
      </c>
      <c r="V96" s="721"/>
      <c r="W96" s="721"/>
      <c r="X96" s="721"/>
      <c r="Y96" s="721"/>
      <c r="Z96" s="721"/>
      <c r="AA96" s="721"/>
      <c r="AB96" s="721"/>
      <c r="AC96" s="721"/>
      <c r="AD96" s="721"/>
      <c r="AE96" s="105"/>
      <c r="AI96" s="105"/>
      <c r="AJ96" s="105"/>
      <c r="AN96" s="105"/>
      <c r="AO96" s="105"/>
      <c r="AP96" s="105"/>
    </row>
    <row r="97" spans="1:42" outlineLevel="1">
      <c r="A97" s="545">
        <f>MAX($A$10:A96)+1</f>
        <v>88</v>
      </c>
      <c r="B97" s="716" t="s">
        <v>1799</v>
      </c>
      <c r="C97" s="716" t="s">
        <v>1922</v>
      </c>
      <c r="D97" s="716" t="s">
        <v>1923</v>
      </c>
      <c r="E97" s="559">
        <v>376.2</v>
      </c>
      <c r="F97" s="1302" cm="1">
        <f t="array" ref="F97">+IF(SUM(VALUE(N97:Q97)*$N$7:$Q$7)=0,R97,T97)</f>
        <v>930867.84602499998</v>
      </c>
      <c r="G97" s="103">
        <f t="shared" si="6"/>
        <v>930867.84602499998</v>
      </c>
      <c r="H97" s="575">
        <v>45412</v>
      </c>
      <c r="I97" s="1303" cm="1">
        <f t="array" ref="I97">+IF(SUM(VALUE(N97:Q97)*$N$7:$Q$7)=0,S97,U97)</f>
        <v>0</v>
      </c>
      <c r="J97" s="103">
        <f>+I97</f>
        <v>0</v>
      </c>
      <c r="K97" s="103"/>
      <c r="M97"/>
      <c r="N97" s="1300">
        <v>0</v>
      </c>
      <c r="O97" s="1300">
        <v>0</v>
      </c>
      <c r="P97" s="1300">
        <v>0</v>
      </c>
      <c r="Q97" s="1300">
        <v>1</v>
      </c>
      <c r="R97" s="1266">
        <v>930867.84602499998</v>
      </c>
      <c r="S97" s="1266">
        <v>0</v>
      </c>
      <c r="T97" s="1266">
        <f>+IF($Q97=1,$G97,INDEX([1]Summary!$K$5:$K$110,MATCH($C97,[1]Summary!$D$5:$D198,0)))</f>
        <v>930867.84602499998</v>
      </c>
      <c r="U97" s="1266">
        <f>+IF($Q97=1,$J97,INDEX([1]Summary!$L$5:$L$110,MATCH($C97,[1]Summary!$D$5:$D198,0)))</f>
        <v>0</v>
      </c>
      <c r="V97" s="721"/>
      <c r="W97" s="721"/>
      <c r="X97" s="721"/>
      <c r="Y97" s="721"/>
      <c r="Z97" s="721"/>
      <c r="AA97" s="721"/>
      <c r="AB97" s="721"/>
      <c r="AC97" s="721"/>
      <c r="AD97" s="721"/>
      <c r="AE97" s="105"/>
      <c r="AI97" s="105"/>
      <c r="AJ97" s="105"/>
      <c r="AN97" s="105"/>
      <c r="AO97" s="105"/>
      <c r="AP97" s="105"/>
    </row>
    <row r="98" spans="1:42" outlineLevel="1">
      <c r="A98" s="545">
        <f>MAX($A$10:A97)+1</f>
        <v>89</v>
      </c>
      <c r="B98" s="716" t="s">
        <v>1799</v>
      </c>
      <c r="C98" s="716" t="s">
        <v>1924</v>
      </c>
      <c r="D98" s="520" t="s">
        <v>1925</v>
      </c>
      <c r="E98" s="559">
        <v>376.2</v>
      </c>
      <c r="F98" s="1302" cm="1">
        <f t="array" ref="F98">+IF(SUM(VALUE(N98:Q98)*$N$7:$Q$7)=0,R98,T98)</f>
        <v>1829249.22</v>
      </c>
      <c r="G98" s="103">
        <f t="shared" si="6"/>
        <v>1829249.22</v>
      </c>
      <c r="H98" s="575">
        <v>45597</v>
      </c>
      <c r="I98" s="1303" cm="1">
        <f t="array" ref="I98">+IF(SUM(VALUE(N98:Q98)*$N$7:$Q$7)=0,S98,U98)</f>
        <v>0</v>
      </c>
      <c r="J98" s="103"/>
      <c r="K98" s="103"/>
      <c r="M98"/>
      <c r="N98" s="1300">
        <v>0</v>
      </c>
      <c r="O98" s="1300">
        <v>1</v>
      </c>
      <c r="P98" s="1300">
        <v>0</v>
      </c>
      <c r="Q98" s="1300">
        <v>0</v>
      </c>
      <c r="R98" s="1266">
        <v>1829249.22</v>
      </c>
      <c r="S98" s="1266">
        <v>0</v>
      </c>
      <c r="T98" s="1266">
        <f>+IF($Q98=1,$G98,INDEX([1]Summary!$K$5:$K$110,MATCH($C98,[1]Summary!$D$5:$D199,0)))</f>
        <v>0</v>
      </c>
      <c r="U98" s="1266">
        <f>+IF($Q98=1,$J98,INDEX([1]Summary!$L$5:$L$110,MATCH($C98,[1]Summary!$D$5:$D199,0)))</f>
        <v>1829249.22</v>
      </c>
      <c r="V98" s="721"/>
      <c r="W98" s="721"/>
      <c r="X98" s="721"/>
      <c r="Y98" s="721"/>
      <c r="Z98" s="721"/>
      <c r="AA98" s="721"/>
      <c r="AB98" s="721"/>
      <c r="AC98" s="721"/>
      <c r="AD98" s="721"/>
      <c r="AE98" s="105"/>
      <c r="AI98" s="105"/>
      <c r="AJ98" s="105"/>
      <c r="AN98" s="105"/>
      <c r="AO98" s="105"/>
      <c r="AP98" s="105"/>
    </row>
    <row r="99" spans="1:42" outlineLevel="1">
      <c r="A99" s="545">
        <f>MAX($A$10:A98)+1</f>
        <v>90</v>
      </c>
      <c r="B99" s="716" t="s">
        <v>1799</v>
      </c>
      <c r="C99" s="716" t="s">
        <v>1926</v>
      </c>
      <c r="D99" s="716" t="s">
        <v>1927</v>
      </c>
      <c r="E99" s="559">
        <v>378</v>
      </c>
      <c r="F99" s="1302" cm="1">
        <f t="array" ref="F99">+IF(SUM(VALUE(N99:Q99)*$N$7:$Q$7)=0,R99,T99)</f>
        <v>240690.43</v>
      </c>
      <c r="G99" s="103">
        <f t="shared" si="6"/>
        <v>240690.43</v>
      </c>
      <c r="H99" s="575">
        <v>45626</v>
      </c>
      <c r="I99" s="1303" cm="1">
        <f t="array" ref="I99">+IF(SUM(VALUE(N99:Q99)*$N$7:$Q$7)=0,S99,U99)</f>
        <v>0</v>
      </c>
      <c r="J99" s="103">
        <f>+I99</f>
        <v>0</v>
      </c>
      <c r="K99" s="103"/>
      <c r="M99"/>
      <c r="N99" s="1300">
        <v>0</v>
      </c>
      <c r="O99" s="1300">
        <v>0</v>
      </c>
      <c r="P99" s="1300">
        <v>0</v>
      </c>
      <c r="Q99" s="1300">
        <v>1</v>
      </c>
      <c r="R99" s="1266">
        <v>240690.43</v>
      </c>
      <c r="S99" s="1266">
        <v>0</v>
      </c>
      <c r="T99" s="1266">
        <f>+IF($Q99=1,$G99,INDEX([1]Summary!$K$5:$K$110,MATCH($C99,[1]Summary!$D$5:$D200,0)))</f>
        <v>240690.43</v>
      </c>
      <c r="U99" s="1266">
        <f>+IF($Q99=1,$J99,INDEX([1]Summary!$L$5:$L$110,MATCH($C99,[1]Summary!$D$5:$D200,0)))</f>
        <v>0</v>
      </c>
      <c r="V99" s="721"/>
      <c r="W99" s="721"/>
      <c r="X99" s="721"/>
      <c r="Y99" s="721"/>
      <c r="Z99" s="721"/>
      <c r="AA99" s="721"/>
      <c r="AB99" s="721"/>
      <c r="AC99" s="721"/>
      <c r="AD99" s="721"/>
      <c r="AE99" s="105"/>
      <c r="AI99" s="105"/>
      <c r="AJ99" s="105"/>
      <c r="AN99" s="105"/>
      <c r="AO99" s="105"/>
      <c r="AP99" s="105"/>
    </row>
    <row r="100" spans="1:42" outlineLevel="1">
      <c r="A100" s="545">
        <f>MAX($A$10:A99)+1</f>
        <v>91</v>
      </c>
      <c r="B100" s="716" t="s">
        <v>1799</v>
      </c>
      <c r="C100" s="720" t="s">
        <v>1928</v>
      </c>
      <c r="D100" s="720" t="s">
        <v>1929</v>
      </c>
      <c r="E100" s="559">
        <v>379</v>
      </c>
      <c r="F100" s="1302" cm="1">
        <f t="array" ref="F100">+IF(SUM(VALUE(N100:Q100)*$N$7:$Q$7)=0,R100,T100)</f>
        <v>0</v>
      </c>
      <c r="G100" s="103"/>
      <c r="I100" s="1303" cm="1">
        <f t="array" ref="I100">+IF(SUM(VALUE(N100:Q100)*$N$7:$Q$7)=0,S100,U100)</f>
        <v>2531049.7000000002</v>
      </c>
      <c r="J100" s="103">
        <f>+I100</f>
        <v>2531049.7000000002</v>
      </c>
      <c r="K100" s="717">
        <v>45991</v>
      </c>
      <c r="M100"/>
      <c r="N100" s="1300">
        <v>0</v>
      </c>
      <c r="O100" s="1300">
        <v>1</v>
      </c>
      <c r="P100" s="1300">
        <v>0</v>
      </c>
      <c r="Q100" s="1300">
        <v>0</v>
      </c>
      <c r="R100" s="1266">
        <v>0</v>
      </c>
      <c r="S100" s="1266">
        <v>2531049.7000000002</v>
      </c>
      <c r="T100" s="1266">
        <f>+IF($Q100=1,$G100,INDEX([1]Summary!$K$5:$K$110,MATCH($C100,[1]Summary!$D$5:$D201,0)))</f>
        <v>0</v>
      </c>
      <c r="U100" s="1266">
        <f>+IF($Q100=1,$J100,INDEX([1]Summary!$L$5:$L$110,MATCH($C100,[1]Summary!$D$5:$D201,0)))</f>
        <v>2531049.7000000002</v>
      </c>
      <c r="V100" s="721"/>
      <c r="W100" s="721"/>
      <c r="X100" s="721"/>
      <c r="Y100" s="721"/>
      <c r="Z100" s="721"/>
      <c r="AA100" s="721"/>
      <c r="AB100" s="721"/>
      <c r="AC100" s="721"/>
      <c r="AD100" s="721"/>
      <c r="AE100" s="105"/>
      <c r="AI100" s="105"/>
      <c r="AJ100" s="105"/>
      <c r="AN100" s="105"/>
      <c r="AO100" s="105"/>
      <c r="AP100" s="105"/>
    </row>
    <row r="101" spans="1:42" outlineLevel="1">
      <c r="A101" s="545">
        <f>MAX($A$10:A100)+1</f>
        <v>92</v>
      </c>
      <c r="B101" s="716" t="s">
        <v>1799</v>
      </c>
      <c r="C101" s="720" t="s">
        <v>1930</v>
      </c>
      <c r="D101" s="720" t="s">
        <v>1931</v>
      </c>
      <c r="E101" s="559">
        <v>376.2</v>
      </c>
      <c r="F101" s="1302" cm="1">
        <f t="array" ref="F101">+IF(SUM(VALUE(N101:Q101)*$N$7:$Q$7)=0,R101,T101)</f>
        <v>0</v>
      </c>
      <c r="G101" s="103"/>
      <c r="I101" s="1303" cm="1">
        <f t="array" ref="I101">+IF(SUM(VALUE(N101:Q101)*$N$7:$Q$7)=0,S101,U101)</f>
        <v>8810449.4399999995</v>
      </c>
      <c r="J101" s="103">
        <f>+I101</f>
        <v>8810449.4399999995</v>
      </c>
      <c r="K101" s="717">
        <v>45991</v>
      </c>
      <c r="M101"/>
      <c r="N101" s="1300">
        <v>0</v>
      </c>
      <c r="O101" s="1300">
        <v>1</v>
      </c>
      <c r="P101" s="1300">
        <v>0</v>
      </c>
      <c r="Q101" s="1300">
        <v>0</v>
      </c>
      <c r="R101" s="1266">
        <v>0</v>
      </c>
      <c r="S101" s="1266">
        <v>8810449.4399999995</v>
      </c>
      <c r="T101" s="1266">
        <f>+IF($Q101=1,$G101,INDEX([1]Summary!$K$5:$K$110,MATCH($C101,[1]Summary!$D$5:$D202,0)))</f>
        <v>0</v>
      </c>
      <c r="U101" s="1266">
        <f>+IF($Q101=1,$J101,INDEX([1]Summary!$L$5:$L$110,MATCH($C101,[1]Summary!$D$5:$D202,0)))</f>
        <v>0</v>
      </c>
      <c r="V101" s="721"/>
      <c r="W101" s="721"/>
      <c r="X101" s="721"/>
      <c r="Y101" s="721"/>
      <c r="Z101" s="721"/>
      <c r="AA101" s="721"/>
      <c r="AB101" s="721"/>
      <c r="AC101" s="721"/>
      <c r="AD101" s="721"/>
      <c r="AE101" s="105"/>
      <c r="AI101" s="105"/>
      <c r="AJ101" s="105"/>
      <c r="AN101" s="105"/>
      <c r="AO101" s="105"/>
      <c r="AP101" s="105"/>
    </row>
    <row r="102" spans="1:42" outlineLevel="1">
      <c r="A102" s="545">
        <f>MAX($A$10:A101)+1</f>
        <v>93</v>
      </c>
      <c r="B102" s="716" t="s">
        <v>1799</v>
      </c>
      <c r="C102" s="716" t="s">
        <v>1932</v>
      </c>
      <c r="D102" s="716" t="s">
        <v>1933</v>
      </c>
      <c r="E102" s="559">
        <v>385</v>
      </c>
      <c r="F102" s="1302" cm="1">
        <f t="array" ref="F102">+IF(SUM(VALUE(N102:Q102)*$N$7:$Q$7)=0,R102,T102)</f>
        <v>63609</v>
      </c>
      <c r="G102" s="103">
        <f t="shared" ref="G102:G148" si="7">+F102</f>
        <v>63609</v>
      </c>
      <c r="H102" s="575">
        <v>45657</v>
      </c>
      <c r="I102" s="1303" cm="1">
        <f t="array" ref="I102">+IF(SUM(VALUE(N102:Q102)*$N$7:$Q$7)=0,S102,U102)</f>
        <v>63488.280000000021</v>
      </c>
      <c r="J102" s="103">
        <f>+I102</f>
        <v>63488.280000000021</v>
      </c>
      <c r="K102" s="575">
        <v>46022</v>
      </c>
      <c r="M102"/>
      <c r="N102" s="1300">
        <v>0</v>
      </c>
      <c r="O102" s="1300">
        <v>0</v>
      </c>
      <c r="P102" s="1300">
        <v>0</v>
      </c>
      <c r="Q102" s="1300">
        <v>1</v>
      </c>
      <c r="R102" s="1266">
        <v>63609</v>
      </c>
      <c r="S102" s="1266">
        <v>63488.280000000021</v>
      </c>
      <c r="T102" s="1266">
        <f>+IF($Q102=1,$G102,INDEX([1]Summary!$K$5:$K$110,MATCH($C102,[1]Summary!$D$5:$D203,0)))</f>
        <v>63609</v>
      </c>
      <c r="U102" s="1266">
        <f>+IF($Q102=1,$J102,INDEX([1]Summary!$L$5:$L$110,MATCH($C102,[1]Summary!$D$5:$D203,0)))</f>
        <v>63488.280000000021</v>
      </c>
      <c r="V102" s="721"/>
      <c r="W102" s="721"/>
      <c r="X102" s="721"/>
      <c r="Y102" s="721"/>
      <c r="Z102" s="721"/>
      <c r="AA102" s="721"/>
      <c r="AB102" s="721"/>
      <c r="AC102" s="721"/>
      <c r="AD102" s="721"/>
      <c r="AE102" s="105"/>
      <c r="AI102" s="105"/>
      <c r="AJ102" s="105"/>
      <c r="AN102" s="105"/>
      <c r="AO102" s="105"/>
      <c r="AP102" s="105"/>
    </row>
    <row r="103" spans="1:42" outlineLevel="1">
      <c r="A103" s="545">
        <f>MAX($A$10:A102)+1</f>
        <v>94</v>
      </c>
      <c r="B103" s="716" t="s">
        <v>1799</v>
      </c>
      <c r="C103" s="716" t="s">
        <v>1934</v>
      </c>
      <c r="D103" s="716" t="s">
        <v>1935</v>
      </c>
      <c r="E103" s="559">
        <v>385</v>
      </c>
      <c r="F103" s="1302" cm="1">
        <f t="array" ref="F103">+IF(SUM(VALUE(N103:Q103)*$N$7:$Q$7)=0,R103,T103)</f>
        <v>60676.625099999997</v>
      </c>
      <c r="G103" s="103">
        <f t="shared" si="7"/>
        <v>60676.625099999997</v>
      </c>
      <c r="H103" s="575">
        <v>45657</v>
      </c>
      <c r="I103" s="1303" cm="1">
        <f t="array" ref="I103">+IF(SUM(VALUE(N103:Q103)*$N$7:$Q$7)=0,S103,U103)</f>
        <v>60561.47029200002</v>
      </c>
      <c r="J103" s="103">
        <f>+I103</f>
        <v>60561.47029200002</v>
      </c>
      <c r="K103" s="575">
        <v>46022</v>
      </c>
      <c r="M103"/>
      <c r="N103" s="1300">
        <v>0</v>
      </c>
      <c r="O103" s="1300">
        <v>0</v>
      </c>
      <c r="P103" s="1300">
        <v>0</v>
      </c>
      <c r="Q103" s="1300">
        <v>1</v>
      </c>
      <c r="R103" s="1266">
        <v>60676.625099999997</v>
      </c>
      <c r="S103" s="1266">
        <v>60561.47029200002</v>
      </c>
      <c r="T103" s="1266">
        <f>+IF($Q103=1,$G103,INDEX([1]Summary!$K$5:$K$110,MATCH($C103,[1]Summary!$D$5:$D204,0)))</f>
        <v>60676.625099999997</v>
      </c>
      <c r="U103" s="1266">
        <f>+IF($Q103=1,$J103,INDEX([1]Summary!$L$5:$L$110,MATCH($C103,[1]Summary!$D$5:$D204,0)))</f>
        <v>60561.47029200002</v>
      </c>
      <c r="V103" s="721"/>
      <c r="W103" s="721"/>
      <c r="X103" s="721"/>
      <c r="Y103" s="721"/>
      <c r="Z103" s="721"/>
      <c r="AA103" s="721"/>
      <c r="AB103" s="721"/>
      <c r="AC103" s="721"/>
      <c r="AD103" s="721"/>
      <c r="AE103" s="105"/>
      <c r="AI103" s="105"/>
      <c r="AJ103" s="105"/>
      <c r="AN103" s="105"/>
      <c r="AO103" s="105"/>
      <c r="AP103" s="105"/>
    </row>
    <row r="104" spans="1:42" outlineLevel="1">
      <c r="A104" s="545">
        <f>MAX($A$10:A103)+1</f>
        <v>95</v>
      </c>
      <c r="B104" s="716" t="s">
        <v>1799</v>
      </c>
      <c r="C104" s="716" t="s">
        <v>1936</v>
      </c>
      <c r="D104" s="716" t="s">
        <v>1937</v>
      </c>
      <c r="E104" s="559">
        <v>376.2</v>
      </c>
      <c r="F104" s="1302" cm="1">
        <f t="array" ref="F104">+IF(SUM(VALUE(N104:Q104)*$N$7:$Q$7)=0,R104,T104)</f>
        <v>16645248.84</v>
      </c>
      <c r="G104" s="103">
        <f t="shared" si="7"/>
        <v>16645248.84</v>
      </c>
      <c r="H104" s="575">
        <v>45450</v>
      </c>
      <c r="I104" s="1303" cm="1">
        <f t="array" ref="I104">+IF(SUM(VALUE(N104:Q104)*$N$7:$Q$7)=0,S104,U104)</f>
        <v>0</v>
      </c>
      <c r="J104" s="103"/>
      <c r="K104" s="575"/>
      <c r="M104"/>
      <c r="N104" s="1300">
        <v>0</v>
      </c>
      <c r="O104" s="1300">
        <v>1</v>
      </c>
      <c r="P104" s="1300">
        <v>0</v>
      </c>
      <c r="Q104" s="1300">
        <v>0</v>
      </c>
      <c r="R104" s="1266">
        <v>16645248.84</v>
      </c>
      <c r="S104" s="1266">
        <v>0</v>
      </c>
      <c r="T104" s="1266">
        <f>+IF($Q104=1,$G104,INDEX([1]Summary!$K$5:$K$110,MATCH($C104,[1]Summary!$D$5:$D205,0)))</f>
        <v>16645248.84</v>
      </c>
      <c r="U104" s="1266">
        <f>+IF($Q104=1,$J104,INDEX([1]Summary!$L$5:$L$110,MATCH($C104,[1]Summary!$D$5:$D205,0)))</f>
        <v>0</v>
      </c>
      <c r="V104" s="721"/>
      <c r="W104" s="721"/>
      <c r="X104" s="721"/>
      <c r="Y104" s="721"/>
      <c r="Z104" s="721"/>
      <c r="AA104" s="721"/>
      <c r="AB104" s="721"/>
      <c r="AC104" s="721"/>
      <c r="AD104" s="721"/>
      <c r="AE104" s="105"/>
      <c r="AI104" s="105"/>
      <c r="AJ104" s="105"/>
      <c r="AN104" s="105"/>
      <c r="AO104" s="105"/>
      <c r="AP104" s="105"/>
    </row>
    <row r="105" spans="1:42" outlineLevel="1">
      <c r="A105" s="545">
        <f>MAX($A$10:A104)+1</f>
        <v>96</v>
      </c>
      <c r="B105" s="716" t="s">
        <v>1799</v>
      </c>
      <c r="C105" s="716" t="s">
        <v>1938</v>
      </c>
      <c r="D105" s="716" t="s">
        <v>1939</v>
      </c>
      <c r="E105" s="559">
        <v>376.2</v>
      </c>
      <c r="F105" s="1302" cm="1">
        <f t="array" ref="F105">+IF(SUM(VALUE(N105:Q105)*$N$7:$Q$7)=0,R105,T105)</f>
        <v>1111422.1399999999</v>
      </c>
      <c r="G105" s="103">
        <f t="shared" si="7"/>
        <v>1111422.1399999999</v>
      </c>
      <c r="H105" s="575">
        <v>45303</v>
      </c>
      <c r="I105" s="1303" cm="1">
        <f t="array" ref="I105">+IF(SUM(VALUE(N105:Q105)*$N$7:$Q$7)=0,S105,U105)</f>
        <v>0</v>
      </c>
      <c r="J105" s="103"/>
      <c r="K105" s="575"/>
      <c r="M105"/>
      <c r="N105" s="1300">
        <v>0</v>
      </c>
      <c r="O105" s="1300">
        <v>1</v>
      </c>
      <c r="P105" s="1300">
        <v>0</v>
      </c>
      <c r="Q105" s="1300">
        <v>0</v>
      </c>
      <c r="R105" s="1266">
        <v>1111422.1399999999</v>
      </c>
      <c r="S105" s="1266">
        <v>0</v>
      </c>
      <c r="T105" s="1266">
        <f>+IF($Q105=1,$G105,INDEX([1]Summary!$K$5:$K$110,MATCH($C105,[1]Summary!$D$5:$D206,0)))</f>
        <v>1111422.1399999999</v>
      </c>
      <c r="U105" s="1266">
        <f>+IF($Q105=1,$J105,INDEX([1]Summary!$L$5:$L$110,MATCH($C105,[1]Summary!$D$5:$D206,0)))</f>
        <v>0</v>
      </c>
      <c r="V105" s="721"/>
      <c r="W105" s="721"/>
      <c r="X105" s="721"/>
      <c r="Y105" s="721"/>
      <c r="Z105" s="721"/>
      <c r="AA105" s="721"/>
      <c r="AB105" s="721"/>
      <c r="AC105" s="721"/>
      <c r="AD105" s="721"/>
      <c r="AE105" s="105"/>
      <c r="AI105" s="105"/>
      <c r="AJ105" s="105"/>
      <c r="AN105" s="105"/>
      <c r="AO105" s="105"/>
      <c r="AP105" s="105"/>
    </row>
    <row r="106" spans="1:42" outlineLevel="1">
      <c r="A106" s="545">
        <f>MAX($A$10:A105)+1</f>
        <v>97</v>
      </c>
      <c r="B106" s="716" t="s">
        <v>1799</v>
      </c>
      <c r="C106" s="720" t="s">
        <v>1940</v>
      </c>
      <c r="D106" s="720" t="s">
        <v>1941</v>
      </c>
      <c r="E106" s="559">
        <v>376.2</v>
      </c>
      <c r="F106" s="1302" cm="1">
        <f t="array" ref="F106">+IF(SUM(VALUE(N106:Q106)*$N$7:$Q$7)=0,R106,T106)</f>
        <v>0</v>
      </c>
      <c r="G106" s="103">
        <f t="shared" si="7"/>
        <v>0</v>
      </c>
      <c r="I106" s="1303" cm="1">
        <f t="array" ref="I106">+IF(SUM(VALUE(N106:Q106)*$N$7:$Q$7)=0,S106,U106)</f>
        <v>5365866.16</v>
      </c>
      <c r="J106" s="103">
        <f>+I106</f>
        <v>5365866.16</v>
      </c>
      <c r="K106" s="717">
        <v>45960</v>
      </c>
      <c r="M106"/>
      <c r="N106" s="1300">
        <v>0</v>
      </c>
      <c r="O106" s="1300">
        <v>1</v>
      </c>
      <c r="P106" s="1300">
        <v>0</v>
      </c>
      <c r="Q106" s="1300">
        <v>0</v>
      </c>
      <c r="R106" s="1266">
        <v>0</v>
      </c>
      <c r="S106" s="1266">
        <v>5365866.16</v>
      </c>
      <c r="T106" s="1266">
        <f>+IF($Q106=1,$G106,INDEX([1]Summary!$K$5:$K$110,MATCH($C106,[1]Summary!$D$5:$D207,0)))</f>
        <v>0</v>
      </c>
      <c r="U106" s="1266">
        <f>+IF($Q106=1,$J106,INDEX([1]Summary!$L$5:$L$110,MATCH($C106,[1]Summary!$D$5:$D207,0)))</f>
        <v>0</v>
      </c>
      <c r="V106" s="721"/>
      <c r="W106" s="721"/>
      <c r="X106" s="721"/>
      <c r="Y106" s="721"/>
      <c r="Z106" s="721"/>
      <c r="AA106" s="721"/>
      <c r="AB106" s="721"/>
      <c r="AC106" s="721"/>
      <c r="AD106" s="721"/>
      <c r="AE106" s="105"/>
      <c r="AI106" s="105"/>
      <c r="AJ106" s="105"/>
      <c r="AN106" s="105"/>
      <c r="AO106" s="105"/>
      <c r="AP106" s="105"/>
    </row>
    <row r="107" spans="1:42" outlineLevel="1">
      <c r="A107" s="545">
        <f>MAX($A$10:A106)+1</f>
        <v>98</v>
      </c>
      <c r="B107" s="716" t="s">
        <v>1799</v>
      </c>
      <c r="C107" s="720" t="s">
        <v>1942</v>
      </c>
      <c r="D107" s="720" t="s">
        <v>1943</v>
      </c>
      <c r="E107" s="559">
        <v>376.1</v>
      </c>
      <c r="F107" s="1302" cm="1">
        <f t="array" ref="F107">+IF(SUM(VALUE(N107:Q107)*$N$7:$Q$7)=0,R107,T107)</f>
        <v>166245.634766</v>
      </c>
      <c r="G107" s="103">
        <f t="shared" si="7"/>
        <v>166245.634766</v>
      </c>
      <c r="H107" s="721">
        <v>45381</v>
      </c>
      <c r="I107" s="1303" cm="1">
        <f t="array" ref="I107">+IF(SUM(VALUE(N107:Q107)*$N$7:$Q$7)=0,S107,U107)</f>
        <v>0</v>
      </c>
      <c r="J107" s="103"/>
      <c r="K107" s="717"/>
      <c r="M107"/>
      <c r="N107" s="1300">
        <v>0</v>
      </c>
      <c r="O107" s="1300">
        <v>0</v>
      </c>
      <c r="P107" s="1300">
        <v>0</v>
      </c>
      <c r="Q107" s="1300">
        <v>1</v>
      </c>
      <c r="R107" s="1266">
        <v>166245.634766</v>
      </c>
      <c r="S107" s="1266">
        <v>0</v>
      </c>
      <c r="T107" s="1266">
        <f>+IF($Q107=1,$G107,INDEX([1]Summary!$K$5:$K$110,MATCH($C107,[1]Summary!$D$5:$D208,0)))</f>
        <v>166245.634766</v>
      </c>
      <c r="U107" s="1266">
        <f>+IF($Q107=1,$J107,INDEX([1]Summary!$L$5:$L$110,MATCH($C107,[1]Summary!$D$5:$D208,0)))</f>
        <v>0</v>
      </c>
      <c r="V107" s="721"/>
      <c r="W107" s="721"/>
      <c r="X107" s="721"/>
      <c r="Y107" s="721"/>
      <c r="Z107" s="721"/>
      <c r="AA107" s="721"/>
      <c r="AB107" s="721"/>
      <c r="AC107" s="721"/>
      <c r="AD107" s="721"/>
      <c r="AE107" s="105"/>
      <c r="AI107" s="105"/>
      <c r="AJ107" s="105"/>
      <c r="AN107" s="105"/>
      <c r="AO107" s="105"/>
      <c r="AP107" s="105"/>
    </row>
    <row r="108" spans="1:42" outlineLevel="1">
      <c r="A108" s="545">
        <f>MAX($A$10:A107)+1</f>
        <v>99</v>
      </c>
      <c r="B108" s="716" t="s">
        <v>1799</v>
      </c>
      <c r="C108" s="720" t="s">
        <v>1944</v>
      </c>
      <c r="D108" s="720" t="s">
        <v>1945</v>
      </c>
      <c r="E108" s="559">
        <v>376.3</v>
      </c>
      <c r="F108" s="1302" cm="1">
        <f t="array" ref="F108">+IF(SUM(VALUE(N108:Q108)*$N$7:$Q$7)=0,R108,T108)</f>
        <v>31306.04</v>
      </c>
      <c r="G108" s="103">
        <f t="shared" si="7"/>
        <v>31306.04</v>
      </c>
      <c r="H108" s="721">
        <v>45397</v>
      </c>
      <c r="I108" s="1303" cm="1">
        <f t="array" ref="I108">+IF(SUM(VALUE(N108:Q108)*$N$7:$Q$7)=0,S108,U108)</f>
        <v>0</v>
      </c>
      <c r="J108" s="103"/>
      <c r="K108" s="717"/>
      <c r="M108"/>
      <c r="N108" s="1300">
        <v>0</v>
      </c>
      <c r="O108" s="1300">
        <v>0</v>
      </c>
      <c r="P108" s="1300">
        <v>0</v>
      </c>
      <c r="Q108" s="1300">
        <v>1</v>
      </c>
      <c r="R108" s="1266">
        <v>31306.04</v>
      </c>
      <c r="S108" s="1266">
        <v>0</v>
      </c>
      <c r="T108" s="1266">
        <f>+IF($Q108=1,$G108,INDEX([1]Summary!$K$5:$K$110,MATCH($C108,[1]Summary!$D$5:$D209,0)))</f>
        <v>31306.04</v>
      </c>
      <c r="U108" s="1266">
        <f>+IF($Q108=1,$J108,INDEX([1]Summary!$L$5:$L$110,MATCH($C108,[1]Summary!$D$5:$D209,0)))</f>
        <v>0</v>
      </c>
      <c r="V108" s="721"/>
      <c r="W108" s="721"/>
      <c r="X108" s="721"/>
      <c r="Y108" s="721"/>
      <c r="Z108" s="721"/>
      <c r="AA108" s="721"/>
      <c r="AB108" s="721"/>
      <c r="AC108" s="721"/>
      <c r="AD108" s="721"/>
      <c r="AE108" s="105"/>
      <c r="AI108" s="105"/>
      <c r="AJ108" s="105"/>
      <c r="AN108" s="105"/>
      <c r="AO108" s="105"/>
      <c r="AP108" s="105"/>
    </row>
    <row r="109" spans="1:42" outlineLevel="1">
      <c r="A109" s="545">
        <f>MAX($A$10:A108)+1</f>
        <v>100</v>
      </c>
      <c r="B109" s="716" t="s">
        <v>1799</v>
      </c>
      <c r="C109" s="716" t="s">
        <v>1946</v>
      </c>
      <c r="D109" s="716" t="s">
        <v>1947</v>
      </c>
      <c r="E109" s="559">
        <v>376.2</v>
      </c>
      <c r="F109" s="1302" cm="1">
        <f t="array" ref="F109">+IF(SUM(VALUE(N109:Q109)*$N$7:$Q$7)=0,R109,T109)</f>
        <v>3973423.27</v>
      </c>
      <c r="G109" s="103">
        <f t="shared" si="7"/>
        <v>3973423.27</v>
      </c>
      <c r="H109" s="717">
        <v>45565</v>
      </c>
      <c r="I109" s="1303" cm="1">
        <f t="array" ref="I109">+IF(SUM(VALUE(N109:Q109)*$N$7:$Q$7)=0,S109,U109)</f>
        <v>0</v>
      </c>
      <c r="J109" s="103">
        <f>+I109</f>
        <v>0</v>
      </c>
      <c r="K109" s="103"/>
      <c r="M109"/>
      <c r="N109" s="1300">
        <v>0</v>
      </c>
      <c r="O109" s="1300">
        <v>1</v>
      </c>
      <c r="P109" s="1300">
        <v>0</v>
      </c>
      <c r="Q109" s="1300">
        <v>0</v>
      </c>
      <c r="R109" s="1266">
        <v>3973423.27</v>
      </c>
      <c r="S109" s="1266">
        <v>0</v>
      </c>
      <c r="T109" s="1266">
        <f>+IF($Q109=1,$G109,INDEX([1]Summary!$K$5:$K$110,MATCH($C109,[1]Summary!$D$5:$D210,0)))</f>
        <v>0</v>
      </c>
      <c r="U109" s="1266">
        <f>+IF($Q109=1,$J109,INDEX([1]Summary!$L$5:$L$110,MATCH($C109,[1]Summary!$D$5:$D210,0)))</f>
        <v>0</v>
      </c>
      <c r="V109" s="721"/>
      <c r="W109" s="721"/>
      <c r="X109" s="721"/>
      <c r="Y109" s="721"/>
      <c r="Z109" s="721"/>
      <c r="AA109" s="721"/>
      <c r="AB109" s="721"/>
      <c r="AC109" s="721"/>
      <c r="AD109" s="721"/>
      <c r="AE109" s="105"/>
      <c r="AI109" s="105"/>
      <c r="AJ109" s="105"/>
      <c r="AN109" s="105"/>
      <c r="AO109" s="105"/>
      <c r="AP109" s="105"/>
    </row>
    <row r="110" spans="1:42" outlineLevel="1">
      <c r="A110" s="545">
        <f>MAX($A$10:A109)+1</f>
        <v>101</v>
      </c>
      <c r="B110" s="716" t="s">
        <v>1799</v>
      </c>
      <c r="C110" s="716" t="s">
        <v>1948</v>
      </c>
      <c r="D110" s="716" t="s">
        <v>1949</v>
      </c>
      <c r="E110" s="559">
        <v>376.3</v>
      </c>
      <c r="F110" s="1302" cm="1">
        <f t="array" ref="F110">+IF(SUM(VALUE(N110:Q110)*$N$7:$Q$7)=0,R110,T110)</f>
        <v>20447.11</v>
      </c>
      <c r="G110" s="103">
        <f t="shared" si="7"/>
        <v>20447.11</v>
      </c>
      <c r="H110" s="717">
        <v>38001</v>
      </c>
      <c r="I110" s="1303" cm="1">
        <f t="array" ref="I110">+IF(SUM(VALUE(N110:Q110)*$N$7:$Q$7)=0,S110,U110)</f>
        <v>0</v>
      </c>
      <c r="J110" s="103"/>
      <c r="K110" s="103"/>
      <c r="M110"/>
      <c r="N110" s="1300">
        <v>0</v>
      </c>
      <c r="O110" s="1300">
        <v>0</v>
      </c>
      <c r="P110" s="1300">
        <v>0</v>
      </c>
      <c r="Q110" s="1300">
        <v>1</v>
      </c>
      <c r="R110" s="1266">
        <v>20447.11</v>
      </c>
      <c r="S110" s="1266">
        <v>0</v>
      </c>
      <c r="T110" s="1266">
        <f>+IF($Q110=1,$G110,INDEX([1]Summary!$K$5:$K$110,MATCH($C110,[1]Summary!$D$5:$D211,0)))</f>
        <v>20447.11</v>
      </c>
      <c r="U110" s="1266">
        <f>+IF($Q110=1,$J110,INDEX([1]Summary!$L$5:$L$110,MATCH($C110,[1]Summary!$D$5:$D211,0)))</f>
        <v>0</v>
      </c>
      <c r="V110" s="721"/>
      <c r="W110" s="721"/>
      <c r="X110" s="721"/>
      <c r="Y110" s="721"/>
      <c r="Z110" s="721"/>
      <c r="AA110" s="721"/>
      <c r="AB110" s="721"/>
      <c r="AC110" s="721"/>
      <c r="AD110" s="721"/>
      <c r="AE110" s="105"/>
      <c r="AI110" s="105"/>
      <c r="AJ110" s="105"/>
      <c r="AN110" s="105"/>
      <c r="AO110" s="105"/>
      <c r="AP110" s="105"/>
    </row>
    <row r="111" spans="1:42" outlineLevel="1">
      <c r="A111" s="545">
        <f>MAX($A$10:A110)+1</f>
        <v>102</v>
      </c>
      <c r="B111" s="716" t="s">
        <v>1799</v>
      </c>
      <c r="C111" s="716" t="s">
        <v>1950</v>
      </c>
      <c r="D111" s="716" t="s">
        <v>1951</v>
      </c>
      <c r="E111" s="559">
        <v>376.2</v>
      </c>
      <c r="F111" s="1302" cm="1">
        <f t="array" ref="F111">+IF(SUM(VALUE(N111:Q111)*$N$7:$Q$7)=0,R111,T111)</f>
        <v>340437.40915599995</v>
      </c>
      <c r="G111" s="103">
        <f t="shared" si="7"/>
        <v>340437.40915599995</v>
      </c>
      <c r="H111" s="717">
        <v>45595</v>
      </c>
      <c r="I111" s="1303" cm="1">
        <f t="array" ref="I111">+IF(SUM(VALUE(N111:Q111)*$N$7:$Q$7)=0,S111,U111)</f>
        <v>0</v>
      </c>
      <c r="J111" s="103">
        <f>+I111</f>
        <v>0</v>
      </c>
      <c r="K111" s="103"/>
      <c r="M111"/>
      <c r="N111" s="1300">
        <v>0</v>
      </c>
      <c r="O111" s="1300">
        <v>0</v>
      </c>
      <c r="P111" s="1300">
        <v>0</v>
      </c>
      <c r="Q111" s="1300">
        <v>1</v>
      </c>
      <c r="R111" s="1266">
        <v>340437.40915599995</v>
      </c>
      <c r="S111" s="1266">
        <v>0</v>
      </c>
      <c r="T111" s="1266">
        <f>+IF($Q111=1,$G111,INDEX([1]Summary!$K$5:$K$110,MATCH($C111,[1]Summary!$D$5:$D212,0)))</f>
        <v>340437.40915599995</v>
      </c>
      <c r="U111" s="1266">
        <f>+IF($Q111=1,$J111,INDEX([1]Summary!$L$5:$L$110,MATCH($C111,[1]Summary!$D$5:$D212,0)))</f>
        <v>0</v>
      </c>
      <c r="V111" s="721"/>
      <c r="W111" s="721"/>
      <c r="X111" s="721"/>
      <c r="Y111" s="721"/>
      <c r="Z111" s="721"/>
      <c r="AA111" s="721"/>
      <c r="AB111" s="721"/>
      <c r="AC111" s="721"/>
      <c r="AD111" s="721"/>
      <c r="AE111" s="105"/>
      <c r="AI111" s="105"/>
      <c r="AJ111" s="105"/>
      <c r="AN111" s="105"/>
      <c r="AO111" s="105"/>
      <c r="AP111" s="105"/>
    </row>
    <row r="112" spans="1:42" outlineLevel="1">
      <c r="A112" s="545">
        <f>MAX($A$10:A111)+1</f>
        <v>103</v>
      </c>
      <c r="B112" s="716" t="s">
        <v>1799</v>
      </c>
      <c r="C112" s="716" t="s">
        <v>1952</v>
      </c>
      <c r="D112" s="716" t="s">
        <v>1953</v>
      </c>
      <c r="E112" s="559">
        <v>376.3</v>
      </c>
      <c r="F112" s="1302" cm="1">
        <f t="array" ref="F112">+IF(SUM(VALUE(N112:Q112)*$N$7:$Q$7)=0,R112,T112)</f>
        <v>377277.10000000003</v>
      </c>
      <c r="G112" s="103">
        <f t="shared" si="7"/>
        <v>377277.10000000003</v>
      </c>
      <c r="H112" s="717">
        <v>45536</v>
      </c>
      <c r="I112" s="1303" cm="1">
        <f t="array" ref="I112">+IF(SUM(VALUE(N112:Q112)*$N$7:$Q$7)=0,S112,U112)</f>
        <v>0</v>
      </c>
      <c r="J112" s="103">
        <f>+I112</f>
        <v>0</v>
      </c>
      <c r="K112" s="103"/>
      <c r="M112"/>
      <c r="N112" s="1300">
        <v>0</v>
      </c>
      <c r="O112" s="1300">
        <v>0</v>
      </c>
      <c r="P112" s="1300">
        <v>0</v>
      </c>
      <c r="Q112" s="1300">
        <v>1</v>
      </c>
      <c r="R112" s="1266">
        <v>377277.10000000003</v>
      </c>
      <c r="S112" s="1266">
        <v>0</v>
      </c>
      <c r="T112" s="1266">
        <f>+IF($Q112=1,$G112,INDEX([1]Summary!$K$5:$K$110,MATCH($C112,[1]Summary!$D$5:$D213,0)))</f>
        <v>377277.10000000003</v>
      </c>
      <c r="U112" s="1266">
        <f>+IF($Q112=1,$J112,INDEX([1]Summary!$L$5:$L$110,MATCH($C112,[1]Summary!$D$5:$D213,0)))</f>
        <v>0</v>
      </c>
      <c r="V112" s="721"/>
      <c r="W112" s="721"/>
      <c r="X112" s="721"/>
      <c r="Y112" s="721"/>
      <c r="Z112" s="721"/>
      <c r="AA112" s="721"/>
      <c r="AB112" s="721"/>
      <c r="AC112" s="721"/>
      <c r="AD112" s="721"/>
      <c r="AE112" s="105"/>
      <c r="AI112" s="105"/>
      <c r="AJ112" s="105"/>
      <c r="AN112" s="105"/>
      <c r="AO112" s="105"/>
      <c r="AP112" s="105"/>
    </row>
    <row r="113" spans="1:42" outlineLevel="1">
      <c r="A113" s="545">
        <f>MAX($A$10:A112)+1</f>
        <v>104</v>
      </c>
      <c r="B113" s="716" t="s">
        <v>1799</v>
      </c>
      <c r="C113" s="716" t="s">
        <v>1954</v>
      </c>
      <c r="D113" s="716" t="s">
        <v>1955</v>
      </c>
      <c r="E113" s="559">
        <v>378</v>
      </c>
      <c r="F113" s="1302" cm="1">
        <f t="array" ref="F113">+IF(SUM(VALUE(N113:Q113)*$N$7:$Q$7)=0,R113,T113)</f>
        <v>103522.560301</v>
      </c>
      <c r="G113" s="103">
        <f t="shared" si="7"/>
        <v>103522.560301</v>
      </c>
      <c r="H113" s="717">
        <v>45412</v>
      </c>
      <c r="I113" s="1303" cm="1">
        <f t="array" ref="I113">+IF(SUM(VALUE(N113:Q113)*$N$7:$Q$7)=0,S113,U113)</f>
        <v>0</v>
      </c>
      <c r="J113" s="103">
        <f>+I113</f>
        <v>0</v>
      </c>
      <c r="K113" s="103"/>
      <c r="M113"/>
      <c r="N113" s="1300">
        <v>0</v>
      </c>
      <c r="O113" s="1300">
        <v>0</v>
      </c>
      <c r="P113" s="1300">
        <v>0</v>
      </c>
      <c r="Q113" s="1300">
        <v>1</v>
      </c>
      <c r="R113" s="1266">
        <v>103522.560301</v>
      </c>
      <c r="S113" s="1266">
        <v>0</v>
      </c>
      <c r="T113" s="1266">
        <f>+IF($Q113=1,$G113,INDEX([1]Summary!$K$5:$K$110,MATCH($C113,[1]Summary!$D$5:$D214,0)))</f>
        <v>103522.560301</v>
      </c>
      <c r="U113" s="1266">
        <f>+IF($Q113=1,$J113,INDEX([1]Summary!$L$5:$L$110,MATCH($C113,[1]Summary!$D$5:$D214,0)))</f>
        <v>0</v>
      </c>
      <c r="V113" s="721"/>
      <c r="W113" s="721"/>
      <c r="X113" s="721"/>
      <c r="Y113" s="721"/>
      <c r="Z113" s="721"/>
      <c r="AA113" s="721"/>
      <c r="AB113" s="721"/>
      <c r="AC113" s="721"/>
      <c r="AD113" s="721"/>
      <c r="AE113" s="105"/>
      <c r="AI113" s="105"/>
      <c r="AJ113" s="105"/>
      <c r="AN113" s="105"/>
      <c r="AO113" s="105"/>
      <c r="AP113" s="105"/>
    </row>
    <row r="114" spans="1:42" outlineLevel="1">
      <c r="A114" s="545">
        <f>MAX($A$10:A113)+1</f>
        <v>105</v>
      </c>
      <c r="B114" s="716" t="s">
        <v>1799</v>
      </c>
      <c r="C114" s="716" t="s">
        <v>1956</v>
      </c>
      <c r="D114" s="716" t="s">
        <v>1957</v>
      </c>
      <c r="E114" s="559">
        <v>378</v>
      </c>
      <c r="F114" s="1302" cm="1">
        <f t="array" ref="F114">+IF(SUM(VALUE(N114:Q114)*$N$7:$Q$7)=0,R114,T114)</f>
        <v>200464.85</v>
      </c>
      <c r="G114" s="103">
        <f t="shared" si="7"/>
        <v>200464.85</v>
      </c>
      <c r="H114" s="717">
        <v>45412</v>
      </c>
      <c r="I114" s="1303" cm="1">
        <f t="array" ref="I114">+IF(SUM(VALUE(N114:Q114)*$N$7:$Q$7)=0,S114,U114)</f>
        <v>0</v>
      </c>
      <c r="J114" s="103">
        <f>+I114</f>
        <v>0</v>
      </c>
      <c r="K114" s="103"/>
      <c r="M114"/>
      <c r="N114" s="1300">
        <v>0</v>
      </c>
      <c r="O114" s="1300">
        <v>0</v>
      </c>
      <c r="P114" s="1300">
        <v>0</v>
      </c>
      <c r="Q114" s="1300">
        <v>1</v>
      </c>
      <c r="R114" s="1266">
        <v>200464.85</v>
      </c>
      <c r="S114" s="1266">
        <v>0</v>
      </c>
      <c r="T114" s="1266">
        <f>+IF($Q114=1,$G114,INDEX([1]Summary!$K$5:$K$110,MATCH($C114,[1]Summary!$D$5:$D215,0)))</f>
        <v>200464.85</v>
      </c>
      <c r="U114" s="1266">
        <f>+IF($Q114=1,$J114,INDEX([1]Summary!$L$5:$L$110,MATCH($C114,[1]Summary!$D$5:$D215,0)))</f>
        <v>0</v>
      </c>
      <c r="V114" s="721"/>
      <c r="W114" s="721"/>
      <c r="X114" s="721"/>
      <c r="Y114" s="721"/>
      <c r="Z114" s="721"/>
      <c r="AA114" s="721"/>
      <c r="AB114" s="721"/>
      <c r="AC114" s="721"/>
      <c r="AD114" s="721"/>
      <c r="AE114" s="105"/>
      <c r="AI114" s="105"/>
      <c r="AJ114" s="105"/>
      <c r="AN114" s="105"/>
      <c r="AO114" s="105"/>
      <c r="AP114" s="105"/>
    </row>
    <row r="115" spans="1:42" outlineLevel="1">
      <c r="A115" s="545">
        <f>MAX($A$10:A114)+1</f>
        <v>106</v>
      </c>
      <c r="B115" s="716" t="s">
        <v>1799</v>
      </c>
      <c r="C115" s="720" t="s">
        <v>1958</v>
      </c>
      <c r="D115" s="720" t="s">
        <v>1959</v>
      </c>
      <c r="E115" s="559">
        <v>376.2</v>
      </c>
      <c r="F115" s="1302" cm="1">
        <f t="array" ref="F115">+IF(SUM(VALUE(N115:Q115)*$N$7:$Q$7)=0,R115,T115)</f>
        <v>0</v>
      </c>
      <c r="G115" s="103">
        <f t="shared" si="7"/>
        <v>0</v>
      </c>
      <c r="I115" s="1303" cm="1">
        <f t="array" ref="I115">+IF(SUM(VALUE(N115:Q115)*$N$7:$Q$7)=0,S115,U115)</f>
        <v>5604681.3499999996</v>
      </c>
      <c r="J115" s="103">
        <f>+I115</f>
        <v>5604681.3499999996</v>
      </c>
      <c r="K115" s="717">
        <v>45992</v>
      </c>
      <c r="M115"/>
      <c r="N115" s="1300">
        <v>0</v>
      </c>
      <c r="O115" s="1300">
        <v>1</v>
      </c>
      <c r="P115" s="1300">
        <v>0</v>
      </c>
      <c r="Q115" s="1300">
        <v>0</v>
      </c>
      <c r="R115" s="1266">
        <v>0</v>
      </c>
      <c r="S115" s="1266">
        <v>5604681.3499999996</v>
      </c>
      <c r="T115" s="1266">
        <f>+IF($Q115=1,$G115,INDEX([1]Summary!$K$5:$K$110,MATCH($C115,[1]Summary!$D$5:$D216,0)))</f>
        <v>0</v>
      </c>
      <c r="U115" s="1266">
        <f>+IF($Q115=1,$J115,INDEX([1]Summary!$L$5:$L$110,MATCH($C115,[1]Summary!$D$5:$D216,0)))</f>
        <v>0</v>
      </c>
      <c r="V115" s="721"/>
      <c r="W115" s="721"/>
      <c r="X115" s="721"/>
      <c r="Y115" s="721"/>
      <c r="Z115" s="721"/>
      <c r="AA115" s="721"/>
      <c r="AB115" s="721"/>
      <c r="AC115" s="721"/>
      <c r="AD115" s="721"/>
      <c r="AE115" s="105"/>
      <c r="AI115" s="105"/>
      <c r="AJ115" s="105"/>
      <c r="AN115" s="105"/>
      <c r="AO115" s="105"/>
      <c r="AP115" s="105"/>
    </row>
    <row r="116" spans="1:42" outlineLevel="1">
      <c r="A116" s="545">
        <f>MAX($A$10:A115)+1</f>
        <v>107</v>
      </c>
      <c r="B116" s="716" t="s">
        <v>1799</v>
      </c>
      <c r="C116" s="720" t="s">
        <v>1960</v>
      </c>
      <c r="D116" s="720" t="s">
        <v>1961</v>
      </c>
      <c r="E116" s="559">
        <v>376.2</v>
      </c>
      <c r="F116" s="1302" cm="1">
        <f t="array" ref="F116">+IF(SUM(VALUE(N116:Q116)*$N$7:$Q$7)=0,R116,T116)</f>
        <v>212141.98</v>
      </c>
      <c r="G116" s="103">
        <f t="shared" si="7"/>
        <v>212141.98</v>
      </c>
      <c r="H116" s="721">
        <v>45534</v>
      </c>
      <c r="I116" s="1303" cm="1">
        <f t="array" ref="I116">+IF(SUM(VALUE(N116:Q116)*$N$7:$Q$7)=0,S116,U116)</f>
        <v>0</v>
      </c>
      <c r="J116" s="103"/>
      <c r="K116" s="717"/>
      <c r="M116"/>
      <c r="N116" s="1300">
        <v>0</v>
      </c>
      <c r="O116" s="1300">
        <v>0</v>
      </c>
      <c r="P116" s="1300">
        <v>0</v>
      </c>
      <c r="Q116" s="1300">
        <v>1</v>
      </c>
      <c r="R116" s="1266">
        <v>212141.98</v>
      </c>
      <c r="S116" s="1266">
        <v>0</v>
      </c>
      <c r="T116" s="1266">
        <f>+IF($Q116=1,$G116,INDEX([1]Summary!$K$5:$K$110,MATCH($C116,[1]Summary!$D$5:$D217,0)))</f>
        <v>212141.98</v>
      </c>
      <c r="U116" s="1266">
        <f>+IF($Q116=1,$J116,INDEX([1]Summary!$L$5:$L$110,MATCH($C116,[1]Summary!$D$5:$D217,0)))</f>
        <v>0</v>
      </c>
      <c r="V116" s="721"/>
      <c r="W116" s="721"/>
      <c r="X116" s="721"/>
      <c r="Y116" s="721"/>
      <c r="Z116" s="721"/>
      <c r="AA116" s="721"/>
      <c r="AB116" s="721"/>
      <c r="AC116" s="721"/>
      <c r="AD116" s="721"/>
      <c r="AE116" s="105"/>
      <c r="AI116" s="105"/>
      <c r="AJ116" s="105"/>
      <c r="AN116" s="105"/>
      <c r="AO116" s="105"/>
      <c r="AP116" s="105"/>
    </row>
    <row r="117" spans="1:42" outlineLevel="1">
      <c r="A117" s="545">
        <f>MAX($A$10:A116)+1</f>
        <v>108</v>
      </c>
      <c r="B117" s="716" t="s">
        <v>1799</v>
      </c>
      <c r="C117" s="720" t="s">
        <v>1962</v>
      </c>
      <c r="D117" s="720" t="s">
        <v>1963</v>
      </c>
      <c r="E117" s="559">
        <v>376.2</v>
      </c>
      <c r="F117" s="1302" cm="1">
        <f t="array" ref="F117">+IF(SUM(VALUE(N117:Q117)*$N$7:$Q$7)=0,R117,T117)</f>
        <v>0</v>
      </c>
      <c r="G117" s="103">
        <f t="shared" si="7"/>
        <v>0</v>
      </c>
      <c r="I117" s="1303" cm="1">
        <f t="array" ref="I117">+IF(SUM(VALUE(N117:Q117)*$N$7:$Q$7)=0,S117,U117)</f>
        <v>1220755.99</v>
      </c>
      <c r="J117" s="103">
        <f>+I117</f>
        <v>1220755.99</v>
      </c>
      <c r="K117" s="717">
        <v>46022</v>
      </c>
      <c r="M117"/>
      <c r="N117" s="1300">
        <v>0</v>
      </c>
      <c r="O117" s="1300">
        <v>1</v>
      </c>
      <c r="P117" s="1300">
        <v>0</v>
      </c>
      <c r="Q117" s="1300">
        <v>0</v>
      </c>
      <c r="R117" s="1266">
        <v>0</v>
      </c>
      <c r="S117" s="1266">
        <v>1220755.99</v>
      </c>
      <c r="T117" s="1266">
        <f>+IF($Q117=1,$G117,INDEX([1]Summary!$K$5:$K$110,MATCH($C117,[1]Summary!$D$5:$D218,0)))</f>
        <v>0</v>
      </c>
      <c r="U117" s="1266">
        <f>+IF($Q117=1,$J117,INDEX([1]Summary!$L$5:$L$110,MATCH($C117,[1]Summary!$D$5:$D218,0)))</f>
        <v>1220755.99</v>
      </c>
      <c r="V117" s="721"/>
      <c r="W117" s="721"/>
      <c r="X117" s="721"/>
      <c r="Y117" s="721"/>
      <c r="Z117" s="721"/>
      <c r="AA117" s="721"/>
      <c r="AB117" s="721"/>
      <c r="AC117" s="721"/>
      <c r="AD117" s="721"/>
      <c r="AE117" s="105"/>
      <c r="AI117" s="105"/>
      <c r="AJ117" s="105"/>
      <c r="AN117" s="105"/>
      <c r="AO117" s="105"/>
      <c r="AP117" s="105"/>
    </row>
    <row r="118" spans="1:42" outlineLevel="1">
      <c r="A118" s="545">
        <f>MAX($A$10:A117)+1</f>
        <v>109</v>
      </c>
      <c r="B118" s="716" t="s">
        <v>1799</v>
      </c>
      <c r="C118" s="720" t="s">
        <v>1964</v>
      </c>
      <c r="D118" s="720" t="s">
        <v>1965</v>
      </c>
      <c r="E118" s="559">
        <v>378</v>
      </c>
      <c r="F118" s="1302" cm="1">
        <f t="array" ref="F118">+IF(SUM(VALUE(N118:Q118)*$N$7:$Q$7)=0,R118,T118)</f>
        <v>0</v>
      </c>
      <c r="G118" s="103">
        <f t="shared" si="7"/>
        <v>0</v>
      </c>
      <c r="I118" s="1303" cm="1">
        <f t="array" ref="I118">+IF(SUM(VALUE(N118:Q118)*$N$7:$Q$7)=0,S118,U118)</f>
        <v>249531.79</v>
      </c>
      <c r="J118" s="103">
        <f>+I118</f>
        <v>249531.79</v>
      </c>
      <c r="K118" s="717">
        <v>45899</v>
      </c>
      <c r="M118"/>
      <c r="N118" s="1300">
        <v>0</v>
      </c>
      <c r="O118" s="1300">
        <v>0</v>
      </c>
      <c r="P118" s="1300">
        <v>0</v>
      </c>
      <c r="Q118" s="1300">
        <v>1</v>
      </c>
      <c r="R118" s="1266">
        <v>0</v>
      </c>
      <c r="S118" s="1266">
        <v>249531.79</v>
      </c>
      <c r="T118" s="1266">
        <f>+IF($Q118=1,$G118,INDEX([1]Summary!$K$5:$K$110,MATCH($C118,[1]Summary!$D$5:$D219,0)))</f>
        <v>0</v>
      </c>
      <c r="U118" s="1266">
        <f>+IF($Q118=1,$J118,INDEX([1]Summary!$L$5:$L$110,MATCH($C118,[1]Summary!$D$5:$D219,0)))</f>
        <v>249531.79</v>
      </c>
      <c r="V118" s="721"/>
      <c r="W118" s="721"/>
      <c r="X118" s="721"/>
      <c r="Y118" s="721"/>
      <c r="Z118" s="721"/>
      <c r="AA118" s="721"/>
      <c r="AB118" s="721"/>
      <c r="AC118" s="721"/>
      <c r="AD118" s="721"/>
      <c r="AE118" s="105"/>
      <c r="AI118" s="105"/>
      <c r="AJ118" s="105"/>
      <c r="AN118" s="105"/>
      <c r="AO118" s="105"/>
      <c r="AP118" s="105"/>
    </row>
    <row r="119" spans="1:42" outlineLevel="1">
      <c r="A119" s="545">
        <f>MAX($A$10:A118)+1</f>
        <v>110</v>
      </c>
      <c r="B119" s="716" t="s">
        <v>1799</v>
      </c>
      <c r="C119" s="716" t="s">
        <v>1966</v>
      </c>
      <c r="D119" s="716" t="s">
        <v>1967</v>
      </c>
      <c r="E119" s="559">
        <v>376.2</v>
      </c>
      <c r="F119" s="1302" cm="1">
        <f t="array" ref="F119">+IF(SUM(VALUE(N119:Q119)*$N$7:$Q$7)=0,R119,T119)</f>
        <v>29040773.440000001</v>
      </c>
      <c r="G119" s="103">
        <f t="shared" si="7"/>
        <v>29040773.440000001</v>
      </c>
      <c r="H119" s="717">
        <v>45595</v>
      </c>
      <c r="I119" s="1303" cm="1">
        <f t="array" ref="I119">+IF(SUM(VALUE(N119:Q119)*$N$7:$Q$7)=0,S119,U119)</f>
        <v>0</v>
      </c>
      <c r="J119" s="103">
        <f>+I119</f>
        <v>0</v>
      </c>
      <c r="K119" s="103"/>
      <c r="M119"/>
      <c r="N119" s="1300">
        <v>0</v>
      </c>
      <c r="O119" s="1300">
        <v>1</v>
      </c>
      <c r="P119" s="1300">
        <v>0</v>
      </c>
      <c r="Q119" s="1300">
        <v>0</v>
      </c>
      <c r="R119" s="1266">
        <v>29040773.440000001</v>
      </c>
      <c r="S119" s="1266">
        <v>0</v>
      </c>
      <c r="T119" s="1266">
        <f>+IF($Q119=1,$G119,INDEX([1]Summary!$K$5:$K$110,MATCH($C119,[1]Summary!$D$5:$D220,0)))</f>
        <v>0</v>
      </c>
      <c r="U119" s="1266">
        <f>+IF($Q119=1,$J119,INDEX([1]Summary!$L$5:$L$110,MATCH($C119,[1]Summary!$D$5:$D220,0)))</f>
        <v>0</v>
      </c>
      <c r="V119" s="721"/>
      <c r="W119" s="721"/>
      <c r="X119" s="721"/>
      <c r="Y119" s="721"/>
      <c r="Z119" s="721"/>
      <c r="AA119" s="721"/>
      <c r="AB119" s="721"/>
      <c r="AC119" s="721"/>
      <c r="AD119" s="721"/>
      <c r="AE119" s="105"/>
      <c r="AI119" s="105"/>
      <c r="AJ119" s="105"/>
      <c r="AN119" s="105"/>
      <c r="AO119" s="105"/>
      <c r="AP119" s="105"/>
    </row>
    <row r="120" spans="1:42" outlineLevel="1">
      <c r="A120" s="545">
        <f>MAX($A$10:A119)+1</f>
        <v>111</v>
      </c>
      <c r="B120" s="716" t="s">
        <v>1799</v>
      </c>
      <c r="C120" s="716" t="s">
        <v>1968</v>
      </c>
      <c r="D120" s="716" t="s">
        <v>1969</v>
      </c>
      <c r="E120" s="559">
        <v>374.1</v>
      </c>
      <c r="F120" s="1302" cm="1">
        <f t="array" ref="F120">+IF(SUM(VALUE(N120:Q120)*$N$7:$Q$7)=0,R120,T120)</f>
        <v>119146.94</v>
      </c>
      <c r="G120" s="103">
        <f t="shared" si="7"/>
        <v>119146.94</v>
      </c>
      <c r="H120" s="717">
        <v>45321</v>
      </c>
      <c r="I120" s="1303" cm="1">
        <f t="array" ref="I120">+IF(SUM(VALUE(N120:Q120)*$N$7:$Q$7)=0,S120,U120)</f>
        <v>0</v>
      </c>
      <c r="J120" s="103"/>
      <c r="K120" s="103"/>
      <c r="M120"/>
      <c r="N120" s="1300">
        <v>0</v>
      </c>
      <c r="O120" s="1300">
        <v>0</v>
      </c>
      <c r="P120" s="1300">
        <v>0</v>
      </c>
      <c r="Q120" s="1300">
        <v>1</v>
      </c>
      <c r="R120" s="1266">
        <v>119146.94</v>
      </c>
      <c r="S120" s="1266">
        <v>0</v>
      </c>
      <c r="T120" s="1266">
        <f>+IF($Q120=1,$G120,INDEX([1]Summary!$K$5:$K$110,MATCH($C120,[1]Summary!$D$5:$D221,0)))</f>
        <v>119146.94</v>
      </c>
      <c r="U120" s="1266">
        <f>+IF($Q120=1,$J120,INDEX([1]Summary!$L$5:$L$110,MATCH($C120,[1]Summary!$D$5:$D221,0)))</f>
        <v>0</v>
      </c>
      <c r="V120" s="721"/>
      <c r="W120" s="721"/>
      <c r="X120" s="721"/>
      <c r="Y120" s="721"/>
      <c r="Z120" s="721"/>
      <c r="AA120" s="721"/>
      <c r="AB120" s="721"/>
      <c r="AC120" s="721"/>
      <c r="AD120" s="721"/>
      <c r="AE120" s="105"/>
      <c r="AI120" s="105"/>
      <c r="AJ120" s="105"/>
      <c r="AN120" s="105"/>
      <c r="AO120" s="105"/>
      <c r="AP120" s="105"/>
    </row>
    <row r="121" spans="1:42" outlineLevel="1">
      <c r="A121" s="545">
        <f>MAX($A$10:A120)+1</f>
        <v>112</v>
      </c>
      <c r="B121" s="716" t="s">
        <v>1799</v>
      </c>
      <c r="C121" s="716" t="s">
        <v>1970</v>
      </c>
      <c r="D121" s="716" t="s">
        <v>1971</v>
      </c>
      <c r="E121" s="559">
        <v>378</v>
      </c>
      <c r="F121" s="1302" cm="1">
        <f t="array" ref="F121">+IF(SUM(VALUE(N121:Q121)*$N$7:$Q$7)=0,R121,T121)</f>
        <v>498151.91</v>
      </c>
      <c r="G121" s="103">
        <f t="shared" si="7"/>
        <v>498151.91</v>
      </c>
      <c r="H121" s="717">
        <v>45595</v>
      </c>
      <c r="I121" s="1303" cm="1">
        <f t="array" ref="I121">+IF(SUM(VALUE(N121:Q121)*$N$7:$Q$7)=0,S121,U121)</f>
        <v>0</v>
      </c>
      <c r="J121" s="103">
        <f>+I121</f>
        <v>0</v>
      </c>
      <c r="K121" s="103"/>
      <c r="M121"/>
      <c r="N121" s="1300">
        <v>0</v>
      </c>
      <c r="O121" s="1300">
        <v>0</v>
      </c>
      <c r="P121" s="1300">
        <v>0</v>
      </c>
      <c r="Q121" s="1300">
        <v>1</v>
      </c>
      <c r="R121" s="1266">
        <v>498151.91</v>
      </c>
      <c r="S121" s="1266">
        <v>0</v>
      </c>
      <c r="T121" s="1266">
        <f>+IF($Q121=1,$G121,INDEX([1]Summary!$K$5:$K$110,MATCH($C121,[1]Summary!$D$5:$D222,0)))</f>
        <v>498151.91</v>
      </c>
      <c r="U121" s="1266">
        <f>+IF($Q121=1,$J121,INDEX([1]Summary!$L$5:$L$110,MATCH($C121,[1]Summary!$D$5:$D222,0)))</f>
        <v>0</v>
      </c>
      <c r="V121" s="721"/>
      <c r="W121" s="721"/>
      <c r="X121" s="721"/>
      <c r="Y121" s="721"/>
      <c r="Z121" s="721"/>
      <c r="AA121" s="721"/>
      <c r="AB121" s="721"/>
      <c r="AC121" s="721"/>
      <c r="AD121" s="721"/>
      <c r="AE121" s="105"/>
      <c r="AI121" s="105"/>
      <c r="AJ121" s="105"/>
      <c r="AN121" s="105"/>
      <c r="AO121" s="105"/>
      <c r="AP121" s="105"/>
    </row>
    <row r="122" spans="1:42" outlineLevel="1">
      <c r="A122" s="545">
        <f>MAX($A$10:A121)+1</f>
        <v>113</v>
      </c>
      <c r="B122" s="716" t="s">
        <v>1799</v>
      </c>
      <c r="C122" s="716" t="s">
        <v>1972</v>
      </c>
      <c r="D122" s="716" t="s">
        <v>1973</v>
      </c>
      <c r="E122" s="559">
        <v>378</v>
      </c>
      <c r="F122" s="1302" cm="1">
        <f t="array" ref="F122">+IF(SUM(VALUE(N122:Q122)*$N$7:$Q$7)=0,R122,T122)</f>
        <v>67326.149999999994</v>
      </c>
      <c r="G122" s="103">
        <f t="shared" si="7"/>
        <v>67326.149999999994</v>
      </c>
      <c r="H122" s="717">
        <v>45458</v>
      </c>
      <c r="I122" s="1303" cm="1">
        <f t="array" ref="I122">+IF(SUM(VALUE(N122:Q122)*$N$7:$Q$7)=0,S122,U122)</f>
        <v>0</v>
      </c>
      <c r="J122" s="103"/>
      <c r="K122" s="103"/>
      <c r="M122"/>
      <c r="N122" s="1300">
        <v>0</v>
      </c>
      <c r="O122" s="1300">
        <v>0</v>
      </c>
      <c r="P122" s="1300">
        <v>0</v>
      </c>
      <c r="Q122" s="1300">
        <v>1</v>
      </c>
      <c r="R122" s="1266">
        <v>67326.149999999994</v>
      </c>
      <c r="S122" s="1266">
        <v>0</v>
      </c>
      <c r="T122" s="1266">
        <f>+IF($Q122=1,$G122,INDEX([1]Summary!$K$5:$K$110,MATCH($C122,[1]Summary!$D$5:$D223,0)))</f>
        <v>67326.149999999994</v>
      </c>
      <c r="U122" s="1266">
        <f>+IF($Q122=1,$J122,INDEX([1]Summary!$L$5:$L$110,MATCH($C122,[1]Summary!$D$5:$D223,0)))</f>
        <v>0</v>
      </c>
      <c r="V122" s="721"/>
      <c r="W122" s="721"/>
      <c r="X122" s="721"/>
      <c r="Y122" s="721"/>
      <c r="Z122" s="721"/>
      <c r="AA122" s="721"/>
      <c r="AB122" s="721"/>
      <c r="AC122" s="721"/>
      <c r="AD122" s="721"/>
      <c r="AE122" s="105"/>
      <c r="AI122" s="105"/>
      <c r="AJ122" s="105"/>
      <c r="AN122" s="105"/>
      <c r="AO122" s="105"/>
      <c r="AP122" s="105"/>
    </row>
    <row r="123" spans="1:42" outlineLevel="1">
      <c r="A123" s="545">
        <f>MAX($A$10:A122)+1</f>
        <v>114</v>
      </c>
      <c r="B123" s="716" t="s">
        <v>1799</v>
      </c>
      <c r="C123" s="716" t="s">
        <v>1974</v>
      </c>
      <c r="D123" s="716" t="s">
        <v>1975</v>
      </c>
      <c r="E123" s="559">
        <v>376.1</v>
      </c>
      <c r="F123" s="1302" cm="1">
        <f t="array" ref="F123">+IF(SUM(VALUE(N123:Q123)*$N$7:$Q$7)=0,R123,T123)</f>
        <v>344834.96</v>
      </c>
      <c r="G123" s="103">
        <f t="shared" si="7"/>
        <v>344834.96</v>
      </c>
      <c r="H123" s="575">
        <v>45657</v>
      </c>
      <c r="I123" s="1303" cm="1">
        <f t="array" ref="I123">+IF(SUM(VALUE(N123:Q123)*$N$7:$Q$7)=0,S123,U123)</f>
        <v>515149.42</v>
      </c>
      <c r="J123" s="103">
        <f t="shared" ref="J123:J128" si="8">+I123</f>
        <v>515149.42</v>
      </c>
      <c r="K123" s="717">
        <v>46022</v>
      </c>
      <c r="M123"/>
      <c r="N123" s="1300">
        <v>0</v>
      </c>
      <c r="O123" s="1300">
        <v>0</v>
      </c>
      <c r="P123" s="1300">
        <v>0</v>
      </c>
      <c r="Q123" s="1300">
        <v>1</v>
      </c>
      <c r="R123" s="1266">
        <v>344834.96</v>
      </c>
      <c r="S123" s="1266">
        <v>515149.42</v>
      </c>
      <c r="T123" s="1266">
        <f>+IF($Q123=1,$G123,INDEX([1]Summary!$K$5:$K$110,MATCH($C123,[1]Summary!$D$5:$D224,0)))</f>
        <v>344834.96</v>
      </c>
      <c r="U123" s="1266">
        <f>+IF($Q123=1,$J123,INDEX([1]Summary!$L$5:$L$110,MATCH($C123,[1]Summary!$D$5:$D224,0)))</f>
        <v>515149.42</v>
      </c>
      <c r="V123" s="721"/>
      <c r="W123" s="721"/>
      <c r="X123" s="721"/>
      <c r="Y123" s="721"/>
      <c r="Z123" s="721"/>
      <c r="AA123" s="721"/>
      <c r="AB123" s="721"/>
      <c r="AC123" s="721"/>
      <c r="AD123" s="721"/>
      <c r="AE123" s="105"/>
      <c r="AI123" s="105"/>
      <c r="AJ123" s="105"/>
      <c r="AN123" s="105"/>
      <c r="AO123" s="105"/>
      <c r="AP123" s="105"/>
    </row>
    <row r="124" spans="1:42" outlineLevel="1">
      <c r="A124" s="545">
        <f>MAX($A$10:A123)+1</f>
        <v>115</v>
      </c>
      <c r="B124" s="716" t="s">
        <v>1799</v>
      </c>
      <c r="C124" s="716" t="s">
        <v>1976</v>
      </c>
      <c r="D124" s="716" t="s">
        <v>1977</v>
      </c>
      <c r="E124" s="559">
        <v>376.2</v>
      </c>
      <c r="F124" s="1302" cm="1">
        <f t="array" ref="F124">+IF(SUM(VALUE(N124:Q124)*$N$7:$Q$7)=0,R124,T124)</f>
        <v>0</v>
      </c>
      <c r="G124" s="103">
        <f t="shared" si="7"/>
        <v>0</v>
      </c>
      <c r="H124" s="717">
        <v>45624</v>
      </c>
      <c r="I124" s="1303" cm="1">
        <f t="array" ref="I124">+IF(SUM(VALUE(N124:Q124)*$N$7:$Q$7)=0,S124,U124)</f>
        <v>0</v>
      </c>
      <c r="J124" s="103">
        <f t="shared" si="8"/>
        <v>0</v>
      </c>
      <c r="K124" s="103"/>
      <c r="M124"/>
      <c r="N124" s="1300">
        <v>1</v>
      </c>
      <c r="O124" s="1300">
        <v>0</v>
      </c>
      <c r="P124" s="1300">
        <v>0</v>
      </c>
      <c r="Q124" s="1300">
        <v>0</v>
      </c>
      <c r="R124" s="1266">
        <v>237521.69</v>
      </c>
      <c r="S124" s="1266">
        <v>0</v>
      </c>
      <c r="T124" s="1266">
        <f>+IF($Q124=1,$G124,INDEX([1]Summary!$K$5:$K$110,MATCH($C124,[1]Summary!$D$5:$D225,0)))</f>
        <v>0</v>
      </c>
      <c r="U124" s="1266">
        <f>+IF($Q124=1,$J124,INDEX([1]Summary!$L$5:$L$110,MATCH($C124,[1]Summary!$D$5:$D225,0)))</f>
        <v>0</v>
      </c>
      <c r="V124" s="721"/>
      <c r="W124" s="721"/>
      <c r="X124" s="721"/>
      <c r="Y124" s="721"/>
      <c r="Z124" s="721"/>
      <c r="AA124" s="721"/>
      <c r="AB124" s="721"/>
      <c r="AC124" s="721"/>
      <c r="AD124" s="721"/>
      <c r="AE124" s="105"/>
      <c r="AI124" s="105"/>
      <c r="AJ124" s="105"/>
      <c r="AN124" s="105"/>
      <c r="AO124" s="105"/>
      <c r="AP124" s="105"/>
    </row>
    <row r="125" spans="1:42" outlineLevel="1">
      <c r="A125" s="545">
        <f>MAX($A$10:A124)+1</f>
        <v>116</v>
      </c>
      <c r="B125" s="716" t="s">
        <v>1799</v>
      </c>
      <c r="C125" s="716" t="s">
        <v>1978</v>
      </c>
      <c r="D125" s="716" t="s">
        <v>1979</v>
      </c>
      <c r="E125" s="559">
        <v>378</v>
      </c>
      <c r="F125" s="1302" cm="1">
        <f t="array" ref="F125">+IF(SUM(VALUE(N125:Q125)*$N$7:$Q$7)=0,R125,T125)</f>
        <v>0</v>
      </c>
      <c r="G125" s="103">
        <f t="shared" si="7"/>
        <v>0</v>
      </c>
      <c r="H125" s="717">
        <v>45624</v>
      </c>
      <c r="I125" s="1303" cm="1">
        <f t="array" ref="I125">+IF(SUM(VALUE(N125:Q125)*$N$7:$Q$7)=0,S125,U125)</f>
        <v>0</v>
      </c>
      <c r="J125" s="103">
        <f t="shared" si="8"/>
        <v>0</v>
      </c>
      <c r="K125" s="103"/>
      <c r="M125"/>
      <c r="N125" s="1300">
        <v>1</v>
      </c>
      <c r="O125" s="1300">
        <v>0</v>
      </c>
      <c r="P125" s="1300">
        <v>0</v>
      </c>
      <c r="Q125" s="1300">
        <v>0</v>
      </c>
      <c r="R125" s="1266">
        <v>582324.92000000004</v>
      </c>
      <c r="S125" s="1266">
        <v>0</v>
      </c>
      <c r="T125" s="1266">
        <f>+IF($Q125=1,$G125,INDEX([1]Summary!$K$5:$K$110,MATCH($C125,[1]Summary!$D$5:$D226,0)))</f>
        <v>0</v>
      </c>
      <c r="U125" s="1266">
        <f>+IF($Q125=1,$J125,INDEX([1]Summary!$L$5:$L$110,MATCH($C125,[1]Summary!$D$5:$D226,0)))</f>
        <v>0</v>
      </c>
      <c r="V125" s="721"/>
      <c r="W125" s="721"/>
      <c r="X125" s="721"/>
      <c r="Y125" s="721"/>
      <c r="Z125" s="721"/>
      <c r="AA125" s="721"/>
      <c r="AB125" s="721"/>
      <c r="AC125" s="721"/>
      <c r="AD125" s="721"/>
      <c r="AE125" s="105"/>
      <c r="AI125" s="105"/>
      <c r="AJ125" s="105"/>
      <c r="AN125" s="105"/>
      <c r="AO125" s="105"/>
      <c r="AP125" s="105"/>
    </row>
    <row r="126" spans="1:42" outlineLevel="1">
      <c r="A126" s="545">
        <f>MAX($A$10:A125)+1</f>
        <v>117</v>
      </c>
      <c r="B126" s="716" t="s">
        <v>1799</v>
      </c>
      <c r="C126" s="716" t="s">
        <v>1980</v>
      </c>
      <c r="D126" s="716" t="s">
        <v>1981</v>
      </c>
      <c r="E126" s="559">
        <v>378</v>
      </c>
      <c r="F126" s="1302" cm="1">
        <f t="array" ref="F126">+IF(SUM(VALUE(N126:Q126)*$N$7:$Q$7)=0,R126,T126)</f>
        <v>0</v>
      </c>
      <c r="G126" s="103">
        <f t="shared" si="7"/>
        <v>0</v>
      </c>
      <c r="H126" s="717">
        <v>45624</v>
      </c>
      <c r="I126" s="1303" cm="1">
        <f t="array" ref="I126">+IF(SUM(VALUE(N126:Q126)*$N$7:$Q$7)=0,S126,U126)</f>
        <v>0</v>
      </c>
      <c r="J126" s="103">
        <f t="shared" si="8"/>
        <v>0</v>
      </c>
      <c r="K126" s="103"/>
      <c r="M126"/>
      <c r="N126" s="1300">
        <v>1</v>
      </c>
      <c r="O126" s="1300">
        <v>0</v>
      </c>
      <c r="P126" s="1300">
        <v>0</v>
      </c>
      <c r="Q126" s="1300">
        <v>0</v>
      </c>
      <c r="R126" s="1266">
        <v>1181773.33</v>
      </c>
      <c r="S126" s="1266">
        <v>0</v>
      </c>
      <c r="T126" s="1266">
        <f>+IF($Q126=1,$G126,INDEX([1]Summary!$K$5:$K$110,MATCH($C126,[1]Summary!$D$5:$D227,0)))</f>
        <v>0</v>
      </c>
      <c r="U126" s="1266">
        <f>+IF($Q126=1,$J126,INDEX([1]Summary!$L$5:$L$110,MATCH($C126,[1]Summary!$D$5:$D227,0)))</f>
        <v>0</v>
      </c>
      <c r="V126" s="721"/>
      <c r="W126" s="721"/>
      <c r="X126" s="721"/>
      <c r="Y126" s="721"/>
      <c r="Z126" s="721"/>
      <c r="AA126" s="721"/>
      <c r="AB126" s="721"/>
      <c r="AC126" s="721"/>
      <c r="AD126" s="721"/>
      <c r="AE126" s="105"/>
      <c r="AI126" s="105"/>
      <c r="AJ126" s="105"/>
      <c r="AN126" s="105"/>
      <c r="AO126" s="105"/>
      <c r="AP126" s="105"/>
    </row>
    <row r="127" spans="1:42" outlineLevel="1">
      <c r="A127" s="545">
        <f>MAX($A$10:A126)+1</f>
        <v>118</v>
      </c>
      <c r="B127" s="716" t="s">
        <v>1799</v>
      </c>
      <c r="C127" s="716" t="s">
        <v>1982</v>
      </c>
      <c r="D127" s="716" t="s">
        <v>1983</v>
      </c>
      <c r="E127" s="559">
        <v>385</v>
      </c>
      <c r="F127" s="1302" cm="1">
        <f t="array" ref="F127">+IF(SUM(VALUE(N127:Q127)*$N$7:$Q$7)=0,R127,T127)</f>
        <v>0</v>
      </c>
      <c r="G127" s="103">
        <f t="shared" si="7"/>
        <v>0</v>
      </c>
      <c r="H127" s="717">
        <v>45624</v>
      </c>
      <c r="I127" s="1303" cm="1">
        <f t="array" ref="I127">+IF(SUM(VALUE(N127:Q127)*$N$7:$Q$7)=0,S127,U127)</f>
        <v>0</v>
      </c>
      <c r="J127" s="103">
        <f t="shared" si="8"/>
        <v>0</v>
      </c>
      <c r="K127" s="103"/>
      <c r="M127"/>
      <c r="N127" s="1300">
        <v>1</v>
      </c>
      <c r="O127" s="1300">
        <v>0</v>
      </c>
      <c r="P127" s="1300">
        <v>0</v>
      </c>
      <c r="Q127" s="1300">
        <v>0</v>
      </c>
      <c r="R127" s="1266">
        <v>97718.88</v>
      </c>
      <c r="S127" s="1266">
        <v>0</v>
      </c>
      <c r="T127" s="1266">
        <f>+IF($Q127=1,$G127,INDEX([1]Summary!$K$5:$K$110,MATCH($C127,[1]Summary!$D$5:$D228,0)))</f>
        <v>0</v>
      </c>
      <c r="U127" s="1266">
        <f>+IF($Q127=1,$J127,INDEX([1]Summary!$L$5:$L$110,MATCH($C127,[1]Summary!$D$5:$D228,0)))</f>
        <v>0</v>
      </c>
      <c r="V127" s="721"/>
      <c r="W127" s="721"/>
      <c r="X127" s="721"/>
      <c r="Y127" s="721"/>
      <c r="Z127" s="721"/>
      <c r="AA127" s="721"/>
      <c r="AB127" s="721"/>
      <c r="AC127" s="721"/>
      <c r="AD127" s="721"/>
      <c r="AE127" s="105"/>
      <c r="AI127" s="105"/>
      <c r="AJ127" s="105"/>
      <c r="AN127" s="105"/>
      <c r="AO127" s="105"/>
      <c r="AP127" s="105"/>
    </row>
    <row r="128" spans="1:42" outlineLevel="1">
      <c r="A128" s="545">
        <f>MAX($A$10:A127)+1</f>
        <v>119</v>
      </c>
      <c r="B128" s="716" t="s">
        <v>1799</v>
      </c>
      <c r="C128" s="716" t="s">
        <v>1984</v>
      </c>
      <c r="D128" s="716" t="s">
        <v>1985</v>
      </c>
      <c r="E128" s="559">
        <v>378</v>
      </c>
      <c r="F128" s="1302" cm="1">
        <f t="array" ref="F128">+IF(SUM(VALUE(N128:Q128)*$N$7:$Q$7)=0,R128,T128)</f>
        <v>0</v>
      </c>
      <c r="G128" s="103">
        <f t="shared" si="7"/>
        <v>0</v>
      </c>
      <c r="H128" s="717">
        <v>45327</v>
      </c>
      <c r="I128" s="1303" cm="1">
        <f t="array" ref="I128">+IF(SUM(VALUE(N128:Q128)*$N$7:$Q$7)=0,S128,U128)</f>
        <v>0</v>
      </c>
      <c r="J128" s="103">
        <f t="shared" si="8"/>
        <v>0</v>
      </c>
      <c r="K128" s="103"/>
      <c r="M128"/>
      <c r="N128" s="1300">
        <v>1</v>
      </c>
      <c r="O128" s="1300">
        <v>0</v>
      </c>
      <c r="P128" s="1300">
        <v>0</v>
      </c>
      <c r="Q128" s="1300">
        <v>0</v>
      </c>
      <c r="R128" s="1266">
        <v>1117240.8899999999</v>
      </c>
      <c r="S128" s="1266">
        <v>0</v>
      </c>
      <c r="T128" s="1266">
        <f>+IF($Q128=1,$G128,INDEX([1]Summary!$K$5:$K$110,MATCH($C128,[1]Summary!$D$5:$D229,0)))</f>
        <v>0</v>
      </c>
      <c r="U128" s="1266">
        <f>+IF($Q128=1,$J128,INDEX([1]Summary!$L$5:$L$110,MATCH($C128,[1]Summary!$D$5:$D229,0)))</f>
        <v>0</v>
      </c>
      <c r="V128" s="721"/>
      <c r="W128" s="721"/>
      <c r="X128" s="721"/>
      <c r="Y128" s="721"/>
      <c r="Z128" s="721"/>
      <c r="AA128" s="721"/>
      <c r="AB128" s="721"/>
      <c r="AC128" s="721"/>
      <c r="AD128" s="721"/>
      <c r="AE128" s="105"/>
      <c r="AI128" s="105"/>
      <c r="AJ128" s="105"/>
      <c r="AN128" s="105"/>
      <c r="AO128" s="105"/>
      <c r="AP128" s="105"/>
    </row>
    <row r="129" spans="1:42" outlineLevel="1">
      <c r="A129" s="545">
        <f>MAX($A$10:A128)+1</f>
        <v>120</v>
      </c>
      <c r="B129" s="716" t="s">
        <v>1799</v>
      </c>
      <c r="C129" s="716" t="s">
        <v>1986</v>
      </c>
      <c r="D129" s="716" t="s">
        <v>1987</v>
      </c>
      <c r="E129" s="559">
        <v>378</v>
      </c>
      <c r="F129" s="1302" cm="1">
        <f t="array" ref="F129">+IF(SUM(VALUE(N129:Q129)*$N$7:$Q$7)=0,R129,T129)</f>
        <v>0</v>
      </c>
      <c r="G129" s="103">
        <f t="shared" si="7"/>
        <v>0</v>
      </c>
      <c r="H129" s="717">
        <v>45327</v>
      </c>
      <c r="I129" s="1303" cm="1">
        <f t="array" ref="I129">+IF(SUM(VALUE(N129:Q129)*$N$7:$Q$7)=0,S129,U129)</f>
        <v>0</v>
      </c>
      <c r="J129" s="103"/>
      <c r="K129" s="103"/>
      <c r="M129"/>
      <c r="N129" s="1300">
        <v>1</v>
      </c>
      <c r="O129" s="1300">
        <v>0</v>
      </c>
      <c r="P129" s="1300">
        <v>0</v>
      </c>
      <c r="Q129" s="1300">
        <v>0</v>
      </c>
      <c r="R129" s="1266">
        <v>365957.98</v>
      </c>
      <c r="S129" s="1266">
        <v>0</v>
      </c>
      <c r="T129" s="1266">
        <f>+IF($Q129=1,$G129,INDEX([1]Summary!$K$5:$K$110,MATCH($C129,[1]Summary!$D$5:$D230,0)))</f>
        <v>0</v>
      </c>
      <c r="U129" s="1266">
        <f>+IF($Q129=1,$J129,INDEX([1]Summary!$L$5:$L$110,MATCH($C129,[1]Summary!$D$5:$D230,0)))</f>
        <v>0</v>
      </c>
      <c r="V129" s="721"/>
      <c r="W129" s="721"/>
      <c r="X129" s="721"/>
      <c r="Y129" s="721"/>
      <c r="Z129" s="721"/>
      <c r="AA129" s="721"/>
      <c r="AB129" s="721"/>
      <c r="AC129" s="721"/>
      <c r="AD129" s="721"/>
      <c r="AE129" s="105"/>
      <c r="AI129" s="105"/>
      <c r="AJ129" s="105"/>
      <c r="AN129" s="105"/>
      <c r="AO129" s="105"/>
      <c r="AP129" s="105"/>
    </row>
    <row r="130" spans="1:42" outlineLevel="1">
      <c r="A130" s="545">
        <f>MAX($A$10:A129)+1</f>
        <v>121</v>
      </c>
      <c r="B130" s="716" t="s">
        <v>1799</v>
      </c>
      <c r="C130" s="716" t="s">
        <v>1988</v>
      </c>
      <c r="D130" s="716" t="s">
        <v>1989</v>
      </c>
      <c r="E130" s="559">
        <v>385</v>
      </c>
      <c r="F130" s="1302" cm="1">
        <f t="array" ref="F130">+IF(SUM(VALUE(N130:Q130)*$N$7:$Q$7)=0,R130,T130)</f>
        <v>0</v>
      </c>
      <c r="G130" s="103">
        <f t="shared" si="7"/>
        <v>0</v>
      </c>
      <c r="H130" s="717">
        <v>45327</v>
      </c>
      <c r="I130" s="1303" cm="1">
        <f t="array" ref="I130">+IF(SUM(VALUE(N130:Q130)*$N$7:$Q$7)=0,S130,U130)</f>
        <v>0</v>
      </c>
      <c r="J130" s="103"/>
      <c r="K130" s="103"/>
      <c r="M130"/>
      <c r="N130" s="1300">
        <v>1</v>
      </c>
      <c r="O130" s="1300">
        <v>0</v>
      </c>
      <c r="P130" s="1300">
        <v>0</v>
      </c>
      <c r="Q130" s="1300">
        <v>0</v>
      </c>
      <c r="R130" s="1266">
        <v>43012.79</v>
      </c>
      <c r="S130" s="1266">
        <v>0</v>
      </c>
      <c r="T130" s="1266">
        <f>+IF($Q130=1,$G130,INDEX([1]Summary!$K$5:$K$110,MATCH($C130,[1]Summary!$D$5:$D231,0)))</f>
        <v>0</v>
      </c>
      <c r="U130" s="1266">
        <f>+IF($Q130=1,$J130,INDEX([1]Summary!$L$5:$L$110,MATCH($C130,[1]Summary!$D$5:$D231,0)))</f>
        <v>0</v>
      </c>
      <c r="V130" s="721"/>
      <c r="W130" s="721"/>
      <c r="X130" s="721"/>
      <c r="Y130" s="721"/>
      <c r="Z130" s="721"/>
      <c r="AA130" s="721"/>
      <c r="AB130" s="721"/>
      <c r="AC130" s="721"/>
      <c r="AD130" s="721"/>
      <c r="AE130" s="105"/>
      <c r="AI130" s="105"/>
      <c r="AJ130" s="105"/>
      <c r="AN130" s="105"/>
      <c r="AO130" s="105"/>
      <c r="AP130" s="105"/>
    </row>
    <row r="131" spans="1:42" outlineLevel="1">
      <c r="A131" s="545">
        <f>MAX($A$10:A130)+1</f>
        <v>122</v>
      </c>
      <c r="B131" s="716" t="s">
        <v>1799</v>
      </c>
      <c r="C131" s="716" t="s">
        <v>1990</v>
      </c>
      <c r="D131" s="716" t="s">
        <v>1991</v>
      </c>
      <c r="E131" s="559">
        <v>385</v>
      </c>
      <c r="F131" s="1302" cm="1">
        <f t="array" ref="F131">+IF(SUM(VALUE(N131:Q131)*$N$7:$Q$7)=0,R131,T131)</f>
        <v>0</v>
      </c>
      <c r="G131" s="103">
        <f t="shared" si="7"/>
        <v>0</v>
      </c>
      <c r="H131" s="717">
        <v>45327</v>
      </c>
      <c r="I131" s="1303" cm="1">
        <f t="array" ref="I131">+IF(SUM(VALUE(N131:Q131)*$N$7:$Q$7)=0,S131,U131)</f>
        <v>0</v>
      </c>
      <c r="J131" s="103"/>
      <c r="K131" s="103"/>
      <c r="M131"/>
      <c r="N131" s="1300">
        <v>1</v>
      </c>
      <c r="O131" s="1300">
        <v>0</v>
      </c>
      <c r="P131" s="1300">
        <v>0</v>
      </c>
      <c r="Q131" s="1300">
        <v>0</v>
      </c>
      <c r="R131" s="1266">
        <v>56595.090000000004</v>
      </c>
      <c r="S131" s="1266">
        <v>0</v>
      </c>
      <c r="T131" s="1266">
        <f>+IF($Q131=1,$G131,INDEX([1]Summary!$K$5:$K$110,MATCH($C131,[1]Summary!$D$5:$D232,0)))</f>
        <v>0</v>
      </c>
      <c r="U131" s="1266">
        <f>+IF($Q131=1,$J131,INDEX([1]Summary!$L$5:$L$110,MATCH($C131,[1]Summary!$D$5:$D232,0)))</f>
        <v>0</v>
      </c>
      <c r="V131" s="721"/>
      <c r="W131" s="721"/>
      <c r="X131" s="721"/>
      <c r="Y131" s="721"/>
      <c r="Z131" s="721"/>
      <c r="AA131" s="721"/>
      <c r="AB131" s="721"/>
      <c r="AC131" s="721"/>
      <c r="AD131" s="721"/>
      <c r="AE131" s="105"/>
      <c r="AI131" s="105"/>
      <c r="AJ131" s="105"/>
      <c r="AN131" s="105"/>
      <c r="AO131" s="105"/>
      <c r="AP131" s="105"/>
    </row>
    <row r="132" spans="1:42" outlineLevel="1">
      <c r="A132" s="545">
        <f>MAX($A$10:A131)+1</f>
        <v>123</v>
      </c>
      <c r="B132" s="716" t="s">
        <v>1799</v>
      </c>
      <c r="C132" s="716" t="s">
        <v>1992</v>
      </c>
      <c r="D132" s="716" t="s">
        <v>1993</v>
      </c>
      <c r="E132" s="559">
        <v>378</v>
      </c>
      <c r="F132" s="1302" cm="1">
        <f t="array" ref="F132">+IF(SUM(VALUE(N132:Q132)*$N$7:$Q$7)=0,R132,T132)</f>
        <v>0</v>
      </c>
      <c r="G132" s="103">
        <f t="shared" si="7"/>
        <v>0</v>
      </c>
      <c r="H132" s="717">
        <v>45327</v>
      </c>
      <c r="I132" s="1303" cm="1">
        <f t="array" ref="I132">+IF(SUM(VALUE(N132:Q132)*$N$7:$Q$7)=0,S132,U132)</f>
        <v>0</v>
      </c>
      <c r="J132" s="103"/>
      <c r="K132" s="103"/>
      <c r="M132"/>
      <c r="N132" s="1300">
        <v>1</v>
      </c>
      <c r="O132" s="1300">
        <v>0</v>
      </c>
      <c r="P132" s="1300">
        <v>0</v>
      </c>
      <c r="Q132" s="1300">
        <v>0</v>
      </c>
      <c r="R132" s="1266">
        <v>1117315.6200000001</v>
      </c>
      <c r="S132" s="1266">
        <v>0</v>
      </c>
      <c r="T132" s="1266">
        <f>+IF($Q132=1,$G132,INDEX([1]Summary!$K$5:$K$110,MATCH($C132,[1]Summary!$D$5:$D233,0)))</f>
        <v>0</v>
      </c>
      <c r="U132" s="1266">
        <f>+IF($Q132=1,$J132,INDEX([1]Summary!$L$5:$L$110,MATCH($C132,[1]Summary!$D$5:$D233,0)))</f>
        <v>0</v>
      </c>
      <c r="V132" s="721"/>
      <c r="W132" s="721"/>
      <c r="X132" s="721"/>
      <c r="Y132" s="721"/>
      <c r="Z132" s="721"/>
      <c r="AA132" s="721"/>
      <c r="AB132" s="721"/>
      <c r="AC132" s="721"/>
      <c r="AD132" s="721"/>
      <c r="AE132" s="105"/>
      <c r="AI132" s="105"/>
      <c r="AJ132" s="105"/>
      <c r="AN132" s="105"/>
      <c r="AO132" s="105"/>
      <c r="AP132" s="105"/>
    </row>
    <row r="133" spans="1:42" outlineLevel="1">
      <c r="A133" s="545">
        <f>MAX($A$10:A132)+1</f>
        <v>124</v>
      </c>
      <c r="B133" s="716" t="s">
        <v>1799</v>
      </c>
      <c r="C133" s="716" t="s">
        <v>1994</v>
      </c>
      <c r="D133" s="716" t="s">
        <v>1995</v>
      </c>
      <c r="E133" s="559">
        <v>378</v>
      </c>
      <c r="F133" s="1302" cm="1">
        <f t="array" ref="F133">+IF(SUM(VALUE(N133:Q133)*$N$7:$Q$7)=0,R133,T133)</f>
        <v>0</v>
      </c>
      <c r="G133" s="103">
        <f t="shared" si="7"/>
        <v>0</v>
      </c>
      <c r="H133" s="717">
        <v>45327</v>
      </c>
      <c r="I133" s="1303" cm="1">
        <f t="array" ref="I133">+IF(SUM(VALUE(N133:Q133)*$N$7:$Q$7)=0,S133,U133)</f>
        <v>0</v>
      </c>
      <c r="J133" s="103"/>
      <c r="K133" s="103"/>
      <c r="M133"/>
      <c r="N133" s="1300">
        <v>1</v>
      </c>
      <c r="O133" s="1300">
        <v>0</v>
      </c>
      <c r="P133" s="1300">
        <v>0</v>
      </c>
      <c r="Q133" s="1300">
        <v>0</v>
      </c>
      <c r="R133" s="1266">
        <v>540060.30000000005</v>
      </c>
      <c r="S133" s="1266">
        <v>0</v>
      </c>
      <c r="T133" s="1266">
        <f>+IF($Q133=1,$G133,INDEX([1]Summary!$K$5:$K$110,MATCH($C133,[1]Summary!$D$5:$D234,0)))</f>
        <v>0</v>
      </c>
      <c r="U133" s="1266">
        <f>+IF($Q133=1,$J133,INDEX([1]Summary!$L$5:$L$110,MATCH($C133,[1]Summary!$D$5:$D234,0)))</f>
        <v>0</v>
      </c>
      <c r="V133" s="721"/>
      <c r="W133" s="721"/>
      <c r="X133" s="721"/>
      <c r="Y133" s="721"/>
      <c r="Z133" s="721"/>
      <c r="AA133" s="721"/>
      <c r="AB133" s="721"/>
      <c r="AC133" s="721"/>
      <c r="AD133" s="721"/>
      <c r="AE133" s="105"/>
      <c r="AI133" s="105"/>
      <c r="AJ133" s="105"/>
      <c r="AN133" s="105"/>
      <c r="AO133" s="105"/>
      <c r="AP133" s="105"/>
    </row>
    <row r="134" spans="1:42" outlineLevel="1">
      <c r="A134" s="545">
        <f>MAX($A$10:A133)+1</f>
        <v>125</v>
      </c>
      <c r="B134" s="716" t="s">
        <v>1799</v>
      </c>
      <c r="C134" s="716" t="s">
        <v>1996</v>
      </c>
      <c r="D134" s="716" t="s">
        <v>1997</v>
      </c>
      <c r="E134" s="559">
        <v>376.3</v>
      </c>
      <c r="F134" s="1302" cm="1">
        <f t="array" ref="F134">+IF(SUM(VALUE(N134:Q134)*$N$7:$Q$7)=0,R134,T134)</f>
        <v>131189.38</v>
      </c>
      <c r="G134" s="103">
        <f t="shared" si="7"/>
        <v>131189.38</v>
      </c>
      <c r="H134" s="717">
        <v>45352</v>
      </c>
      <c r="I134" s="1303" cm="1">
        <f t="array" ref="I134">+IF(SUM(VALUE(N134:Q134)*$N$7:$Q$7)=0,S134,U134)</f>
        <v>0</v>
      </c>
      <c r="J134" s="103"/>
      <c r="K134" s="103"/>
      <c r="M134"/>
      <c r="N134" s="1300">
        <v>0</v>
      </c>
      <c r="O134" s="1300">
        <v>0</v>
      </c>
      <c r="P134" s="1300">
        <v>0</v>
      </c>
      <c r="Q134" s="1300">
        <v>1</v>
      </c>
      <c r="R134" s="1266">
        <v>131189.38</v>
      </c>
      <c r="S134" s="1266">
        <v>0</v>
      </c>
      <c r="T134" s="1266">
        <f>+IF($Q134=1,$G134,INDEX([1]Summary!$K$5:$K$110,MATCH($C134,[1]Summary!$D$5:$D235,0)))</f>
        <v>131189.38</v>
      </c>
      <c r="U134" s="1266">
        <f>+IF($Q134=1,$J134,INDEX([1]Summary!$L$5:$L$110,MATCH($C134,[1]Summary!$D$5:$D235,0)))</f>
        <v>0</v>
      </c>
      <c r="V134" s="721"/>
      <c r="W134" s="721"/>
      <c r="X134" s="721"/>
      <c r="Y134" s="721"/>
      <c r="Z134" s="721"/>
      <c r="AA134" s="721"/>
      <c r="AB134" s="721"/>
      <c r="AC134" s="721"/>
      <c r="AD134" s="721"/>
      <c r="AE134" s="105"/>
      <c r="AI134" s="105"/>
      <c r="AJ134" s="105"/>
      <c r="AN134" s="105"/>
      <c r="AO134" s="105"/>
      <c r="AP134" s="105"/>
    </row>
    <row r="135" spans="1:42" outlineLevel="1">
      <c r="A135" s="545">
        <f>MAX($A$10:A134)+1</f>
        <v>126</v>
      </c>
      <c r="B135" s="716" t="s">
        <v>1799</v>
      </c>
      <c r="C135" s="716" t="s">
        <v>1998</v>
      </c>
      <c r="D135" s="716" t="s">
        <v>1999</v>
      </c>
      <c r="E135" s="559">
        <v>376.3</v>
      </c>
      <c r="F135" s="1302" cm="1">
        <f t="array" ref="F135">+IF(SUM(VALUE(N135:Q135)*$N$7:$Q$7)=0,R135,T135)</f>
        <v>343875.48</v>
      </c>
      <c r="G135" s="103">
        <f t="shared" si="7"/>
        <v>343875.48</v>
      </c>
      <c r="H135" s="717">
        <v>45536</v>
      </c>
      <c r="I135" s="1303" cm="1">
        <f t="array" ref="I135">+IF(SUM(VALUE(N135:Q135)*$N$7:$Q$7)=0,S135,U135)</f>
        <v>0</v>
      </c>
      <c r="J135" s="103">
        <f>+I135</f>
        <v>0</v>
      </c>
      <c r="K135" s="103"/>
      <c r="M135"/>
      <c r="N135" s="1300">
        <v>0</v>
      </c>
      <c r="O135" s="1300">
        <v>0</v>
      </c>
      <c r="P135" s="1300">
        <v>0</v>
      </c>
      <c r="Q135" s="1300">
        <v>1</v>
      </c>
      <c r="R135" s="1266">
        <v>343875.48</v>
      </c>
      <c r="S135" s="1266">
        <v>0</v>
      </c>
      <c r="T135" s="1266">
        <f>+IF($Q135=1,$G135,INDEX([1]Summary!$K$5:$K$110,MATCH($C135,[1]Summary!$D$5:$D236,0)))</f>
        <v>343875.48</v>
      </c>
      <c r="U135" s="1266">
        <f>+IF($Q135=1,$J135,INDEX([1]Summary!$L$5:$L$110,MATCH($C135,[1]Summary!$D$5:$D236,0)))</f>
        <v>0</v>
      </c>
      <c r="V135" s="721"/>
      <c r="W135" s="721"/>
      <c r="X135" s="721"/>
      <c r="Y135" s="721"/>
      <c r="Z135" s="721"/>
      <c r="AA135" s="721"/>
      <c r="AB135" s="721"/>
      <c r="AC135" s="721"/>
      <c r="AD135" s="721"/>
      <c r="AE135" s="105"/>
      <c r="AI135" s="105"/>
      <c r="AJ135" s="105"/>
      <c r="AN135" s="105"/>
      <c r="AO135" s="105"/>
      <c r="AP135" s="105"/>
    </row>
    <row r="136" spans="1:42" outlineLevel="1">
      <c r="A136" s="545">
        <f>MAX($A$10:A135)+1</f>
        <v>127</v>
      </c>
      <c r="B136" s="716" t="s">
        <v>1799</v>
      </c>
      <c r="C136" s="716" t="s">
        <v>2000</v>
      </c>
      <c r="D136" s="716" t="s">
        <v>2001</v>
      </c>
      <c r="E136" s="559">
        <v>376.2</v>
      </c>
      <c r="F136" s="1302" cm="1">
        <f t="array" ref="F136">+IF(SUM(VALUE(N136:Q136)*$N$7:$Q$7)=0,R136,T136)</f>
        <v>63627.04733899999</v>
      </c>
      <c r="G136" s="103">
        <f t="shared" si="7"/>
        <v>63627.04733899999</v>
      </c>
      <c r="H136" s="717">
        <v>45534</v>
      </c>
      <c r="I136" s="1303" cm="1">
        <f t="array" ref="I136">+IF(SUM(VALUE(N136:Q136)*$N$7:$Q$7)=0,S136,U136)</f>
        <v>0</v>
      </c>
      <c r="J136" s="103"/>
      <c r="K136" s="103"/>
      <c r="M136"/>
      <c r="N136" s="1300">
        <v>0</v>
      </c>
      <c r="O136" s="1300">
        <v>0</v>
      </c>
      <c r="P136" s="1300">
        <v>0</v>
      </c>
      <c r="Q136" s="1300">
        <v>1</v>
      </c>
      <c r="R136" s="1266">
        <v>63627.04733899999</v>
      </c>
      <c r="S136" s="1266">
        <v>0</v>
      </c>
      <c r="T136" s="1266">
        <f>+IF($Q136=1,$G136,INDEX([1]Summary!$K$5:$K$110,MATCH($C136,[1]Summary!$D$5:$D237,0)))</f>
        <v>63627.04733899999</v>
      </c>
      <c r="U136" s="1266">
        <f>+IF($Q136=1,$J136,INDEX([1]Summary!$L$5:$L$110,MATCH($C136,[1]Summary!$D$5:$D237,0)))</f>
        <v>0</v>
      </c>
      <c r="V136" s="721"/>
      <c r="W136" s="721"/>
      <c r="X136" s="721"/>
      <c r="Y136" s="721"/>
      <c r="Z136" s="721"/>
      <c r="AA136" s="721"/>
      <c r="AB136" s="721"/>
      <c r="AC136" s="721"/>
      <c r="AD136" s="721"/>
      <c r="AE136" s="105"/>
      <c r="AI136" s="105"/>
      <c r="AJ136" s="105"/>
      <c r="AN136" s="105"/>
      <c r="AO136" s="105"/>
      <c r="AP136" s="105"/>
    </row>
    <row r="137" spans="1:42" outlineLevel="1">
      <c r="A137" s="545">
        <f>MAX($A$10:A136)+1</f>
        <v>128</v>
      </c>
      <c r="B137" s="716" t="s">
        <v>1799</v>
      </c>
      <c r="C137" s="716" t="s">
        <v>2002</v>
      </c>
      <c r="D137" s="716" t="s">
        <v>2003</v>
      </c>
      <c r="E137" s="559">
        <v>378</v>
      </c>
      <c r="F137" s="1302" cm="1">
        <f t="array" ref="F137">+IF(SUM(VALUE(N137:Q137)*$N$7:$Q$7)=0,R137,T137)</f>
        <v>206332.31882699998</v>
      </c>
      <c r="G137" s="103">
        <f t="shared" si="7"/>
        <v>206332.31882699998</v>
      </c>
      <c r="H137" s="717">
        <v>45596</v>
      </c>
      <c r="I137" s="1303" cm="1">
        <f t="array" ref="I137">+IF(SUM(VALUE(N137:Q137)*$N$7:$Q$7)=0,S137,U137)</f>
        <v>0</v>
      </c>
      <c r="J137" s="103"/>
      <c r="K137" s="103"/>
      <c r="M137"/>
      <c r="N137" s="1300">
        <v>0</v>
      </c>
      <c r="O137" s="1300">
        <v>0</v>
      </c>
      <c r="P137" s="1300">
        <v>0</v>
      </c>
      <c r="Q137" s="1300">
        <v>1</v>
      </c>
      <c r="R137" s="1266">
        <v>206332.31882699998</v>
      </c>
      <c r="S137" s="1266">
        <v>0</v>
      </c>
      <c r="T137" s="1266">
        <f>+IF($Q137=1,$G137,INDEX([1]Summary!$K$5:$K$110,MATCH($C137,[1]Summary!$D$5:$D238,0)))</f>
        <v>206332.31882699998</v>
      </c>
      <c r="U137" s="1266">
        <f>+IF($Q137=1,$J137,INDEX([1]Summary!$L$5:$L$110,MATCH($C137,[1]Summary!$D$5:$D238,0)))</f>
        <v>0</v>
      </c>
      <c r="V137" s="721"/>
      <c r="W137" s="721"/>
      <c r="X137" s="721"/>
      <c r="Y137" s="721"/>
      <c r="Z137" s="721"/>
      <c r="AA137" s="721"/>
      <c r="AB137" s="721"/>
      <c r="AC137" s="721"/>
      <c r="AD137" s="721"/>
      <c r="AE137" s="105"/>
      <c r="AI137" s="105"/>
      <c r="AJ137" s="105"/>
      <c r="AN137" s="105"/>
      <c r="AO137" s="105"/>
      <c r="AP137" s="105"/>
    </row>
    <row r="138" spans="1:42" outlineLevel="1">
      <c r="A138" s="545">
        <f>MAX($A$10:A137)+1</f>
        <v>129</v>
      </c>
      <c r="B138" s="716" t="s">
        <v>1799</v>
      </c>
      <c r="C138" s="716" t="s">
        <v>2004</v>
      </c>
      <c r="D138" s="716" t="s">
        <v>2005</v>
      </c>
      <c r="E138" s="559">
        <v>377</v>
      </c>
      <c r="F138" s="1302" cm="1">
        <f t="array" ref="F138">+IF(SUM(VALUE(N138:Q138)*$N$7:$Q$7)=0,R138,T138)</f>
        <v>147143.04999999999</v>
      </c>
      <c r="G138" s="103">
        <f t="shared" si="7"/>
        <v>147143.04999999999</v>
      </c>
      <c r="H138" s="717">
        <v>45565</v>
      </c>
      <c r="I138" s="1303" cm="1">
        <f t="array" ref="I138">+IF(SUM(VALUE(N138:Q138)*$N$7:$Q$7)=0,S138,U138)</f>
        <v>0</v>
      </c>
      <c r="J138" s="103">
        <f>+I138</f>
        <v>0</v>
      </c>
      <c r="K138" s="103"/>
      <c r="M138"/>
      <c r="N138" s="1300">
        <v>0</v>
      </c>
      <c r="O138" s="1300">
        <v>0</v>
      </c>
      <c r="P138" s="1300">
        <v>0</v>
      </c>
      <c r="Q138" s="1300">
        <v>1</v>
      </c>
      <c r="R138" s="1266">
        <v>147143.04999999999</v>
      </c>
      <c r="S138" s="1266">
        <v>0</v>
      </c>
      <c r="T138" s="1266">
        <f>+IF($Q138=1,$G138,INDEX([1]Summary!$K$5:$K$110,MATCH($C138,[1]Summary!$D$5:$D239,0)))</f>
        <v>147143.04999999999</v>
      </c>
      <c r="U138" s="1266">
        <f>+IF($Q138=1,$J138,INDEX([1]Summary!$L$5:$L$110,MATCH($C138,[1]Summary!$D$5:$D239,0)))</f>
        <v>0</v>
      </c>
      <c r="V138" s="721"/>
      <c r="W138" s="721"/>
      <c r="X138" s="721"/>
      <c r="Y138" s="721"/>
      <c r="Z138" s="721"/>
      <c r="AA138" s="721"/>
      <c r="AB138" s="721"/>
      <c r="AC138" s="721"/>
      <c r="AD138" s="721"/>
      <c r="AE138" s="105"/>
      <c r="AI138" s="105"/>
      <c r="AJ138" s="105"/>
      <c r="AN138" s="105"/>
      <c r="AO138" s="105"/>
      <c r="AP138" s="105"/>
    </row>
    <row r="139" spans="1:42" outlineLevel="1">
      <c r="A139" s="545">
        <f>MAX($A$10:A138)+1</f>
        <v>130</v>
      </c>
      <c r="B139" s="716" t="s">
        <v>1799</v>
      </c>
      <c r="C139" s="716" t="s">
        <v>2006</v>
      </c>
      <c r="D139" s="716" t="s">
        <v>2007</v>
      </c>
      <c r="E139" s="559">
        <v>385</v>
      </c>
      <c r="F139" s="1302" cm="1">
        <f t="array" ref="F139">+IF(SUM(VALUE(N139:Q139)*$N$7:$Q$7)=0,R139,T139)</f>
        <v>0</v>
      </c>
      <c r="G139" s="103">
        <f t="shared" si="7"/>
        <v>0</v>
      </c>
      <c r="H139" s="717">
        <v>45595</v>
      </c>
      <c r="I139" s="1303" cm="1">
        <f t="array" ref="I139">+IF(SUM(VALUE(N139:Q139)*$N$7:$Q$7)=0,S139,U139)</f>
        <v>0</v>
      </c>
      <c r="J139" s="103">
        <f>+I139</f>
        <v>0</v>
      </c>
      <c r="K139" s="103"/>
      <c r="M139"/>
      <c r="N139" s="1300">
        <v>1</v>
      </c>
      <c r="O139" s="1300">
        <v>0</v>
      </c>
      <c r="P139" s="1300">
        <v>0</v>
      </c>
      <c r="Q139" s="1300">
        <v>0</v>
      </c>
      <c r="R139" s="1266">
        <v>200050.77</v>
      </c>
      <c r="S139" s="1266">
        <v>0</v>
      </c>
      <c r="T139" s="1266">
        <f>+IF($Q139=1,$G139,INDEX([1]Summary!$K$5:$K$110,MATCH($C139,[1]Summary!$D$5:$D240,0)))</f>
        <v>0</v>
      </c>
      <c r="U139" s="1266">
        <f>+IF($Q139=1,$J139,INDEX([1]Summary!$L$5:$L$110,MATCH($C139,[1]Summary!$D$5:$D240,0)))</f>
        <v>0</v>
      </c>
      <c r="V139" s="721"/>
      <c r="W139" s="721"/>
      <c r="X139" s="721"/>
      <c r="Y139" s="721"/>
      <c r="Z139" s="721"/>
      <c r="AA139" s="721"/>
      <c r="AB139" s="721"/>
      <c r="AC139" s="721"/>
      <c r="AD139" s="721"/>
      <c r="AE139" s="105"/>
      <c r="AI139" s="105"/>
      <c r="AJ139" s="105"/>
      <c r="AN139" s="105"/>
      <c r="AO139" s="105"/>
      <c r="AP139" s="105"/>
    </row>
    <row r="140" spans="1:42" outlineLevel="1">
      <c r="A140" s="545">
        <f>MAX($A$10:A139)+1</f>
        <v>131</v>
      </c>
      <c r="B140" s="716" t="s">
        <v>1799</v>
      </c>
      <c r="C140" s="716" t="s">
        <v>2008</v>
      </c>
      <c r="D140" s="716" t="s">
        <v>2009</v>
      </c>
      <c r="E140" s="559">
        <v>377</v>
      </c>
      <c r="F140" s="1302" cm="1">
        <f t="array" ref="F140">+IF(SUM(VALUE(N140:Q140)*$N$7:$Q$7)=0,R140,T140)</f>
        <v>18881.810000000001</v>
      </c>
      <c r="G140" s="103">
        <f t="shared" si="7"/>
        <v>18881.810000000001</v>
      </c>
      <c r="H140" s="717">
        <v>45350</v>
      </c>
      <c r="I140" s="1303" cm="1">
        <f t="array" ref="I140">+IF(SUM(VALUE(N140:Q140)*$N$7:$Q$7)=0,S140,U140)</f>
        <v>0</v>
      </c>
      <c r="J140" s="103"/>
      <c r="K140" s="103"/>
      <c r="M140"/>
      <c r="N140" s="1300">
        <v>0</v>
      </c>
      <c r="O140" s="1300">
        <v>0</v>
      </c>
      <c r="P140" s="1300">
        <v>0</v>
      </c>
      <c r="Q140" s="1300">
        <v>1</v>
      </c>
      <c r="R140" s="1266">
        <v>18881.810000000001</v>
      </c>
      <c r="S140" s="1266">
        <v>0</v>
      </c>
      <c r="T140" s="1266">
        <f>+IF($Q140=1,$G140,INDEX([1]Summary!$K$5:$K$110,MATCH($C140,[1]Summary!$D$5:$D241,0)))</f>
        <v>18881.810000000001</v>
      </c>
      <c r="U140" s="1266">
        <f>+IF($Q140=1,$J140,INDEX([1]Summary!$L$5:$L$110,MATCH($C140,[1]Summary!$D$5:$D241,0)))</f>
        <v>0</v>
      </c>
      <c r="V140" s="721"/>
      <c r="W140" s="721"/>
      <c r="X140" s="721"/>
      <c r="Y140" s="721"/>
      <c r="Z140" s="721"/>
      <c r="AA140" s="721"/>
      <c r="AB140" s="721"/>
      <c r="AC140" s="721"/>
      <c r="AD140" s="721"/>
      <c r="AE140" s="105"/>
      <c r="AI140" s="105"/>
      <c r="AJ140" s="105"/>
      <c r="AN140" s="105"/>
      <c r="AO140" s="105"/>
      <c r="AP140" s="105"/>
    </row>
    <row r="141" spans="1:42" outlineLevel="1">
      <c r="A141" s="545">
        <f>MAX($A$10:A140)+1</f>
        <v>132</v>
      </c>
      <c r="B141" s="716" t="s">
        <v>1799</v>
      </c>
      <c r="C141" s="716" t="s">
        <v>2010</v>
      </c>
      <c r="D141" s="716" t="s">
        <v>2011</v>
      </c>
      <c r="E141" s="559">
        <v>378</v>
      </c>
      <c r="F141" s="1302" cm="1">
        <f t="array" ref="F141">+IF(SUM(VALUE(N141:Q141)*$N$7:$Q$7)=0,R141,T141)</f>
        <v>55851.398262000002</v>
      </c>
      <c r="G141" s="103">
        <f t="shared" si="7"/>
        <v>55851.398262000002</v>
      </c>
      <c r="H141" s="717">
        <v>45350</v>
      </c>
      <c r="I141" s="1303" cm="1">
        <f t="array" ref="I141">+IF(SUM(VALUE(N141:Q141)*$N$7:$Q$7)=0,S141,U141)</f>
        <v>0</v>
      </c>
      <c r="J141" s="103"/>
      <c r="K141" s="103"/>
      <c r="M141"/>
      <c r="N141" s="1300">
        <v>0</v>
      </c>
      <c r="O141" s="1300">
        <v>0</v>
      </c>
      <c r="P141" s="1300">
        <v>0</v>
      </c>
      <c r="Q141" s="1300">
        <v>1</v>
      </c>
      <c r="R141" s="1266">
        <v>55851.398262000002</v>
      </c>
      <c r="S141" s="1266">
        <v>0</v>
      </c>
      <c r="T141" s="1266">
        <f>+IF($Q141=1,$G141,INDEX([1]Summary!$K$5:$K$110,MATCH($C141,[1]Summary!$D$5:$D242,0)))</f>
        <v>55851.398262000002</v>
      </c>
      <c r="U141" s="1266">
        <f>+IF($Q141=1,$J141,INDEX([1]Summary!$L$5:$L$110,MATCH($C141,[1]Summary!$D$5:$D242,0)))</f>
        <v>0</v>
      </c>
      <c r="V141" s="721"/>
      <c r="W141" s="721"/>
      <c r="X141" s="721"/>
      <c r="Y141" s="721"/>
      <c r="Z141" s="721"/>
      <c r="AA141" s="721"/>
      <c r="AB141" s="721"/>
      <c r="AC141" s="721"/>
      <c r="AD141" s="721"/>
      <c r="AE141" s="105"/>
      <c r="AI141" s="105"/>
      <c r="AJ141" s="105"/>
      <c r="AN141" s="105"/>
      <c r="AO141" s="105"/>
      <c r="AP141" s="105"/>
    </row>
    <row r="142" spans="1:42" outlineLevel="1">
      <c r="A142" s="545">
        <f>MAX($A$10:A141)+1</f>
        <v>133</v>
      </c>
      <c r="B142" s="716" t="s">
        <v>1799</v>
      </c>
      <c r="C142" s="716" t="s">
        <v>2012</v>
      </c>
      <c r="D142" s="716" t="s">
        <v>2013</v>
      </c>
      <c r="E142" s="559">
        <v>376.2</v>
      </c>
      <c r="F142" s="1302" cm="1">
        <f t="array" ref="F142">+IF(SUM(VALUE(N142:Q142)*$N$7:$Q$7)=0,R142,T142)</f>
        <v>0</v>
      </c>
      <c r="G142" s="103">
        <f t="shared" si="7"/>
        <v>0</v>
      </c>
      <c r="H142" s="717">
        <v>45595</v>
      </c>
      <c r="I142" s="1303" cm="1">
        <f t="array" ref="I142">+IF(SUM(VALUE(N142:Q142)*$N$7:$Q$7)=0,S142,U142)</f>
        <v>0</v>
      </c>
      <c r="J142" s="103">
        <f t="shared" ref="J142:J149" si="9">+I142</f>
        <v>0</v>
      </c>
      <c r="K142" s="103"/>
      <c r="M142"/>
      <c r="N142" s="1300">
        <v>1</v>
      </c>
      <c r="O142" s="1300">
        <v>0</v>
      </c>
      <c r="P142" s="1300">
        <v>0</v>
      </c>
      <c r="Q142" s="1300">
        <v>0</v>
      </c>
      <c r="R142" s="1266">
        <v>1934355.9500000002</v>
      </c>
      <c r="S142" s="1266">
        <v>0</v>
      </c>
      <c r="T142" s="1266">
        <f>+IF($Q142=1,$G142,INDEX([1]Summary!$K$5:$K$110,MATCH($C142,[1]Summary!$D$5:$D243,0)))</f>
        <v>0</v>
      </c>
      <c r="U142" s="1266">
        <f>+IF($Q142=1,$J142,INDEX([1]Summary!$L$5:$L$110,MATCH($C142,[1]Summary!$D$5:$D243,0)))</f>
        <v>0</v>
      </c>
      <c r="V142" s="721"/>
      <c r="W142" s="721"/>
      <c r="X142" s="721"/>
      <c r="Y142" s="721"/>
      <c r="Z142" s="721"/>
      <c r="AA142" s="721"/>
      <c r="AB142" s="721"/>
      <c r="AC142" s="721"/>
      <c r="AD142" s="721"/>
      <c r="AE142" s="105"/>
      <c r="AI142" s="105"/>
      <c r="AJ142" s="105"/>
      <c r="AN142" s="105"/>
      <c r="AO142" s="105"/>
      <c r="AP142" s="105"/>
    </row>
    <row r="143" spans="1:42" outlineLevel="1">
      <c r="A143" s="545">
        <f>MAX($A$10:A142)+1</f>
        <v>134</v>
      </c>
      <c r="B143" s="716" t="s">
        <v>1799</v>
      </c>
      <c r="C143" s="720" t="s">
        <v>2014</v>
      </c>
      <c r="D143" s="720" t="s">
        <v>2015</v>
      </c>
      <c r="E143" s="559">
        <v>378</v>
      </c>
      <c r="F143" s="1302" cm="1">
        <f t="array" ref="F143">+IF(SUM(VALUE(N143:Q143)*$N$7:$Q$7)=0,R143,T143)</f>
        <v>0</v>
      </c>
      <c r="G143" s="103">
        <f t="shared" si="7"/>
        <v>0</v>
      </c>
      <c r="H143" s="721"/>
      <c r="I143" s="1303" cm="1">
        <f t="array" ref="I143">+IF(SUM(VALUE(N143:Q143)*$N$7:$Q$7)=0,S143,U143)</f>
        <v>0</v>
      </c>
      <c r="J143" s="103">
        <f t="shared" si="9"/>
        <v>0</v>
      </c>
      <c r="K143" s="717">
        <v>45667</v>
      </c>
      <c r="M143"/>
      <c r="N143" s="1300">
        <v>1</v>
      </c>
      <c r="O143" s="1300">
        <v>0</v>
      </c>
      <c r="P143" s="1300">
        <v>0</v>
      </c>
      <c r="Q143" s="1300">
        <v>0</v>
      </c>
      <c r="R143" s="1266">
        <v>0</v>
      </c>
      <c r="S143" s="1266">
        <v>886934.01</v>
      </c>
      <c r="T143" s="1266">
        <f>+IF($Q143=1,$G143,INDEX([1]Summary!$K$5:$K$110,MATCH($C143,[1]Summary!$D$5:$D244,0)))</f>
        <v>0</v>
      </c>
      <c r="U143" s="1266">
        <f>+IF($Q143=1,$J143,INDEX([1]Summary!$L$5:$L$110,MATCH($C143,[1]Summary!$D$5:$D244,0)))</f>
        <v>0</v>
      </c>
      <c r="V143" s="721"/>
      <c r="W143" s="721"/>
      <c r="X143" s="721"/>
      <c r="Y143" s="721"/>
      <c r="Z143" s="721"/>
      <c r="AA143" s="721"/>
      <c r="AB143" s="721"/>
      <c r="AC143" s="721"/>
      <c r="AD143" s="721"/>
      <c r="AE143" s="105"/>
      <c r="AI143" s="105"/>
      <c r="AJ143" s="105"/>
      <c r="AN143" s="105"/>
      <c r="AO143" s="105"/>
      <c r="AP143" s="105"/>
    </row>
    <row r="144" spans="1:42" outlineLevel="1">
      <c r="A144" s="545">
        <f>MAX($A$10:A143)+1</f>
        <v>135</v>
      </c>
      <c r="B144" s="716" t="s">
        <v>1799</v>
      </c>
      <c r="C144" s="716" t="s">
        <v>2016</v>
      </c>
      <c r="D144" s="716" t="s">
        <v>2017</v>
      </c>
      <c r="E144" s="559">
        <v>378</v>
      </c>
      <c r="F144" s="1302" cm="1">
        <f t="array" ref="F144">+IF(SUM(VALUE(N144:Q144)*$N$7:$Q$7)=0,R144,T144)</f>
        <v>0</v>
      </c>
      <c r="G144" s="103">
        <f t="shared" si="7"/>
        <v>0</v>
      </c>
      <c r="H144" s="717">
        <v>45641</v>
      </c>
      <c r="I144" s="1303" cm="1">
        <f t="array" ref="I144">+IF(SUM(VALUE(N144:Q144)*$N$7:$Q$7)=0,S144,U144)</f>
        <v>0</v>
      </c>
      <c r="J144" s="103">
        <f t="shared" si="9"/>
        <v>0</v>
      </c>
      <c r="K144" s="103"/>
      <c r="M144"/>
      <c r="N144" s="1300">
        <v>1</v>
      </c>
      <c r="O144" s="1300">
        <v>0</v>
      </c>
      <c r="P144" s="1300">
        <v>0</v>
      </c>
      <c r="Q144" s="1300">
        <v>0</v>
      </c>
      <c r="R144" s="1266">
        <v>789230.02</v>
      </c>
      <c r="S144" s="1266">
        <v>0</v>
      </c>
      <c r="T144" s="1266">
        <f>+IF($Q144=1,$G144,INDEX([1]Summary!$K$5:$K$110,MATCH($C144,[1]Summary!$D$5:$D245,0)))</f>
        <v>0</v>
      </c>
      <c r="U144" s="1266">
        <f>+IF($Q144=1,$J144,INDEX([1]Summary!$L$5:$L$110,MATCH($C144,[1]Summary!$D$5:$D245,0)))</f>
        <v>0</v>
      </c>
      <c r="V144" s="721"/>
      <c r="W144" s="721"/>
      <c r="X144" s="721"/>
      <c r="Y144" s="721"/>
      <c r="Z144" s="721"/>
      <c r="AA144" s="721"/>
      <c r="AB144" s="721"/>
      <c r="AC144" s="721"/>
      <c r="AD144" s="721"/>
      <c r="AE144" s="105"/>
      <c r="AI144" s="105"/>
      <c r="AJ144" s="105"/>
      <c r="AN144" s="105"/>
      <c r="AO144" s="105"/>
      <c r="AP144" s="105"/>
    </row>
    <row r="145" spans="1:42" outlineLevel="1">
      <c r="A145" s="545">
        <f>MAX($A$10:A144)+1</f>
        <v>136</v>
      </c>
      <c r="B145" s="716" t="s">
        <v>1799</v>
      </c>
      <c r="C145" s="716" t="s">
        <v>2018</v>
      </c>
      <c r="D145" s="716" t="s">
        <v>2019</v>
      </c>
      <c r="E145" s="559">
        <v>376.2</v>
      </c>
      <c r="F145" s="1302" cm="1">
        <f t="array" ref="F145">+IF(SUM(VALUE(N145:Q145)*$N$7:$Q$7)=0,R145,T145)</f>
        <v>306877.8</v>
      </c>
      <c r="G145" s="103">
        <f t="shared" si="7"/>
        <v>306877.8</v>
      </c>
      <c r="H145" s="717">
        <v>45444</v>
      </c>
      <c r="I145" s="1303" cm="1">
        <f t="array" ref="I145">+IF(SUM(VALUE(N145:Q145)*$N$7:$Q$7)=0,S145,U145)</f>
        <v>0</v>
      </c>
      <c r="J145" s="103">
        <f t="shared" si="9"/>
        <v>0</v>
      </c>
      <c r="K145" s="103"/>
      <c r="M145"/>
      <c r="N145" s="1300">
        <v>0</v>
      </c>
      <c r="O145" s="1300">
        <v>0</v>
      </c>
      <c r="P145" s="1300">
        <v>0</v>
      </c>
      <c r="Q145" s="1300">
        <v>1</v>
      </c>
      <c r="R145" s="1266">
        <v>306877.8</v>
      </c>
      <c r="S145" s="1266">
        <v>0</v>
      </c>
      <c r="T145" s="1266">
        <f>+IF($Q145=1,$G145,INDEX([1]Summary!$K$5:$K$110,MATCH($C145,[1]Summary!$D$5:$D246,0)))</f>
        <v>306877.8</v>
      </c>
      <c r="U145" s="1266">
        <f>+IF($Q145=1,$J145,INDEX([1]Summary!$L$5:$L$110,MATCH($C145,[1]Summary!$D$5:$D246,0)))</f>
        <v>0</v>
      </c>
      <c r="V145" s="721"/>
      <c r="W145" s="721"/>
      <c r="X145" s="721"/>
      <c r="Y145" s="721"/>
      <c r="Z145" s="721"/>
      <c r="AA145" s="721"/>
      <c r="AB145" s="721"/>
      <c r="AC145" s="721"/>
      <c r="AD145" s="721"/>
      <c r="AE145" s="105"/>
      <c r="AI145" s="105"/>
      <c r="AJ145" s="105"/>
      <c r="AN145" s="105"/>
      <c r="AO145" s="105"/>
      <c r="AP145" s="105"/>
    </row>
    <row r="146" spans="1:42" outlineLevel="1">
      <c r="A146" s="545">
        <f>MAX($A$10:A145)+1</f>
        <v>137</v>
      </c>
      <c r="B146" s="716" t="s">
        <v>1799</v>
      </c>
      <c r="C146" s="720" t="s">
        <v>2020</v>
      </c>
      <c r="D146" s="720" t="s">
        <v>2021</v>
      </c>
      <c r="E146" s="559">
        <v>376.3</v>
      </c>
      <c r="F146" s="1302" cm="1">
        <f t="array" ref="F146">+IF(SUM(VALUE(N146:Q146)*$N$7:$Q$7)=0,R146,T146)</f>
        <v>0</v>
      </c>
      <c r="G146" s="103">
        <f t="shared" si="7"/>
        <v>0</v>
      </c>
      <c r="I146" s="1303" cm="1">
        <f t="array" ref="I146">+IF(SUM(VALUE(N146:Q146)*$N$7:$Q$7)=0,S146,U146)</f>
        <v>175206.26</v>
      </c>
      <c r="J146" s="103">
        <f t="shared" si="9"/>
        <v>175206.26</v>
      </c>
      <c r="K146" s="717">
        <v>45853</v>
      </c>
      <c r="M146"/>
      <c r="N146" s="1300">
        <v>0</v>
      </c>
      <c r="O146" s="1300">
        <v>0</v>
      </c>
      <c r="P146" s="1300">
        <v>0</v>
      </c>
      <c r="Q146" s="1300">
        <v>1</v>
      </c>
      <c r="R146" s="1266">
        <v>0</v>
      </c>
      <c r="S146" s="1266">
        <v>175206.26</v>
      </c>
      <c r="T146" s="1266">
        <f>+IF($Q146=1,$G146,INDEX([1]Summary!$K$5:$K$110,MATCH($C146,[1]Summary!$D$5:$D247,0)))</f>
        <v>0</v>
      </c>
      <c r="U146" s="1266">
        <f>+IF($Q146=1,$J146,INDEX([1]Summary!$L$5:$L$110,MATCH($C146,[1]Summary!$D$5:$D247,0)))</f>
        <v>175206.26</v>
      </c>
      <c r="V146" s="721"/>
      <c r="W146" s="721"/>
      <c r="X146" s="721"/>
      <c r="Y146" s="721"/>
      <c r="Z146" s="721"/>
      <c r="AA146" s="721"/>
      <c r="AB146" s="721"/>
      <c r="AC146" s="721"/>
      <c r="AD146" s="721"/>
      <c r="AE146" s="105"/>
      <c r="AI146" s="105"/>
      <c r="AJ146" s="105"/>
      <c r="AN146" s="105"/>
      <c r="AO146" s="105"/>
      <c r="AP146" s="105"/>
    </row>
    <row r="147" spans="1:42" outlineLevel="1">
      <c r="A147" s="545">
        <f>MAX($A$10:A146)+1</f>
        <v>138</v>
      </c>
      <c r="B147" s="716" t="s">
        <v>1799</v>
      </c>
      <c r="C147" s="716" t="s">
        <v>2022</v>
      </c>
      <c r="D147" s="716" t="s">
        <v>2023</v>
      </c>
      <c r="E147" s="559">
        <v>378</v>
      </c>
      <c r="F147" s="1302" cm="1">
        <f t="array" ref="F147">+IF(SUM(VALUE(N147:Q147)*$N$7:$Q$7)=0,R147,T147)</f>
        <v>292793.3</v>
      </c>
      <c r="G147" s="103">
        <f t="shared" si="7"/>
        <v>292793.3</v>
      </c>
      <c r="H147" s="717">
        <v>45458</v>
      </c>
      <c r="I147" s="1303" cm="1">
        <f t="array" ref="I147">+IF(SUM(VALUE(N147:Q147)*$N$7:$Q$7)=0,S147,U147)</f>
        <v>0</v>
      </c>
      <c r="J147" s="103">
        <f t="shared" si="9"/>
        <v>0</v>
      </c>
      <c r="K147" s="103"/>
      <c r="M147"/>
      <c r="N147" s="1300">
        <v>0</v>
      </c>
      <c r="O147" s="1300">
        <v>0</v>
      </c>
      <c r="P147" s="1300">
        <v>0</v>
      </c>
      <c r="Q147" s="1300">
        <v>1</v>
      </c>
      <c r="R147" s="1266">
        <v>292793.3</v>
      </c>
      <c r="S147" s="1266">
        <v>0</v>
      </c>
      <c r="T147" s="1266">
        <f>+IF($Q147=1,$G147,INDEX([1]Summary!$K$5:$K$110,MATCH($C147,[1]Summary!$D$5:$D248,0)))</f>
        <v>292793.3</v>
      </c>
      <c r="U147" s="1266">
        <f>+IF($Q147=1,$J147,INDEX([1]Summary!$L$5:$L$110,MATCH($C147,[1]Summary!$D$5:$D248,0)))</f>
        <v>0</v>
      </c>
      <c r="V147" s="721"/>
      <c r="W147" s="721"/>
      <c r="X147" s="721"/>
      <c r="Y147" s="721"/>
      <c r="Z147" s="721"/>
      <c r="AA147" s="721"/>
      <c r="AB147" s="721"/>
      <c r="AC147" s="721"/>
      <c r="AD147" s="721"/>
      <c r="AE147" s="105"/>
      <c r="AI147" s="105"/>
      <c r="AJ147" s="105"/>
      <c r="AN147" s="105"/>
      <c r="AO147" s="105"/>
      <c r="AP147" s="105"/>
    </row>
    <row r="148" spans="1:42" outlineLevel="1">
      <c r="A148" s="545">
        <f>MAX($A$10:A147)+1</f>
        <v>139</v>
      </c>
      <c r="B148" s="716" t="s">
        <v>1799</v>
      </c>
      <c r="C148" s="716" t="s">
        <v>2024</v>
      </c>
      <c r="D148" s="716" t="s">
        <v>2025</v>
      </c>
      <c r="E148" s="559">
        <v>367.1</v>
      </c>
      <c r="F148" s="1302" cm="1">
        <f t="array" ref="F148">+IF(SUM(VALUE(N148:Q148)*$N$7:$Q$7)=0,R148,T148)</f>
        <v>2632121.5699999998</v>
      </c>
      <c r="G148" s="103">
        <f t="shared" si="7"/>
        <v>2632121.5699999998</v>
      </c>
      <c r="H148" s="717">
        <v>45626</v>
      </c>
      <c r="I148" s="1303" cm="1">
        <f t="array" ref="I148">+IF(SUM(VALUE(N148:Q148)*$N$7:$Q$7)=0,S148,U148)</f>
        <v>0</v>
      </c>
      <c r="J148" s="103">
        <f t="shared" si="9"/>
        <v>0</v>
      </c>
      <c r="K148" s="103"/>
      <c r="M148"/>
      <c r="N148" s="1300">
        <v>0</v>
      </c>
      <c r="O148" s="1300">
        <v>1</v>
      </c>
      <c r="P148" s="1300">
        <v>0</v>
      </c>
      <c r="Q148" s="1300">
        <v>0</v>
      </c>
      <c r="R148" s="1266">
        <v>2632121.5699999998</v>
      </c>
      <c r="S148" s="1266">
        <v>0</v>
      </c>
      <c r="T148" s="1266">
        <f>+IF($Q148=1,$G148,INDEX([1]Summary!$K$5:$K$110,MATCH($C148,[1]Summary!$D$5:$D249,0)))</f>
        <v>0</v>
      </c>
      <c r="U148" s="1266">
        <f>+IF($Q148=1,$J148,INDEX([1]Summary!$L$5:$L$110,MATCH($C148,[1]Summary!$D$5:$D249,0)))</f>
        <v>2632121.5699999998</v>
      </c>
      <c r="V148" s="721"/>
      <c r="W148" s="721"/>
      <c r="X148" s="721"/>
      <c r="Y148" s="721"/>
      <c r="Z148" s="721"/>
      <c r="AA148" s="721"/>
      <c r="AB148" s="721"/>
      <c r="AC148" s="721"/>
      <c r="AD148" s="721"/>
      <c r="AE148" s="105"/>
      <c r="AI148" s="105"/>
      <c r="AJ148" s="105"/>
      <c r="AN148" s="105"/>
      <c r="AO148" s="105"/>
      <c r="AP148" s="105"/>
    </row>
    <row r="149" spans="1:42" outlineLevel="1">
      <c r="A149" s="545">
        <f>MAX($A$10:A148)+1</f>
        <v>140</v>
      </c>
      <c r="B149" s="716" t="s">
        <v>1799</v>
      </c>
      <c r="C149" s="720" t="s">
        <v>2026</v>
      </c>
      <c r="D149" s="720" t="s">
        <v>2027</v>
      </c>
      <c r="E149" s="559">
        <v>378</v>
      </c>
      <c r="F149" s="1302" cm="1">
        <f t="array" ref="F149">+IF(SUM(VALUE(N149:Q149)*$N$7:$Q$7)=0,R149,T149)</f>
        <v>0</v>
      </c>
      <c r="G149" s="103"/>
      <c r="I149" s="1303" cm="1">
        <f t="array" ref="I149">+IF(SUM(VALUE(N149:Q149)*$N$7:$Q$7)=0,S149,U149)</f>
        <v>187404.35</v>
      </c>
      <c r="J149" s="103">
        <f t="shared" si="9"/>
        <v>187404.35</v>
      </c>
      <c r="K149" s="717">
        <v>45976</v>
      </c>
      <c r="M149"/>
      <c r="N149" s="1300">
        <v>0</v>
      </c>
      <c r="O149" s="1300">
        <v>0</v>
      </c>
      <c r="P149" s="1300">
        <v>0</v>
      </c>
      <c r="Q149" s="1300">
        <v>1</v>
      </c>
      <c r="R149" s="1266">
        <v>0</v>
      </c>
      <c r="S149" s="1266">
        <v>187404.35</v>
      </c>
      <c r="T149" s="1266">
        <f>+IF($Q149=1,$G149,INDEX([1]Summary!$K$5:$K$110,MATCH($C149,[1]Summary!$D$5:$D250,0)))</f>
        <v>0</v>
      </c>
      <c r="U149" s="1266">
        <f>+IF($Q149=1,$J149,INDEX([1]Summary!$L$5:$L$110,MATCH($C149,[1]Summary!$D$5:$D250,0)))</f>
        <v>187404.35</v>
      </c>
      <c r="V149" s="721"/>
      <c r="W149" s="721"/>
      <c r="X149" s="721"/>
      <c r="Y149" s="721"/>
      <c r="Z149" s="721"/>
      <c r="AA149" s="721"/>
      <c r="AB149" s="721"/>
      <c r="AC149" s="721"/>
      <c r="AD149" s="721"/>
      <c r="AE149" s="105"/>
      <c r="AI149" s="105"/>
      <c r="AJ149" s="105"/>
      <c r="AN149" s="105"/>
      <c r="AO149" s="105"/>
      <c r="AP149" s="105"/>
    </row>
    <row r="150" spans="1:42" outlineLevel="1">
      <c r="A150" s="545">
        <f>MAX($A$10:A149)+1</f>
        <v>141</v>
      </c>
      <c r="B150" s="716" t="s">
        <v>1799</v>
      </c>
      <c r="C150" s="720" t="s">
        <v>2028</v>
      </c>
      <c r="D150" s="720" t="s">
        <v>2029</v>
      </c>
      <c r="E150" s="559">
        <v>376.1</v>
      </c>
      <c r="F150" s="1302" cm="1">
        <f t="array" ref="F150">+IF(SUM(VALUE(N150:Q150)*$N$7:$Q$7)=0,R150,T150)</f>
        <v>72206.34</v>
      </c>
      <c r="G150" s="103">
        <f t="shared" ref="G150:G182" si="10">+F150</f>
        <v>72206.34</v>
      </c>
      <c r="H150" s="721">
        <v>45321</v>
      </c>
      <c r="I150" s="1303" cm="1">
        <f t="array" ref="I150">+IF(SUM(VALUE(N150:Q150)*$N$7:$Q$7)=0,S150,U150)</f>
        <v>0</v>
      </c>
      <c r="J150" s="103"/>
      <c r="K150" s="717"/>
      <c r="M150"/>
      <c r="N150" s="1300">
        <v>0</v>
      </c>
      <c r="O150" s="1300">
        <v>0</v>
      </c>
      <c r="P150" s="1300">
        <v>0</v>
      </c>
      <c r="Q150" s="1300">
        <v>1</v>
      </c>
      <c r="R150" s="1266">
        <v>72206.34</v>
      </c>
      <c r="S150" s="1266">
        <v>0</v>
      </c>
      <c r="T150" s="1266">
        <f>+IF($Q150=1,$G150,INDEX([1]Summary!$K$5:$K$110,MATCH($C150,[1]Summary!$D$5:$D251,0)))</f>
        <v>72206.34</v>
      </c>
      <c r="U150" s="1266">
        <f>+IF($Q150=1,$J150,INDEX([1]Summary!$L$5:$L$110,MATCH($C150,[1]Summary!$D$5:$D251,0)))</f>
        <v>0</v>
      </c>
      <c r="V150" s="721"/>
      <c r="W150" s="721"/>
      <c r="X150" s="721"/>
      <c r="Y150" s="721"/>
      <c r="Z150" s="721"/>
      <c r="AA150" s="721"/>
      <c r="AB150" s="721"/>
      <c r="AC150" s="721"/>
      <c r="AD150" s="721"/>
      <c r="AE150" s="105"/>
      <c r="AI150" s="105"/>
      <c r="AJ150" s="105"/>
      <c r="AN150" s="105"/>
      <c r="AO150" s="105"/>
      <c r="AP150" s="105"/>
    </row>
    <row r="151" spans="1:42" outlineLevel="1">
      <c r="A151" s="545">
        <f>MAX($A$10:A150)+1</f>
        <v>142</v>
      </c>
      <c r="B151" s="716" t="s">
        <v>1799</v>
      </c>
      <c r="C151" s="716" t="s">
        <v>2030</v>
      </c>
      <c r="D151" s="716" t="s">
        <v>2031</v>
      </c>
      <c r="E151" s="559">
        <v>376.3</v>
      </c>
      <c r="F151" s="1302" cm="1">
        <f t="array" ref="F151">+IF(SUM(VALUE(N151:Q151)*$N$7:$Q$7)=0,R151,T151)</f>
        <v>193815.11</v>
      </c>
      <c r="G151" s="103">
        <f t="shared" si="10"/>
        <v>193815.11</v>
      </c>
      <c r="H151" s="717">
        <v>45412</v>
      </c>
      <c r="I151" s="1303" cm="1">
        <f t="array" ref="I151">+IF(SUM(VALUE(N151:Q151)*$N$7:$Q$7)=0,S151,U151)</f>
        <v>0</v>
      </c>
      <c r="J151" s="103">
        <f t="shared" ref="J151:J156" si="11">+I151</f>
        <v>0</v>
      </c>
      <c r="K151" s="103"/>
      <c r="M151"/>
      <c r="N151" s="1300">
        <v>0</v>
      </c>
      <c r="O151" s="1300">
        <v>0</v>
      </c>
      <c r="P151" s="1300">
        <v>0</v>
      </c>
      <c r="Q151" s="1300">
        <v>1</v>
      </c>
      <c r="R151" s="1266">
        <v>193815.11</v>
      </c>
      <c r="S151" s="1266">
        <v>0</v>
      </c>
      <c r="T151" s="1266">
        <f>+IF($Q151=1,$G151,INDEX([1]Summary!$K$5:$K$110,MATCH($C151,[1]Summary!$D$5:$D252,0)))</f>
        <v>193815.11</v>
      </c>
      <c r="U151" s="1266">
        <f>+IF($Q151=1,$J151,INDEX([1]Summary!$L$5:$L$110,MATCH($C151,[1]Summary!$D$5:$D252,0)))</f>
        <v>0</v>
      </c>
      <c r="V151" s="721"/>
      <c r="W151" s="721"/>
      <c r="X151" s="721"/>
      <c r="Y151" s="721"/>
      <c r="Z151" s="721"/>
      <c r="AA151" s="721"/>
      <c r="AB151" s="721"/>
      <c r="AC151" s="721"/>
      <c r="AD151" s="721"/>
      <c r="AE151" s="105"/>
      <c r="AI151" s="105"/>
      <c r="AJ151" s="105"/>
      <c r="AN151" s="105"/>
      <c r="AO151" s="105"/>
      <c r="AP151" s="105"/>
    </row>
    <row r="152" spans="1:42" outlineLevel="1">
      <c r="A152" s="545">
        <f>MAX($A$10:A151)+1</f>
        <v>143</v>
      </c>
      <c r="B152" s="716" t="s">
        <v>1799</v>
      </c>
      <c r="C152" s="716" t="s">
        <v>2032</v>
      </c>
      <c r="D152" s="716" t="s">
        <v>2033</v>
      </c>
      <c r="E152" s="559">
        <v>377</v>
      </c>
      <c r="F152" s="1302" cm="1">
        <f t="array" ref="F152">+IF(SUM(VALUE(N152:Q152)*$N$7:$Q$7)=0,R152,T152)</f>
        <v>18174</v>
      </c>
      <c r="G152" s="103">
        <f t="shared" si="10"/>
        <v>18174</v>
      </c>
      <c r="H152" s="717">
        <v>45458</v>
      </c>
      <c r="I152" s="1303" cm="1">
        <f t="array" ref="I152">+IF(SUM(VALUE(N152:Q152)*$N$7:$Q$7)=0,S152,U152)</f>
        <v>0</v>
      </c>
      <c r="J152" s="103">
        <f t="shared" si="11"/>
        <v>0</v>
      </c>
      <c r="K152" s="103"/>
      <c r="M152"/>
      <c r="N152" s="1300">
        <v>0</v>
      </c>
      <c r="O152" s="1300">
        <v>0</v>
      </c>
      <c r="P152" s="1300">
        <v>0</v>
      </c>
      <c r="Q152" s="1300">
        <v>1</v>
      </c>
      <c r="R152" s="1266">
        <v>18174</v>
      </c>
      <c r="S152" s="1266">
        <v>0</v>
      </c>
      <c r="T152" s="1266">
        <f>+IF($Q152=1,$G152,INDEX([1]Summary!$K$5:$K$110,MATCH($C152,[1]Summary!$D$5:$D253,0)))</f>
        <v>18174</v>
      </c>
      <c r="U152" s="1266">
        <f>+IF($Q152=1,$J152,INDEX([1]Summary!$L$5:$L$110,MATCH($C152,[1]Summary!$D$5:$D253,0)))</f>
        <v>0</v>
      </c>
      <c r="V152" s="721"/>
      <c r="W152" s="721"/>
      <c r="X152" s="721"/>
      <c r="Y152" s="721"/>
      <c r="Z152" s="721"/>
      <c r="AA152" s="721"/>
      <c r="AB152" s="721"/>
      <c r="AC152" s="721"/>
      <c r="AD152" s="721"/>
      <c r="AE152" s="105"/>
      <c r="AI152" s="105"/>
      <c r="AJ152" s="105"/>
      <c r="AN152" s="105"/>
      <c r="AO152" s="105"/>
      <c r="AP152" s="105"/>
    </row>
    <row r="153" spans="1:42" outlineLevel="1">
      <c r="A153" s="545">
        <f>MAX($A$10:A152)+1</f>
        <v>144</v>
      </c>
      <c r="B153" s="716" t="s">
        <v>1799</v>
      </c>
      <c r="C153" s="716" t="s">
        <v>2034</v>
      </c>
      <c r="D153" s="716" t="s">
        <v>2035</v>
      </c>
      <c r="E153" s="559">
        <v>377</v>
      </c>
      <c r="F153" s="1302" cm="1">
        <f t="array" ref="F153">+IF(SUM(VALUE(N153:Q153)*$N$7:$Q$7)=0,R153,T153)</f>
        <v>21808.799999999999</v>
      </c>
      <c r="G153" s="103">
        <f t="shared" si="10"/>
        <v>21808.799999999999</v>
      </c>
      <c r="H153" s="717">
        <v>45458</v>
      </c>
      <c r="I153" s="1303" cm="1">
        <f t="array" ref="I153">+IF(SUM(VALUE(N153:Q153)*$N$7:$Q$7)=0,S153,U153)</f>
        <v>0</v>
      </c>
      <c r="J153" s="103">
        <f t="shared" si="11"/>
        <v>0</v>
      </c>
      <c r="K153" s="103"/>
      <c r="M153"/>
      <c r="N153" s="1300">
        <v>0</v>
      </c>
      <c r="O153" s="1300">
        <v>0</v>
      </c>
      <c r="P153" s="1300">
        <v>0</v>
      </c>
      <c r="Q153" s="1300">
        <v>1</v>
      </c>
      <c r="R153" s="1266">
        <v>21808.799999999999</v>
      </c>
      <c r="S153" s="1266">
        <v>0</v>
      </c>
      <c r="T153" s="1266">
        <f>+IF($Q153=1,$G153,INDEX([1]Summary!$K$5:$K$110,MATCH($C153,[1]Summary!$D$5:$D254,0)))</f>
        <v>21808.799999999999</v>
      </c>
      <c r="U153" s="1266">
        <f>+IF($Q153=1,$J153,INDEX([1]Summary!$L$5:$L$110,MATCH($C153,[1]Summary!$D$5:$D254,0)))</f>
        <v>0</v>
      </c>
      <c r="V153" s="721"/>
      <c r="W153" s="721"/>
      <c r="X153" s="721"/>
      <c r="Y153" s="721"/>
      <c r="Z153" s="721"/>
      <c r="AA153" s="721"/>
      <c r="AB153" s="721"/>
      <c r="AC153" s="721"/>
      <c r="AD153" s="721"/>
      <c r="AE153" s="105"/>
      <c r="AI153" s="105"/>
      <c r="AJ153" s="105"/>
      <c r="AN153" s="105"/>
      <c r="AO153" s="105"/>
      <c r="AP153" s="105"/>
    </row>
    <row r="154" spans="1:42" outlineLevel="1">
      <c r="A154" s="545">
        <f>MAX($A$10:A153)+1</f>
        <v>145</v>
      </c>
      <c r="B154" s="716" t="s">
        <v>1799</v>
      </c>
      <c r="C154" s="716" t="s">
        <v>2036</v>
      </c>
      <c r="D154" s="716" t="s">
        <v>2037</v>
      </c>
      <c r="E154" s="559">
        <v>376.3</v>
      </c>
      <c r="F154" s="1302" cm="1">
        <f t="array" ref="F154">+IF(SUM(VALUE(N154:Q154)*$N$7:$Q$7)=0,R154,T154)</f>
        <v>343625.52</v>
      </c>
      <c r="G154" s="103">
        <f t="shared" si="10"/>
        <v>343625.52</v>
      </c>
      <c r="H154" s="717">
        <v>45458</v>
      </c>
      <c r="I154" s="1303" cm="1">
        <f t="array" ref="I154">+IF(SUM(VALUE(N154:Q154)*$N$7:$Q$7)=0,S154,U154)</f>
        <v>0</v>
      </c>
      <c r="J154" s="103">
        <f t="shared" si="11"/>
        <v>0</v>
      </c>
      <c r="K154" s="103"/>
      <c r="M154"/>
      <c r="N154" s="1300">
        <v>0</v>
      </c>
      <c r="O154" s="1300">
        <v>0</v>
      </c>
      <c r="P154" s="1300">
        <v>0</v>
      </c>
      <c r="Q154" s="1300">
        <v>1</v>
      </c>
      <c r="R154" s="1266">
        <v>343625.52</v>
      </c>
      <c r="S154" s="1266">
        <v>0</v>
      </c>
      <c r="T154" s="1266">
        <f>+IF($Q154=1,$G154,INDEX([1]Summary!$K$5:$K$110,MATCH($C154,[1]Summary!$D$5:$D255,0)))</f>
        <v>343625.52</v>
      </c>
      <c r="U154" s="1266">
        <f>+IF($Q154=1,$J154,INDEX([1]Summary!$L$5:$L$110,MATCH($C154,[1]Summary!$D$5:$D255,0)))</f>
        <v>0</v>
      </c>
      <c r="V154" s="721"/>
      <c r="W154" s="721"/>
      <c r="X154" s="721"/>
      <c r="Y154" s="721"/>
      <c r="Z154" s="721"/>
      <c r="AA154" s="721"/>
      <c r="AB154" s="721"/>
      <c r="AC154" s="721"/>
      <c r="AD154" s="721"/>
      <c r="AE154" s="105"/>
      <c r="AI154" s="105"/>
      <c r="AJ154" s="105"/>
      <c r="AN154" s="105"/>
      <c r="AO154" s="105"/>
      <c r="AP154" s="105"/>
    </row>
    <row r="155" spans="1:42" outlineLevel="1">
      <c r="A155" s="545">
        <f>MAX($A$10:A154)+1</f>
        <v>146</v>
      </c>
      <c r="B155" s="716" t="s">
        <v>1799</v>
      </c>
      <c r="C155" s="716" t="s">
        <v>2038</v>
      </c>
      <c r="D155" s="716" t="s">
        <v>2039</v>
      </c>
      <c r="E155" s="559">
        <v>376.2</v>
      </c>
      <c r="F155" s="1302" cm="1">
        <f t="array" ref="F155">+IF(SUM(VALUE(N155:Q155)*$N$7:$Q$7)=0,R155,T155)</f>
        <v>1634772.28</v>
      </c>
      <c r="G155" s="103">
        <f t="shared" si="10"/>
        <v>1634772.28</v>
      </c>
      <c r="H155" s="717">
        <v>45626</v>
      </c>
      <c r="I155" s="1303" cm="1">
        <f t="array" ref="I155">+IF(SUM(VALUE(N155:Q155)*$N$7:$Q$7)=0,S155,U155)</f>
        <v>0</v>
      </c>
      <c r="J155" s="103">
        <f t="shared" si="11"/>
        <v>0</v>
      </c>
      <c r="K155" s="103"/>
      <c r="M155"/>
      <c r="N155" s="1300">
        <v>0</v>
      </c>
      <c r="O155" s="1300">
        <v>1</v>
      </c>
      <c r="P155" s="1300">
        <v>0</v>
      </c>
      <c r="Q155" s="1300">
        <v>0</v>
      </c>
      <c r="R155" s="1266">
        <v>1634772.28</v>
      </c>
      <c r="S155" s="1266">
        <v>0</v>
      </c>
      <c r="T155" s="1266">
        <f>+IF($Q155=1,$G155,INDEX([1]Summary!$K$5:$K$110,MATCH($C155,[1]Summary!$D$5:$D256,0)))</f>
        <v>0</v>
      </c>
      <c r="U155" s="1266">
        <f>+IF($Q155=1,$J155,INDEX([1]Summary!$L$5:$L$110,MATCH($C155,[1]Summary!$D$5:$D256,0)))</f>
        <v>1634772.28</v>
      </c>
      <c r="V155" s="721"/>
      <c r="W155" s="721"/>
      <c r="X155" s="721"/>
      <c r="Y155" s="721"/>
      <c r="Z155" s="721"/>
      <c r="AA155" s="721"/>
      <c r="AB155" s="721"/>
      <c r="AC155" s="721"/>
      <c r="AD155" s="721"/>
      <c r="AE155" s="105"/>
      <c r="AI155" s="105"/>
      <c r="AJ155" s="105"/>
      <c r="AN155" s="105"/>
      <c r="AO155" s="105"/>
      <c r="AP155" s="105"/>
    </row>
    <row r="156" spans="1:42" outlineLevel="1">
      <c r="A156" s="545">
        <f>MAX($A$10:A155)+1</f>
        <v>147</v>
      </c>
      <c r="B156" s="716" t="s">
        <v>1799</v>
      </c>
      <c r="C156" s="716" t="s">
        <v>2040</v>
      </c>
      <c r="D156" s="716" t="s">
        <v>2041</v>
      </c>
      <c r="E156" s="559">
        <v>377</v>
      </c>
      <c r="F156" s="1302" cm="1">
        <f t="array" ref="F156">+IF(SUM(VALUE(N156:Q156)*$N$7:$Q$7)=0,R156,T156)</f>
        <v>30290</v>
      </c>
      <c r="G156" s="103">
        <f t="shared" si="10"/>
        <v>30290</v>
      </c>
      <c r="H156" s="717" t="s">
        <v>2042</v>
      </c>
      <c r="I156" s="1303" cm="1">
        <f t="array" ref="I156">+IF(SUM(VALUE(N156:Q156)*$N$7:$Q$7)=0,S156,U156)</f>
        <v>0</v>
      </c>
      <c r="J156" s="103">
        <f t="shared" si="11"/>
        <v>0</v>
      </c>
      <c r="K156" s="103"/>
      <c r="M156"/>
      <c r="N156" s="1300">
        <v>0</v>
      </c>
      <c r="O156" s="1300">
        <v>0</v>
      </c>
      <c r="P156" s="1300">
        <v>0</v>
      </c>
      <c r="Q156" s="1300">
        <v>1</v>
      </c>
      <c r="R156" s="1266">
        <v>30290</v>
      </c>
      <c r="S156" s="1266">
        <v>0</v>
      </c>
      <c r="T156" s="1266">
        <f>+IF($Q156=1,$G156,INDEX([1]Summary!$K$5:$K$110,MATCH($C156,[1]Summary!$D$5:$D257,0)))</f>
        <v>30290</v>
      </c>
      <c r="U156" s="1266">
        <f>+IF($Q156=1,$J156,INDEX([1]Summary!$L$5:$L$110,MATCH($C156,[1]Summary!$D$5:$D257,0)))</f>
        <v>0</v>
      </c>
      <c r="V156" s="721"/>
      <c r="W156" s="721"/>
      <c r="X156" s="721"/>
      <c r="Y156" s="721"/>
      <c r="Z156" s="721"/>
      <c r="AA156" s="721"/>
      <c r="AB156" s="721"/>
      <c r="AC156" s="721"/>
      <c r="AD156" s="721"/>
      <c r="AE156" s="105"/>
      <c r="AI156" s="105"/>
      <c r="AJ156" s="105"/>
      <c r="AN156" s="105"/>
      <c r="AO156" s="105"/>
      <c r="AP156" s="105"/>
    </row>
    <row r="157" spans="1:42" outlineLevel="1">
      <c r="A157" s="545">
        <f>MAX($A$10:A156)+1</f>
        <v>148</v>
      </c>
      <c r="B157" s="716" t="s">
        <v>1799</v>
      </c>
      <c r="C157" s="716" t="s">
        <v>2043</v>
      </c>
      <c r="D157" s="716" t="s">
        <v>2044</v>
      </c>
      <c r="E157" s="559">
        <v>376.2</v>
      </c>
      <c r="F157" s="1302" cm="1">
        <f t="array" ref="F157">+IF(SUM(VALUE(N157:Q157)*$N$7:$Q$7)=0,R157,T157)</f>
        <v>512719.18</v>
      </c>
      <c r="G157" s="103">
        <f t="shared" si="10"/>
        <v>512719.18</v>
      </c>
      <c r="H157" s="717">
        <v>45345</v>
      </c>
      <c r="I157" s="1303" cm="1">
        <f t="array" ref="I157">+IF(SUM(VALUE(N157:Q157)*$N$7:$Q$7)=0,S157,U157)</f>
        <v>0</v>
      </c>
      <c r="J157" s="103"/>
      <c r="K157" s="103"/>
      <c r="M157"/>
      <c r="N157" s="1300">
        <v>0</v>
      </c>
      <c r="O157" s="1300">
        <v>0</v>
      </c>
      <c r="P157" s="1300">
        <v>0</v>
      </c>
      <c r="Q157" s="1300">
        <v>1</v>
      </c>
      <c r="R157" s="1266">
        <v>512719.18</v>
      </c>
      <c r="S157" s="1266">
        <v>0</v>
      </c>
      <c r="T157" s="1266">
        <f>+IF($Q157=1,$G157,INDEX([1]Summary!$K$5:$K$110,MATCH($C157,[1]Summary!$D$5:$D258,0)))</f>
        <v>512719.18</v>
      </c>
      <c r="U157" s="1266">
        <f>+IF($Q157=1,$J157,INDEX([1]Summary!$L$5:$L$110,MATCH($C157,[1]Summary!$D$5:$D258,0)))</f>
        <v>0</v>
      </c>
      <c r="V157" s="721"/>
      <c r="W157" s="721"/>
      <c r="X157" s="721"/>
      <c r="Y157" s="721"/>
      <c r="Z157" s="721"/>
      <c r="AA157" s="721"/>
      <c r="AB157" s="721"/>
      <c r="AC157" s="721"/>
      <c r="AD157" s="721"/>
      <c r="AE157" s="105"/>
      <c r="AI157" s="105"/>
      <c r="AJ157" s="105"/>
      <c r="AN157" s="105"/>
      <c r="AO157" s="105"/>
      <c r="AP157" s="105"/>
    </row>
    <row r="158" spans="1:42" outlineLevel="1">
      <c r="A158" s="545">
        <f>MAX($A$10:A157)+1</f>
        <v>149</v>
      </c>
      <c r="B158" s="716" t="s">
        <v>1799</v>
      </c>
      <c r="C158" s="716" t="s">
        <v>2045</v>
      </c>
      <c r="D158" s="716" t="s">
        <v>2046</v>
      </c>
      <c r="E158" s="559">
        <v>376.2</v>
      </c>
      <c r="F158" s="1302" cm="1">
        <f t="array" ref="F158">+IF(SUM(VALUE(N158:Q158)*$N$7:$Q$7)=0,R158,T158)</f>
        <v>76795.741768000007</v>
      </c>
      <c r="G158" s="103">
        <f t="shared" si="10"/>
        <v>76795.741768000007</v>
      </c>
      <c r="H158" s="717">
        <v>45350</v>
      </c>
      <c r="I158" s="1303" cm="1">
        <f t="array" ref="I158">+IF(SUM(VALUE(N158:Q158)*$N$7:$Q$7)=0,S158,U158)</f>
        <v>0</v>
      </c>
      <c r="J158" s="103"/>
      <c r="K158" s="103"/>
      <c r="M158"/>
      <c r="N158" s="1300">
        <v>0</v>
      </c>
      <c r="O158" s="1300">
        <v>0</v>
      </c>
      <c r="P158" s="1300">
        <v>0</v>
      </c>
      <c r="Q158" s="1300">
        <v>1</v>
      </c>
      <c r="R158" s="1266">
        <v>76795.741768000007</v>
      </c>
      <c r="S158" s="1266">
        <v>0</v>
      </c>
      <c r="T158" s="1266">
        <f>+IF($Q158=1,$G158,INDEX([1]Summary!$K$5:$K$110,MATCH($C158,[1]Summary!$D$5:$D259,0)))</f>
        <v>76795.741768000007</v>
      </c>
      <c r="U158" s="1266">
        <f>+IF($Q158=1,$J158,INDEX([1]Summary!$L$5:$L$110,MATCH($C158,[1]Summary!$D$5:$D259,0)))</f>
        <v>0</v>
      </c>
      <c r="V158" s="721"/>
      <c r="W158" s="721"/>
      <c r="X158" s="721"/>
      <c r="Y158" s="721"/>
      <c r="Z158" s="721"/>
      <c r="AA158" s="721"/>
      <c r="AB158" s="721"/>
      <c r="AC158" s="721"/>
      <c r="AD158" s="721"/>
      <c r="AE158" s="105"/>
      <c r="AI158" s="105"/>
      <c r="AJ158" s="105"/>
      <c r="AN158" s="105"/>
      <c r="AO158" s="105"/>
      <c r="AP158" s="105"/>
    </row>
    <row r="159" spans="1:42" outlineLevel="1">
      <c r="A159" s="545">
        <f>MAX($A$10:A158)+1</f>
        <v>150</v>
      </c>
      <c r="B159" s="716" t="s">
        <v>1799</v>
      </c>
      <c r="C159" s="716" t="s">
        <v>2047</v>
      </c>
      <c r="D159" s="716" t="s">
        <v>2048</v>
      </c>
      <c r="E159" s="559">
        <v>379</v>
      </c>
      <c r="F159" s="1302" cm="1">
        <f t="array" ref="F159">+IF(SUM(VALUE(N159:Q159)*$N$7:$Q$7)=0,R159,T159)</f>
        <v>4024.9238160000004</v>
      </c>
      <c r="G159" s="103">
        <f t="shared" si="10"/>
        <v>4024.9238160000004</v>
      </c>
      <c r="H159" s="717">
        <v>45349</v>
      </c>
      <c r="I159" s="1303" cm="1">
        <f t="array" ref="I159">+IF(SUM(VALUE(N159:Q159)*$N$7:$Q$7)=0,S159,U159)</f>
        <v>0</v>
      </c>
      <c r="J159" s="103"/>
      <c r="K159" s="103"/>
      <c r="M159"/>
      <c r="N159" s="1300">
        <v>0</v>
      </c>
      <c r="O159" s="1300">
        <v>0</v>
      </c>
      <c r="P159" s="1300">
        <v>0</v>
      </c>
      <c r="Q159" s="1300">
        <v>1</v>
      </c>
      <c r="R159" s="1266">
        <v>4024.9238160000004</v>
      </c>
      <c r="S159" s="1266">
        <v>0</v>
      </c>
      <c r="T159" s="1266">
        <f>+IF($Q159=1,$G159,INDEX([1]Summary!$K$5:$K$110,MATCH($C159,[1]Summary!$D$5:$D260,0)))</f>
        <v>4024.9238160000004</v>
      </c>
      <c r="U159" s="1266">
        <f>+IF($Q159=1,$J159,INDEX([1]Summary!$L$5:$L$110,MATCH($C159,[1]Summary!$D$5:$D260,0)))</f>
        <v>0</v>
      </c>
      <c r="V159" s="721"/>
      <c r="W159" s="721"/>
      <c r="X159" s="721"/>
      <c r="Y159" s="721"/>
      <c r="Z159" s="721"/>
      <c r="AA159" s="721"/>
      <c r="AB159" s="721"/>
      <c r="AC159" s="721"/>
      <c r="AD159" s="721"/>
      <c r="AE159" s="105"/>
      <c r="AI159" s="105"/>
      <c r="AJ159" s="105"/>
      <c r="AN159" s="105"/>
      <c r="AO159" s="105"/>
      <c r="AP159" s="105"/>
    </row>
    <row r="160" spans="1:42" outlineLevel="1">
      <c r="A160" s="545">
        <f>MAX($A$10:A159)+1</f>
        <v>151</v>
      </c>
      <c r="B160" s="716" t="s">
        <v>1799</v>
      </c>
      <c r="C160" s="716" t="s">
        <v>2049</v>
      </c>
      <c r="D160" s="716" t="s">
        <v>2050</v>
      </c>
      <c r="E160" s="559">
        <v>378</v>
      </c>
      <c r="F160" s="1302" cm="1">
        <f t="array" ref="F160">+IF(SUM(VALUE(N160:Q160)*$N$7:$Q$7)=0,R160,T160)</f>
        <v>53708.996095999995</v>
      </c>
      <c r="G160" s="103">
        <f t="shared" si="10"/>
        <v>53708.996095999995</v>
      </c>
      <c r="H160" s="717">
        <v>45381</v>
      </c>
      <c r="I160" s="1303" cm="1">
        <f t="array" ref="I160">+IF(SUM(VALUE(N160:Q160)*$N$7:$Q$7)=0,S160,U160)</f>
        <v>0</v>
      </c>
      <c r="J160" s="103"/>
      <c r="K160" s="103"/>
      <c r="M160"/>
      <c r="N160" s="1300">
        <v>0</v>
      </c>
      <c r="O160" s="1300">
        <v>0</v>
      </c>
      <c r="P160" s="1300">
        <v>0</v>
      </c>
      <c r="Q160" s="1300">
        <v>1</v>
      </c>
      <c r="R160" s="1266">
        <v>53708.996095999995</v>
      </c>
      <c r="S160" s="1266">
        <v>0</v>
      </c>
      <c r="T160" s="1266">
        <f>+IF($Q160=1,$G160,INDEX([1]Summary!$K$5:$K$110,MATCH($C160,[1]Summary!$D$5:$D261,0)))</f>
        <v>53708.996095999995</v>
      </c>
      <c r="U160" s="1266">
        <f>+IF($Q160=1,$J160,INDEX([1]Summary!$L$5:$L$110,MATCH($C160,[1]Summary!$D$5:$D261,0)))</f>
        <v>0</v>
      </c>
      <c r="V160" s="721"/>
      <c r="W160" s="721"/>
      <c r="X160" s="721"/>
      <c r="Y160" s="721"/>
      <c r="Z160" s="721"/>
      <c r="AA160" s="721"/>
      <c r="AB160" s="721"/>
      <c r="AC160" s="721"/>
      <c r="AD160" s="721"/>
      <c r="AE160" s="105"/>
      <c r="AI160" s="105"/>
      <c r="AJ160" s="105"/>
      <c r="AN160" s="105"/>
      <c r="AO160" s="105"/>
      <c r="AP160" s="105"/>
    </row>
    <row r="161" spans="1:42" outlineLevel="1">
      <c r="A161" s="545">
        <f>MAX($A$10:A160)+1</f>
        <v>152</v>
      </c>
      <c r="B161" s="716" t="s">
        <v>1799</v>
      </c>
      <c r="C161" s="716" t="s">
        <v>2051</v>
      </c>
      <c r="D161" s="716" t="s">
        <v>2052</v>
      </c>
      <c r="E161" s="559">
        <v>379</v>
      </c>
      <c r="F161" s="1302" cm="1">
        <f t="array" ref="F161">+IF(SUM(VALUE(N161:Q161)*$N$7:$Q$7)=0,R161,T161)</f>
        <v>3930.4877160000005</v>
      </c>
      <c r="G161" s="103">
        <f t="shared" si="10"/>
        <v>3930.4877160000005</v>
      </c>
      <c r="H161" s="717">
        <v>45378</v>
      </c>
      <c r="I161" s="1303" cm="1">
        <f t="array" ref="I161">+IF(SUM(VALUE(N161:Q161)*$N$7:$Q$7)=0,S161,U161)</f>
        <v>0</v>
      </c>
      <c r="J161" s="103"/>
      <c r="K161" s="103"/>
      <c r="M161"/>
      <c r="N161" s="1300">
        <v>0</v>
      </c>
      <c r="O161" s="1300">
        <v>0</v>
      </c>
      <c r="P161" s="1300">
        <v>0</v>
      </c>
      <c r="Q161" s="1300">
        <v>1</v>
      </c>
      <c r="R161" s="1266">
        <v>3930.4877160000005</v>
      </c>
      <c r="S161" s="1266">
        <v>0</v>
      </c>
      <c r="T161" s="1266">
        <f>+IF($Q161=1,$G161,INDEX([1]Summary!$K$5:$K$110,MATCH($C161,[1]Summary!$D$5:$D262,0)))</f>
        <v>3930.4877160000005</v>
      </c>
      <c r="U161" s="1266">
        <f>+IF($Q161=1,$J161,INDEX([1]Summary!$L$5:$L$110,MATCH($C161,[1]Summary!$D$5:$D262,0)))</f>
        <v>0</v>
      </c>
      <c r="V161" s="721"/>
      <c r="W161" s="721"/>
      <c r="X161" s="721"/>
      <c r="Y161" s="721"/>
      <c r="Z161" s="721"/>
      <c r="AA161" s="721"/>
      <c r="AB161" s="721"/>
      <c r="AC161" s="721"/>
      <c r="AD161" s="721"/>
      <c r="AE161" s="105"/>
      <c r="AI161" s="105"/>
      <c r="AJ161" s="105"/>
      <c r="AN161" s="105"/>
      <c r="AO161" s="105"/>
      <c r="AP161" s="105"/>
    </row>
    <row r="162" spans="1:42" outlineLevel="1">
      <c r="A162" s="545">
        <f>MAX($A$10:A161)+1</f>
        <v>153</v>
      </c>
      <c r="B162" s="716" t="s">
        <v>1799</v>
      </c>
      <c r="C162" s="716" t="s">
        <v>2053</v>
      </c>
      <c r="D162" s="716" t="s">
        <v>2054</v>
      </c>
      <c r="E162" s="559">
        <v>379</v>
      </c>
      <c r="F162" s="1302" cm="1">
        <f t="array" ref="F162">+IF(SUM(VALUE(N162:Q162)*$N$7:$Q$7)=0,R162,T162)</f>
        <v>4024.9238160000004</v>
      </c>
      <c r="G162" s="103">
        <f t="shared" si="10"/>
        <v>4024.9238160000004</v>
      </c>
      <c r="H162" s="717">
        <v>45409</v>
      </c>
      <c r="I162" s="1303" cm="1">
        <f t="array" ref="I162">+IF(SUM(VALUE(N162:Q162)*$N$7:$Q$7)=0,S162,U162)</f>
        <v>0</v>
      </c>
      <c r="J162" s="103"/>
      <c r="K162" s="103"/>
      <c r="M162"/>
      <c r="N162" s="1300">
        <v>0</v>
      </c>
      <c r="O162" s="1300">
        <v>0</v>
      </c>
      <c r="P162" s="1300">
        <v>0</v>
      </c>
      <c r="Q162" s="1300">
        <v>1</v>
      </c>
      <c r="R162" s="1266">
        <v>4024.9238160000004</v>
      </c>
      <c r="S162" s="1266">
        <v>0</v>
      </c>
      <c r="T162" s="1266">
        <f>+IF($Q162=1,$G162,INDEX([1]Summary!$K$5:$K$110,MATCH($C162,[1]Summary!$D$5:$D263,0)))</f>
        <v>4024.9238160000004</v>
      </c>
      <c r="U162" s="1266">
        <f>+IF($Q162=1,$J162,INDEX([1]Summary!$L$5:$L$110,MATCH($C162,[1]Summary!$D$5:$D263,0)))</f>
        <v>0</v>
      </c>
      <c r="V162" s="721"/>
      <c r="W162" s="721"/>
      <c r="X162" s="721"/>
      <c r="Y162" s="721"/>
      <c r="Z162" s="721"/>
      <c r="AA162" s="721"/>
      <c r="AB162" s="721"/>
      <c r="AC162" s="721"/>
      <c r="AD162" s="721"/>
      <c r="AE162" s="105"/>
      <c r="AI162" s="105"/>
      <c r="AJ162" s="105"/>
      <c r="AN162" s="105"/>
      <c r="AO162" s="105"/>
      <c r="AP162" s="105"/>
    </row>
    <row r="163" spans="1:42" outlineLevel="1">
      <c r="A163" s="545">
        <f>MAX($A$10:A162)+1</f>
        <v>154</v>
      </c>
      <c r="B163" s="716" t="s">
        <v>1799</v>
      </c>
      <c r="C163" s="716" t="s">
        <v>2055</v>
      </c>
      <c r="D163" s="716" t="s">
        <v>2056</v>
      </c>
      <c r="E163" s="559">
        <v>379</v>
      </c>
      <c r="F163" s="1302" cm="1">
        <f t="array" ref="F163">+IF(SUM(VALUE(N163:Q163)*$N$7:$Q$7)=0,R163,T163)</f>
        <v>4024.9238160000004</v>
      </c>
      <c r="G163" s="103">
        <f t="shared" si="10"/>
        <v>4024.9238160000004</v>
      </c>
      <c r="H163" s="717">
        <v>45439</v>
      </c>
      <c r="I163" s="1303" cm="1">
        <f t="array" ref="I163">+IF(SUM(VALUE(N163:Q163)*$N$7:$Q$7)=0,S163,U163)</f>
        <v>0</v>
      </c>
      <c r="J163" s="103"/>
      <c r="K163" s="103"/>
      <c r="M163"/>
      <c r="N163" s="1300">
        <v>0</v>
      </c>
      <c r="O163" s="1300">
        <v>0</v>
      </c>
      <c r="P163" s="1300">
        <v>0</v>
      </c>
      <c r="Q163" s="1300">
        <v>1</v>
      </c>
      <c r="R163" s="1266">
        <v>4024.9238160000004</v>
      </c>
      <c r="S163" s="1266">
        <v>0</v>
      </c>
      <c r="T163" s="1266">
        <f>+IF($Q163=1,$G163,INDEX([1]Summary!$K$5:$K$110,MATCH($C163,[1]Summary!$D$5:$D264,0)))</f>
        <v>4024.9238160000004</v>
      </c>
      <c r="U163" s="1266">
        <f>+IF($Q163=1,$J163,INDEX([1]Summary!$L$5:$L$110,MATCH($C163,[1]Summary!$D$5:$D264,0)))</f>
        <v>0</v>
      </c>
      <c r="V163" s="721"/>
      <c r="W163" s="721"/>
      <c r="X163" s="721"/>
      <c r="Y163" s="721"/>
      <c r="Z163" s="721"/>
      <c r="AA163" s="721"/>
      <c r="AB163" s="721"/>
      <c r="AC163" s="721"/>
      <c r="AD163" s="721"/>
      <c r="AE163" s="105"/>
      <c r="AI163" s="105"/>
      <c r="AJ163" s="105"/>
      <c r="AN163" s="105"/>
      <c r="AO163" s="105"/>
      <c r="AP163" s="105"/>
    </row>
    <row r="164" spans="1:42" outlineLevel="1">
      <c r="A164" s="545">
        <f>MAX($A$10:A163)+1</f>
        <v>155</v>
      </c>
      <c r="B164" s="716" t="s">
        <v>1799</v>
      </c>
      <c r="C164" s="716" t="s">
        <v>2057</v>
      </c>
      <c r="D164" s="716" t="s">
        <v>2058</v>
      </c>
      <c r="E164" s="559">
        <v>379</v>
      </c>
      <c r="F164" s="1302" cm="1">
        <f t="array" ref="F164">+IF(SUM(VALUE(N164:Q164)*$N$7:$Q$7)=0,R164,T164)</f>
        <v>4024.9238160000004</v>
      </c>
      <c r="G164" s="103">
        <f t="shared" si="10"/>
        <v>4024.9238160000004</v>
      </c>
      <c r="H164" s="717">
        <v>45470</v>
      </c>
      <c r="I164" s="1303" cm="1">
        <f t="array" ref="I164">+IF(SUM(VALUE(N164:Q164)*$N$7:$Q$7)=0,S164,U164)</f>
        <v>0</v>
      </c>
      <c r="J164" s="103"/>
      <c r="K164" s="103"/>
      <c r="M164"/>
      <c r="N164" s="1300">
        <v>0</v>
      </c>
      <c r="O164" s="1300">
        <v>0</v>
      </c>
      <c r="P164" s="1300">
        <v>0</v>
      </c>
      <c r="Q164" s="1300">
        <v>1</v>
      </c>
      <c r="R164" s="1266">
        <v>4024.9238160000004</v>
      </c>
      <c r="S164" s="1266">
        <v>0</v>
      </c>
      <c r="T164" s="1266">
        <f>+IF($Q164=1,$G164,INDEX([1]Summary!$K$5:$K$110,MATCH($C164,[1]Summary!$D$5:$D265,0)))</f>
        <v>4024.9238160000004</v>
      </c>
      <c r="U164" s="1266">
        <f>+IF($Q164=1,$J164,INDEX([1]Summary!$L$5:$L$110,MATCH($C164,[1]Summary!$D$5:$D265,0)))</f>
        <v>0</v>
      </c>
      <c r="V164" s="721"/>
      <c r="W164" s="721"/>
      <c r="X164" s="721"/>
      <c r="Y164" s="721"/>
      <c r="Z164" s="721"/>
      <c r="AA164" s="721"/>
      <c r="AB164" s="721"/>
      <c r="AC164" s="721"/>
      <c r="AD164" s="721"/>
      <c r="AE164" s="105"/>
      <c r="AI164" s="105"/>
      <c r="AJ164" s="105"/>
      <c r="AN164" s="105"/>
      <c r="AO164" s="105"/>
      <c r="AP164" s="105"/>
    </row>
    <row r="165" spans="1:42" outlineLevel="1">
      <c r="A165" s="545">
        <f>MAX($A$10:A164)+1</f>
        <v>156</v>
      </c>
      <c r="B165" s="716" t="s">
        <v>1799</v>
      </c>
      <c r="C165" s="716" t="s">
        <v>2059</v>
      </c>
      <c r="D165" s="716" t="s">
        <v>2060</v>
      </c>
      <c r="E165" s="559">
        <v>379</v>
      </c>
      <c r="F165" s="1302" cm="1">
        <f t="array" ref="F165">+IF(SUM(VALUE(N165:Q165)*$N$7:$Q$7)=0,R165,T165)</f>
        <v>4024.9238160000004</v>
      </c>
      <c r="G165" s="103">
        <f t="shared" si="10"/>
        <v>4024.9238160000004</v>
      </c>
      <c r="H165" s="717">
        <v>45500</v>
      </c>
      <c r="I165" s="1303" cm="1">
        <f t="array" ref="I165">+IF(SUM(VALUE(N165:Q165)*$N$7:$Q$7)=0,S165,U165)</f>
        <v>0</v>
      </c>
      <c r="J165" s="103"/>
      <c r="K165" s="103"/>
      <c r="M165"/>
      <c r="N165" s="1300">
        <v>0</v>
      </c>
      <c r="O165" s="1300">
        <v>0</v>
      </c>
      <c r="P165" s="1300">
        <v>0</v>
      </c>
      <c r="Q165" s="1300">
        <v>1</v>
      </c>
      <c r="R165" s="1266">
        <v>4024.9238160000004</v>
      </c>
      <c r="S165" s="1266">
        <v>0</v>
      </c>
      <c r="T165" s="1266">
        <f>+IF($Q165=1,$G165,INDEX([1]Summary!$K$5:$K$110,MATCH($C165,[1]Summary!$D$5:$D266,0)))</f>
        <v>4024.9238160000004</v>
      </c>
      <c r="U165" s="1266">
        <f>+IF($Q165=1,$J165,INDEX([1]Summary!$L$5:$L$110,MATCH($C165,[1]Summary!$D$5:$D266,0)))</f>
        <v>0</v>
      </c>
      <c r="V165" s="721"/>
      <c r="W165" s="721"/>
      <c r="X165" s="721"/>
      <c r="Y165" s="721"/>
      <c r="Z165" s="721"/>
      <c r="AA165" s="721"/>
      <c r="AB165" s="721"/>
      <c r="AC165" s="721"/>
      <c r="AD165" s="721"/>
      <c r="AE165" s="105"/>
      <c r="AI165" s="105"/>
      <c r="AJ165" s="105"/>
      <c r="AN165" s="105"/>
      <c r="AO165" s="105"/>
      <c r="AP165" s="105"/>
    </row>
    <row r="166" spans="1:42" outlineLevel="1">
      <c r="A166" s="545">
        <f>MAX($A$10:A165)+1</f>
        <v>157</v>
      </c>
      <c r="B166" s="716" t="s">
        <v>1799</v>
      </c>
      <c r="C166" s="716" t="s">
        <v>2061</v>
      </c>
      <c r="D166" s="716" t="s">
        <v>2062</v>
      </c>
      <c r="E166" s="559">
        <v>379</v>
      </c>
      <c r="F166" s="1302" cm="1">
        <f t="array" ref="F166">+IF(SUM(VALUE(N166:Q166)*$N$7:$Q$7)=0,R166,T166)</f>
        <v>4024.9238160000004</v>
      </c>
      <c r="G166" s="103">
        <f t="shared" si="10"/>
        <v>4024.9238160000004</v>
      </c>
      <c r="H166" s="717">
        <v>45531</v>
      </c>
      <c r="I166" s="1303" cm="1">
        <f t="array" ref="I166">+IF(SUM(VALUE(N166:Q166)*$N$7:$Q$7)=0,S166,U166)</f>
        <v>0</v>
      </c>
      <c r="J166" s="103"/>
      <c r="K166" s="103"/>
      <c r="M166"/>
      <c r="N166" s="1300">
        <v>0</v>
      </c>
      <c r="O166" s="1300">
        <v>0</v>
      </c>
      <c r="P166" s="1300">
        <v>0</v>
      </c>
      <c r="Q166" s="1300">
        <v>1</v>
      </c>
      <c r="R166" s="1266">
        <v>4024.9238160000004</v>
      </c>
      <c r="S166" s="1266">
        <v>0</v>
      </c>
      <c r="T166" s="1266">
        <f>+IF($Q166=1,$G166,INDEX([1]Summary!$K$5:$K$110,MATCH($C166,[1]Summary!$D$5:$D267,0)))</f>
        <v>4024.9238160000004</v>
      </c>
      <c r="U166" s="1266">
        <f>+IF($Q166=1,$J166,INDEX([1]Summary!$L$5:$L$110,MATCH($C166,[1]Summary!$D$5:$D267,0)))</f>
        <v>0</v>
      </c>
      <c r="V166" s="721"/>
      <c r="W166" s="721"/>
      <c r="X166" s="721"/>
      <c r="Y166" s="721"/>
      <c r="Z166" s="721"/>
      <c r="AA166" s="721"/>
      <c r="AB166" s="721"/>
      <c r="AC166" s="721"/>
      <c r="AD166" s="721"/>
      <c r="AE166" s="105"/>
      <c r="AI166" s="105"/>
      <c r="AJ166" s="105"/>
      <c r="AN166" s="105"/>
      <c r="AO166" s="105"/>
      <c r="AP166" s="105"/>
    </row>
    <row r="167" spans="1:42" outlineLevel="1">
      <c r="A167" s="545">
        <f>MAX($A$10:A166)+1</f>
        <v>158</v>
      </c>
      <c r="B167" s="716" t="s">
        <v>1799</v>
      </c>
      <c r="C167" s="716" t="s">
        <v>2063</v>
      </c>
      <c r="D167" s="716" t="s">
        <v>2064</v>
      </c>
      <c r="E167" s="559">
        <v>379</v>
      </c>
      <c r="F167" s="1302" cm="1">
        <f t="array" ref="F167">+IF(SUM(VALUE(N167:Q167)*$N$7:$Q$7)=0,R167,T167)</f>
        <v>4024.9238160000004</v>
      </c>
      <c r="G167" s="103">
        <f t="shared" si="10"/>
        <v>4024.9238160000004</v>
      </c>
      <c r="H167" s="717">
        <v>45562</v>
      </c>
      <c r="I167" s="1303" cm="1">
        <f t="array" ref="I167">+IF(SUM(VALUE(N167:Q167)*$N$7:$Q$7)=0,S167,U167)</f>
        <v>0</v>
      </c>
      <c r="J167" s="103"/>
      <c r="K167" s="103"/>
      <c r="M167"/>
      <c r="N167" s="1300">
        <v>0</v>
      </c>
      <c r="O167" s="1300">
        <v>0</v>
      </c>
      <c r="P167" s="1300">
        <v>0</v>
      </c>
      <c r="Q167" s="1300">
        <v>1</v>
      </c>
      <c r="R167" s="1266">
        <v>4024.9238160000004</v>
      </c>
      <c r="S167" s="1266">
        <v>0</v>
      </c>
      <c r="T167" s="1266">
        <f>+IF($Q167=1,$G167,INDEX([1]Summary!$K$5:$K$110,MATCH($C167,[1]Summary!$D$5:$D268,0)))</f>
        <v>4024.9238160000004</v>
      </c>
      <c r="U167" s="1266">
        <f>+IF($Q167=1,$J167,INDEX([1]Summary!$L$5:$L$110,MATCH($C167,[1]Summary!$D$5:$D268,0)))</f>
        <v>0</v>
      </c>
      <c r="V167" s="721"/>
      <c r="W167" s="721"/>
      <c r="X167" s="721"/>
      <c r="Y167" s="721"/>
      <c r="Z167" s="721"/>
      <c r="AA167" s="721"/>
      <c r="AB167" s="721"/>
      <c r="AC167" s="721"/>
      <c r="AD167" s="721"/>
      <c r="AE167" s="105"/>
      <c r="AI167" s="105"/>
      <c r="AJ167" s="105"/>
      <c r="AN167" s="105"/>
      <c r="AO167" s="105"/>
      <c r="AP167" s="105"/>
    </row>
    <row r="168" spans="1:42" outlineLevel="1">
      <c r="A168" s="545">
        <f>MAX($A$10:A167)+1</f>
        <v>159</v>
      </c>
      <c r="B168" s="716" t="s">
        <v>1799</v>
      </c>
      <c r="C168" s="716" t="s">
        <v>2065</v>
      </c>
      <c r="D168" s="716" t="s">
        <v>2066</v>
      </c>
      <c r="E168" s="559">
        <v>379</v>
      </c>
      <c r="F168" s="1302" cm="1">
        <f t="array" ref="F168">+IF(SUM(VALUE(N168:Q168)*$N$7:$Q$7)=0,R168,T168)</f>
        <v>4024.9238160000004</v>
      </c>
      <c r="G168" s="103">
        <f t="shared" si="10"/>
        <v>4024.9238160000004</v>
      </c>
      <c r="H168" s="717">
        <v>45592</v>
      </c>
      <c r="I168" s="1303" cm="1">
        <f t="array" ref="I168">+IF(SUM(VALUE(N168:Q168)*$N$7:$Q$7)=0,S168,U168)</f>
        <v>0</v>
      </c>
      <c r="J168" s="103"/>
      <c r="K168" s="103"/>
      <c r="M168"/>
      <c r="N168" s="1300">
        <v>0</v>
      </c>
      <c r="O168" s="1300">
        <v>0</v>
      </c>
      <c r="P168" s="1300">
        <v>0</v>
      </c>
      <c r="Q168" s="1300">
        <v>1</v>
      </c>
      <c r="R168" s="1266">
        <v>4024.9238160000004</v>
      </c>
      <c r="S168" s="1266">
        <v>0</v>
      </c>
      <c r="T168" s="1266">
        <f>+IF($Q168=1,$G168,INDEX([1]Summary!$K$5:$K$110,MATCH($C168,[1]Summary!$D$5:$D269,0)))</f>
        <v>4024.9238160000004</v>
      </c>
      <c r="U168" s="1266">
        <f>+IF($Q168=1,$J168,INDEX([1]Summary!$L$5:$L$110,MATCH($C168,[1]Summary!$D$5:$D269,0)))</f>
        <v>0</v>
      </c>
      <c r="V168" s="721"/>
      <c r="W168" s="721"/>
      <c r="X168" s="721"/>
      <c r="Y168" s="721"/>
      <c r="Z168" s="721"/>
      <c r="AA168" s="721"/>
      <c r="AB168" s="721"/>
      <c r="AC168" s="721"/>
      <c r="AD168" s="721"/>
      <c r="AE168" s="105"/>
      <c r="AI168" s="105"/>
      <c r="AJ168" s="105"/>
      <c r="AN168" s="105"/>
      <c r="AO168" s="105"/>
      <c r="AP168" s="105"/>
    </row>
    <row r="169" spans="1:42" outlineLevel="1">
      <c r="A169" s="545">
        <f>MAX($A$10:A168)+1</f>
        <v>160</v>
      </c>
      <c r="B169" s="716" t="s">
        <v>1799</v>
      </c>
      <c r="C169" s="716" t="s">
        <v>2067</v>
      </c>
      <c r="D169" s="716" t="s">
        <v>2068</v>
      </c>
      <c r="E169" s="559">
        <v>379</v>
      </c>
      <c r="F169" s="1302" cm="1">
        <f t="array" ref="F169">+IF(SUM(VALUE(N169:Q169)*$N$7:$Q$7)=0,R169,T169)</f>
        <v>4024.9238160000004</v>
      </c>
      <c r="G169" s="103">
        <f t="shared" si="10"/>
        <v>4024.9238160000004</v>
      </c>
      <c r="H169" s="717">
        <v>45349</v>
      </c>
      <c r="I169" s="1303" cm="1">
        <f t="array" ref="I169">+IF(SUM(VALUE(N169:Q169)*$N$7:$Q$7)=0,S169,U169)</f>
        <v>0</v>
      </c>
      <c r="J169" s="103"/>
      <c r="K169" s="103"/>
      <c r="M169"/>
      <c r="N169" s="1300">
        <v>0</v>
      </c>
      <c r="O169" s="1300">
        <v>0</v>
      </c>
      <c r="P169" s="1300">
        <v>0</v>
      </c>
      <c r="Q169" s="1300">
        <v>1</v>
      </c>
      <c r="R169" s="1266">
        <v>4024.9238160000004</v>
      </c>
      <c r="S169" s="1266">
        <v>0</v>
      </c>
      <c r="T169" s="1266">
        <f>+IF($Q169=1,$G169,INDEX([1]Summary!$K$5:$K$110,MATCH($C169,[1]Summary!$D$5:$D270,0)))</f>
        <v>4024.9238160000004</v>
      </c>
      <c r="U169" s="1266">
        <f>+IF($Q169=1,$J169,INDEX([1]Summary!$L$5:$L$110,MATCH($C169,[1]Summary!$D$5:$D270,0)))</f>
        <v>0</v>
      </c>
      <c r="V169" s="721"/>
      <c r="W169" s="721"/>
      <c r="X169" s="721"/>
      <c r="Y169" s="721"/>
      <c r="Z169" s="721"/>
      <c r="AA169" s="721"/>
      <c r="AB169" s="721"/>
      <c r="AC169" s="721"/>
      <c r="AD169" s="721"/>
      <c r="AE169" s="105"/>
      <c r="AI169" s="105"/>
      <c r="AJ169" s="105"/>
      <c r="AN169" s="105"/>
      <c r="AO169" s="105"/>
      <c r="AP169" s="105"/>
    </row>
    <row r="170" spans="1:42" outlineLevel="1">
      <c r="A170" s="545">
        <f>MAX($A$10:A169)+1</f>
        <v>161</v>
      </c>
      <c r="B170" s="716" t="s">
        <v>1799</v>
      </c>
      <c r="C170" s="716" t="s">
        <v>2069</v>
      </c>
      <c r="D170" s="716" t="s">
        <v>2070</v>
      </c>
      <c r="E170" s="559">
        <v>379</v>
      </c>
      <c r="F170" s="1302" cm="1">
        <f t="array" ref="F170">+IF(SUM(VALUE(N170:Q170)*$N$7:$Q$7)=0,R170,T170)</f>
        <v>4024.9238160000004</v>
      </c>
      <c r="G170" s="103">
        <f t="shared" si="10"/>
        <v>4024.9238160000004</v>
      </c>
      <c r="H170" s="717">
        <v>45378</v>
      </c>
      <c r="I170" s="1303" cm="1">
        <f t="array" ref="I170">+IF(SUM(VALUE(N170:Q170)*$N$7:$Q$7)=0,S170,U170)</f>
        <v>0</v>
      </c>
      <c r="J170" s="103"/>
      <c r="K170" s="103"/>
      <c r="M170"/>
      <c r="N170" s="1300">
        <v>0</v>
      </c>
      <c r="O170" s="1300">
        <v>0</v>
      </c>
      <c r="P170" s="1300">
        <v>0</v>
      </c>
      <c r="Q170" s="1300">
        <v>1</v>
      </c>
      <c r="R170" s="1266">
        <v>4024.9238160000004</v>
      </c>
      <c r="S170" s="1266">
        <v>0</v>
      </c>
      <c r="T170" s="1266">
        <f>+IF($Q170=1,$G170,INDEX([1]Summary!$K$5:$K$110,MATCH($C170,[1]Summary!$D$5:$D271,0)))</f>
        <v>4024.9238160000004</v>
      </c>
      <c r="U170" s="1266">
        <f>+IF($Q170=1,$J170,INDEX([1]Summary!$L$5:$L$110,MATCH($C170,[1]Summary!$D$5:$D271,0)))</f>
        <v>0</v>
      </c>
      <c r="V170" s="721"/>
      <c r="W170" s="721"/>
      <c r="X170" s="721"/>
      <c r="Y170" s="721"/>
      <c r="Z170" s="721"/>
      <c r="AA170" s="721"/>
      <c r="AB170" s="721"/>
      <c r="AC170" s="721"/>
      <c r="AD170" s="721"/>
      <c r="AE170" s="105"/>
      <c r="AI170" s="105"/>
      <c r="AJ170" s="105"/>
      <c r="AN170" s="105"/>
      <c r="AO170" s="105"/>
      <c r="AP170" s="105"/>
    </row>
    <row r="171" spans="1:42" outlineLevel="1">
      <c r="A171" s="545">
        <f>MAX($A$10:A170)+1</f>
        <v>162</v>
      </c>
      <c r="B171" s="716" t="s">
        <v>1799</v>
      </c>
      <c r="C171" s="716" t="s">
        <v>2071</v>
      </c>
      <c r="D171" s="716" t="s">
        <v>2072</v>
      </c>
      <c r="E171" s="559">
        <v>376.1</v>
      </c>
      <c r="F171" s="1302" cm="1">
        <f t="array" ref="F171">+IF(SUM(VALUE(N171:Q171)*$N$7:$Q$7)=0,R171,T171)</f>
        <v>1001332.75</v>
      </c>
      <c r="G171" s="103">
        <f t="shared" si="10"/>
        <v>1001332.75</v>
      </c>
      <c r="H171" s="717">
        <v>45427</v>
      </c>
      <c r="I171" s="1303" cm="1">
        <f t="array" ref="I171">+IF(SUM(VALUE(N171:Q171)*$N$7:$Q$7)=0,S171,U171)</f>
        <v>0</v>
      </c>
      <c r="J171" s="103"/>
      <c r="K171" s="103"/>
      <c r="M171"/>
      <c r="N171" s="1300">
        <v>0</v>
      </c>
      <c r="O171" s="1300">
        <v>1</v>
      </c>
      <c r="P171" s="1300">
        <v>0</v>
      </c>
      <c r="Q171" s="1300">
        <v>0</v>
      </c>
      <c r="R171" s="1266">
        <v>1001332.75</v>
      </c>
      <c r="S171" s="1266">
        <v>0</v>
      </c>
      <c r="T171" s="1266">
        <f>+IF($Q171=1,$G171,INDEX([1]Summary!$K$5:$K$110,MATCH($C171,[1]Summary!$D$5:$D272,0)))</f>
        <v>0</v>
      </c>
      <c r="U171" s="1266">
        <f>+IF($Q171=1,$J171,INDEX([1]Summary!$L$5:$L$110,MATCH($C171,[1]Summary!$D$5:$D272,0)))</f>
        <v>1001332.75</v>
      </c>
      <c r="V171" s="721"/>
      <c r="W171" s="721"/>
      <c r="X171" s="721"/>
      <c r="Y171" s="721"/>
      <c r="Z171" s="721"/>
      <c r="AA171" s="721"/>
      <c r="AB171" s="721"/>
      <c r="AC171" s="721"/>
      <c r="AD171" s="721"/>
      <c r="AE171" s="105"/>
      <c r="AI171" s="105"/>
      <c r="AJ171" s="105"/>
      <c r="AN171" s="105"/>
      <c r="AO171" s="105"/>
      <c r="AP171" s="105"/>
    </row>
    <row r="172" spans="1:42" outlineLevel="1">
      <c r="A172" s="545">
        <f>MAX($A$10:A171)+1</f>
        <v>163</v>
      </c>
      <c r="B172" s="716" t="s">
        <v>1799</v>
      </c>
      <c r="C172" s="716" t="s">
        <v>2073</v>
      </c>
      <c r="D172" s="716" t="s">
        <v>2074</v>
      </c>
      <c r="E172" s="559">
        <v>376.1</v>
      </c>
      <c r="F172" s="1302" cm="1">
        <f t="array" ref="F172">+IF(SUM(VALUE(N172:Q172)*$N$7:$Q$7)=0,R172,T172)</f>
        <v>754871.91</v>
      </c>
      <c r="G172" s="103">
        <f t="shared" si="10"/>
        <v>754871.91</v>
      </c>
      <c r="H172" s="717">
        <v>45356</v>
      </c>
      <c r="I172" s="1303" cm="1">
        <f t="array" ref="I172">+IF(SUM(VALUE(N172:Q172)*$N$7:$Q$7)=0,S172,U172)</f>
        <v>0</v>
      </c>
      <c r="J172" s="103"/>
      <c r="K172" s="103"/>
      <c r="M172"/>
      <c r="N172" s="1300">
        <v>0</v>
      </c>
      <c r="O172" s="1300">
        <v>0</v>
      </c>
      <c r="P172" s="1300">
        <v>0</v>
      </c>
      <c r="Q172" s="1300">
        <v>1</v>
      </c>
      <c r="R172" s="1266">
        <v>754871.91</v>
      </c>
      <c r="S172" s="1266">
        <v>0</v>
      </c>
      <c r="T172" s="1266">
        <f>+IF($Q172=1,$G172,INDEX([1]Summary!$K$5:$K$110,MATCH($C172,[1]Summary!$D$5:$D273,0)))</f>
        <v>754871.91</v>
      </c>
      <c r="U172" s="1266">
        <f>+IF($Q172=1,$J172,INDEX([1]Summary!$L$5:$L$110,MATCH($C172,[1]Summary!$D$5:$D273,0)))</f>
        <v>0</v>
      </c>
      <c r="V172" s="721"/>
      <c r="W172" s="721"/>
      <c r="X172" s="721"/>
      <c r="Y172" s="721"/>
      <c r="Z172" s="721"/>
      <c r="AA172" s="721"/>
      <c r="AB172" s="721"/>
      <c r="AC172" s="721"/>
      <c r="AD172" s="721"/>
      <c r="AE172" s="105"/>
      <c r="AI172" s="105"/>
      <c r="AJ172" s="105"/>
      <c r="AN172" s="105"/>
      <c r="AO172" s="105"/>
      <c r="AP172" s="105"/>
    </row>
    <row r="173" spans="1:42" outlineLevel="1">
      <c r="A173" s="545">
        <f>MAX($A$10:A172)+1</f>
        <v>164</v>
      </c>
      <c r="B173" s="716" t="s">
        <v>1799</v>
      </c>
      <c r="C173" s="716" t="s">
        <v>2075</v>
      </c>
      <c r="D173" s="716" t="s">
        <v>2076</v>
      </c>
      <c r="E173" s="559">
        <v>378</v>
      </c>
      <c r="F173" s="1302" cm="1">
        <f t="array" ref="F173">+IF(SUM(VALUE(N173:Q173)*$N$7:$Q$7)=0,R173,T173)</f>
        <v>98907.725646999999</v>
      </c>
      <c r="G173" s="103">
        <f t="shared" si="10"/>
        <v>98907.725646999999</v>
      </c>
      <c r="H173" s="717">
        <v>45366</v>
      </c>
      <c r="I173" s="1303" cm="1">
        <f t="array" ref="I173">+IF(SUM(VALUE(N173:Q173)*$N$7:$Q$7)=0,S173,U173)</f>
        <v>0</v>
      </c>
      <c r="J173" s="103"/>
      <c r="K173" s="103"/>
      <c r="M173"/>
      <c r="N173" s="1300">
        <v>0</v>
      </c>
      <c r="O173" s="1300">
        <v>0</v>
      </c>
      <c r="P173" s="1300">
        <v>0</v>
      </c>
      <c r="Q173" s="1300">
        <v>1</v>
      </c>
      <c r="R173" s="1266">
        <v>98907.725646999999</v>
      </c>
      <c r="S173" s="1266">
        <v>0</v>
      </c>
      <c r="T173" s="1266">
        <f>+IF($Q173=1,$G173,INDEX([1]Summary!$K$5:$K$110,MATCH($C173,[1]Summary!$D$5:$D274,0)))</f>
        <v>98907.725646999999</v>
      </c>
      <c r="U173" s="1266">
        <f>+IF($Q173=1,$J173,INDEX([1]Summary!$L$5:$L$110,MATCH($C173,[1]Summary!$D$5:$D274,0)))</f>
        <v>0</v>
      </c>
      <c r="V173" s="721"/>
      <c r="W173" s="721"/>
      <c r="X173" s="721"/>
      <c r="Y173" s="721"/>
      <c r="Z173" s="721"/>
      <c r="AA173" s="721"/>
      <c r="AB173" s="721"/>
      <c r="AC173" s="721"/>
      <c r="AD173" s="721"/>
      <c r="AE173" s="105"/>
      <c r="AI173" s="105"/>
      <c r="AJ173" s="105"/>
      <c r="AN173" s="105"/>
      <c r="AO173" s="105"/>
      <c r="AP173" s="105"/>
    </row>
    <row r="174" spans="1:42" outlineLevel="1">
      <c r="A174" s="545">
        <f>MAX($A$10:A173)+1</f>
        <v>165</v>
      </c>
      <c r="B174" s="716" t="s">
        <v>1799</v>
      </c>
      <c r="C174" s="716" t="s">
        <v>2077</v>
      </c>
      <c r="D174" s="716" t="s">
        <v>2078</v>
      </c>
      <c r="E174" s="559">
        <v>376.3</v>
      </c>
      <c r="F174" s="1302" cm="1">
        <f t="array" ref="F174">+IF(SUM(VALUE(N174:Q174)*$N$7:$Q$7)=0,R174,T174)</f>
        <v>122656.28</v>
      </c>
      <c r="G174" s="103">
        <f t="shared" si="10"/>
        <v>122656.28</v>
      </c>
      <c r="H174" s="717">
        <v>45597</v>
      </c>
      <c r="I174" s="1303" cm="1">
        <f t="array" ref="I174">+IF(SUM(VALUE(N174:Q174)*$N$7:$Q$7)=0,S174,U174)</f>
        <v>0</v>
      </c>
      <c r="J174" s="103"/>
      <c r="K174" s="103"/>
      <c r="M174"/>
      <c r="N174" s="1300">
        <v>0</v>
      </c>
      <c r="O174" s="1300">
        <v>0</v>
      </c>
      <c r="P174" s="1300">
        <v>0</v>
      </c>
      <c r="Q174" s="1300">
        <v>1</v>
      </c>
      <c r="R174" s="1266">
        <v>122656.28</v>
      </c>
      <c r="S174" s="1266">
        <v>0</v>
      </c>
      <c r="T174" s="1266">
        <f>+IF($Q174=1,$G174,INDEX([1]Summary!$K$5:$K$110,MATCH($C174,[1]Summary!$D$5:$D275,0)))</f>
        <v>122656.28</v>
      </c>
      <c r="U174" s="1266">
        <f>+IF($Q174=1,$J174,INDEX([1]Summary!$L$5:$L$110,MATCH($C174,[1]Summary!$D$5:$D275,0)))</f>
        <v>0</v>
      </c>
      <c r="V174" s="721"/>
      <c r="W174" s="721"/>
      <c r="X174" s="721"/>
      <c r="Y174" s="721"/>
      <c r="Z174" s="721"/>
      <c r="AA174" s="721"/>
      <c r="AB174" s="721"/>
      <c r="AC174" s="721"/>
      <c r="AD174" s="721"/>
      <c r="AE174" s="105"/>
      <c r="AI174" s="105"/>
      <c r="AJ174" s="105"/>
      <c r="AN174" s="105"/>
      <c r="AO174" s="105"/>
      <c r="AP174" s="105"/>
    </row>
    <row r="175" spans="1:42" outlineLevel="1">
      <c r="A175" s="545">
        <f>MAX($A$10:A174)+1</f>
        <v>166</v>
      </c>
      <c r="B175" s="716" t="s">
        <v>1799</v>
      </c>
      <c r="C175" s="716" t="s">
        <v>2079</v>
      </c>
      <c r="D175" s="716" t="s">
        <v>2080</v>
      </c>
      <c r="E175" s="559">
        <v>377</v>
      </c>
      <c r="F175" s="1302" cm="1">
        <f t="array" ref="F175">+IF(SUM(VALUE(N175:Q175)*$N$7:$Q$7)=0,R175,T175)</f>
        <v>15145</v>
      </c>
      <c r="G175" s="103">
        <f t="shared" si="10"/>
        <v>15145</v>
      </c>
      <c r="H175" s="717">
        <v>45366</v>
      </c>
      <c r="I175" s="1303" cm="1">
        <f t="array" ref="I175">+IF(SUM(VALUE(N175:Q175)*$N$7:$Q$7)=0,S175,U175)</f>
        <v>0</v>
      </c>
      <c r="J175" s="103"/>
      <c r="K175" s="103"/>
      <c r="M175"/>
      <c r="N175" s="1300">
        <v>0</v>
      </c>
      <c r="O175" s="1300">
        <v>0</v>
      </c>
      <c r="P175" s="1300">
        <v>0</v>
      </c>
      <c r="Q175" s="1300">
        <v>1</v>
      </c>
      <c r="R175" s="1266">
        <v>15145</v>
      </c>
      <c r="S175" s="1266">
        <v>0</v>
      </c>
      <c r="T175" s="1266">
        <f>+IF($Q175=1,$G175,INDEX([1]Summary!$K$5:$K$110,MATCH($C175,[1]Summary!$D$5:$D276,0)))</f>
        <v>15145</v>
      </c>
      <c r="U175" s="1266">
        <f>+IF($Q175=1,$J175,INDEX([1]Summary!$L$5:$L$110,MATCH($C175,[1]Summary!$D$5:$D276,0)))</f>
        <v>0</v>
      </c>
      <c r="V175" s="721"/>
      <c r="W175" s="721"/>
      <c r="X175" s="721"/>
      <c r="Y175" s="721"/>
      <c r="Z175" s="721"/>
      <c r="AA175" s="721"/>
      <c r="AB175" s="721"/>
      <c r="AC175" s="721"/>
      <c r="AD175" s="721"/>
      <c r="AE175" s="105"/>
      <c r="AI175" s="105"/>
      <c r="AJ175" s="105"/>
      <c r="AN175" s="105"/>
      <c r="AO175" s="105"/>
      <c r="AP175" s="105"/>
    </row>
    <row r="176" spans="1:42" outlineLevel="1">
      <c r="A176" s="545">
        <f>MAX($A$10:A175)+1</f>
        <v>167</v>
      </c>
      <c r="B176" s="716" t="s">
        <v>1799</v>
      </c>
      <c r="C176" s="716" t="s">
        <v>2081</v>
      </c>
      <c r="D176" s="716" t="s">
        <v>2082</v>
      </c>
      <c r="E176" s="559">
        <v>379</v>
      </c>
      <c r="F176" s="1302" cm="1">
        <f t="array" ref="F176">+IF(SUM(VALUE(N176:Q176)*$N$7:$Q$7)=0,R176,T176)</f>
        <v>4582.6119119999994</v>
      </c>
      <c r="G176" s="103">
        <f t="shared" si="10"/>
        <v>4582.6119119999994</v>
      </c>
      <c r="H176" s="717">
        <v>45349</v>
      </c>
      <c r="I176" s="1303" cm="1">
        <f t="array" ref="I176">+IF(SUM(VALUE(N176:Q176)*$N$7:$Q$7)=0,S176,U176)</f>
        <v>0</v>
      </c>
      <c r="J176" s="103"/>
      <c r="K176" s="103"/>
      <c r="M176"/>
      <c r="N176" s="1300">
        <v>0</v>
      </c>
      <c r="O176" s="1300">
        <v>0</v>
      </c>
      <c r="P176" s="1300">
        <v>0</v>
      </c>
      <c r="Q176" s="1300">
        <v>1</v>
      </c>
      <c r="R176" s="1266">
        <v>4582.6119119999994</v>
      </c>
      <c r="S176" s="1266">
        <v>0</v>
      </c>
      <c r="T176" s="1266">
        <f>+IF($Q176=1,$G176,INDEX([1]Summary!$K$5:$K$110,MATCH($C176,[1]Summary!$D$5:$D277,0)))</f>
        <v>4582.6119119999994</v>
      </c>
      <c r="U176" s="1266">
        <f>+IF($Q176=1,$J176,INDEX([1]Summary!$L$5:$L$110,MATCH($C176,[1]Summary!$D$5:$D277,0)))</f>
        <v>0</v>
      </c>
      <c r="V176" s="721"/>
      <c r="W176" s="721"/>
      <c r="X176" s="721"/>
      <c r="Y176" s="721"/>
      <c r="Z176" s="721"/>
      <c r="AA176" s="721"/>
      <c r="AB176" s="721"/>
      <c r="AC176" s="721"/>
      <c r="AD176" s="721"/>
      <c r="AE176" s="105"/>
      <c r="AI176" s="105"/>
      <c r="AJ176" s="105"/>
      <c r="AN176" s="105"/>
      <c r="AO176" s="105"/>
      <c r="AP176" s="105"/>
    </row>
    <row r="177" spans="1:42" outlineLevel="1">
      <c r="A177" s="545">
        <f>MAX($A$10:A176)+1</f>
        <v>168</v>
      </c>
      <c r="B177" s="716" t="s">
        <v>1799</v>
      </c>
      <c r="C177" s="716" t="s">
        <v>2083</v>
      </c>
      <c r="D177" s="716" t="s">
        <v>2084</v>
      </c>
      <c r="E177" s="559">
        <v>379</v>
      </c>
      <c r="F177" s="1302" cm="1">
        <f t="array" ref="F177">+IF(SUM(VALUE(N177:Q177)*$N$7:$Q$7)=0,R177,T177)</f>
        <v>4582.6119119999994</v>
      </c>
      <c r="G177" s="103">
        <f t="shared" si="10"/>
        <v>4582.6119119999994</v>
      </c>
      <c r="H177" s="717">
        <v>45349</v>
      </c>
      <c r="I177" s="1303" cm="1">
        <f t="array" ref="I177">+IF(SUM(VALUE(N177:Q177)*$N$7:$Q$7)=0,S177,U177)</f>
        <v>0</v>
      </c>
      <c r="J177" s="103"/>
      <c r="K177" s="103"/>
      <c r="M177"/>
      <c r="N177" s="1300">
        <v>0</v>
      </c>
      <c r="O177" s="1300">
        <v>0</v>
      </c>
      <c r="P177" s="1300">
        <v>0</v>
      </c>
      <c r="Q177" s="1300">
        <v>1</v>
      </c>
      <c r="R177" s="1266">
        <v>4582.6119119999994</v>
      </c>
      <c r="S177" s="1266">
        <v>0</v>
      </c>
      <c r="T177" s="1266">
        <f>+IF($Q177=1,$G177,INDEX([1]Summary!$K$5:$K$110,MATCH($C177,[1]Summary!$D$5:$D278,0)))</f>
        <v>4582.6119119999994</v>
      </c>
      <c r="U177" s="1266">
        <f>+IF($Q177=1,$J177,INDEX([1]Summary!$L$5:$L$110,MATCH($C177,[1]Summary!$D$5:$D278,0)))</f>
        <v>0</v>
      </c>
      <c r="V177" s="721"/>
      <c r="W177" s="721"/>
      <c r="X177" s="721"/>
      <c r="Y177" s="721"/>
      <c r="Z177" s="721"/>
      <c r="AA177" s="721"/>
      <c r="AB177" s="721"/>
      <c r="AC177" s="721"/>
      <c r="AD177" s="721"/>
      <c r="AE177" s="105"/>
      <c r="AI177" s="105"/>
      <c r="AJ177" s="105"/>
      <c r="AN177" s="105"/>
      <c r="AO177" s="105"/>
      <c r="AP177" s="105"/>
    </row>
    <row r="178" spans="1:42" outlineLevel="1">
      <c r="A178" s="545">
        <f>MAX($A$10:A177)+1</f>
        <v>169</v>
      </c>
      <c r="B178" s="716" t="s">
        <v>1799</v>
      </c>
      <c r="C178" s="716" t="s">
        <v>2085</v>
      </c>
      <c r="D178" s="716" t="s">
        <v>2086</v>
      </c>
      <c r="E178" s="559">
        <v>379</v>
      </c>
      <c r="F178" s="1302" cm="1">
        <f t="array" ref="F178">+IF(SUM(VALUE(N178:Q178)*$N$7:$Q$7)=0,R178,T178)</f>
        <v>4591.8647419999998</v>
      </c>
      <c r="G178" s="103">
        <f t="shared" si="10"/>
        <v>4591.8647419999998</v>
      </c>
      <c r="H178" s="717">
        <v>45349</v>
      </c>
      <c r="I178" s="1303" cm="1">
        <f t="array" ref="I178">+IF(SUM(VALUE(N178:Q178)*$N$7:$Q$7)=0,S178,U178)</f>
        <v>0</v>
      </c>
      <c r="J178" s="103"/>
      <c r="K178" s="103"/>
      <c r="M178"/>
      <c r="N178" s="1300">
        <v>0</v>
      </c>
      <c r="O178" s="1300">
        <v>0</v>
      </c>
      <c r="P178" s="1300">
        <v>0</v>
      </c>
      <c r="Q178" s="1300">
        <v>1</v>
      </c>
      <c r="R178" s="1266">
        <v>4591.8647419999998</v>
      </c>
      <c r="S178" s="1266">
        <v>0</v>
      </c>
      <c r="T178" s="1266">
        <f>+IF($Q178=1,$G178,INDEX([1]Summary!$K$5:$K$110,MATCH($C178,[1]Summary!$D$5:$D279,0)))</f>
        <v>4591.8647419999998</v>
      </c>
      <c r="U178" s="1266">
        <f>+IF($Q178=1,$J178,INDEX([1]Summary!$L$5:$L$110,MATCH($C178,[1]Summary!$D$5:$D279,0)))</f>
        <v>0</v>
      </c>
      <c r="V178" s="721"/>
      <c r="W178" s="721"/>
      <c r="X178" s="721"/>
      <c r="Y178" s="721"/>
      <c r="Z178" s="721"/>
      <c r="AA178" s="721"/>
      <c r="AB178" s="721"/>
      <c r="AC178" s="721"/>
      <c r="AD178" s="721"/>
      <c r="AE178" s="105"/>
      <c r="AI178" s="105"/>
      <c r="AJ178" s="105"/>
      <c r="AN178" s="105"/>
      <c r="AO178" s="105"/>
      <c r="AP178" s="105"/>
    </row>
    <row r="179" spans="1:42" outlineLevel="1">
      <c r="A179" s="545">
        <f>MAX($A$10:A178)+1</f>
        <v>170</v>
      </c>
      <c r="B179" s="716" t="s">
        <v>1799</v>
      </c>
      <c r="C179" s="716" t="s">
        <v>2087</v>
      </c>
      <c r="D179" s="716" t="s">
        <v>2088</v>
      </c>
      <c r="E179" s="559">
        <v>379</v>
      </c>
      <c r="F179" s="1302" cm="1">
        <f t="array" ref="F179">+IF(SUM(VALUE(N179:Q179)*$N$7:$Q$7)=0,R179,T179)</f>
        <v>4582.6119119999994</v>
      </c>
      <c r="G179" s="103">
        <f t="shared" si="10"/>
        <v>4582.6119119999994</v>
      </c>
      <c r="H179" s="717">
        <v>45349</v>
      </c>
      <c r="I179" s="1303" cm="1">
        <f t="array" ref="I179">+IF(SUM(VALUE(N179:Q179)*$N$7:$Q$7)=0,S179,U179)</f>
        <v>0</v>
      </c>
      <c r="J179" s="103"/>
      <c r="K179" s="103"/>
      <c r="M179"/>
      <c r="N179" s="1300">
        <v>0</v>
      </c>
      <c r="O179" s="1300">
        <v>0</v>
      </c>
      <c r="P179" s="1300">
        <v>0</v>
      </c>
      <c r="Q179" s="1300">
        <v>1</v>
      </c>
      <c r="R179" s="1266">
        <v>4582.6119119999994</v>
      </c>
      <c r="S179" s="1266">
        <v>0</v>
      </c>
      <c r="T179" s="1266">
        <f>+IF($Q179=1,$G179,INDEX([1]Summary!$K$5:$K$110,MATCH($C179,[1]Summary!$D$5:$D280,0)))</f>
        <v>4582.6119119999994</v>
      </c>
      <c r="U179" s="1266">
        <f>+IF($Q179=1,$J179,INDEX([1]Summary!$L$5:$L$110,MATCH($C179,[1]Summary!$D$5:$D280,0)))</f>
        <v>0</v>
      </c>
      <c r="V179" s="721"/>
      <c r="W179" s="721"/>
      <c r="X179" s="721"/>
      <c r="Y179" s="721"/>
      <c r="Z179" s="721"/>
      <c r="AA179" s="721"/>
      <c r="AB179" s="721"/>
      <c r="AC179" s="721"/>
      <c r="AD179" s="721"/>
      <c r="AE179" s="105"/>
      <c r="AI179" s="105"/>
      <c r="AJ179" s="105"/>
      <c r="AN179" s="105"/>
      <c r="AO179" s="105"/>
      <c r="AP179" s="105"/>
    </row>
    <row r="180" spans="1:42" outlineLevel="1">
      <c r="A180" s="545">
        <f>MAX($A$10:A179)+1</f>
        <v>171</v>
      </c>
      <c r="B180" s="716" t="s">
        <v>1799</v>
      </c>
      <c r="C180" s="716" t="s">
        <v>2089</v>
      </c>
      <c r="D180" s="716" t="s">
        <v>2090</v>
      </c>
      <c r="E180" s="559">
        <v>376.1</v>
      </c>
      <c r="F180" s="1302" cm="1">
        <f t="array" ref="F180">+IF(SUM(VALUE(N180:Q180)*$N$7:$Q$7)=0,R180,T180)</f>
        <v>171343.33359999998</v>
      </c>
      <c r="G180" s="103">
        <f t="shared" si="10"/>
        <v>171343.33359999998</v>
      </c>
      <c r="H180" s="717">
        <v>45351</v>
      </c>
      <c r="I180" s="1303" cm="1">
        <f t="array" ref="I180">+IF(SUM(VALUE(N180:Q180)*$N$7:$Q$7)=0,S180,U180)</f>
        <v>0</v>
      </c>
      <c r="J180" s="103"/>
      <c r="K180" s="103"/>
      <c r="M180"/>
      <c r="N180" s="1300">
        <v>0</v>
      </c>
      <c r="O180" s="1300">
        <v>0</v>
      </c>
      <c r="P180" s="1300">
        <v>0</v>
      </c>
      <c r="Q180" s="1300">
        <v>1</v>
      </c>
      <c r="R180" s="1266">
        <v>171343.33359999998</v>
      </c>
      <c r="S180" s="1266">
        <v>0</v>
      </c>
      <c r="T180" s="1266">
        <f>+IF($Q180=1,$G180,INDEX([1]Summary!$K$5:$K$110,MATCH($C180,[1]Summary!$D$5:$D281,0)))</f>
        <v>171343.33359999998</v>
      </c>
      <c r="U180" s="1266">
        <f>+IF($Q180=1,$J180,INDEX([1]Summary!$L$5:$L$110,MATCH($C180,[1]Summary!$D$5:$D281,0)))</f>
        <v>0</v>
      </c>
      <c r="V180" s="721"/>
      <c r="W180" s="721"/>
      <c r="X180" s="721"/>
      <c r="Y180" s="721"/>
      <c r="Z180" s="721"/>
      <c r="AA180" s="721"/>
      <c r="AB180" s="721"/>
      <c r="AC180" s="721"/>
      <c r="AD180" s="721"/>
      <c r="AE180" s="105"/>
      <c r="AI180" s="105"/>
      <c r="AJ180" s="105"/>
      <c r="AN180" s="105"/>
      <c r="AO180" s="105"/>
      <c r="AP180" s="105"/>
    </row>
    <row r="181" spans="1:42" outlineLevel="1">
      <c r="A181" s="545">
        <f>MAX($A$10:A180)+1</f>
        <v>172</v>
      </c>
      <c r="B181" s="716" t="s">
        <v>1799</v>
      </c>
      <c r="C181" s="716" t="s">
        <v>2091</v>
      </c>
      <c r="D181" s="716" t="s">
        <v>2092</v>
      </c>
      <c r="E181" s="559">
        <v>376.1</v>
      </c>
      <c r="F181" s="1302" cm="1">
        <f t="array" ref="F181">+IF(SUM(VALUE(N181:Q181)*$N$7:$Q$7)=0,R181,T181)</f>
        <v>851809.52023000002</v>
      </c>
      <c r="G181" s="103">
        <f t="shared" si="10"/>
        <v>851809.52023000002</v>
      </c>
      <c r="H181" s="717">
        <v>45641</v>
      </c>
      <c r="I181" s="1303" cm="1">
        <f t="array" ref="I181">+IF(SUM(VALUE(N181:Q181)*$N$7:$Q$7)=0,S181,U181)</f>
        <v>0</v>
      </c>
      <c r="J181" s="103"/>
      <c r="K181" s="103"/>
      <c r="M181"/>
      <c r="N181" s="1300">
        <v>0</v>
      </c>
      <c r="O181" s="1300">
        <v>0</v>
      </c>
      <c r="P181" s="1300">
        <v>0</v>
      </c>
      <c r="Q181" s="1300">
        <v>1</v>
      </c>
      <c r="R181" s="1266">
        <v>851809.52023000002</v>
      </c>
      <c r="S181" s="1266">
        <v>0</v>
      </c>
      <c r="T181" s="1266">
        <f>+IF($Q181=1,$G181,INDEX([1]Summary!$K$5:$K$110,MATCH($C181,[1]Summary!$D$5:$D282,0)))</f>
        <v>851809.52023000002</v>
      </c>
      <c r="U181" s="1266">
        <f>+IF($Q181=1,$J181,INDEX([1]Summary!$L$5:$L$110,MATCH($C181,[1]Summary!$D$5:$D282,0)))</f>
        <v>0</v>
      </c>
      <c r="V181" s="721"/>
      <c r="W181" s="721"/>
      <c r="X181" s="721"/>
      <c r="Y181" s="721"/>
      <c r="Z181" s="721"/>
      <c r="AA181" s="721"/>
      <c r="AB181" s="721"/>
      <c r="AC181" s="721"/>
      <c r="AD181" s="721"/>
      <c r="AE181" s="105"/>
      <c r="AI181" s="105"/>
      <c r="AJ181" s="105"/>
      <c r="AN181" s="105"/>
      <c r="AO181" s="105"/>
      <c r="AP181" s="105"/>
    </row>
    <row r="182" spans="1:42" outlineLevel="1">
      <c r="A182" s="545">
        <f>MAX($A$10:A181)+1</f>
        <v>173</v>
      </c>
      <c r="B182" s="716" t="s">
        <v>1799</v>
      </c>
      <c r="C182" s="716" t="s">
        <v>2093</v>
      </c>
      <c r="D182" s="716" t="s">
        <v>2094</v>
      </c>
      <c r="E182" s="559">
        <v>376.1</v>
      </c>
      <c r="F182" s="1302" cm="1">
        <f t="array" ref="F182">+IF(SUM(VALUE(N182:Q182)*$N$7:$Q$7)=0,R182,T182)</f>
        <v>229130.5956</v>
      </c>
      <c r="G182" s="103">
        <f t="shared" si="10"/>
        <v>229130.5956</v>
      </c>
      <c r="H182" s="717">
        <v>45380</v>
      </c>
      <c r="I182" s="1303" cm="1">
        <f t="array" ref="I182">+IF(SUM(VALUE(N182:Q182)*$N$7:$Q$7)=0,S182,U182)</f>
        <v>0</v>
      </c>
      <c r="J182" s="471"/>
      <c r="K182" s="471"/>
      <c r="L182" s="471"/>
      <c r="M182"/>
      <c r="N182" s="1300">
        <v>0</v>
      </c>
      <c r="O182" s="1300">
        <v>0</v>
      </c>
      <c r="P182" s="1300">
        <v>0</v>
      </c>
      <c r="Q182" s="1300">
        <v>1</v>
      </c>
      <c r="R182" s="1266">
        <v>229130.5956</v>
      </c>
      <c r="S182" s="1266">
        <v>0</v>
      </c>
      <c r="T182" s="1266">
        <f>+IF($Q182=1,$G182,INDEX([1]Summary!$K$5:$K$110,MATCH($C182,[1]Summary!$D$5:$D283,0)))</f>
        <v>229130.5956</v>
      </c>
      <c r="U182" s="1266">
        <f>+IF($Q182=1,$J182,INDEX([1]Summary!$L$5:$L$110,MATCH($C182,[1]Summary!$D$5:$D283,0)))</f>
        <v>0</v>
      </c>
      <c r="V182" s="721"/>
      <c r="W182" s="721"/>
      <c r="X182" s="721"/>
      <c r="Y182" s="721"/>
      <c r="Z182" s="721"/>
      <c r="AA182" s="721"/>
      <c r="AB182" s="721"/>
      <c r="AC182" s="721"/>
      <c r="AD182" s="721"/>
      <c r="AE182" s="105"/>
      <c r="AI182" s="105"/>
      <c r="AJ182" s="105"/>
      <c r="AN182" s="105"/>
      <c r="AO182" s="105"/>
      <c r="AP182" s="105"/>
    </row>
    <row r="183" spans="1:42" outlineLevel="1">
      <c r="A183" s="545">
        <f>MAX($A$10:A182)+1</f>
        <v>174</v>
      </c>
      <c r="B183" s="729"/>
      <c r="C183" s="729"/>
      <c r="D183" s="730" t="s">
        <v>2095</v>
      </c>
      <c r="E183" s="560"/>
      <c r="F183" s="495">
        <f>SUM(F36:F182)</f>
        <v>114021505.60724491</v>
      </c>
      <c r="G183" s="495">
        <f>SUM(G36:G182)</f>
        <v>114021505.60724491</v>
      </c>
      <c r="H183" s="495"/>
      <c r="I183" s="713">
        <f>SUM(I36:I182)</f>
        <v>72367325.267644003</v>
      </c>
      <c r="J183" s="495">
        <f>SUM(J36:J182)</f>
        <v>72367325.267644003</v>
      </c>
      <c r="K183" s="495"/>
      <c r="L183" s="495">
        <f>SUM(L36:L182)</f>
        <v>0</v>
      </c>
      <c r="M183"/>
      <c r="N183"/>
      <c r="O183" s="449"/>
      <c r="P183" s="449"/>
      <c r="Q183" s="449"/>
      <c r="R183" s="1266"/>
      <c r="S183" s="1266"/>
      <c r="T183" s="1266"/>
      <c r="U183" s="1266"/>
      <c r="V183" s="721"/>
      <c r="W183" s="721"/>
      <c r="X183" s="721"/>
      <c r="Y183" s="721"/>
      <c r="Z183" s="721"/>
      <c r="AA183" s="721"/>
      <c r="AB183" s="721"/>
      <c r="AC183" s="721"/>
      <c r="AD183" s="721"/>
      <c r="AI183" s="105"/>
      <c r="AJ183" s="105"/>
      <c r="AN183" s="105"/>
      <c r="AO183" s="105"/>
      <c r="AP183" s="105"/>
    </row>
    <row r="184" spans="1:42" outlineLevel="1">
      <c r="A184" s="545">
        <f>MAX($A$10:A183)+1</f>
        <v>175</v>
      </c>
      <c r="B184" s="731"/>
      <c r="C184" s="731"/>
      <c r="D184" s="732"/>
      <c r="E184" s="561"/>
      <c r="F184" s="103"/>
      <c r="G184" s="103"/>
      <c r="H184" s="103"/>
      <c r="I184" s="733"/>
      <c r="J184" s="103"/>
      <c r="K184" s="103"/>
      <c r="L184" s="103"/>
      <c r="M184"/>
      <c r="N184"/>
      <c r="O184" s="449" t="s">
        <v>247</v>
      </c>
      <c r="P184" s="449"/>
      <c r="Q184" s="449"/>
      <c r="R184" s="1266"/>
      <c r="S184" s="1266"/>
      <c r="T184" s="1266"/>
      <c r="U184" s="1266"/>
      <c r="V184" s="721"/>
      <c r="W184" s="721"/>
      <c r="X184" s="721"/>
      <c r="Y184" s="721"/>
      <c r="Z184" s="721"/>
      <c r="AA184" s="721"/>
      <c r="AB184" s="721"/>
      <c r="AC184" s="721"/>
      <c r="AD184" s="721"/>
      <c r="AI184" s="105"/>
      <c r="AJ184" s="105"/>
      <c r="AN184" s="105"/>
      <c r="AO184" s="105"/>
      <c r="AP184" s="105"/>
    </row>
    <row r="185" spans="1:42" outlineLevel="1">
      <c r="A185" s="545">
        <f>MAX($A$10:A184)+1</f>
        <v>176</v>
      </c>
      <c r="B185" s="716" t="s">
        <v>2096</v>
      </c>
      <c r="C185" s="716" t="s">
        <v>2097</v>
      </c>
      <c r="D185" s="716" t="s">
        <v>2098</v>
      </c>
      <c r="E185" s="559">
        <v>396.2</v>
      </c>
      <c r="F185" s="1302" cm="1">
        <f t="array" ref="F185">+IF(SUM(VALUE(N185:Q185)*$N$7:$Q$7)=0,R185,T185)</f>
        <v>2463904.4573269999</v>
      </c>
      <c r="G185" s="103">
        <f t="shared" ref="G185:G248" si="12">+F185</f>
        <v>2463904.4573269999</v>
      </c>
      <c r="H185" s="575">
        <v>45657</v>
      </c>
      <c r="I185" s="1303" cm="1">
        <f t="array" ref="I185">+IF(SUM(VALUE(N185:Q185)*$N$7:$Q$7)=0,S185,U185)</f>
        <v>2289180.1058280002</v>
      </c>
      <c r="J185" s="103">
        <f t="shared" ref="J185:J238" si="13">+I185</f>
        <v>2289180.1058280002</v>
      </c>
      <c r="K185" s="717">
        <v>46022</v>
      </c>
      <c r="M185"/>
      <c r="N185" s="1300">
        <v>0</v>
      </c>
      <c r="O185" s="1300">
        <v>0</v>
      </c>
      <c r="P185" s="1300">
        <v>1</v>
      </c>
      <c r="Q185" s="1300">
        <v>0</v>
      </c>
      <c r="R185" s="1266">
        <v>2463904.4573269999</v>
      </c>
      <c r="S185" s="1266">
        <v>2289180.1058280002</v>
      </c>
      <c r="T185" s="1266">
        <f>+IF($Q185=1,$G185,INDEX([1]Summary!$K$5:$K$110,MATCH($C185,[1]Summary!$D$5:$D286,0)))</f>
        <v>3286821.6849999428</v>
      </c>
      <c r="U185" s="1266">
        <f>+IF($Q185=1,$J185,INDEX([1]Summary!$L$5:$L$110,MATCH($C185,[1]Summary!$D$5:$D286,0)))</f>
        <v>3852145.1189997196</v>
      </c>
      <c r="V185" s="721"/>
      <c r="W185" s="721"/>
      <c r="X185" s="721"/>
      <c r="Y185" s="721"/>
      <c r="Z185" s="721"/>
      <c r="AA185" s="721"/>
      <c r="AB185" s="721"/>
      <c r="AC185" s="721"/>
      <c r="AD185" s="721"/>
      <c r="AI185" s="105"/>
      <c r="AJ185" s="105"/>
      <c r="AN185" s="105"/>
      <c r="AO185" s="105"/>
      <c r="AP185" s="105"/>
    </row>
    <row r="186" spans="1:42" outlineLevel="1">
      <c r="A186" s="545">
        <f>MAX($A$10:A185)+1</f>
        <v>177</v>
      </c>
      <c r="B186" s="716" t="s">
        <v>2096</v>
      </c>
      <c r="C186" s="716" t="s">
        <v>2099</v>
      </c>
      <c r="D186" s="716" t="s">
        <v>2100</v>
      </c>
      <c r="E186" s="559">
        <v>397.2</v>
      </c>
      <c r="F186" s="1302" cm="1">
        <f t="array" ref="F186">+IF(SUM(VALUE(N186:Q186)*$N$7:$Q$7)=0,R186,T186)</f>
        <v>87401.493662000037</v>
      </c>
      <c r="G186" s="103">
        <f t="shared" si="12"/>
        <v>87401.493662000037</v>
      </c>
      <c r="H186" s="575">
        <v>45657</v>
      </c>
      <c r="I186" s="1303" cm="1">
        <f t="array" ref="I186">+IF(SUM(VALUE(N186:Q186)*$N$7:$Q$7)=0,S186,U186)</f>
        <v>37782.730999999992</v>
      </c>
      <c r="J186" s="103">
        <f t="shared" si="13"/>
        <v>37782.730999999992</v>
      </c>
      <c r="K186" s="717">
        <v>46022</v>
      </c>
      <c r="M186"/>
      <c r="N186" s="1300">
        <v>0</v>
      </c>
      <c r="O186" s="1300">
        <v>0</v>
      </c>
      <c r="P186" s="1300">
        <v>1</v>
      </c>
      <c r="Q186" s="1300">
        <v>0</v>
      </c>
      <c r="R186" s="1266">
        <v>87401.493662000037</v>
      </c>
      <c r="S186" s="1266">
        <v>37782.730999999992</v>
      </c>
      <c r="T186" s="1266">
        <f>+IF($Q186=1,$G186,INDEX([1]Summary!$K$5:$K$110,MATCH($C186,[1]Summary!$D$5:$D287,0)))</f>
        <v>0</v>
      </c>
      <c r="U186" s="1266">
        <f>+IF($Q186=1,$J186,INDEX([1]Summary!$L$5:$L$110,MATCH($C186,[1]Summary!$D$5:$D287,0)))</f>
        <v>0</v>
      </c>
      <c r="V186" s="721"/>
      <c r="W186" s="721"/>
      <c r="X186" s="721"/>
      <c r="Y186" s="721"/>
      <c r="Z186" s="721"/>
      <c r="AA186" s="721"/>
      <c r="AB186" s="721"/>
      <c r="AC186" s="721"/>
      <c r="AD186" s="721"/>
      <c r="AI186" s="105"/>
      <c r="AJ186" s="105"/>
      <c r="AN186" s="105"/>
      <c r="AO186" s="105"/>
      <c r="AP186" s="105"/>
    </row>
    <row r="187" spans="1:42" outlineLevel="1">
      <c r="A187" s="545">
        <f>MAX($A$10:A186)+1</f>
        <v>178</v>
      </c>
      <c r="B187" s="716" t="s">
        <v>2096</v>
      </c>
      <c r="C187" s="716" t="s">
        <v>2101</v>
      </c>
      <c r="D187" s="716" t="s">
        <v>2102</v>
      </c>
      <c r="E187" s="559">
        <v>392.2</v>
      </c>
      <c r="F187" s="1302" cm="1">
        <f t="array" ref="F187">+IF(SUM(VALUE(N187:Q187)*$N$7:$Q$7)=0,R187,T187)</f>
        <v>1060664.9308400003</v>
      </c>
      <c r="G187" s="103">
        <f t="shared" si="12"/>
        <v>1060664.9308400003</v>
      </c>
      <c r="H187" s="575">
        <v>45657</v>
      </c>
      <c r="I187" s="1303" cm="1">
        <f t="array" ref="I187">+IF(SUM(VALUE(N187:Q187)*$N$7:$Q$7)=0,S187,U187)</f>
        <v>769996.95369600004</v>
      </c>
      <c r="J187" s="103">
        <f t="shared" si="13"/>
        <v>769996.95369600004</v>
      </c>
      <c r="K187" s="717">
        <v>46022</v>
      </c>
      <c r="M187"/>
      <c r="N187" s="1300">
        <v>0</v>
      </c>
      <c r="O187" s="1300">
        <v>0</v>
      </c>
      <c r="P187" s="1300">
        <v>1</v>
      </c>
      <c r="Q187" s="1300">
        <v>0</v>
      </c>
      <c r="R187" s="1266">
        <v>1060664.9308400003</v>
      </c>
      <c r="S187" s="1266">
        <v>769996.95369600004</v>
      </c>
      <c r="T187" s="1266">
        <f>+IF($Q187=1,$G187,INDEX([1]Summary!$K$5:$K$110,MATCH($C187,[1]Summary!$D$5:$D288,0)))</f>
        <v>0</v>
      </c>
      <c r="U187" s="1266">
        <f>+IF($Q187=1,$J187,INDEX([1]Summary!$L$5:$L$110,MATCH($C187,[1]Summary!$D$5:$D288,0)))</f>
        <v>0</v>
      </c>
      <c r="V187" s="721"/>
      <c r="W187" s="721"/>
      <c r="X187" s="721"/>
      <c r="Y187" s="721"/>
      <c r="Z187" s="721"/>
      <c r="AA187" s="721"/>
      <c r="AB187" s="721"/>
      <c r="AC187" s="721"/>
      <c r="AD187" s="721"/>
      <c r="AI187" s="105"/>
      <c r="AJ187" s="105"/>
      <c r="AN187" s="105"/>
      <c r="AO187" s="105"/>
      <c r="AP187" s="105"/>
    </row>
    <row r="188" spans="1:42" outlineLevel="1">
      <c r="A188" s="545">
        <f>MAX($A$10:A187)+1</f>
        <v>179</v>
      </c>
      <c r="B188" s="716" t="s">
        <v>2096</v>
      </c>
      <c r="C188" s="716" t="s">
        <v>2103</v>
      </c>
      <c r="D188" s="716" t="s">
        <v>2104</v>
      </c>
      <c r="E188" s="559">
        <v>391.3</v>
      </c>
      <c r="F188" s="1302" cm="1">
        <f t="array" ref="F188">+IF(SUM(VALUE(N188:Q188)*$N$7:$Q$7)=0,R188,T188)</f>
        <v>113444.00484100005</v>
      </c>
      <c r="G188" s="103">
        <f t="shared" si="12"/>
        <v>113444.00484100005</v>
      </c>
      <c r="H188" s="575">
        <v>45657</v>
      </c>
      <c r="I188" s="1303" cm="1">
        <f t="array" ref="I188">+IF(SUM(VALUE(N188:Q188)*$N$7:$Q$7)=0,S188,U188)</f>
        <v>94456.827500000014</v>
      </c>
      <c r="J188" s="103">
        <f t="shared" si="13"/>
        <v>94456.827500000014</v>
      </c>
      <c r="K188" s="717">
        <v>46022</v>
      </c>
      <c r="M188"/>
      <c r="N188" s="1300">
        <v>0</v>
      </c>
      <c r="O188" s="1300">
        <v>0</v>
      </c>
      <c r="P188" s="1300">
        <v>1</v>
      </c>
      <c r="Q188" s="1300">
        <v>0</v>
      </c>
      <c r="R188" s="1266">
        <v>113444.00484100005</v>
      </c>
      <c r="S188" s="1266">
        <v>94456.827500000014</v>
      </c>
      <c r="T188" s="1266">
        <f>+IF($Q188=1,$G188,INDEX([1]Summary!$K$5:$K$110,MATCH($C188,[1]Summary!$D$5:$D289,0)))</f>
        <v>70533.544999999998</v>
      </c>
      <c r="U188" s="1266">
        <f>+IF($Q188=1,$J188,INDEX([1]Summary!$L$5:$L$110,MATCH($C188,[1]Summary!$D$5:$D289,0)))</f>
        <v>70533.544999999998</v>
      </c>
      <c r="V188" s="721"/>
      <c r="W188" s="721"/>
      <c r="X188" s="721"/>
      <c r="Y188" s="721"/>
      <c r="Z188" s="721"/>
      <c r="AA188" s="721"/>
      <c r="AB188" s="721"/>
      <c r="AC188" s="721"/>
      <c r="AD188" s="721"/>
      <c r="AI188" s="105"/>
      <c r="AJ188" s="105"/>
      <c r="AN188" s="105"/>
      <c r="AO188" s="105"/>
      <c r="AP188" s="105"/>
    </row>
    <row r="189" spans="1:42" outlineLevel="1">
      <c r="A189" s="545">
        <f>MAX($A$10:A188)+1</f>
        <v>180</v>
      </c>
      <c r="B189" s="716" t="s">
        <v>2096</v>
      </c>
      <c r="C189" s="716" t="s">
        <v>2105</v>
      </c>
      <c r="D189" s="1" t="s">
        <v>2106</v>
      </c>
      <c r="E189" s="559">
        <v>391.3</v>
      </c>
      <c r="F189" s="1302" cm="1">
        <f t="array" ref="F189">+IF(SUM(VALUE(N189:Q189)*$N$7:$Q$7)=0,R189,T189)</f>
        <v>139476.66683600002</v>
      </c>
      <c r="G189" s="103">
        <f t="shared" si="12"/>
        <v>139476.66683600002</v>
      </c>
      <c r="H189" s="575">
        <v>45657</v>
      </c>
      <c r="I189" s="1303" cm="1">
        <f t="array" ref="I189">+IF(SUM(VALUE(N189:Q189)*$N$7:$Q$7)=0,S189,U189)</f>
        <v>139796.10469999997</v>
      </c>
      <c r="J189" s="103">
        <f t="shared" si="13"/>
        <v>139796.10469999997</v>
      </c>
      <c r="K189" s="717">
        <v>46022</v>
      </c>
      <c r="M189"/>
      <c r="N189" s="1300">
        <v>0</v>
      </c>
      <c r="O189" s="1300">
        <v>0</v>
      </c>
      <c r="P189" s="1300">
        <v>1</v>
      </c>
      <c r="Q189" s="1300">
        <v>0</v>
      </c>
      <c r="R189" s="1266">
        <v>139476.66683600002</v>
      </c>
      <c r="S189" s="1266">
        <v>139796.10469999997</v>
      </c>
      <c r="T189" s="1266">
        <f>+IF($Q189=1,$G189,INDEX([1]Summary!$K$5:$K$110,MATCH($C189,[1]Summary!$D$5:$D290,0)))</f>
        <v>0</v>
      </c>
      <c r="U189" s="1266">
        <f>+IF($Q189=1,$J189,INDEX([1]Summary!$L$5:$L$110,MATCH($C189,[1]Summary!$D$5:$D290,0)))</f>
        <v>0</v>
      </c>
      <c r="V189" s="721"/>
      <c r="W189" s="721"/>
      <c r="X189" s="721"/>
      <c r="Y189" s="721"/>
      <c r="Z189" s="721"/>
      <c r="AA189" s="721"/>
      <c r="AB189" s="721"/>
      <c r="AC189" s="721"/>
      <c r="AD189" s="721"/>
      <c r="AI189" s="105"/>
      <c r="AJ189" s="105"/>
      <c r="AN189" s="105"/>
      <c r="AO189" s="105"/>
      <c r="AP189" s="105"/>
    </row>
    <row r="190" spans="1:42" outlineLevel="1">
      <c r="A190" s="545">
        <f>MAX($A$10:A189)+1</f>
        <v>181</v>
      </c>
      <c r="B190" s="716" t="s">
        <v>2096</v>
      </c>
      <c r="C190" s="716" t="s">
        <v>2107</v>
      </c>
      <c r="D190" s="716" t="s">
        <v>2108</v>
      </c>
      <c r="E190" s="559">
        <v>391.5</v>
      </c>
      <c r="F190" s="1302" cm="1">
        <f t="array" ref="F190">+IF(SUM(VALUE(N190:Q190)*$N$7:$Q$7)=0,R190,T190)</f>
        <v>97895.851235000009</v>
      </c>
      <c r="G190" s="103">
        <f t="shared" si="12"/>
        <v>97895.851235000009</v>
      </c>
      <c r="H190" s="575">
        <v>45657</v>
      </c>
      <c r="I190" s="1303" cm="1">
        <f t="array" ref="I190">+IF(SUM(VALUE(N190:Q190)*$N$7:$Q$7)=0,S190,U190)</f>
        <v>148276.99154800002</v>
      </c>
      <c r="J190" s="103">
        <f t="shared" si="13"/>
        <v>148276.99154800002</v>
      </c>
      <c r="K190" s="717">
        <v>46022</v>
      </c>
      <c r="M190"/>
      <c r="N190" s="1300">
        <v>0</v>
      </c>
      <c r="O190" s="1300">
        <v>0</v>
      </c>
      <c r="P190" s="1300">
        <v>1</v>
      </c>
      <c r="Q190" s="1300">
        <v>0</v>
      </c>
      <c r="R190" s="1266">
        <v>97895.851235000009</v>
      </c>
      <c r="S190" s="1266">
        <v>148276.99154800002</v>
      </c>
      <c r="T190" s="1266">
        <f>+IF($Q190=1,$G190,INDEX([1]Summary!$K$5:$K$110,MATCH($C190,[1]Summary!$D$5:$D291,0)))</f>
        <v>0</v>
      </c>
      <c r="U190" s="1266">
        <f>+IF($Q190=1,$J190,INDEX([1]Summary!$L$5:$L$110,MATCH($C190,[1]Summary!$D$5:$D291,0)))</f>
        <v>0</v>
      </c>
      <c r="V190" s="721"/>
      <c r="W190" s="721"/>
      <c r="X190" s="721"/>
      <c r="Y190" s="721"/>
      <c r="Z190" s="721"/>
      <c r="AA190" s="721"/>
      <c r="AB190" s="721"/>
      <c r="AC190" s="721"/>
      <c r="AD190" s="721"/>
      <c r="AI190" s="105"/>
      <c r="AJ190" s="105"/>
      <c r="AN190" s="105"/>
      <c r="AO190" s="105"/>
      <c r="AP190" s="105"/>
    </row>
    <row r="191" spans="1:42" outlineLevel="1">
      <c r="A191" s="545">
        <f>MAX($A$10:A190)+1</f>
        <v>182</v>
      </c>
      <c r="B191" s="716" t="s">
        <v>2096</v>
      </c>
      <c r="C191" s="716" t="s">
        <v>2109</v>
      </c>
      <c r="D191" s="716" t="s">
        <v>2110</v>
      </c>
      <c r="E191" s="559">
        <v>391.3</v>
      </c>
      <c r="F191" s="1302" cm="1">
        <f t="array" ref="F191">+IF(SUM(VALUE(N191:Q191)*$N$7:$Q$7)=0,R191,T191)</f>
        <v>136058.75</v>
      </c>
      <c r="G191" s="103">
        <f t="shared" si="12"/>
        <v>136058.75</v>
      </c>
      <c r="H191" s="575">
        <v>45657</v>
      </c>
      <c r="I191" s="1303" cm="1">
        <f t="array" ref="I191">+IF(SUM(VALUE(N191:Q191)*$N$7:$Q$7)=0,S191,U191)</f>
        <v>4053.38</v>
      </c>
      <c r="J191" s="103">
        <f t="shared" si="13"/>
        <v>4053.38</v>
      </c>
      <c r="K191" s="717">
        <v>46022</v>
      </c>
      <c r="M191"/>
      <c r="N191" s="1300">
        <v>0</v>
      </c>
      <c r="O191" s="1300">
        <v>0</v>
      </c>
      <c r="P191" s="1300">
        <v>0</v>
      </c>
      <c r="Q191" s="1300">
        <v>1</v>
      </c>
      <c r="R191" s="1266">
        <v>136058.75</v>
      </c>
      <c r="S191" s="1266">
        <v>4053.38</v>
      </c>
      <c r="T191" s="1266">
        <f>+IF($Q191=1,$G191,INDEX([1]Summary!$K$5:$K$110,MATCH($C191,[1]Summary!$D$5:$D292,0)))</f>
        <v>136058.75</v>
      </c>
      <c r="U191" s="1266">
        <f>+IF($Q191=1,$J191,INDEX([1]Summary!$L$5:$L$110,MATCH($C191,[1]Summary!$D$5:$D292,0)))</f>
        <v>4053.38</v>
      </c>
      <c r="V191" s="721"/>
      <c r="W191" s="721"/>
      <c r="X191" s="721"/>
      <c r="Y191" s="721"/>
      <c r="Z191" s="721"/>
      <c r="AA191" s="721"/>
      <c r="AB191" s="721"/>
      <c r="AC191" s="721"/>
      <c r="AD191" s="721"/>
      <c r="AI191" s="105"/>
      <c r="AJ191" s="105"/>
      <c r="AN191" s="105"/>
      <c r="AO191" s="105"/>
      <c r="AP191" s="105"/>
    </row>
    <row r="192" spans="1:42" outlineLevel="1">
      <c r="A192" s="545">
        <f>MAX($A$10:A191)+1</f>
        <v>183</v>
      </c>
      <c r="B192" s="716" t="s">
        <v>2096</v>
      </c>
      <c r="C192" s="716" t="s">
        <v>2111</v>
      </c>
      <c r="D192" s="716" t="s">
        <v>2112</v>
      </c>
      <c r="E192" s="559">
        <v>394.1</v>
      </c>
      <c r="F192" s="1302" cm="1">
        <f t="array" ref="F192">+IF(SUM(VALUE(N192:Q192)*$N$7:$Q$7)=0,R192,T192)</f>
        <v>163538.84</v>
      </c>
      <c r="G192" s="103">
        <f t="shared" si="12"/>
        <v>163538.84</v>
      </c>
      <c r="H192" s="575">
        <v>45657</v>
      </c>
      <c r="I192" s="1303" cm="1">
        <f t="array" ref="I192">+IF(SUM(VALUE(N192:Q192)*$N$7:$Q$7)=0,S192,U192)</f>
        <v>142508.39000000001</v>
      </c>
      <c r="J192" s="103">
        <f t="shared" si="13"/>
        <v>142508.39000000001</v>
      </c>
      <c r="K192" s="717">
        <v>46022</v>
      </c>
      <c r="M192"/>
      <c r="N192" s="1300">
        <v>0</v>
      </c>
      <c r="O192" s="1300">
        <v>0</v>
      </c>
      <c r="P192" s="1300">
        <v>1</v>
      </c>
      <c r="Q192" s="1300">
        <v>0</v>
      </c>
      <c r="R192" s="1266">
        <v>163538.84</v>
      </c>
      <c r="S192" s="1266">
        <v>142508.39000000001</v>
      </c>
      <c r="T192" s="1266">
        <f>+IF($Q192=1,$G192,INDEX([1]Summary!$K$5:$K$110,MATCH($C192,[1]Summary!$D$5:$D293,0)))</f>
        <v>0</v>
      </c>
      <c r="U192" s="1266">
        <f>+IF($Q192=1,$J192,INDEX([1]Summary!$L$5:$L$110,MATCH($C192,[1]Summary!$D$5:$D293,0)))</f>
        <v>0</v>
      </c>
      <c r="V192" s="721"/>
      <c r="W192" s="721"/>
      <c r="X192" s="721"/>
      <c r="Y192" s="721"/>
      <c r="Z192" s="721"/>
      <c r="AA192" s="721"/>
      <c r="AB192" s="721"/>
      <c r="AC192" s="721"/>
      <c r="AD192" s="721"/>
      <c r="AI192" s="105"/>
      <c r="AJ192" s="105"/>
      <c r="AN192" s="105"/>
      <c r="AO192" s="105"/>
      <c r="AP192" s="105"/>
    </row>
    <row r="193" spans="1:42" outlineLevel="1">
      <c r="A193" s="545">
        <f>MAX($A$10:A192)+1</f>
        <v>184</v>
      </c>
      <c r="B193" s="716" t="s">
        <v>2096</v>
      </c>
      <c r="C193" s="716" t="s">
        <v>2113</v>
      </c>
      <c r="D193" s="716" t="s">
        <v>2114</v>
      </c>
      <c r="E193" s="559">
        <v>397.2</v>
      </c>
      <c r="F193" s="1302" cm="1">
        <f t="array" ref="F193">+IF(SUM(VALUE(N193:Q193)*$N$7:$Q$7)=0,R193,T193)</f>
        <v>1387227.5384</v>
      </c>
      <c r="G193" s="103">
        <f t="shared" si="12"/>
        <v>1387227.5384</v>
      </c>
      <c r="H193" s="575">
        <v>45657</v>
      </c>
      <c r="I193" s="1303" cm="1">
        <f t="array" ref="I193">+IF(SUM(VALUE(N193:Q193)*$N$7:$Q$7)=0,S193,U193)</f>
        <v>0</v>
      </c>
      <c r="J193" s="103">
        <f t="shared" si="13"/>
        <v>0</v>
      </c>
      <c r="K193" s="717"/>
      <c r="M193"/>
      <c r="N193" s="1300">
        <v>0</v>
      </c>
      <c r="O193" s="1300">
        <v>0</v>
      </c>
      <c r="P193" s="1300">
        <v>1</v>
      </c>
      <c r="Q193" s="1300">
        <v>0</v>
      </c>
      <c r="R193" s="1266">
        <v>1387227.5384</v>
      </c>
      <c r="S193" s="1266">
        <v>0</v>
      </c>
      <c r="T193" s="1266">
        <f>+IF($Q193=1,$G193,INDEX([1]Summary!$K$5:$K$110,MATCH($C193,[1]Summary!$D$5:$D294,0)))</f>
        <v>422743.01833333331</v>
      </c>
      <c r="U193" s="1266">
        <f>+IF($Q193=1,$J193,INDEX([1]Summary!$L$5:$L$110,MATCH($C193,[1]Summary!$D$5:$D294,0)))</f>
        <v>422743.01833333331</v>
      </c>
      <c r="V193" s="721"/>
      <c r="W193" s="721"/>
      <c r="X193" s="721"/>
      <c r="Y193" s="721"/>
      <c r="Z193" s="721"/>
      <c r="AA193" s="721"/>
      <c r="AB193" s="721"/>
      <c r="AC193" s="721"/>
      <c r="AD193" s="721"/>
      <c r="AE193" s="716"/>
      <c r="AI193" s="105"/>
      <c r="AJ193" s="105"/>
      <c r="AN193" s="105"/>
      <c r="AO193" s="105"/>
      <c r="AP193" s="105"/>
    </row>
    <row r="194" spans="1:42" outlineLevel="1">
      <c r="A194" s="545">
        <f>MAX($A$10:A193)+1</f>
        <v>185</v>
      </c>
      <c r="B194" s="716" t="s">
        <v>2096</v>
      </c>
      <c r="C194" s="716" t="s">
        <v>2115</v>
      </c>
      <c r="D194" s="716" t="s">
        <v>2116</v>
      </c>
      <c r="E194" s="559">
        <v>397.2</v>
      </c>
      <c r="F194" s="1302" cm="1">
        <f t="array" ref="F194">+IF(SUM(VALUE(N194:Q194)*$N$7:$Q$7)=0,R194,T194)</f>
        <v>52022.181260999998</v>
      </c>
      <c r="G194" s="103">
        <f t="shared" si="12"/>
        <v>52022.181260999998</v>
      </c>
      <c r="H194" s="575">
        <v>45657</v>
      </c>
      <c r="I194" s="1303" cm="1">
        <f t="array" ref="I194">+IF(SUM(VALUE(N194:Q194)*$N$7:$Q$7)=0,S194,U194)</f>
        <v>0</v>
      </c>
      <c r="J194" s="103">
        <f t="shared" si="13"/>
        <v>0</v>
      </c>
      <c r="K194" s="717"/>
      <c r="M194"/>
      <c r="N194" s="1300">
        <v>0</v>
      </c>
      <c r="O194" s="1300">
        <v>0</v>
      </c>
      <c r="P194" s="1300">
        <v>1</v>
      </c>
      <c r="Q194" s="1300">
        <v>0</v>
      </c>
      <c r="R194" s="1266">
        <v>52022.181260999998</v>
      </c>
      <c r="S194" s="1266">
        <v>0</v>
      </c>
      <c r="T194" s="1266">
        <f>+IF($Q194=1,$G194,INDEX([1]Summary!$K$5:$K$110,MATCH($C194,[1]Summary!$D$5:$D295,0)))</f>
        <v>0</v>
      </c>
      <c r="U194" s="1266">
        <f>+IF($Q194=1,$J194,INDEX([1]Summary!$L$5:$L$110,MATCH($C194,[1]Summary!$D$5:$D295,0)))</f>
        <v>0</v>
      </c>
      <c r="V194" s="721"/>
      <c r="W194" s="721"/>
      <c r="X194" s="721"/>
      <c r="Y194" s="721"/>
      <c r="Z194" s="721"/>
      <c r="AA194" s="721"/>
      <c r="AB194" s="721"/>
      <c r="AC194" s="721"/>
      <c r="AD194" s="721"/>
      <c r="AE194" s="716"/>
      <c r="AI194" s="105"/>
      <c r="AJ194" s="105"/>
      <c r="AN194" s="105"/>
      <c r="AO194" s="105"/>
      <c r="AP194" s="105"/>
    </row>
    <row r="195" spans="1:42" outlineLevel="1">
      <c r="A195" s="545">
        <f>MAX($A$10:A194)+1</f>
        <v>186</v>
      </c>
      <c r="B195" s="716" t="s">
        <v>2096</v>
      </c>
      <c r="C195" s="716" t="s">
        <v>2117</v>
      </c>
      <c r="D195" s="716" t="s">
        <v>2118</v>
      </c>
      <c r="E195" s="559">
        <v>397.2</v>
      </c>
      <c r="F195" s="1302" cm="1">
        <f t="array" ref="F195">+IF(SUM(VALUE(N195:Q195)*$N$7:$Q$7)=0,R195,T195)</f>
        <v>72377.088960000008</v>
      </c>
      <c r="G195" s="103">
        <f t="shared" si="12"/>
        <v>72377.088960000008</v>
      </c>
      <c r="H195" s="575">
        <v>45657</v>
      </c>
      <c r="I195" s="1303" cm="1">
        <f t="array" ref="I195">+IF(SUM(VALUE(N195:Q195)*$N$7:$Q$7)=0,S195,U195)</f>
        <v>37782.731</v>
      </c>
      <c r="J195" s="103">
        <f t="shared" si="13"/>
        <v>37782.731</v>
      </c>
      <c r="K195" s="717">
        <v>46022</v>
      </c>
      <c r="M195"/>
      <c r="N195" s="1300">
        <v>0</v>
      </c>
      <c r="O195" s="1300">
        <v>0</v>
      </c>
      <c r="P195" s="1300">
        <v>0</v>
      </c>
      <c r="Q195" s="1300">
        <v>1</v>
      </c>
      <c r="R195" s="1266">
        <v>72377.088960000008</v>
      </c>
      <c r="S195" s="1266">
        <v>37782.731</v>
      </c>
      <c r="T195" s="1266">
        <f>+IF($Q195=1,$G195,INDEX([1]Summary!$K$5:$K$110,MATCH($C195,[1]Summary!$D$5:$D296,0)))</f>
        <v>72377.088960000008</v>
      </c>
      <c r="U195" s="1266">
        <f>+IF($Q195=1,$J195,INDEX([1]Summary!$L$5:$L$110,MATCH($C195,[1]Summary!$D$5:$D296,0)))</f>
        <v>37782.731</v>
      </c>
      <c r="V195" s="721"/>
      <c r="W195" s="721"/>
      <c r="X195" s="721"/>
      <c r="Y195" s="721"/>
      <c r="Z195" s="721"/>
      <c r="AA195" s="721"/>
      <c r="AB195" s="721"/>
      <c r="AC195" s="721"/>
      <c r="AD195" s="721"/>
      <c r="AE195" s="716"/>
      <c r="AI195" s="105"/>
      <c r="AJ195" s="105"/>
      <c r="AN195" s="105"/>
      <c r="AO195" s="105"/>
      <c r="AP195" s="105"/>
    </row>
    <row r="196" spans="1:42" outlineLevel="1">
      <c r="A196" s="545">
        <f>MAX($A$10:A195)+1</f>
        <v>187</v>
      </c>
      <c r="B196" s="716" t="s">
        <v>2096</v>
      </c>
      <c r="C196" s="716" t="s">
        <v>2119</v>
      </c>
      <c r="D196" s="716" t="s">
        <v>2120</v>
      </c>
      <c r="E196" s="559">
        <v>394.1</v>
      </c>
      <c r="F196" s="1302" cm="1">
        <f t="array" ref="F196">+IF(SUM(VALUE(N196:Q196)*$N$7:$Q$7)=0,R196,T196)</f>
        <v>16945.670000000002</v>
      </c>
      <c r="G196" s="103">
        <f t="shared" si="12"/>
        <v>16945.670000000002</v>
      </c>
      <c r="H196" s="717">
        <v>45473</v>
      </c>
      <c r="I196" s="1303" cm="1">
        <f t="array" ref="I196">+IF(SUM(VALUE(N196:Q196)*$N$7:$Q$7)=0,S196,U196)</f>
        <v>0</v>
      </c>
      <c r="J196" s="103">
        <f t="shared" si="13"/>
        <v>0</v>
      </c>
      <c r="K196" s="103"/>
      <c r="M196"/>
      <c r="N196" s="1300">
        <v>0</v>
      </c>
      <c r="O196" s="1300">
        <v>0</v>
      </c>
      <c r="P196" s="1300">
        <v>0</v>
      </c>
      <c r="Q196" s="1300">
        <v>1</v>
      </c>
      <c r="R196" s="1266">
        <v>16945.670000000002</v>
      </c>
      <c r="S196" s="1266">
        <v>0</v>
      </c>
      <c r="T196" s="1266">
        <f>+IF($Q196=1,$G196,INDEX([1]Summary!$K$5:$K$110,MATCH($C196,[1]Summary!$D$5:$D297,0)))</f>
        <v>16945.670000000002</v>
      </c>
      <c r="U196" s="1266">
        <f>+IF($Q196=1,$J196,INDEX([1]Summary!$L$5:$L$110,MATCH($C196,[1]Summary!$D$5:$D297,0)))</f>
        <v>0</v>
      </c>
      <c r="V196" s="721"/>
      <c r="W196" s="721"/>
      <c r="X196" s="721"/>
      <c r="Y196" s="721"/>
      <c r="Z196" s="721"/>
      <c r="AA196" s="721"/>
      <c r="AB196" s="721"/>
      <c r="AC196" s="721"/>
      <c r="AD196" s="721"/>
      <c r="AE196" s="716"/>
      <c r="AI196" s="105"/>
      <c r="AJ196" s="105"/>
      <c r="AN196" s="105"/>
      <c r="AO196" s="105"/>
      <c r="AP196" s="105"/>
    </row>
    <row r="197" spans="1:42" outlineLevel="1">
      <c r="A197" s="545">
        <f>MAX($A$10:A196)+1</f>
        <v>188</v>
      </c>
      <c r="B197" s="716" t="s">
        <v>2096</v>
      </c>
      <c r="C197" s="105" t="s">
        <v>2121</v>
      </c>
      <c r="D197" s="105" t="s">
        <v>2122</v>
      </c>
      <c r="E197" s="559">
        <v>394.1</v>
      </c>
      <c r="F197" s="1302" cm="1">
        <f t="array" ref="F197">+IF(SUM(VALUE(N197:Q197)*$N$7:$Q$7)=0,R197,T197)</f>
        <v>14987.11</v>
      </c>
      <c r="G197" s="103">
        <f t="shared" si="12"/>
        <v>14987.11</v>
      </c>
      <c r="H197" s="721">
        <v>45468</v>
      </c>
      <c r="I197" s="1303" cm="1">
        <f t="array" ref="I197">+IF(SUM(VALUE(N197:Q197)*$N$7:$Q$7)=0,S197,U197)</f>
        <v>0</v>
      </c>
      <c r="J197" s="103">
        <f t="shared" si="13"/>
        <v>0</v>
      </c>
      <c r="K197" s="717">
        <v>45747</v>
      </c>
      <c r="M197"/>
      <c r="N197" s="1300">
        <v>0</v>
      </c>
      <c r="O197" s="1300">
        <v>0</v>
      </c>
      <c r="P197" s="1300">
        <v>0</v>
      </c>
      <c r="Q197" s="1300">
        <v>1</v>
      </c>
      <c r="R197" s="1266">
        <v>14987.11</v>
      </c>
      <c r="S197" s="1266">
        <v>0</v>
      </c>
      <c r="T197" s="1266">
        <f>+IF($Q197=1,$G197,INDEX([1]Summary!$K$5:$K$110,MATCH($C197,[1]Summary!$D$5:$D298,0)))</f>
        <v>14987.11</v>
      </c>
      <c r="U197" s="1266">
        <f>+IF($Q197=1,$J197,INDEX([1]Summary!$L$5:$L$110,MATCH($C197,[1]Summary!$D$5:$D298,0)))</f>
        <v>0</v>
      </c>
      <c r="V197" s="721"/>
      <c r="W197" s="721"/>
      <c r="X197" s="721"/>
      <c r="Y197" s="721"/>
      <c r="Z197" s="721"/>
      <c r="AA197" s="721"/>
      <c r="AB197" s="721"/>
      <c r="AC197" s="721"/>
      <c r="AD197" s="721"/>
      <c r="AE197" s="716"/>
      <c r="AI197" s="105"/>
      <c r="AJ197" s="105"/>
      <c r="AN197" s="105"/>
      <c r="AO197" s="105"/>
      <c r="AP197" s="105"/>
    </row>
    <row r="198" spans="1:42" outlineLevel="1">
      <c r="A198" s="545">
        <f>MAX($A$10:A197)+1</f>
        <v>189</v>
      </c>
      <c r="B198" s="716" t="s">
        <v>2096</v>
      </c>
      <c r="C198" s="716" t="s">
        <v>2123</v>
      </c>
      <c r="D198" s="716" t="s">
        <v>2124</v>
      </c>
      <c r="E198" s="559">
        <v>394.1</v>
      </c>
      <c r="F198" s="1302" cm="1">
        <f t="array" ref="F198">+IF(SUM(VALUE(N198:Q198)*$N$7:$Q$7)=0,R198,T198)</f>
        <v>16755.97</v>
      </c>
      <c r="G198" s="103">
        <f t="shared" si="12"/>
        <v>16755.97</v>
      </c>
      <c r="H198" s="717">
        <v>45442</v>
      </c>
      <c r="I198" s="1303" cm="1">
        <f t="array" ref="I198">+IF(SUM(VALUE(N198:Q198)*$N$7:$Q$7)=0,S198,U198)</f>
        <v>0</v>
      </c>
      <c r="J198" s="103">
        <f t="shared" si="13"/>
        <v>0</v>
      </c>
      <c r="K198" s="103"/>
      <c r="M198"/>
      <c r="N198" s="1300">
        <v>0</v>
      </c>
      <c r="O198" s="1300">
        <v>0</v>
      </c>
      <c r="P198" s="1300">
        <v>0</v>
      </c>
      <c r="Q198" s="1300">
        <v>1</v>
      </c>
      <c r="R198" s="1266">
        <v>16755.97</v>
      </c>
      <c r="S198" s="1266">
        <v>0</v>
      </c>
      <c r="T198" s="1266">
        <f>+IF($Q198=1,$G198,INDEX([1]Summary!$K$5:$K$110,MATCH($C198,[1]Summary!$D$5:$D299,0)))</f>
        <v>16755.97</v>
      </c>
      <c r="U198" s="1266">
        <f>+IF($Q198=1,$J198,INDEX([1]Summary!$L$5:$L$110,MATCH($C198,[1]Summary!$D$5:$D299,0)))</f>
        <v>0</v>
      </c>
      <c r="V198" s="721"/>
      <c r="W198" s="721"/>
      <c r="X198" s="721"/>
      <c r="Y198" s="721"/>
      <c r="Z198" s="721"/>
      <c r="AA198" s="721"/>
      <c r="AB198" s="721"/>
      <c r="AC198" s="721"/>
      <c r="AD198" s="721"/>
      <c r="AE198" s="716"/>
      <c r="AI198" s="105"/>
      <c r="AJ198" s="105"/>
      <c r="AN198" s="105"/>
      <c r="AO198" s="105"/>
      <c r="AP198" s="105"/>
    </row>
    <row r="199" spans="1:42" outlineLevel="1">
      <c r="A199" s="545">
        <f>MAX($A$10:A198)+1</f>
        <v>190</v>
      </c>
      <c r="B199" s="716" t="s">
        <v>2096</v>
      </c>
      <c r="C199" s="716" t="s">
        <v>2125</v>
      </c>
      <c r="D199" s="716" t="s">
        <v>2126</v>
      </c>
      <c r="E199" s="559">
        <v>394.1</v>
      </c>
      <c r="F199" s="1302" cm="1">
        <f t="array" ref="F199">+IF(SUM(VALUE(N199:Q199)*$N$7:$Q$7)=0,R199,T199)</f>
        <v>3970.1</v>
      </c>
      <c r="G199" s="103">
        <f t="shared" si="12"/>
        <v>3970.1</v>
      </c>
      <c r="H199" s="717">
        <v>45513</v>
      </c>
      <c r="I199" s="1303" cm="1">
        <f t="array" ref="I199">+IF(SUM(VALUE(N199:Q199)*$N$7:$Q$7)=0,S199,U199)</f>
        <v>0</v>
      </c>
      <c r="J199" s="103">
        <f t="shared" si="13"/>
        <v>0</v>
      </c>
      <c r="K199" s="103"/>
      <c r="M199"/>
      <c r="N199" s="1300">
        <v>0</v>
      </c>
      <c r="O199" s="1300">
        <v>0</v>
      </c>
      <c r="P199" s="1300">
        <v>0</v>
      </c>
      <c r="Q199" s="1300">
        <v>1</v>
      </c>
      <c r="R199" s="1266">
        <v>3970.1</v>
      </c>
      <c r="S199" s="1266">
        <v>0</v>
      </c>
      <c r="T199" s="1266">
        <f>+IF($Q199=1,$G199,INDEX([1]Summary!$K$5:$K$110,MATCH($C199,[1]Summary!$D$5:$D300,0)))</f>
        <v>3970.1</v>
      </c>
      <c r="U199" s="1266">
        <f>+IF($Q199=1,$J199,INDEX([1]Summary!$L$5:$L$110,MATCH($C199,[1]Summary!$D$5:$D300,0)))</f>
        <v>0</v>
      </c>
      <c r="V199" s="721"/>
      <c r="W199" s="721"/>
      <c r="X199" s="721"/>
      <c r="Y199" s="721"/>
      <c r="Z199" s="721"/>
      <c r="AA199" s="721"/>
      <c r="AB199" s="721"/>
      <c r="AC199" s="721"/>
      <c r="AD199" s="721"/>
      <c r="AE199" s="716"/>
      <c r="AI199" s="105"/>
      <c r="AJ199" s="105"/>
      <c r="AN199" s="105"/>
      <c r="AO199" s="105"/>
      <c r="AP199" s="105"/>
    </row>
    <row r="200" spans="1:42" outlineLevel="1">
      <c r="A200" s="545">
        <f>MAX($A$10:A199)+1</f>
        <v>191</v>
      </c>
      <c r="B200" s="716" t="s">
        <v>2096</v>
      </c>
      <c r="C200" s="716" t="s">
        <v>2127</v>
      </c>
      <c r="D200" s="716" t="s">
        <v>2128</v>
      </c>
      <c r="E200" s="559">
        <v>394.1</v>
      </c>
      <c r="F200" s="1302" cm="1">
        <f t="array" ref="F200">+IF(SUM(VALUE(N200:Q200)*$N$7:$Q$7)=0,R200,T200)</f>
        <v>10597.83</v>
      </c>
      <c r="G200" s="103">
        <f t="shared" si="12"/>
        <v>10597.83</v>
      </c>
      <c r="H200" s="717">
        <v>45382</v>
      </c>
      <c r="I200" s="1303" cm="1">
        <f t="array" ref="I200">+IF(SUM(VALUE(N200:Q200)*$N$7:$Q$7)=0,S200,U200)</f>
        <v>0</v>
      </c>
      <c r="J200" s="103">
        <f t="shared" si="13"/>
        <v>0</v>
      </c>
      <c r="K200" s="717">
        <v>46022</v>
      </c>
      <c r="M200"/>
      <c r="N200" s="1300">
        <v>0</v>
      </c>
      <c r="O200" s="1300">
        <v>0</v>
      </c>
      <c r="P200" s="1300">
        <v>0</v>
      </c>
      <c r="Q200" s="1300">
        <v>1</v>
      </c>
      <c r="R200" s="1266">
        <v>10597.83</v>
      </c>
      <c r="S200" s="1266">
        <v>0</v>
      </c>
      <c r="T200" s="1266">
        <f>+IF($Q200=1,$G200,INDEX([1]Summary!$K$5:$K$110,MATCH($C200,[1]Summary!$D$5:$D301,0)))</f>
        <v>10597.83</v>
      </c>
      <c r="U200" s="1266">
        <f>+IF($Q200=1,$J200,INDEX([1]Summary!$L$5:$L$110,MATCH($C200,[1]Summary!$D$5:$D301,0)))</f>
        <v>0</v>
      </c>
      <c r="V200" s="721"/>
      <c r="W200" s="721"/>
      <c r="X200" s="721"/>
      <c r="Y200" s="721"/>
      <c r="Z200" s="721"/>
      <c r="AA200" s="721"/>
      <c r="AB200" s="721"/>
      <c r="AC200" s="721"/>
      <c r="AD200" s="721"/>
      <c r="AE200" s="716"/>
      <c r="AI200" s="105"/>
      <c r="AJ200" s="105"/>
      <c r="AN200" s="105"/>
      <c r="AO200" s="105"/>
      <c r="AP200" s="105"/>
    </row>
    <row r="201" spans="1:42" outlineLevel="1">
      <c r="A201" s="545">
        <f>MAX($A$10:A200)+1</f>
        <v>192</v>
      </c>
      <c r="B201" s="716" t="s">
        <v>2096</v>
      </c>
      <c r="C201" s="716" t="s">
        <v>2129</v>
      </c>
      <c r="D201" s="716" t="s">
        <v>2130</v>
      </c>
      <c r="E201" s="559">
        <v>390.1</v>
      </c>
      <c r="F201" s="1302" cm="1">
        <f t="array" ref="F201">+IF(SUM(VALUE(N201:Q201)*$N$7:$Q$7)=0,R201,T201)</f>
        <v>126212.5</v>
      </c>
      <c r="G201" s="103">
        <f t="shared" si="12"/>
        <v>126212.5</v>
      </c>
      <c r="H201" s="717">
        <v>45505</v>
      </c>
      <c r="I201" s="1303" cm="1">
        <f t="array" ref="I201">+IF(SUM(VALUE(N201:Q201)*$N$7:$Q$7)=0,S201,U201)</f>
        <v>0</v>
      </c>
      <c r="J201" s="103">
        <f t="shared" si="13"/>
        <v>0</v>
      </c>
      <c r="K201" s="103"/>
      <c r="M201"/>
      <c r="N201" s="1300">
        <v>0</v>
      </c>
      <c r="O201" s="1300">
        <v>0</v>
      </c>
      <c r="P201" s="1300">
        <v>0</v>
      </c>
      <c r="Q201" s="1300">
        <v>1</v>
      </c>
      <c r="R201" s="1266">
        <v>126212.5</v>
      </c>
      <c r="S201" s="1266">
        <v>0</v>
      </c>
      <c r="T201" s="1266">
        <f>+IF($Q201=1,$G201,INDEX([1]Summary!$K$5:$K$110,MATCH($C201,[1]Summary!$D$5:$D302,0)))</f>
        <v>126212.5</v>
      </c>
      <c r="U201" s="1266">
        <f>+IF($Q201=1,$J201,INDEX([1]Summary!$L$5:$L$110,MATCH($C201,[1]Summary!$D$5:$D302,0)))</f>
        <v>0</v>
      </c>
      <c r="V201" s="721"/>
      <c r="W201" s="721"/>
      <c r="X201" s="721"/>
      <c r="Y201" s="721"/>
      <c r="Z201" s="721"/>
      <c r="AA201" s="721"/>
      <c r="AB201" s="721"/>
      <c r="AC201" s="721"/>
      <c r="AD201" s="721"/>
      <c r="AE201" s="716"/>
      <c r="AI201" s="105"/>
      <c r="AJ201" s="105"/>
      <c r="AN201" s="105"/>
      <c r="AO201" s="105"/>
      <c r="AP201" s="105"/>
    </row>
    <row r="202" spans="1:42" outlineLevel="1">
      <c r="A202" s="545">
        <f>MAX($A$10:A201)+1</f>
        <v>193</v>
      </c>
      <c r="B202" s="716" t="s">
        <v>2096</v>
      </c>
      <c r="C202" s="105" t="s">
        <v>2131</v>
      </c>
      <c r="D202" s="105" t="s">
        <v>2132</v>
      </c>
      <c r="E202" s="559">
        <v>394.1</v>
      </c>
      <c r="F202" s="1302" cm="1">
        <f t="array" ref="F202">+IF(SUM(VALUE(N202:Q202)*$N$7:$Q$7)=0,R202,T202)</f>
        <v>20141.350000000002</v>
      </c>
      <c r="G202" s="103">
        <f t="shared" si="12"/>
        <v>20141.350000000002</v>
      </c>
      <c r="H202" s="721">
        <v>45383</v>
      </c>
      <c r="I202" s="1303" cm="1">
        <f t="array" ref="I202">+IF(SUM(VALUE(N202:Q202)*$N$7:$Q$7)=0,S202,U202)</f>
        <v>0</v>
      </c>
      <c r="J202" s="103">
        <f t="shared" si="13"/>
        <v>0</v>
      </c>
      <c r="K202" s="717">
        <v>45748</v>
      </c>
      <c r="M202"/>
      <c r="N202" s="1300">
        <v>0</v>
      </c>
      <c r="O202" s="1300">
        <v>0</v>
      </c>
      <c r="P202" s="1300">
        <v>0</v>
      </c>
      <c r="Q202" s="1300">
        <v>1</v>
      </c>
      <c r="R202" s="1266">
        <v>20141.350000000002</v>
      </c>
      <c r="S202" s="1266">
        <v>0</v>
      </c>
      <c r="T202" s="1266">
        <f>+IF($Q202=1,$G202,INDEX([1]Summary!$K$5:$K$110,MATCH($C202,[1]Summary!$D$5:$D303,0)))</f>
        <v>20141.350000000002</v>
      </c>
      <c r="U202" s="1266">
        <f>+IF($Q202=1,$J202,INDEX([1]Summary!$L$5:$L$110,MATCH($C202,[1]Summary!$D$5:$D303,0)))</f>
        <v>0</v>
      </c>
      <c r="V202" s="721"/>
      <c r="W202" s="721"/>
      <c r="X202" s="721"/>
      <c r="Y202" s="721"/>
      <c r="Z202" s="721"/>
      <c r="AA202" s="721"/>
      <c r="AB202" s="721"/>
      <c r="AC202" s="721"/>
      <c r="AD202" s="721"/>
      <c r="AE202" s="716"/>
      <c r="AI202" s="105"/>
      <c r="AJ202" s="105"/>
      <c r="AN202" s="105"/>
      <c r="AO202" s="105"/>
      <c r="AP202" s="105"/>
    </row>
    <row r="203" spans="1:42" outlineLevel="1">
      <c r="A203" s="545">
        <f>MAX($A$10:A202)+1</f>
        <v>194</v>
      </c>
      <c r="B203" s="716" t="s">
        <v>2096</v>
      </c>
      <c r="C203" s="105" t="s">
        <v>2133</v>
      </c>
      <c r="D203" s="105" t="s">
        <v>2134</v>
      </c>
      <c r="E203" s="559">
        <v>397.1</v>
      </c>
      <c r="F203" s="1302" cm="1">
        <f t="array" ref="F203">+IF(SUM(VALUE(N203:Q203)*$N$7:$Q$7)=0,R203,T203)</f>
        <v>0</v>
      </c>
      <c r="G203" s="103">
        <f t="shared" si="12"/>
        <v>0</v>
      </c>
      <c r="H203" s="721">
        <v>46631</v>
      </c>
      <c r="I203" s="1303" cm="1">
        <f t="array" ref="I203">+IF(SUM(VALUE(N203:Q203)*$N$7:$Q$7)=0,S203,U203)</f>
        <v>0</v>
      </c>
      <c r="J203" s="103">
        <f t="shared" si="13"/>
        <v>0</v>
      </c>
      <c r="K203" s="717">
        <v>45777</v>
      </c>
      <c r="M203"/>
      <c r="N203" s="1300">
        <v>0</v>
      </c>
      <c r="O203" s="1300">
        <v>0</v>
      </c>
      <c r="P203" s="1300">
        <v>0</v>
      </c>
      <c r="Q203" s="1300">
        <v>1</v>
      </c>
      <c r="R203" s="1266">
        <v>0</v>
      </c>
      <c r="S203" s="1266">
        <v>0</v>
      </c>
      <c r="T203" s="1266">
        <f>+IF($Q203=1,$G203,INDEX([1]Summary!$K$5:$K$110,MATCH($C203,[1]Summary!$D$5:$D304,0)))</f>
        <v>0</v>
      </c>
      <c r="U203" s="1266">
        <f>+IF($Q203=1,$J203,INDEX([1]Summary!$L$5:$L$110,MATCH($C203,[1]Summary!$D$5:$D304,0)))</f>
        <v>0</v>
      </c>
      <c r="V203" s="721"/>
      <c r="W203" s="721"/>
      <c r="X203" s="721"/>
      <c r="Y203" s="721"/>
      <c r="Z203" s="721"/>
      <c r="AA203" s="721"/>
      <c r="AB203" s="721"/>
      <c r="AC203" s="721"/>
      <c r="AD203" s="721"/>
      <c r="AE203" s="716"/>
      <c r="AI203" s="105"/>
      <c r="AJ203" s="105"/>
      <c r="AN203" s="105"/>
      <c r="AO203" s="105"/>
      <c r="AP203" s="105"/>
    </row>
    <row r="204" spans="1:42" outlineLevel="1">
      <c r="A204" s="545">
        <f>MAX($A$10:A203)+1</f>
        <v>195</v>
      </c>
      <c r="B204" s="716" t="s">
        <v>2096</v>
      </c>
      <c r="C204" s="716" t="s">
        <v>2135</v>
      </c>
      <c r="D204" s="716" t="s">
        <v>2136</v>
      </c>
      <c r="E204" s="559">
        <v>390.1</v>
      </c>
      <c r="F204" s="1302" cm="1">
        <f t="array" ref="F204">+IF(SUM(VALUE(N204:Q204)*$N$7:$Q$7)=0,R204,T204)</f>
        <v>0</v>
      </c>
      <c r="G204" s="103">
        <f t="shared" si="12"/>
        <v>0</v>
      </c>
      <c r="H204" s="717">
        <v>45657</v>
      </c>
      <c r="I204" s="1303" cm="1">
        <f t="array" ref="I204">+IF(SUM(VALUE(N204:Q204)*$N$7:$Q$7)=0,S204,U204)</f>
        <v>0</v>
      </c>
      <c r="J204" s="103">
        <f t="shared" si="13"/>
        <v>0</v>
      </c>
      <c r="K204" s="103"/>
      <c r="M204"/>
      <c r="N204" s="1300">
        <v>0</v>
      </c>
      <c r="O204" s="1300">
        <v>0</v>
      </c>
      <c r="P204" s="1300">
        <v>0</v>
      </c>
      <c r="Q204" s="1300">
        <v>1</v>
      </c>
      <c r="R204" s="1266">
        <v>0</v>
      </c>
      <c r="S204" s="1266">
        <v>0</v>
      </c>
      <c r="T204" s="1266">
        <f>+IF($Q204=1,$G204,INDEX([1]Summary!$K$5:$K$110,MATCH($C204,[1]Summary!$D$5:$D305,0)))</f>
        <v>0</v>
      </c>
      <c r="U204" s="1266">
        <f>+IF($Q204=1,$J204,INDEX([1]Summary!$L$5:$L$110,MATCH($C204,[1]Summary!$D$5:$D305,0)))</f>
        <v>0</v>
      </c>
      <c r="V204" s="721"/>
      <c r="W204" s="721"/>
      <c r="X204" s="721"/>
      <c r="Y204" s="721"/>
      <c r="Z204" s="721"/>
      <c r="AA204" s="721"/>
      <c r="AB204" s="721"/>
      <c r="AC204" s="721"/>
      <c r="AD204" s="721"/>
      <c r="AE204" s="716"/>
      <c r="AI204" s="105"/>
      <c r="AJ204" s="105"/>
      <c r="AN204" s="105"/>
      <c r="AO204" s="105"/>
      <c r="AP204" s="105"/>
    </row>
    <row r="205" spans="1:42" outlineLevel="1">
      <c r="A205" s="545">
        <f>MAX($A$10:A204)+1</f>
        <v>196</v>
      </c>
      <c r="B205" s="716" t="s">
        <v>2096</v>
      </c>
      <c r="C205" s="716" t="s">
        <v>2137</v>
      </c>
      <c r="D205" s="716" t="s">
        <v>2138</v>
      </c>
      <c r="E205" s="559">
        <v>394.1</v>
      </c>
      <c r="F205" s="1302" cm="1">
        <f t="array" ref="F205">+IF(SUM(VALUE(N205:Q205)*$N$7:$Q$7)=0,R205,T205)</f>
        <v>12729.9</v>
      </c>
      <c r="G205" s="103">
        <f t="shared" si="12"/>
        <v>12729.9</v>
      </c>
      <c r="H205" s="717">
        <v>45412</v>
      </c>
      <c r="I205" s="1303" cm="1">
        <f t="array" ref="I205">+IF(SUM(VALUE(N205:Q205)*$N$7:$Q$7)=0,S205,U205)</f>
        <v>0</v>
      </c>
      <c r="J205" s="103">
        <f t="shared" si="13"/>
        <v>0</v>
      </c>
      <c r="K205" s="103"/>
      <c r="M205"/>
      <c r="N205" s="1300">
        <v>0</v>
      </c>
      <c r="O205" s="1300">
        <v>0</v>
      </c>
      <c r="P205" s="1300">
        <v>0</v>
      </c>
      <c r="Q205" s="1300">
        <v>1</v>
      </c>
      <c r="R205" s="1266">
        <v>12729.9</v>
      </c>
      <c r="S205" s="1266">
        <v>0</v>
      </c>
      <c r="T205" s="1266">
        <f>+IF($Q205=1,$G205,INDEX([1]Summary!$K$5:$K$110,MATCH($C205,[1]Summary!$D$5:$D306,0)))</f>
        <v>12729.9</v>
      </c>
      <c r="U205" s="1266">
        <f>+IF($Q205=1,$J205,INDEX([1]Summary!$L$5:$L$110,MATCH($C205,[1]Summary!$D$5:$D306,0)))</f>
        <v>0</v>
      </c>
      <c r="V205" s="721"/>
      <c r="W205" s="721"/>
      <c r="X205" s="721"/>
      <c r="Y205" s="721"/>
      <c r="Z205" s="721"/>
      <c r="AA205" s="721"/>
      <c r="AB205" s="721"/>
      <c r="AC205" s="721"/>
      <c r="AD205" s="721"/>
      <c r="AE205" s="716"/>
      <c r="AI205" s="105"/>
      <c r="AJ205" s="105"/>
      <c r="AN205" s="105"/>
      <c r="AO205" s="105"/>
      <c r="AP205" s="105"/>
    </row>
    <row r="206" spans="1:42" outlineLevel="1">
      <c r="A206" s="545">
        <f>MAX($A$10:A205)+1</f>
        <v>197</v>
      </c>
      <c r="B206" s="716" t="s">
        <v>2096</v>
      </c>
      <c r="C206" s="716" t="s">
        <v>2139</v>
      </c>
      <c r="D206" s="716" t="s">
        <v>2140</v>
      </c>
      <c r="E206" s="559">
        <v>390.1</v>
      </c>
      <c r="F206" s="1302" cm="1">
        <f t="array" ref="F206">+IF(SUM(VALUE(N206:Q206)*$N$7:$Q$7)=0,R206,T206)</f>
        <v>37696.400500000003</v>
      </c>
      <c r="G206" s="103">
        <f t="shared" si="12"/>
        <v>37696.400500000003</v>
      </c>
      <c r="H206" s="717">
        <v>45382</v>
      </c>
      <c r="I206" s="1303" cm="1">
        <f t="array" ref="I206">+IF(SUM(VALUE(N206:Q206)*$N$7:$Q$7)=0,S206,U206)</f>
        <v>0</v>
      </c>
      <c r="J206" s="103">
        <f t="shared" si="13"/>
        <v>0</v>
      </c>
      <c r="K206" s="103"/>
      <c r="M206"/>
      <c r="N206" s="1300">
        <v>0</v>
      </c>
      <c r="O206" s="1300">
        <v>0</v>
      </c>
      <c r="P206" s="1300">
        <v>0</v>
      </c>
      <c r="Q206" s="1300">
        <v>1</v>
      </c>
      <c r="R206" s="1266">
        <v>37696.400500000003</v>
      </c>
      <c r="S206" s="1266">
        <v>0</v>
      </c>
      <c r="T206" s="1266">
        <f>+IF($Q206=1,$G206,INDEX([1]Summary!$K$5:$K$110,MATCH($C206,[1]Summary!$D$5:$D307,0)))</f>
        <v>37696.400500000003</v>
      </c>
      <c r="U206" s="1266">
        <f>+IF($Q206=1,$J206,INDEX([1]Summary!$L$5:$L$110,MATCH($C206,[1]Summary!$D$5:$D307,0)))</f>
        <v>0</v>
      </c>
      <c r="V206" s="721"/>
      <c r="W206" s="721"/>
      <c r="X206" s="721"/>
      <c r="Y206" s="721"/>
      <c r="Z206" s="721"/>
      <c r="AA206" s="721"/>
      <c r="AB206" s="721"/>
      <c r="AC206" s="721"/>
      <c r="AD206" s="721"/>
      <c r="AI206" s="105"/>
      <c r="AJ206" s="105"/>
      <c r="AN206" s="105"/>
      <c r="AO206" s="105"/>
      <c r="AP206" s="105"/>
    </row>
    <row r="207" spans="1:42" outlineLevel="1">
      <c r="A207" s="545">
        <f>MAX($A$10:A206)+1</f>
        <v>198</v>
      </c>
      <c r="B207" s="716" t="s">
        <v>2096</v>
      </c>
      <c r="C207" s="720" t="s">
        <v>2141</v>
      </c>
      <c r="D207" s="720" t="s">
        <v>2142</v>
      </c>
      <c r="E207" s="559">
        <v>394.1</v>
      </c>
      <c r="F207" s="1302" cm="1">
        <f t="array" ref="F207">+IF(SUM(VALUE(N207:Q207)*$N$7:$Q$7)=0,R207,T207)</f>
        <v>0</v>
      </c>
      <c r="G207" s="103">
        <f t="shared" si="12"/>
        <v>0</v>
      </c>
      <c r="I207" s="1303" cm="1">
        <f t="array" ref="I207">+IF(SUM(VALUE(N207:Q207)*$N$7:$Q$7)=0,S207,U207)</f>
        <v>4451.47</v>
      </c>
      <c r="J207" s="103">
        <f t="shared" si="13"/>
        <v>4451.47</v>
      </c>
      <c r="K207" s="717">
        <v>45747</v>
      </c>
      <c r="M207"/>
      <c r="N207" s="1300">
        <v>0</v>
      </c>
      <c r="O207" s="1300">
        <v>0</v>
      </c>
      <c r="P207" s="1300">
        <v>0</v>
      </c>
      <c r="Q207" s="1300">
        <v>1</v>
      </c>
      <c r="R207" s="1266">
        <v>0</v>
      </c>
      <c r="S207" s="1266">
        <v>4451.47</v>
      </c>
      <c r="T207" s="1266">
        <f>+IF($Q207=1,$G207,INDEX([1]Summary!$K$5:$K$110,MATCH($C207,[1]Summary!$D$5:$D308,0)))</f>
        <v>0</v>
      </c>
      <c r="U207" s="1266">
        <f>+IF($Q207=1,$J207,INDEX([1]Summary!$L$5:$L$110,MATCH($C207,[1]Summary!$D$5:$D308,0)))</f>
        <v>4451.47</v>
      </c>
      <c r="V207" s="721"/>
      <c r="W207" s="721"/>
      <c r="X207" s="721"/>
      <c r="Y207" s="721"/>
      <c r="Z207" s="721"/>
      <c r="AA207" s="721"/>
      <c r="AB207" s="721"/>
      <c r="AC207" s="721"/>
      <c r="AD207" s="721"/>
      <c r="AI207" s="105"/>
      <c r="AJ207" s="105"/>
      <c r="AN207" s="105"/>
      <c r="AO207" s="105"/>
      <c r="AP207" s="105"/>
    </row>
    <row r="208" spans="1:42" outlineLevel="1">
      <c r="A208" s="545">
        <f>MAX($A$10:A207)+1</f>
        <v>199</v>
      </c>
      <c r="B208" s="716" t="s">
        <v>2096</v>
      </c>
      <c r="C208" s="716" t="s">
        <v>2143</v>
      </c>
      <c r="D208" s="716" t="s">
        <v>2144</v>
      </c>
      <c r="E208" s="559">
        <v>394.1</v>
      </c>
      <c r="F208" s="1302" cm="1">
        <f t="array" ref="F208">+IF(SUM(VALUE(N208:Q208)*$N$7:$Q$7)=0,R208,T208)</f>
        <v>1592.8</v>
      </c>
      <c r="G208" s="103">
        <f t="shared" si="12"/>
        <v>1592.8</v>
      </c>
      <c r="H208" s="717">
        <v>45357</v>
      </c>
      <c r="I208" s="1303" cm="1">
        <f t="array" ref="I208">+IF(SUM(VALUE(N208:Q208)*$N$7:$Q$7)=0,S208,U208)</f>
        <v>0</v>
      </c>
      <c r="J208" s="103">
        <f t="shared" si="13"/>
        <v>0</v>
      </c>
      <c r="K208" s="103"/>
      <c r="M208"/>
      <c r="N208" s="1300">
        <v>0</v>
      </c>
      <c r="O208" s="1300">
        <v>0</v>
      </c>
      <c r="P208" s="1300">
        <v>0</v>
      </c>
      <c r="Q208" s="1300">
        <v>1</v>
      </c>
      <c r="R208" s="1266">
        <v>1592.8</v>
      </c>
      <c r="S208" s="1266">
        <v>0</v>
      </c>
      <c r="T208" s="1266">
        <f>+IF($Q208=1,$G208,INDEX([1]Summary!$K$5:$K$110,MATCH($C208,[1]Summary!$D$5:$D309,0)))</f>
        <v>1592.8</v>
      </c>
      <c r="U208" s="1266">
        <f>+IF($Q208=1,$J208,INDEX([1]Summary!$L$5:$L$110,MATCH($C208,[1]Summary!$D$5:$D309,0)))</f>
        <v>0</v>
      </c>
      <c r="V208" s="721"/>
      <c r="W208" s="721"/>
      <c r="X208" s="721"/>
      <c r="Y208" s="721"/>
      <c r="Z208" s="721"/>
      <c r="AA208" s="721"/>
      <c r="AB208" s="721"/>
      <c r="AC208" s="721"/>
      <c r="AD208" s="721"/>
      <c r="AI208" s="105"/>
      <c r="AJ208" s="105"/>
      <c r="AN208" s="105"/>
      <c r="AO208" s="105"/>
      <c r="AP208" s="105"/>
    </row>
    <row r="209" spans="1:42" outlineLevel="1">
      <c r="A209" s="545">
        <f>MAX($A$10:A208)+1</f>
        <v>200</v>
      </c>
      <c r="B209" s="716" t="s">
        <v>2096</v>
      </c>
      <c r="C209" s="716" t="s">
        <v>2145</v>
      </c>
      <c r="D209" s="716" t="s">
        <v>2146</v>
      </c>
      <c r="E209" s="559">
        <v>394.1</v>
      </c>
      <c r="F209" s="1302" cm="1">
        <f t="array" ref="F209">+IF(SUM(VALUE(N209:Q209)*$N$7:$Q$7)=0,R209,T209)</f>
        <v>10082.290000000001</v>
      </c>
      <c r="G209" s="103">
        <f t="shared" si="12"/>
        <v>10082.290000000001</v>
      </c>
      <c r="H209" s="717">
        <v>45357</v>
      </c>
      <c r="I209" s="1303" cm="1">
        <f t="array" ref="I209">+IF(SUM(VALUE(N209:Q209)*$N$7:$Q$7)=0,S209,U209)</f>
        <v>0</v>
      </c>
      <c r="J209" s="103">
        <f t="shared" si="13"/>
        <v>0</v>
      </c>
      <c r="K209" s="103"/>
      <c r="M209"/>
      <c r="N209" s="1300">
        <v>0</v>
      </c>
      <c r="O209" s="1300">
        <v>0</v>
      </c>
      <c r="P209" s="1300">
        <v>0</v>
      </c>
      <c r="Q209" s="1300">
        <v>1</v>
      </c>
      <c r="R209" s="1266">
        <v>10082.290000000001</v>
      </c>
      <c r="S209" s="1266">
        <v>0</v>
      </c>
      <c r="T209" s="1266">
        <f>+IF($Q209=1,$G209,INDEX([1]Summary!$K$5:$K$110,MATCH($C209,[1]Summary!$D$5:$D310,0)))</f>
        <v>10082.290000000001</v>
      </c>
      <c r="U209" s="1266">
        <f>+IF($Q209=1,$J209,INDEX([1]Summary!$L$5:$L$110,MATCH($C209,[1]Summary!$D$5:$D310,0)))</f>
        <v>0</v>
      </c>
      <c r="V209" s="721"/>
      <c r="W209" s="721"/>
      <c r="X209" s="721"/>
      <c r="Y209" s="721"/>
      <c r="Z209" s="721"/>
      <c r="AA209" s="721"/>
      <c r="AB209" s="721"/>
      <c r="AC209" s="721"/>
      <c r="AD209" s="721"/>
      <c r="AI209" s="105"/>
      <c r="AJ209" s="105"/>
      <c r="AN209" s="105"/>
      <c r="AO209" s="105"/>
      <c r="AP209" s="105"/>
    </row>
    <row r="210" spans="1:42" outlineLevel="1">
      <c r="A210" s="545">
        <f>MAX($A$10:A209)+1</f>
        <v>201</v>
      </c>
      <c r="B210" s="716" t="s">
        <v>2096</v>
      </c>
      <c r="C210" s="716" t="s">
        <v>2147</v>
      </c>
      <c r="D210" s="716" t="s">
        <v>2148</v>
      </c>
      <c r="E210" s="559">
        <v>394.1</v>
      </c>
      <c r="F210" s="1302" cm="1">
        <f t="array" ref="F210">+IF(SUM(VALUE(N210:Q210)*$N$7:$Q$7)=0,R210,T210)</f>
        <v>102940.75</v>
      </c>
      <c r="G210" s="103">
        <f t="shared" si="12"/>
        <v>102940.75</v>
      </c>
      <c r="H210" s="717">
        <v>45657</v>
      </c>
      <c r="I210" s="1303" cm="1">
        <f t="array" ref="I210">+IF(SUM(VALUE(N210:Q210)*$N$7:$Q$7)=0,S210,U210)</f>
        <v>103176.5</v>
      </c>
      <c r="J210" s="103">
        <f t="shared" si="13"/>
        <v>103176.5</v>
      </c>
      <c r="K210" s="575">
        <v>45657</v>
      </c>
      <c r="M210"/>
      <c r="N210" s="1300">
        <v>0</v>
      </c>
      <c r="O210" s="1300">
        <v>0</v>
      </c>
      <c r="P210" s="1300">
        <v>0</v>
      </c>
      <c r="Q210" s="1300">
        <v>1</v>
      </c>
      <c r="R210" s="1266">
        <v>102940.75</v>
      </c>
      <c r="S210" s="1266">
        <v>103176.5</v>
      </c>
      <c r="T210" s="1266">
        <f>+IF($Q210=1,$G210,INDEX([1]Summary!$K$5:$K$110,MATCH($C210,[1]Summary!$D$5:$D311,0)))</f>
        <v>102940.75</v>
      </c>
      <c r="U210" s="1266">
        <f>+IF($Q210=1,$J210,INDEX([1]Summary!$L$5:$L$110,MATCH($C210,[1]Summary!$D$5:$D311,0)))</f>
        <v>103176.5</v>
      </c>
      <c r="V210" s="721"/>
      <c r="W210" s="721"/>
      <c r="X210" s="721"/>
      <c r="Y210" s="721"/>
      <c r="Z210" s="721"/>
      <c r="AA210" s="721"/>
      <c r="AB210" s="721"/>
      <c r="AC210" s="721"/>
      <c r="AD210" s="721"/>
      <c r="AI210" s="105"/>
      <c r="AJ210" s="105"/>
      <c r="AN210" s="105"/>
      <c r="AO210" s="105"/>
      <c r="AP210" s="105"/>
    </row>
    <row r="211" spans="1:42" outlineLevel="1">
      <c r="A211" s="545">
        <f>MAX($A$10:A210)+1</f>
        <v>202</v>
      </c>
      <c r="B211" s="716" t="s">
        <v>2096</v>
      </c>
      <c r="C211" s="716" t="s">
        <v>2149</v>
      </c>
      <c r="D211" s="716" t="s">
        <v>2150</v>
      </c>
      <c r="E211" s="559">
        <v>394.1</v>
      </c>
      <c r="F211" s="1302" cm="1">
        <f t="array" ref="F211">+IF(SUM(VALUE(N211:Q211)*$N$7:$Q$7)=0,R211,T211)</f>
        <v>32137.600000000002</v>
      </c>
      <c r="G211" s="103">
        <f t="shared" si="12"/>
        <v>32137.600000000002</v>
      </c>
      <c r="H211" s="717">
        <v>45383</v>
      </c>
      <c r="I211" s="1303" cm="1">
        <f t="array" ref="I211">+IF(SUM(VALUE(N211:Q211)*$N$7:$Q$7)=0,S211,U211)</f>
        <v>0</v>
      </c>
      <c r="J211" s="103">
        <f t="shared" si="13"/>
        <v>0</v>
      </c>
      <c r="K211" s="103"/>
      <c r="M211"/>
      <c r="N211" s="1300">
        <v>0</v>
      </c>
      <c r="O211" s="1300">
        <v>0</v>
      </c>
      <c r="P211" s="1300">
        <v>0</v>
      </c>
      <c r="Q211" s="1300">
        <v>1</v>
      </c>
      <c r="R211" s="1266">
        <v>32137.600000000002</v>
      </c>
      <c r="S211" s="1266">
        <v>0</v>
      </c>
      <c r="T211" s="1266">
        <f>+IF($Q211=1,$G211,INDEX([1]Summary!$K$5:$K$110,MATCH($C211,[1]Summary!$D$5:$D312,0)))</f>
        <v>32137.600000000002</v>
      </c>
      <c r="U211" s="1266">
        <f>+IF($Q211=1,$J211,INDEX([1]Summary!$L$5:$L$110,MATCH($C211,[1]Summary!$D$5:$D312,0)))</f>
        <v>0</v>
      </c>
      <c r="V211" s="721"/>
      <c r="W211" s="721"/>
      <c r="X211" s="721"/>
      <c r="Y211" s="721"/>
      <c r="Z211" s="721"/>
      <c r="AA211" s="721"/>
      <c r="AB211" s="721"/>
      <c r="AC211" s="721"/>
      <c r="AD211" s="721"/>
      <c r="AI211" s="105"/>
      <c r="AJ211" s="105"/>
      <c r="AN211" s="105"/>
      <c r="AO211" s="105"/>
      <c r="AP211" s="105"/>
    </row>
    <row r="212" spans="1:42" outlineLevel="1">
      <c r="A212" s="545">
        <f>MAX($A$10:A211)+1</f>
        <v>203</v>
      </c>
      <c r="B212" s="716" t="s">
        <v>2096</v>
      </c>
      <c r="C212" s="716" t="s">
        <v>2151</v>
      </c>
      <c r="D212" s="716" t="s">
        <v>2152</v>
      </c>
      <c r="E212" s="559">
        <v>394.1</v>
      </c>
      <c r="F212" s="1302" cm="1">
        <f t="array" ref="F212">+IF(SUM(VALUE(N212:Q212)*$N$7:$Q$7)=0,R212,T212)</f>
        <v>0</v>
      </c>
      <c r="G212" s="103">
        <f t="shared" si="12"/>
        <v>0</v>
      </c>
      <c r="H212" s="717"/>
      <c r="I212" s="1303" cm="1">
        <f t="array" ref="I212">+IF(SUM(VALUE(N212:Q212)*$N$7:$Q$7)=0,S212,U212)</f>
        <v>34224.400000000001</v>
      </c>
      <c r="J212" s="103">
        <f t="shared" si="13"/>
        <v>34224.400000000001</v>
      </c>
      <c r="K212" s="575">
        <v>45748</v>
      </c>
      <c r="M212"/>
      <c r="N212" s="1300">
        <v>0</v>
      </c>
      <c r="O212" s="1300">
        <v>0</v>
      </c>
      <c r="P212" s="1300">
        <v>0</v>
      </c>
      <c r="Q212" s="1300">
        <v>1</v>
      </c>
      <c r="R212" s="1266">
        <v>0</v>
      </c>
      <c r="S212" s="1266">
        <v>34224.400000000001</v>
      </c>
      <c r="T212" s="1266">
        <f>+IF($Q212=1,$G212,INDEX([1]Summary!$K$5:$K$110,MATCH($C212,[1]Summary!$D$5:$D313,0)))</f>
        <v>0</v>
      </c>
      <c r="U212" s="1266">
        <f>+IF($Q212=1,$J212,INDEX([1]Summary!$L$5:$L$110,MATCH($C212,[1]Summary!$D$5:$D313,0)))</f>
        <v>34224.400000000001</v>
      </c>
      <c r="V212" s="721"/>
      <c r="W212" s="721"/>
      <c r="X212" s="721"/>
      <c r="Y212" s="721"/>
      <c r="Z212" s="721"/>
      <c r="AA212" s="721"/>
      <c r="AB212" s="721"/>
      <c r="AC212" s="721"/>
      <c r="AD212" s="721"/>
      <c r="AI212" s="105"/>
      <c r="AJ212" s="105"/>
      <c r="AN212" s="105"/>
      <c r="AO212" s="105"/>
      <c r="AP212" s="105"/>
    </row>
    <row r="213" spans="1:42" outlineLevel="1">
      <c r="A213" s="545">
        <f>MAX($A$10:A212)+1</f>
        <v>204</v>
      </c>
      <c r="B213" s="716" t="s">
        <v>2096</v>
      </c>
      <c r="C213" s="716" t="s">
        <v>2153</v>
      </c>
      <c r="D213" s="716" t="s">
        <v>2154</v>
      </c>
      <c r="E213" s="559">
        <v>394.1</v>
      </c>
      <c r="F213" s="1302" cm="1">
        <f t="array" ref="F213">+IF(SUM(VALUE(N213:Q213)*$N$7:$Q$7)=0,R213,T213)</f>
        <v>0</v>
      </c>
      <c r="G213" s="103">
        <f t="shared" si="12"/>
        <v>0</v>
      </c>
      <c r="H213" s="717"/>
      <c r="I213" s="1303" cm="1">
        <f t="array" ref="I213">+IF(SUM(VALUE(N213:Q213)*$N$7:$Q$7)=0,S213,U213)</f>
        <v>13271.01</v>
      </c>
      <c r="J213" s="103">
        <f t="shared" si="13"/>
        <v>13271.01</v>
      </c>
      <c r="K213" s="575">
        <v>45777</v>
      </c>
      <c r="M213"/>
      <c r="N213" s="1300">
        <v>0</v>
      </c>
      <c r="O213" s="1300">
        <v>0</v>
      </c>
      <c r="P213" s="1300">
        <v>0</v>
      </c>
      <c r="Q213" s="1300">
        <v>1</v>
      </c>
      <c r="R213" s="1266">
        <v>0</v>
      </c>
      <c r="S213" s="1266">
        <v>13271.01</v>
      </c>
      <c r="T213" s="1266">
        <f>+IF($Q213=1,$G213,INDEX([1]Summary!$K$5:$K$110,MATCH($C213,[1]Summary!$D$5:$D314,0)))</f>
        <v>0</v>
      </c>
      <c r="U213" s="1266">
        <f>+IF($Q213=1,$J213,INDEX([1]Summary!$L$5:$L$110,MATCH($C213,[1]Summary!$D$5:$D314,0)))</f>
        <v>13271.01</v>
      </c>
      <c r="V213" s="721"/>
      <c r="W213" s="721"/>
      <c r="X213" s="721"/>
      <c r="Y213" s="721"/>
      <c r="Z213" s="721"/>
      <c r="AA213" s="721"/>
      <c r="AB213" s="721"/>
      <c r="AC213" s="721"/>
      <c r="AD213" s="721"/>
      <c r="AI213" s="105"/>
      <c r="AJ213" s="105"/>
      <c r="AN213" s="105"/>
      <c r="AO213" s="105"/>
      <c r="AP213" s="105"/>
    </row>
    <row r="214" spans="1:42" outlineLevel="1">
      <c r="A214" s="545">
        <f>MAX($A$10:A213)+1</f>
        <v>205</v>
      </c>
      <c r="B214" s="716" t="s">
        <v>2096</v>
      </c>
      <c r="C214" s="716" t="s">
        <v>2155</v>
      </c>
      <c r="D214" s="716" t="s">
        <v>2156</v>
      </c>
      <c r="E214" s="559">
        <v>394.1</v>
      </c>
      <c r="F214" s="1302" cm="1">
        <f t="array" ref="F214">+IF(SUM(VALUE(N214:Q214)*$N$7:$Q$7)=0,R214,T214)</f>
        <v>3439.73</v>
      </c>
      <c r="G214" s="103">
        <f t="shared" si="12"/>
        <v>3439.73</v>
      </c>
      <c r="H214" s="717">
        <v>45412</v>
      </c>
      <c r="I214" s="1303" cm="1">
        <f t="array" ref="I214">+IF(SUM(VALUE(N214:Q214)*$N$7:$Q$7)=0,S214,U214)</f>
        <v>0</v>
      </c>
      <c r="J214" s="103">
        <f t="shared" si="13"/>
        <v>0</v>
      </c>
      <c r="K214" s="103"/>
      <c r="M214"/>
      <c r="N214" s="1300">
        <v>0</v>
      </c>
      <c r="O214" s="1300">
        <v>0</v>
      </c>
      <c r="P214" s="1300">
        <v>0</v>
      </c>
      <c r="Q214" s="1300">
        <v>1</v>
      </c>
      <c r="R214" s="1266">
        <v>3439.73</v>
      </c>
      <c r="S214" s="1266">
        <v>0</v>
      </c>
      <c r="T214" s="1266">
        <f>+IF($Q214=1,$G214,INDEX([1]Summary!$K$5:$K$110,MATCH($C214,[1]Summary!$D$5:$D315,0)))</f>
        <v>3439.73</v>
      </c>
      <c r="U214" s="1266">
        <f>+IF($Q214=1,$J214,INDEX([1]Summary!$L$5:$L$110,MATCH($C214,[1]Summary!$D$5:$D315,0)))</f>
        <v>0</v>
      </c>
      <c r="V214" s="721"/>
      <c r="W214" s="721"/>
      <c r="X214" s="721"/>
      <c r="Y214" s="721"/>
      <c r="Z214" s="721"/>
      <c r="AA214" s="721"/>
      <c r="AB214" s="721"/>
      <c r="AC214" s="721"/>
      <c r="AD214" s="721"/>
      <c r="AI214" s="105"/>
      <c r="AJ214" s="105"/>
      <c r="AN214" s="105"/>
      <c r="AO214" s="105"/>
      <c r="AP214" s="105"/>
    </row>
    <row r="215" spans="1:42" outlineLevel="1">
      <c r="A215" s="545">
        <f>MAX($A$10:A214)+1</f>
        <v>206</v>
      </c>
      <c r="B215" s="716" t="s">
        <v>2096</v>
      </c>
      <c r="C215" s="716" t="s">
        <v>2157</v>
      </c>
      <c r="D215" s="716" t="s">
        <v>2158</v>
      </c>
      <c r="E215" s="559">
        <v>394.1</v>
      </c>
      <c r="F215" s="1302" cm="1">
        <f t="array" ref="F215">+IF(SUM(VALUE(N215:Q215)*$N$7:$Q$7)=0,R215,T215)</f>
        <v>7532.25</v>
      </c>
      <c r="G215" s="103">
        <f t="shared" si="12"/>
        <v>7532.25</v>
      </c>
      <c r="H215" s="717">
        <v>45412</v>
      </c>
      <c r="I215" s="1303" cm="1">
        <f t="array" ref="I215">+IF(SUM(VALUE(N215:Q215)*$N$7:$Q$7)=0,S215,U215)</f>
        <v>0</v>
      </c>
      <c r="J215" s="103">
        <f t="shared" si="13"/>
        <v>0</v>
      </c>
      <c r="K215" s="103"/>
      <c r="M215"/>
      <c r="N215" s="1300">
        <v>0</v>
      </c>
      <c r="O215" s="1300">
        <v>0</v>
      </c>
      <c r="P215" s="1300">
        <v>0</v>
      </c>
      <c r="Q215" s="1300">
        <v>1</v>
      </c>
      <c r="R215" s="1266">
        <v>7532.25</v>
      </c>
      <c r="S215" s="1266">
        <v>0</v>
      </c>
      <c r="T215" s="1266">
        <f>+IF($Q215=1,$G215,INDEX([1]Summary!$K$5:$K$110,MATCH($C215,[1]Summary!$D$5:$D316,0)))</f>
        <v>7532.25</v>
      </c>
      <c r="U215" s="1266">
        <f>+IF($Q215=1,$J215,INDEX([1]Summary!$L$5:$L$110,MATCH($C215,[1]Summary!$D$5:$D316,0)))</f>
        <v>0</v>
      </c>
      <c r="V215" s="721"/>
      <c r="W215" s="721"/>
      <c r="X215" s="721"/>
      <c r="Y215" s="721"/>
      <c r="Z215" s="721"/>
      <c r="AA215" s="721"/>
      <c r="AB215" s="721"/>
      <c r="AC215" s="721"/>
      <c r="AD215" s="721"/>
      <c r="AI215" s="105"/>
      <c r="AJ215" s="105"/>
      <c r="AN215" s="105"/>
      <c r="AO215" s="105"/>
      <c r="AP215" s="105"/>
    </row>
    <row r="216" spans="1:42" outlineLevel="1">
      <c r="A216" s="545">
        <f>MAX($A$10:A215)+1</f>
        <v>207</v>
      </c>
      <c r="B216" s="716" t="s">
        <v>2096</v>
      </c>
      <c r="C216" s="716" t="s">
        <v>2159</v>
      </c>
      <c r="D216" s="716" t="s">
        <v>2160</v>
      </c>
      <c r="E216" s="559">
        <v>394.1</v>
      </c>
      <c r="F216" s="1302" cm="1">
        <f t="array" ref="F216">+IF(SUM(VALUE(N216:Q216)*$N$7:$Q$7)=0,R216,T216)</f>
        <v>50215</v>
      </c>
      <c r="G216" s="103">
        <f t="shared" si="12"/>
        <v>50215</v>
      </c>
      <c r="H216" s="717">
        <v>45505</v>
      </c>
      <c r="I216" s="1303" cm="1">
        <f t="array" ref="I216">+IF(SUM(VALUE(N216:Q216)*$N$7:$Q$7)=0,S216,U216)</f>
        <v>0</v>
      </c>
      <c r="J216" s="103">
        <f t="shared" si="13"/>
        <v>0</v>
      </c>
      <c r="K216" s="103"/>
      <c r="M216"/>
      <c r="N216" s="1300">
        <v>0</v>
      </c>
      <c r="O216" s="1300">
        <v>0</v>
      </c>
      <c r="P216" s="1300">
        <v>0</v>
      </c>
      <c r="Q216" s="1300">
        <v>1</v>
      </c>
      <c r="R216" s="1266">
        <v>50215</v>
      </c>
      <c r="S216" s="1266">
        <v>0</v>
      </c>
      <c r="T216" s="1266">
        <f>+IF($Q216=1,$G216,INDEX([1]Summary!$K$5:$K$110,MATCH($C216,[1]Summary!$D$5:$D317,0)))</f>
        <v>50215</v>
      </c>
      <c r="U216" s="1266">
        <f>+IF($Q216=1,$J216,INDEX([1]Summary!$L$5:$L$110,MATCH($C216,[1]Summary!$D$5:$D317,0)))</f>
        <v>0</v>
      </c>
      <c r="V216" s="721"/>
      <c r="W216" s="721"/>
      <c r="X216" s="721"/>
      <c r="Y216" s="721"/>
      <c r="Z216" s="721"/>
      <c r="AA216" s="721"/>
      <c r="AB216" s="721"/>
      <c r="AC216" s="721"/>
      <c r="AD216" s="721"/>
      <c r="AI216" s="105"/>
      <c r="AJ216" s="105"/>
      <c r="AN216" s="105"/>
      <c r="AO216" s="105"/>
      <c r="AP216" s="105"/>
    </row>
    <row r="217" spans="1:42" outlineLevel="1">
      <c r="A217" s="545">
        <f>MAX($A$10:A216)+1</f>
        <v>208</v>
      </c>
      <c r="B217" s="716" t="s">
        <v>2096</v>
      </c>
      <c r="C217" s="716" t="s">
        <v>2161</v>
      </c>
      <c r="D217" s="716" t="s">
        <v>2162</v>
      </c>
      <c r="E217" s="559">
        <v>398</v>
      </c>
      <c r="F217" s="1302" cm="1">
        <f t="array" ref="F217">+IF(SUM(VALUE(N217:Q217)*$N$7:$Q$7)=0,R217,T217)</f>
        <v>0</v>
      </c>
      <c r="G217" s="103">
        <f t="shared" si="12"/>
        <v>0</v>
      </c>
      <c r="H217" s="717"/>
      <c r="I217" s="1303" cm="1">
        <f t="array" ref="I217">+IF(SUM(VALUE(N217:Q217)*$N$7:$Q$7)=0,S217,U217)</f>
        <v>4026.4</v>
      </c>
      <c r="J217" s="103">
        <f t="shared" si="13"/>
        <v>4026.4</v>
      </c>
      <c r="K217" s="575">
        <v>45716</v>
      </c>
      <c r="M217"/>
      <c r="N217" s="1300">
        <v>0</v>
      </c>
      <c r="O217" s="1300">
        <v>0</v>
      </c>
      <c r="P217" s="1300">
        <v>0</v>
      </c>
      <c r="Q217" s="1300">
        <v>1</v>
      </c>
      <c r="R217" s="1266">
        <v>0</v>
      </c>
      <c r="S217" s="1266">
        <v>4026.4</v>
      </c>
      <c r="T217" s="1266">
        <f>+IF($Q217=1,$G217,INDEX([1]Summary!$K$5:$K$110,MATCH($C217,[1]Summary!$D$5:$D318,0)))</f>
        <v>0</v>
      </c>
      <c r="U217" s="1266">
        <f>+IF($Q217=1,$J217,INDEX([1]Summary!$L$5:$L$110,MATCH($C217,[1]Summary!$D$5:$D318,0)))</f>
        <v>4026.4</v>
      </c>
      <c r="V217" s="721"/>
      <c r="W217" s="721"/>
      <c r="X217" s="721"/>
      <c r="Y217" s="721"/>
      <c r="Z217" s="721"/>
      <c r="AA217" s="721"/>
      <c r="AB217" s="721"/>
      <c r="AC217" s="721"/>
      <c r="AD217" s="721"/>
      <c r="AI217" s="105"/>
      <c r="AJ217" s="105"/>
      <c r="AN217" s="105"/>
      <c r="AO217" s="105"/>
      <c r="AP217" s="105"/>
    </row>
    <row r="218" spans="1:42" outlineLevel="1">
      <c r="A218" s="545">
        <f>MAX($A$10:A217)+1</f>
        <v>209</v>
      </c>
      <c r="B218" s="716" t="s">
        <v>2096</v>
      </c>
      <c r="C218" s="716" t="s">
        <v>2163</v>
      </c>
      <c r="D218" s="716" t="s">
        <v>2164</v>
      </c>
      <c r="E218" s="559">
        <v>394.1</v>
      </c>
      <c r="F218" s="1302" cm="1">
        <f t="array" ref="F218">+IF(SUM(VALUE(N218:Q218)*$N$7:$Q$7)=0,R218,T218)</f>
        <v>4017.2000000000003</v>
      </c>
      <c r="G218" s="103">
        <f t="shared" si="12"/>
        <v>4017.2000000000003</v>
      </c>
      <c r="H218" s="717">
        <v>45350</v>
      </c>
      <c r="I218" s="1303" cm="1">
        <f t="array" ref="I218">+IF(SUM(VALUE(N218:Q218)*$N$7:$Q$7)=0,S218,U218)</f>
        <v>0</v>
      </c>
      <c r="J218" s="103">
        <f t="shared" si="13"/>
        <v>0</v>
      </c>
      <c r="K218" s="103"/>
      <c r="M218"/>
      <c r="N218" s="1300">
        <v>0</v>
      </c>
      <c r="O218" s="1300">
        <v>0</v>
      </c>
      <c r="P218" s="1300">
        <v>0</v>
      </c>
      <c r="Q218" s="1300">
        <v>1</v>
      </c>
      <c r="R218" s="1266">
        <v>4017.2000000000003</v>
      </c>
      <c r="S218" s="1266">
        <v>0</v>
      </c>
      <c r="T218" s="1266">
        <f>+IF($Q218=1,$G218,INDEX([1]Summary!$K$5:$K$110,MATCH($C218,[1]Summary!$D$5:$D319,0)))</f>
        <v>4017.2000000000003</v>
      </c>
      <c r="U218" s="1266">
        <f>+IF($Q218=1,$J218,INDEX([1]Summary!$L$5:$L$110,MATCH($C218,[1]Summary!$D$5:$D319,0)))</f>
        <v>0</v>
      </c>
      <c r="V218" s="721"/>
      <c r="W218" s="721"/>
      <c r="X218" s="721"/>
      <c r="Y218" s="721"/>
      <c r="Z218" s="721"/>
      <c r="AA218" s="721"/>
      <c r="AB218" s="721"/>
      <c r="AC218" s="721"/>
      <c r="AD218" s="721"/>
      <c r="AI218" s="105"/>
      <c r="AJ218" s="105"/>
      <c r="AN218" s="105"/>
      <c r="AO218" s="105"/>
      <c r="AP218" s="105"/>
    </row>
    <row r="219" spans="1:42" outlineLevel="1">
      <c r="A219" s="545">
        <f>MAX($A$10:A218)+1</f>
        <v>210</v>
      </c>
      <c r="B219" s="716" t="s">
        <v>2096</v>
      </c>
      <c r="C219" s="716" t="s">
        <v>2165</v>
      </c>
      <c r="D219" s="716" t="s">
        <v>2166</v>
      </c>
      <c r="E219" s="559">
        <v>394.1</v>
      </c>
      <c r="F219" s="1302" cm="1">
        <f t="array" ref="F219">+IF(SUM(VALUE(N219:Q219)*$N$7:$Q$7)=0,R219,T219)</f>
        <v>2510.75</v>
      </c>
      <c r="G219" s="103">
        <f t="shared" si="12"/>
        <v>2510.75</v>
      </c>
      <c r="H219" s="717">
        <v>45350</v>
      </c>
      <c r="I219" s="1303" cm="1">
        <f t="array" ref="I219">+IF(SUM(VALUE(N219:Q219)*$N$7:$Q$7)=0,S219,U219)</f>
        <v>0</v>
      </c>
      <c r="J219" s="103">
        <f t="shared" si="13"/>
        <v>0</v>
      </c>
      <c r="K219" s="103"/>
      <c r="M219"/>
      <c r="N219" s="1300">
        <v>0</v>
      </c>
      <c r="O219" s="1300">
        <v>0</v>
      </c>
      <c r="P219" s="1300">
        <v>0</v>
      </c>
      <c r="Q219" s="1300">
        <v>1</v>
      </c>
      <c r="R219" s="1266">
        <v>2510.75</v>
      </c>
      <c r="S219" s="1266">
        <v>0</v>
      </c>
      <c r="T219" s="1266">
        <f>+IF($Q219=1,$G219,INDEX([1]Summary!$K$5:$K$110,MATCH($C219,[1]Summary!$D$5:$D320,0)))</f>
        <v>2510.75</v>
      </c>
      <c r="U219" s="1266">
        <f>+IF($Q219=1,$J219,INDEX([1]Summary!$L$5:$L$110,MATCH($C219,[1]Summary!$D$5:$D320,0)))</f>
        <v>0</v>
      </c>
      <c r="V219" s="721"/>
      <c r="W219" s="721"/>
      <c r="X219" s="721"/>
      <c r="Y219" s="721"/>
      <c r="Z219" s="721"/>
      <c r="AA219" s="721"/>
      <c r="AB219" s="721"/>
      <c r="AC219" s="721"/>
      <c r="AD219" s="721"/>
      <c r="AI219" s="105"/>
      <c r="AJ219" s="105"/>
      <c r="AN219" s="105"/>
      <c r="AO219" s="105"/>
      <c r="AP219" s="105"/>
    </row>
    <row r="220" spans="1:42" outlineLevel="1">
      <c r="A220" s="545">
        <f>MAX($A$10:A219)+1</f>
        <v>211</v>
      </c>
      <c r="B220" s="716" t="s">
        <v>2096</v>
      </c>
      <c r="C220" s="716" t="s">
        <v>2167</v>
      </c>
      <c r="D220" s="716" t="s">
        <v>2168</v>
      </c>
      <c r="E220" s="559">
        <v>394.1</v>
      </c>
      <c r="F220" s="1302" cm="1">
        <f t="array" ref="F220">+IF(SUM(VALUE(N220:Q220)*$N$7:$Q$7)=0,R220,T220)</f>
        <v>1506.45</v>
      </c>
      <c r="G220" s="103">
        <f t="shared" si="12"/>
        <v>1506.45</v>
      </c>
      <c r="H220" s="717">
        <v>45321</v>
      </c>
      <c r="I220" s="1303" cm="1">
        <f t="array" ref="I220">+IF(SUM(VALUE(N220:Q220)*$N$7:$Q$7)=0,S220,U220)</f>
        <v>0</v>
      </c>
      <c r="J220" s="103">
        <f t="shared" si="13"/>
        <v>0</v>
      </c>
      <c r="K220" s="103"/>
      <c r="M220"/>
      <c r="N220" s="1300">
        <v>0</v>
      </c>
      <c r="O220" s="1300">
        <v>0</v>
      </c>
      <c r="P220" s="1300">
        <v>0</v>
      </c>
      <c r="Q220" s="1300">
        <v>1</v>
      </c>
      <c r="R220" s="1266">
        <v>1506.45</v>
      </c>
      <c r="S220" s="1266">
        <v>0</v>
      </c>
      <c r="T220" s="1266">
        <f>+IF($Q220=1,$G220,INDEX([1]Summary!$K$5:$K$110,MATCH($C220,[1]Summary!$D$5:$D321,0)))</f>
        <v>1506.45</v>
      </c>
      <c r="U220" s="1266">
        <f>+IF($Q220=1,$J220,INDEX([1]Summary!$L$5:$L$110,MATCH($C220,[1]Summary!$D$5:$D321,0)))</f>
        <v>0</v>
      </c>
      <c r="V220" s="721"/>
      <c r="W220" s="721"/>
      <c r="X220" s="721"/>
      <c r="Y220" s="721"/>
      <c r="Z220" s="721"/>
      <c r="AA220" s="721"/>
      <c r="AB220" s="721"/>
      <c r="AC220" s="721"/>
      <c r="AD220" s="721"/>
      <c r="AI220" s="105"/>
      <c r="AJ220" s="105"/>
      <c r="AN220" s="105"/>
      <c r="AO220" s="105"/>
      <c r="AP220" s="105"/>
    </row>
    <row r="221" spans="1:42" outlineLevel="1">
      <c r="A221" s="545">
        <f>MAX($A$10:A220)+1</f>
        <v>212</v>
      </c>
      <c r="B221" s="716" t="s">
        <v>2096</v>
      </c>
      <c r="C221" s="716" t="s">
        <v>2169</v>
      </c>
      <c r="D221" s="716" t="s">
        <v>2170</v>
      </c>
      <c r="E221" s="559">
        <v>398</v>
      </c>
      <c r="F221" s="1302" cm="1">
        <f t="array" ref="F221">+IF(SUM(VALUE(N221:Q221)*$N$7:$Q$7)=0,R221,T221)</f>
        <v>2008.6000000000001</v>
      </c>
      <c r="G221" s="103">
        <f t="shared" si="12"/>
        <v>2008.6000000000001</v>
      </c>
      <c r="H221" s="717">
        <v>45381</v>
      </c>
      <c r="I221" s="1303" cm="1">
        <f t="array" ref="I221">+IF(SUM(VALUE(N221:Q221)*$N$7:$Q$7)=0,S221,U221)</f>
        <v>0</v>
      </c>
      <c r="J221" s="103">
        <f t="shared" si="13"/>
        <v>0</v>
      </c>
      <c r="K221" s="103"/>
      <c r="M221"/>
      <c r="N221" s="1300">
        <v>0</v>
      </c>
      <c r="O221" s="1300">
        <v>0</v>
      </c>
      <c r="P221" s="1300">
        <v>0</v>
      </c>
      <c r="Q221" s="1300">
        <v>1</v>
      </c>
      <c r="R221" s="1266">
        <v>2008.6000000000001</v>
      </c>
      <c r="S221" s="1266">
        <v>0</v>
      </c>
      <c r="T221" s="1266">
        <f>+IF($Q221=1,$G221,INDEX([1]Summary!$K$5:$K$110,MATCH($C221,[1]Summary!$D$5:$D322,0)))</f>
        <v>2008.6000000000001</v>
      </c>
      <c r="U221" s="1266">
        <f>+IF($Q221=1,$J221,INDEX([1]Summary!$L$5:$L$110,MATCH($C221,[1]Summary!$D$5:$D322,0)))</f>
        <v>0</v>
      </c>
      <c r="V221" s="721"/>
      <c r="W221" s="721"/>
      <c r="X221" s="721"/>
      <c r="Y221" s="721"/>
      <c r="Z221" s="721"/>
      <c r="AA221" s="721"/>
      <c r="AB221" s="721"/>
      <c r="AC221" s="721"/>
      <c r="AD221" s="721"/>
      <c r="AI221" s="105"/>
      <c r="AJ221" s="105"/>
      <c r="AN221" s="105"/>
      <c r="AO221" s="105"/>
      <c r="AP221" s="105"/>
    </row>
    <row r="222" spans="1:42" outlineLevel="1">
      <c r="A222" s="545">
        <f>MAX($A$10:A221)+1</f>
        <v>213</v>
      </c>
      <c r="B222" s="716" t="s">
        <v>2096</v>
      </c>
      <c r="C222" s="716" t="s">
        <v>2171</v>
      </c>
      <c r="D222" s="716" t="s">
        <v>2172</v>
      </c>
      <c r="E222" s="559">
        <v>394.1</v>
      </c>
      <c r="F222" s="1302" cm="1">
        <f t="array" ref="F222">+IF(SUM(VALUE(N222:Q222)*$N$7:$Q$7)=0,R222,T222)</f>
        <v>10043</v>
      </c>
      <c r="G222" s="103">
        <f t="shared" si="12"/>
        <v>10043</v>
      </c>
      <c r="H222" s="717">
        <v>45483</v>
      </c>
      <c r="I222" s="1303" cm="1">
        <f t="array" ref="I222">+IF(SUM(VALUE(N222:Q222)*$N$7:$Q$7)=0,S222,U222)</f>
        <v>0</v>
      </c>
      <c r="J222" s="103">
        <f t="shared" si="13"/>
        <v>0</v>
      </c>
      <c r="K222" s="103"/>
      <c r="M222"/>
      <c r="N222" s="1300">
        <v>0</v>
      </c>
      <c r="O222" s="1300">
        <v>0</v>
      </c>
      <c r="P222" s="1300">
        <v>0</v>
      </c>
      <c r="Q222" s="1300">
        <v>1</v>
      </c>
      <c r="R222" s="1266">
        <v>10043</v>
      </c>
      <c r="S222" s="1266">
        <v>0</v>
      </c>
      <c r="T222" s="1266">
        <f>+IF($Q222=1,$G222,INDEX([1]Summary!$K$5:$K$110,MATCH($C222,[1]Summary!$D$5:$D323,0)))</f>
        <v>10043</v>
      </c>
      <c r="U222" s="1266">
        <f>+IF($Q222=1,$J222,INDEX([1]Summary!$L$5:$L$110,MATCH($C222,[1]Summary!$D$5:$D323,0)))</f>
        <v>0</v>
      </c>
      <c r="V222" s="721"/>
      <c r="W222" s="721"/>
      <c r="X222" s="721"/>
      <c r="Y222" s="721"/>
      <c r="Z222" s="721"/>
      <c r="AA222" s="721"/>
      <c r="AB222" s="721"/>
      <c r="AC222" s="721"/>
      <c r="AD222" s="721"/>
      <c r="AI222" s="105"/>
      <c r="AJ222" s="105"/>
      <c r="AN222" s="105"/>
      <c r="AO222" s="105"/>
      <c r="AP222" s="105"/>
    </row>
    <row r="223" spans="1:42" outlineLevel="1">
      <c r="A223" s="545">
        <f>MAX($A$10:A222)+1</f>
        <v>214</v>
      </c>
      <c r="B223" s="716" t="s">
        <v>2096</v>
      </c>
      <c r="C223" s="716" t="s">
        <v>2173</v>
      </c>
      <c r="D223" s="716" t="s">
        <v>2174</v>
      </c>
      <c r="E223" s="559">
        <v>397.3</v>
      </c>
      <c r="F223" s="1302" cm="1">
        <f t="array" ref="F223">+IF(SUM(VALUE(N223:Q223)*$N$7:$Q$7)=0,R223,T223)</f>
        <v>75322.5</v>
      </c>
      <c r="G223" s="103">
        <f t="shared" si="12"/>
        <v>75322.5</v>
      </c>
      <c r="H223" s="717">
        <v>45366</v>
      </c>
      <c r="I223" s="1303" cm="1">
        <f t="array" ref="I223">+IF(SUM(VALUE(N223:Q223)*$N$7:$Q$7)=0,S223,U223)</f>
        <v>0</v>
      </c>
      <c r="J223" s="103">
        <f t="shared" si="13"/>
        <v>0</v>
      </c>
      <c r="K223" s="103"/>
      <c r="M223"/>
      <c r="N223" s="1300">
        <v>0</v>
      </c>
      <c r="O223" s="1300">
        <v>0</v>
      </c>
      <c r="P223" s="1300">
        <v>0</v>
      </c>
      <c r="Q223" s="1300">
        <v>1</v>
      </c>
      <c r="R223" s="1266">
        <v>75322.5</v>
      </c>
      <c r="S223" s="1266">
        <v>0</v>
      </c>
      <c r="T223" s="1266">
        <f>+IF($Q223=1,$G223,INDEX([1]Summary!$K$5:$K$110,MATCH($C223,[1]Summary!$D$5:$D324,0)))</f>
        <v>75322.5</v>
      </c>
      <c r="U223" s="1266">
        <f>+IF($Q223=1,$J223,INDEX([1]Summary!$L$5:$L$110,MATCH($C223,[1]Summary!$D$5:$D324,0)))</f>
        <v>0</v>
      </c>
      <c r="V223" s="721"/>
      <c r="W223" s="721"/>
      <c r="X223" s="721"/>
      <c r="Y223" s="721"/>
      <c r="Z223" s="721"/>
      <c r="AA223" s="721"/>
      <c r="AB223" s="721"/>
      <c r="AC223" s="721"/>
      <c r="AD223" s="721"/>
      <c r="AI223" s="105"/>
      <c r="AJ223" s="105"/>
      <c r="AN223" s="105"/>
      <c r="AO223" s="105"/>
      <c r="AP223" s="105"/>
    </row>
    <row r="224" spans="1:42" outlineLevel="1">
      <c r="A224" s="545">
        <f>MAX($A$10:A223)+1</f>
        <v>215</v>
      </c>
      <c r="B224" s="716" t="s">
        <v>2096</v>
      </c>
      <c r="C224" s="716" t="s">
        <v>2175</v>
      </c>
      <c r="D224" s="716" t="s">
        <v>2176</v>
      </c>
      <c r="E224" s="559">
        <v>391.3</v>
      </c>
      <c r="F224" s="1302" cm="1">
        <f t="array" ref="F224">+IF(SUM(VALUE(N224:Q224)*$N$7:$Q$7)=0,R224,T224)</f>
        <v>45193.5</v>
      </c>
      <c r="G224" s="103">
        <f t="shared" si="12"/>
        <v>45193.5</v>
      </c>
      <c r="H224" s="717">
        <v>45550</v>
      </c>
      <c r="I224" s="1303" cm="1">
        <f t="array" ref="I224">+IF(SUM(VALUE(N224:Q224)*$N$7:$Q$7)=0,S224,U224)</f>
        <v>0</v>
      </c>
      <c r="J224" s="103">
        <f t="shared" si="13"/>
        <v>0</v>
      </c>
      <c r="K224" s="103"/>
      <c r="M224"/>
      <c r="N224" s="1300">
        <v>0</v>
      </c>
      <c r="O224" s="1300">
        <v>0</v>
      </c>
      <c r="P224" s="1300">
        <v>0</v>
      </c>
      <c r="Q224" s="1300">
        <v>1</v>
      </c>
      <c r="R224" s="1266">
        <v>45193.5</v>
      </c>
      <c r="S224" s="1266">
        <v>0</v>
      </c>
      <c r="T224" s="1266">
        <f>+IF($Q224=1,$G224,INDEX([1]Summary!$K$5:$K$110,MATCH($C224,[1]Summary!$D$5:$D325,0)))</f>
        <v>45193.5</v>
      </c>
      <c r="U224" s="1266">
        <f>+IF($Q224=1,$J224,INDEX([1]Summary!$L$5:$L$110,MATCH($C224,[1]Summary!$D$5:$D325,0)))</f>
        <v>0</v>
      </c>
      <c r="V224" s="721"/>
      <c r="W224" s="721"/>
      <c r="X224" s="721"/>
      <c r="Y224" s="721"/>
      <c r="Z224" s="721"/>
      <c r="AA224" s="721"/>
      <c r="AB224" s="721"/>
      <c r="AC224" s="721"/>
      <c r="AD224" s="721"/>
      <c r="AI224" s="105"/>
      <c r="AJ224" s="105"/>
      <c r="AN224" s="105"/>
      <c r="AO224" s="105"/>
      <c r="AP224" s="105"/>
    </row>
    <row r="225" spans="1:42" outlineLevel="1">
      <c r="A225" s="545">
        <f>MAX($A$10:A224)+1</f>
        <v>216</v>
      </c>
      <c r="B225" s="716" t="s">
        <v>2096</v>
      </c>
      <c r="C225" s="716" t="s">
        <v>2177</v>
      </c>
      <c r="D225" s="716" t="s">
        <v>2178</v>
      </c>
      <c r="E225" s="559">
        <v>397.2</v>
      </c>
      <c r="F225" s="1302" cm="1">
        <f t="array" ref="F225">+IF(SUM(VALUE(N225:Q225)*$N$7:$Q$7)=0,R225,T225)</f>
        <v>0</v>
      </c>
      <c r="G225" s="103">
        <f t="shared" si="12"/>
        <v>0</v>
      </c>
      <c r="H225" s="717"/>
      <c r="I225" s="1303" cm="1">
        <f t="array" ref="I225">+IF(SUM(VALUE(N225:Q225)*$N$7:$Q$7)=0,S225,U225)</f>
        <v>4533.9277200000006</v>
      </c>
      <c r="J225" s="103">
        <f t="shared" si="13"/>
        <v>4533.9277200000006</v>
      </c>
      <c r="K225" s="575">
        <v>45961</v>
      </c>
      <c r="M225"/>
      <c r="N225" s="1300">
        <v>0</v>
      </c>
      <c r="O225" s="1300">
        <v>0</v>
      </c>
      <c r="P225" s="1300">
        <v>0</v>
      </c>
      <c r="Q225" s="1300">
        <v>1</v>
      </c>
      <c r="R225" s="1266">
        <v>0</v>
      </c>
      <c r="S225" s="1266">
        <v>4533.9277200000006</v>
      </c>
      <c r="T225" s="1266">
        <f>+IF($Q225=1,$G225,INDEX([1]Summary!$K$5:$K$110,MATCH($C225,[1]Summary!$D$5:$D326,0)))</f>
        <v>0</v>
      </c>
      <c r="U225" s="1266">
        <f>+IF($Q225=1,$J225,INDEX([1]Summary!$L$5:$L$110,MATCH($C225,[1]Summary!$D$5:$D326,0)))</f>
        <v>4533.9277200000006</v>
      </c>
      <c r="V225" s="721"/>
      <c r="W225" s="721"/>
      <c r="X225" s="721"/>
      <c r="Y225" s="721"/>
      <c r="Z225" s="721"/>
      <c r="AA225" s="721"/>
      <c r="AB225" s="721"/>
      <c r="AC225" s="721"/>
      <c r="AD225" s="721"/>
      <c r="AI225" s="105"/>
      <c r="AJ225" s="105"/>
      <c r="AN225" s="105"/>
      <c r="AO225" s="105"/>
      <c r="AP225" s="105"/>
    </row>
    <row r="226" spans="1:42" outlineLevel="1">
      <c r="A226" s="545">
        <f>MAX($A$10:A225)+1</f>
        <v>217</v>
      </c>
      <c r="B226" s="716" t="s">
        <v>2096</v>
      </c>
      <c r="C226" s="716" t="s">
        <v>2179</v>
      </c>
      <c r="D226" s="716" t="s">
        <v>2180</v>
      </c>
      <c r="E226" s="559">
        <v>394.1</v>
      </c>
      <c r="F226" s="1302" cm="1">
        <f t="array" ref="F226">+IF(SUM(VALUE(N226:Q226)*$N$7:$Q$7)=0,R226,T226)</f>
        <v>1506.45</v>
      </c>
      <c r="G226" s="103">
        <f t="shared" si="12"/>
        <v>1506.45</v>
      </c>
      <c r="H226" s="717">
        <v>45321</v>
      </c>
      <c r="I226" s="1303" cm="1">
        <f t="array" ref="I226">+IF(SUM(VALUE(N226:Q226)*$N$7:$Q$7)=0,S226,U226)</f>
        <v>0</v>
      </c>
      <c r="J226" s="103">
        <f t="shared" si="13"/>
        <v>0</v>
      </c>
      <c r="K226" s="103"/>
      <c r="M226"/>
      <c r="N226" s="1300">
        <v>0</v>
      </c>
      <c r="O226" s="1300">
        <v>0</v>
      </c>
      <c r="P226" s="1300">
        <v>0</v>
      </c>
      <c r="Q226" s="1300">
        <v>1</v>
      </c>
      <c r="R226" s="1266">
        <v>1506.45</v>
      </c>
      <c r="S226" s="1266">
        <v>0</v>
      </c>
      <c r="T226" s="1266">
        <f>+IF($Q226=1,$G226,INDEX([1]Summary!$K$5:$K$110,MATCH($C226,[1]Summary!$D$5:$D327,0)))</f>
        <v>1506.45</v>
      </c>
      <c r="U226" s="1266">
        <f>+IF($Q226=1,$J226,INDEX([1]Summary!$L$5:$L$110,MATCH($C226,[1]Summary!$D$5:$D327,0)))</f>
        <v>0</v>
      </c>
      <c r="V226" s="721"/>
      <c r="W226" s="721"/>
      <c r="X226" s="721"/>
      <c r="Y226" s="721"/>
      <c r="Z226" s="721"/>
      <c r="AA226" s="721"/>
      <c r="AB226" s="721"/>
      <c r="AC226" s="721"/>
      <c r="AD226" s="721"/>
      <c r="AI226" s="105"/>
      <c r="AJ226" s="105"/>
      <c r="AN226" s="105"/>
      <c r="AO226" s="105"/>
      <c r="AP226" s="105"/>
    </row>
    <row r="227" spans="1:42" outlineLevel="1">
      <c r="A227" s="545">
        <f>MAX($A$10:A226)+1</f>
        <v>218</v>
      </c>
      <c r="B227" s="716" t="s">
        <v>2096</v>
      </c>
      <c r="C227" s="716" t="s">
        <v>2181</v>
      </c>
      <c r="D227" s="716" t="s">
        <v>2182</v>
      </c>
      <c r="E227" s="559">
        <v>394.1</v>
      </c>
      <c r="F227" s="1302" cm="1">
        <f t="array" ref="F227">+IF(SUM(VALUE(N227:Q227)*$N$7:$Q$7)=0,R227,T227)</f>
        <v>1506.45</v>
      </c>
      <c r="G227" s="103">
        <f t="shared" si="12"/>
        <v>1506.45</v>
      </c>
      <c r="H227" s="717">
        <v>45321</v>
      </c>
      <c r="I227" s="1303" cm="1">
        <f t="array" ref="I227">+IF(SUM(VALUE(N227:Q227)*$N$7:$Q$7)=0,S227,U227)</f>
        <v>0</v>
      </c>
      <c r="J227" s="103">
        <f t="shared" si="13"/>
        <v>0</v>
      </c>
      <c r="K227" s="103"/>
      <c r="M227"/>
      <c r="N227" s="1300">
        <v>0</v>
      </c>
      <c r="O227" s="1300">
        <v>0</v>
      </c>
      <c r="P227" s="1300">
        <v>0</v>
      </c>
      <c r="Q227" s="1300">
        <v>1</v>
      </c>
      <c r="R227" s="1266">
        <v>1506.45</v>
      </c>
      <c r="S227" s="1266">
        <v>0</v>
      </c>
      <c r="T227" s="1266">
        <f>+IF($Q227=1,$G227,INDEX([1]Summary!$K$5:$K$110,MATCH($C227,[1]Summary!$D$5:$D328,0)))</f>
        <v>1506.45</v>
      </c>
      <c r="U227" s="1266">
        <f>+IF($Q227=1,$J227,INDEX([1]Summary!$L$5:$L$110,MATCH($C227,[1]Summary!$D$5:$D328,0)))</f>
        <v>0</v>
      </c>
      <c r="V227" s="721"/>
      <c r="W227" s="721"/>
      <c r="X227" s="721"/>
      <c r="Y227" s="721"/>
      <c r="Z227" s="721"/>
      <c r="AA227" s="721"/>
      <c r="AB227" s="721"/>
      <c r="AC227" s="721"/>
      <c r="AD227" s="721"/>
      <c r="AI227" s="105"/>
      <c r="AJ227" s="105"/>
      <c r="AN227" s="105"/>
      <c r="AO227" s="105"/>
      <c r="AP227" s="105"/>
    </row>
    <row r="228" spans="1:42" outlineLevel="1">
      <c r="A228" s="545">
        <f>MAX($A$10:A227)+1</f>
        <v>219</v>
      </c>
      <c r="B228" s="716" t="s">
        <v>2096</v>
      </c>
      <c r="C228" s="716" t="s">
        <v>2183</v>
      </c>
      <c r="D228" s="716" t="s">
        <v>2184</v>
      </c>
      <c r="E228" s="559">
        <v>394.1</v>
      </c>
      <c r="F228" s="1302" cm="1">
        <f t="array" ref="F228">+IF(SUM(VALUE(N228:Q228)*$N$7:$Q$7)=0,R228,T228)</f>
        <v>9800.418528000002</v>
      </c>
      <c r="G228" s="103">
        <f t="shared" si="12"/>
        <v>9800.418528000002</v>
      </c>
      <c r="H228" s="717">
        <v>45349</v>
      </c>
      <c r="I228" s="1303" cm="1">
        <f t="array" ref="I228">+IF(SUM(VALUE(N228:Q228)*$N$7:$Q$7)=0,S228,U228)</f>
        <v>0</v>
      </c>
      <c r="J228" s="103">
        <f t="shared" si="13"/>
        <v>0</v>
      </c>
      <c r="K228" s="103"/>
      <c r="M228"/>
      <c r="N228" s="1300">
        <v>0</v>
      </c>
      <c r="O228" s="1300">
        <v>0</v>
      </c>
      <c r="P228" s="1300">
        <v>0</v>
      </c>
      <c r="Q228" s="1300">
        <v>1</v>
      </c>
      <c r="R228" s="1266">
        <v>9800.418528000002</v>
      </c>
      <c r="S228" s="1266">
        <v>0</v>
      </c>
      <c r="T228" s="1266">
        <f>+IF($Q228=1,$G228,INDEX([1]Summary!$K$5:$K$110,MATCH($C228,[1]Summary!$D$5:$D329,0)))</f>
        <v>9800.418528000002</v>
      </c>
      <c r="U228" s="1266">
        <f>+IF($Q228=1,$J228,INDEX([1]Summary!$L$5:$L$110,MATCH($C228,[1]Summary!$D$5:$D329,0)))</f>
        <v>0</v>
      </c>
      <c r="V228" s="721"/>
      <c r="W228" s="721"/>
      <c r="X228" s="721"/>
      <c r="Y228" s="721"/>
      <c r="Z228" s="721"/>
      <c r="AA228" s="721"/>
      <c r="AB228" s="721"/>
      <c r="AC228" s="721"/>
      <c r="AD228" s="721"/>
      <c r="AI228" s="105"/>
      <c r="AJ228" s="105"/>
      <c r="AN228" s="105"/>
      <c r="AO228" s="105"/>
      <c r="AP228" s="105"/>
    </row>
    <row r="229" spans="1:42" outlineLevel="1">
      <c r="A229" s="545">
        <f>MAX($A$10:A228)+1</f>
        <v>220</v>
      </c>
      <c r="B229" s="716" t="s">
        <v>2096</v>
      </c>
      <c r="C229" s="716" t="s">
        <v>2185</v>
      </c>
      <c r="D229" s="716" t="s">
        <v>2186</v>
      </c>
      <c r="E229" s="559">
        <v>394.1</v>
      </c>
      <c r="F229" s="1302" cm="1">
        <f t="array" ref="F229">+IF(SUM(VALUE(N229:Q229)*$N$7:$Q$7)=0,R229,T229)</f>
        <v>3769.64005</v>
      </c>
      <c r="G229" s="103">
        <f t="shared" si="12"/>
        <v>3769.64005</v>
      </c>
      <c r="H229" s="717">
        <v>45349</v>
      </c>
      <c r="I229" s="1303" cm="1">
        <f t="array" ref="I229">+IF(SUM(VALUE(N229:Q229)*$N$7:$Q$7)=0,S229,U229)</f>
        <v>0</v>
      </c>
      <c r="J229" s="103">
        <f t="shared" si="13"/>
        <v>0</v>
      </c>
      <c r="K229" s="103"/>
      <c r="M229"/>
      <c r="N229" s="1300">
        <v>0</v>
      </c>
      <c r="O229" s="1300">
        <v>0</v>
      </c>
      <c r="P229" s="1300">
        <v>0</v>
      </c>
      <c r="Q229" s="1300">
        <v>1</v>
      </c>
      <c r="R229" s="1266">
        <v>3769.64005</v>
      </c>
      <c r="S229" s="1266">
        <v>0</v>
      </c>
      <c r="T229" s="1266">
        <f>+IF($Q229=1,$G229,INDEX([1]Summary!$K$5:$K$110,MATCH($C229,[1]Summary!$D$5:$D330,0)))</f>
        <v>3769.64005</v>
      </c>
      <c r="U229" s="1266">
        <f>+IF($Q229=1,$J229,INDEX([1]Summary!$L$5:$L$110,MATCH($C229,[1]Summary!$D$5:$D330,0)))</f>
        <v>0</v>
      </c>
      <c r="V229" s="721"/>
      <c r="W229" s="721"/>
      <c r="X229" s="721"/>
      <c r="Y229" s="721"/>
      <c r="Z229" s="721"/>
      <c r="AA229" s="721"/>
      <c r="AB229" s="721"/>
      <c r="AC229" s="721"/>
      <c r="AD229" s="721"/>
      <c r="AI229" s="105"/>
      <c r="AJ229" s="105"/>
      <c r="AN229" s="105"/>
      <c r="AO229" s="105"/>
      <c r="AP229" s="105"/>
    </row>
    <row r="230" spans="1:42" outlineLevel="1">
      <c r="A230" s="545">
        <f>MAX($A$10:A229)+1</f>
        <v>221</v>
      </c>
      <c r="B230" s="716" t="s">
        <v>2096</v>
      </c>
      <c r="C230" s="716" t="s">
        <v>2187</v>
      </c>
      <c r="D230" s="716" t="s">
        <v>2188</v>
      </c>
      <c r="E230" s="559">
        <v>394.1</v>
      </c>
      <c r="F230" s="1302" cm="1">
        <f t="array" ref="F230">+IF(SUM(VALUE(N230:Q230)*$N$7:$Q$7)=0,R230,T230)</f>
        <v>2638.7480350000001</v>
      </c>
      <c r="G230" s="103">
        <f t="shared" si="12"/>
        <v>2638.7480350000001</v>
      </c>
      <c r="H230" s="717">
        <v>45365</v>
      </c>
      <c r="I230" s="1303" cm="1">
        <f t="array" ref="I230">+IF(SUM(VALUE(N230:Q230)*$N$7:$Q$7)=0,S230,U230)</f>
        <v>0</v>
      </c>
      <c r="J230" s="103">
        <f t="shared" si="13"/>
        <v>0</v>
      </c>
      <c r="K230" s="103"/>
      <c r="M230"/>
      <c r="N230" s="1300">
        <v>0</v>
      </c>
      <c r="O230" s="1300">
        <v>0</v>
      </c>
      <c r="P230" s="1300">
        <v>0</v>
      </c>
      <c r="Q230" s="1300">
        <v>1</v>
      </c>
      <c r="R230" s="1266">
        <v>2638.7480350000001</v>
      </c>
      <c r="S230" s="1266">
        <v>0</v>
      </c>
      <c r="T230" s="1266">
        <f>+IF($Q230=1,$G230,INDEX([1]Summary!$K$5:$K$110,MATCH($C230,[1]Summary!$D$5:$D331,0)))</f>
        <v>2638.7480350000001</v>
      </c>
      <c r="U230" s="1266">
        <f>+IF($Q230=1,$J230,INDEX([1]Summary!$L$5:$L$110,MATCH($C230,[1]Summary!$D$5:$D331,0)))</f>
        <v>0</v>
      </c>
      <c r="V230" s="721"/>
      <c r="W230" s="721"/>
      <c r="X230" s="721"/>
      <c r="Y230" s="721"/>
      <c r="Z230" s="721"/>
      <c r="AA230" s="721"/>
      <c r="AB230" s="721"/>
      <c r="AC230" s="721"/>
      <c r="AD230" s="721"/>
      <c r="AI230" s="105"/>
      <c r="AJ230" s="105"/>
      <c r="AN230" s="105"/>
      <c r="AO230" s="105"/>
      <c r="AP230" s="105"/>
    </row>
    <row r="231" spans="1:42" outlineLevel="1">
      <c r="A231" s="545">
        <f>MAX($A$10:A230)+1</f>
        <v>222</v>
      </c>
      <c r="B231" s="716" t="s">
        <v>2096</v>
      </c>
      <c r="C231" s="716" t="s">
        <v>2189</v>
      </c>
      <c r="D231" s="716" t="s">
        <v>2190</v>
      </c>
      <c r="E231" s="559">
        <v>394.1</v>
      </c>
      <c r="F231" s="1302" cm="1">
        <f t="array" ref="F231">+IF(SUM(VALUE(N231:Q231)*$N$7:$Q$7)=0,R231,T231)</f>
        <v>10554.99214</v>
      </c>
      <c r="G231" s="103">
        <f t="shared" si="12"/>
        <v>10554.99214</v>
      </c>
      <c r="H231" s="717">
        <v>45458</v>
      </c>
      <c r="I231" s="1303" cm="1">
        <f t="array" ref="I231">+IF(SUM(VALUE(N231:Q231)*$N$7:$Q$7)=0,S231,U231)</f>
        <v>0</v>
      </c>
      <c r="J231" s="103">
        <f t="shared" si="13"/>
        <v>0</v>
      </c>
      <c r="K231" s="103"/>
      <c r="M231"/>
      <c r="N231" s="1300">
        <v>0</v>
      </c>
      <c r="O231" s="1300">
        <v>0</v>
      </c>
      <c r="P231" s="1300">
        <v>0</v>
      </c>
      <c r="Q231" s="1300">
        <v>1</v>
      </c>
      <c r="R231" s="1266">
        <v>10554.99214</v>
      </c>
      <c r="S231" s="1266">
        <v>0</v>
      </c>
      <c r="T231" s="1266">
        <f>+IF($Q231=1,$G231,INDEX([1]Summary!$K$5:$K$110,MATCH($C231,[1]Summary!$D$5:$D332,0)))</f>
        <v>10554.99214</v>
      </c>
      <c r="U231" s="1266">
        <f>+IF($Q231=1,$J231,INDEX([1]Summary!$L$5:$L$110,MATCH($C231,[1]Summary!$D$5:$D332,0)))</f>
        <v>0</v>
      </c>
      <c r="V231" s="721"/>
      <c r="W231" s="721"/>
      <c r="X231" s="721"/>
      <c r="Y231" s="721"/>
      <c r="Z231" s="721"/>
      <c r="AA231" s="721"/>
      <c r="AB231" s="721"/>
      <c r="AC231" s="721"/>
      <c r="AD231" s="721"/>
      <c r="AI231" s="105"/>
      <c r="AJ231" s="105"/>
      <c r="AN231" s="105"/>
      <c r="AO231" s="105"/>
      <c r="AP231" s="105"/>
    </row>
    <row r="232" spans="1:42" outlineLevel="1">
      <c r="A232" s="545">
        <f>MAX($A$10:A231)+1</f>
        <v>223</v>
      </c>
      <c r="B232" s="716" t="s">
        <v>2096</v>
      </c>
      <c r="C232" s="716" t="s">
        <v>2191</v>
      </c>
      <c r="D232" s="716" t="s">
        <v>2192</v>
      </c>
      <c r="E232" s="559">
        <v>394.1</v>
      </c>
      <c r="F232" s="1302" cm="1">
        <f t="array" ref="F232">+IF(SUM(VALUE(N232:Q232)*$N$7:$Q$7)=0,R232,T232)</f>
        <v>0</v>
      </c>
      <c r="G232" s="103">
        <f t="shared" si="12"/>
        <v>0</v>
      </c>
      <c r="H232" s="717"/>
      <c r="I232" s="1303" cm="1">
        <f t="array" ref="I232">+IF(SUM(VALUE(N232:Q232)*$N$7:$Q$7)=0,S232,U232)</f>
        <v>19219.010000000002</v>
      </c>
      <c r="J232" s="103">
        <f t="shared" si="13"/>
        <v>19219.010000000002</v>
      </c>
      <c r="K232" s="575">
        <v>45716</v>
      </c>
      <c r="M232"/>
      <c r="N232" s="1300">
        <v>0</v>
      </c>
      <c r="O232" s="1300">
        <v>0</v>
      </c>
      <c r="P232" s="1300">
        <v>0</v>
      </c>
      <c r="Q232" s="1300">
        <v>1</v>
      </c>
      <c r="R232" s="1266">
        <v>0</v>
      </c>
      <c r="S232" s="1266">
        <v>19219.010000000002</v>
      </c>
      <c r="T232" s="1266">
        <f>+IF($Q232=1,$G232,INDEX([1]Summary!$K$5:$K$110,MATCH($C232,[1]Summary!$D$5:$D333,0)))</f>
        <v>0</v>
      </c>
      <c r="U232" s="1266">
        <f>+IF($Q232=1,$J232,INDEX([1]Summary!$L$5:$L$110,MATCH($C232,[1]Summary!$D$5:$D333,0)))</f>
        <v>19219.010000000002</v>
      </c>
      <c r="V232" s="721"/>
      <c r="W232" s="721"/>
      <c r="X232" s="721"/>
      <c r="Y232" s="721"/>
      <c r="Z232" s="721"/>
      <c r="AA232" s="721"/>
      <c r="AB232" s="721"/>
      <c r="AC232" s="721"/>
      <c r="AD232" s="721"/>
      <c r="AI232" s="105"/>
      <c r="AJ232" s="105"/>
      <c r="AN232" s="105"/>
      <c r="AO232" s="105"/>
      <c r="AP232" s="105"/>
    </row>
    <row r="233" spans="1:42" outlineLevel="1">
      <c r="A233" s="545">
        <f>MAX($A$10:A232)+1</f>
        <v>224</v>
      </c>
      <c r="B233" s="716" t="s">
        <v>2096</v>
      </c>
      <c r="C233" s="716" t="s">
        <v>2193</v>
      </c>
      <c r="D233" s="716" t="s">
        <v>2194</v>
      </c>
      <c r="E233" s="559">
        <v>394.1</v>
      </c>
      <c r="F233" s="1302" cm="1">
        <f t="array" ref="F233">+IF(SUM(VALUE(N233:Q233)*$N$7:$Q$7)=0,R233,T233)</f>
        <v>15078.5602</v>
      </c>
      <c r="G233" s="103">
        <f t="shared" si="12"/>
        <v>15078.5602</v>
      </c>
      <c r="H233" s="717">
        <v>45458</v>
      </c>
      <c r="I233" s="1303" cm="1">
        <f t="array" ref="I233">+IF(SUM(VALUE(N233:Q233)*$N$7:$Q$7)=0,S233,U233)</f>
        <v>0</v>
      </c>
      <c r="J233" s="103">
        <f t="shared" si="13"/>
        <v>0</v>
      </c>
      <c r="K233" s="103"/>
      <c r="M233"/>
      <c r="N233" s="1300">
        <v>0</v>
      </c>
      <c r="O233" s="1300">
        <v>0</v>
      </c>
      <c r="P233" s="1300">
        <v>0</v>
      </c>
      <c r="Q233" s="1300">
        <v>1</v>
      </c>
      <c r="R233" s="1266">
        <v>15078.5602</v>
      </c>
      <c r="S233" s="1266">
        <v>0</v>
      </c>
      <c r="T233" s="1266">
        <f>+IF($Q233=1,$G233,INDEX([1]Summary!$K$5:$K$110,MATCH($C233,[1]Summary!$D$5:$D334,0)))</f>
        <v>15078.5602</v>
      </c>
      <c r="U233" s="1266">
        <f>+IF($Q233=1,$J233,INDEX([1]Summary!$L$5:$L$110,MATCH($C233,[1]Summary!$D$5:$D334,0)))</f>
        <v>0</v>
      </c>
      <c r="V233" s="721"/>
      <c r="W233" s="721"/>
      <c r="X233" s="721"/>
      <c r="Y233" s="721"/>
      <c r="Z233" s="721"/>
      <c r="AA233" s="721"/>
      <c r="AB233" s="721"/>
      <c r="AC233" s="721"/>
      <c r="AD233" s="721"/>
      <c r="AI233" s="105"/>
      <c r="AJ233" s="105"/>
      <c r="AN233" s="105"/>
      <c r="AO233" s="105"/>
      <c r="AP233" s="105"/>
    </row>
    <row r="234" spans="1:42" outlineLevel="1">
      <c r="A234" s="545">
        <f>MAX($A$10:A233)+1</f>
        <v>225</v>
      </c>
      <c r="B234" s="716" t="s">
        <v>2096</v>
      </c>
      <c r="C234" s="716" t="s">
        <v>2195</v>
      </c>
      <c r="D234" s="716" t="s">
        <v>2196</v>
      </c>
      <c r="E234" s="559">
        <v>394.1</v>
      </c>
      <c r="F234" s="1302" cm="1">
        <f t="array" ref="F234">+IF(SUM(VALUE(N234:Q234)*$N$7:$Q$7)=0,R234,T234)</f>
        <v>8293.2081100000014</v>
      </c>
      <c r="G234" s="103">
        <f t="shared" si="12"/>
        <v>8293.2081100000014</v>
      </c>
      <c r="H234" s="717">
        <v>45458</v>
      </c>
      <c r="I234" s="1303" cm="1">
        <f t="array" ref="I234">+IF(SUM(VALUE(N234:Q234)*$N$7:$Q$7)=0,S234,U234)</f>
        <v>0</v>
      </c>
      <c r="J234" s="103">
        <f t="shared" si="13"/>
        <v>0</v>
      </c>
      <c r="K234" s="103"/>
      <c r="M234"/>
      <c r="N234" s="1300">
        <v>0</v>
      </c>
      <c r="O234" s="1300">
        <v>0</v>
      </c>
      <c r="P234" s="1300">
        <v>0</v>
      </c>
      <c r="Q234" s="1300">
        <v>1</v>
      </c>
      <c r="R234" s="1266">
        <v>8293.2081100000014</v>
      </c>
      <c r="S234" s="1266">
        <v>0</v>
      </c>
      <c r="T234" s="1266">
        <f>+IF($Q234=1,$G234,INDEX([1]Summary!$K$5:$K$110,MATCH($C234,[1]Summary!$D$5:$D335,0)))</f>
        <v>8293.2081100000014</v>
      </c>
      <c r="U234" s="1266">
        <f>+IF($Q234=1,$J234,INDEX([1]Summary!$L$5:$L$110,MATCH($C234,[1]Summary!$D$5:$D335,0)))</f>
        <v>0</v>
      </c>
      <c r="V234" s="721"/>
      <c r="W234" s="721"/>
      <c r="X234" s="721"/>
      <c r="Y234" s="721"/>
      <c r="Z234" s="721"/>
      <c r="AA234" s="721"/>
      <c r="AB234" s="721"/>
      <c r="AC234" s="721"/>
      <c r="AD234" s="721"/>
      <c r="AI234" s="105"/>
      <c r="AJ234" s="105"/>
      <c r="AN234" s="105"/>
      <c r="AO234" s="105"/>
      <c r="AP234" s="105"/>
    </row>
    <row r="235" spans="1:42" outlineLevel="1">
      <c r="A235" s="545">
        <f>MAX($A$10:A234)+1</f>
        <v>226</v>
      </c>
      <c r="B235" s="716" t="s">
        <v>2096</v>
      </c>
      <c r="C235" s="716" t="s">
        <v>2197</v>
      </c>
      <c r="D235" s="716" t="s">
        <v>2198</v>
      </c>
      <c r="E235" s="559">
        <v>394.1</v>
      </c>
      <c r="F235" s="1302" cm="1">
        <f t="array" ref="F235">+IF(SUM(VALUE(N235:Q235)*$N$7:$Q$7)=0,R235,T235)</f>
        <v>0</v>
      </c>
      <c r="G235" s="103">
        <f t="shared" si="12"/>
        <v>0</v>
      </c>
      <c r="H235" s="717"/>
      <c r="I235" s="1303" cm="1">
        <f t="array" ref="I235">+IF(SUM(VALUE(N235:Q235)*$N$7:$Q$7)=0,S235,U235)</f>
        <v>6068.79</v>
      </c>
      <c r="J235" s="103">
        <f t="shared" si="13"/>
        <v>6068.79</v>
      </c>
      <c r="K235" s="575">
        <v>45836</v>
      </c>
      <c r="M235"/>
      <c r="N235" s="1300">
        <v>0</v>
      </c>
      <c r="O235" s="1300">
        <v>0</v>
      </c>
      <c r="P235" s="1300">
        <v>0</v>
      </c>
      <c r="Q235" s="1300">
        <v>1</v>
      </c>
      <c r="R235" s="1266">
        <v>0</v>
      </c>
      <c r="S235" s="1266">
        <v>6068.79</v>
      </c>
      <c r="T235" s="1266">
        <f>+IF($Q235=1,$G235,INDEX([1]Summary!$K$5:$K$110,MATCH($C235,[1]Summary!$D$5:$D336,0)))</f>
        <v>0</v>
      </c>
      <c r="U235" s="1266">
        <f>+IF($Q235=1,$J235,INDEX([1]Summary!$L$5:$L$110,MATCH($C235,[1]Summary!$D$5:$D336,0)))</f>
        <v>6068.79</v>
      </c>
      <c r="V235" s="721"/>
      <c r="W235" s="721"/>
      <c r="X235" s="721"/>
      <c r="Y235" s="721"/>
      <c r="Z235" s="721"/>
      <c r="AA235" s="721"/>
      <c r="AB235" s="721"/>
      <c r="AC235" s="721"/>
      <c r="AD235" s="721"/>
      <c r="AI235" s="105"/>
      <c r="AJ235" s="105"/>
      <c r="AN235" s="105"/>
      <c r="AO235" s="105"/>
      <c r="AP235" s="105"/>
    </row>
    <row r="236" spans="1:42" outlineLevel="1">
      <c r="A236" s="545">
        <f>MAX($A$10:A235)+1</f>
        <v>227</v>
      </c>
      <c r="B236" s="716" t="s">
        <v>2096</v>
      </c>
      <c r="C236" s="716" t="s">
        <v>2199</v>
      </c>
      <c r="D236" s="716" t="s">
        <v>2200</v>
      </c>
      <c r="E236" s="559">
        <v>394.1</v>
      </c>
      <c r="F236" s="1302" cm="1">
        <f t="array" ref="F236">+IF(SUM(VALUE(N236:Q236)*$N$7:$Q$7)=0,R236,T236)</f>
        <v>6527.95</v>
      </c>
      <c r="G236" s="103">
        <f t="shared" si="12"/>
        <v>6527.95</v>
      </c>
      <c r="H236" s="717">
        <v>45440</v>
      </c>
      <c r="I236" s="1303" cm="1">
        <f t="array" ref="I236">+IF(SUM(VALUE(N236:Q236)*$N$7:$Q$7)=0,S236,U236)</f>
        <v>0</v>
      </c>
      <c r="J236" s="103">
        <f t="shared" si="13"/>
        <v>0</v>
      </c>
      <c r="K236" s="103"/>
      <c r="M236"/>
      <c r="N236" s="1300">
        <v>0</v>
      </c>
      <c r="O236" s="1300">
        <v>0</v>
      </c>
      <c r="P236" s="1300">
        <v>0</v>
      </c>
      <c r="Q236" s="1300">
        <v>1</v>
      </c>
      <c r="R236" s="1266">
        <v>6527.95</v>
      </c>
      <c r="S236" s="1266">
        <v>0</v>
      </c>
      <c r="T236" s="1266">
        <f>+IF($Q236=1,$G236,INDEX([1]Summary!$K$5:$K$110,MATCH($C236,[1]Summary!$D$5:$D337,0)))</f>
        <v>6527.95</v>
      </c>
      <c r="U236" s="1266">
        <f>+IF($Q236=1,$J236,INDEX([1]Summary!$L$5:$L$110,MATCH($C236,[1]Summary!$D$5:$D337,0)))</f>
        <v>0</v>
      </c>
      <c r="V236" s="721"/>
      <c r="W236" s="721"/>
      <c r="X236" s="721"/>
      <c r="Y236" s="721"/>
      <c r="Z236" s="721"/>
      <c r="AA236" s="721"/>
      <c r="AB236" s="721"/>
      <c r="AC236" s="721"/>
      <c r="AD236" s="721"/>
      <c r="AI236" s="105"/>
      <c r="AJ236" s="105"/>
      <c r="AN236" s="105"/>
      <c r="AO236" s="105"/>
      <c r="AP236" s="105"/>
    </row>
    <row r="237" spans="1:42" outlineLevel="1">
      <c r="A237" s="545">
        <f>MAX($A$10:A236)+1</f>
        <v>228</v>
      </c>
      <c r="B237" s="716" t="s">
        <v>2096</v>
      </c>
      <c r="C237" s="716" t="s">
        <v>2201</v>
      </c>
      <c r="D237" s="716" t="s">
        <v>2202</v>
      </c>
      <c r="E237" s="559">
        <v>394.1</v>
      </c>
      <c r="F237" s="1302" cm="1">
        <f t="array" ref="F237">+IF(SUM(VALUE(N237:Q237)*$N$7:$Q$7)=0,R237,T237)</f>
        <v>4017.2000000000003</v>
      </c>
      <c r="G237" s="103">
        <f t="shared" si="12"/>
        <v>4017.2000000000003</v>
      </c>
      <c r="H237" s="717">
        <v>45443</v>
      </c>
      <c r="I237" s="1303" cm="1">
        <f t="array" ref="I237">+IF(SUM(VALUE(N237:Q237)*$N$7:$Q$7)=0,S237,U237)</f>
        <v>0</v>
      </c>
      <c r="J237" s="103">
        <f t="shared" si="13"/>
        <v>0</v>
      </c>
      <c r="K237" s="103"/>
      <c r="M237"/>
      <c r="N237" s="1300">
        <v>0</v>
      </c>
      <c r="O237" s="1300">
        <v>0</v>
      </c>
      <c r="P237" s="1300">
        <v>0</v>
      </c>
      <c r="Q237" s="1300">
        <v>1</v>
      </c>
      <c r="R237" s="1266">
        <v>4017.2000000000003</v>
      </c>
      <c r="S237" s="1266">
        <v>0</v>
      </c>
      <c r="T237" s="1266">
        <f>+IF($Q237=1,$G237,INDEX([1]Summary!$K$5:$K$110,MATCH($C237,[1]Summary!$D$5:$D338,0)))</f>
        <v>4017.2000000000003</v>
      </c>
      <c r="U237" s="1266">
        <f>+IF($Q237=1,$J237,INDEX([1]Summary!$L$5:$L$110,MATCH($C237,[1]Summary!$D$5:$D338,0)))</f>
        <v>0</v>
      </c>
      <c r="V237" s="721"/>
      <c r="W237" s="721"/>
      <c r="X237" s="721"/>
      <c r="Y237" s="721"/>
      <c r="Z237" s="721"/>
      <c r="AA237" s="721"/>
      <c r="AB237" s="721"/>
      <c r="AC237" s="721"/>
      <c r="AD237" s="721"/>
      <c r="AI237" s="105"/>
      <c r="AJ237" s="105"/>
      <c r="AN237" s="105"/>
      <c r="AO237" s="105"/>
      <c r="AP237" s="105"/>
    </row>
    <row r="238" spans="1:42" outlineLevel="1">
      <c r="A238" s="545">
        <f>MAX($A$10:A237)+1</f>
        <v>229</v>
      </c>
      <c r="B238" s="716" t="s">
        <v>2096</v>
      </c>
      <c r="C238" s="716" t="s">
        <v>2203</v>
      </c>
      <c r="D238" s="716" t="s">
        <v>2204</v>
      </c>
      <c r="E238" s="559">
        <v>394.1</v>
      </c>
      <c r="F238" s="1302" cm="1">
        <f t="array" ref="F238">+IF(SUM(VALUE(N238:Q238)*$N$7:$Q$7)=0,R238,T238)</f>
        <v>4017.2000000000003</v>
      </c>
      <c r="G238" s="103">
        <f t="shared" si="12"/>
        <v>4017.2000000000003</v>
      </c>
      <c r="H238" s="717">
        <v>45443</v>
      </c>
      <c r="I238" s="1303" cm="1">
        <f t="array" ref="I238">+IF(SUM(VALUE(N238:Q238)*$N$7:$Q$7)=0,S238,U238)</f>
        <v>0</v>
      </c>
      <c r="J238" s="103">
        <f t="shared" si="13"/>
        <v>0</v>
      </c>
      <c r="K238" s="103"/>
      <c r="M238"/>
      <c r="N238" s="1300">
        <v>0</v>
      </c>
      <c r="O238" s="1300">
        <v>0</v>
      </c>
      <c r="P238" s="1300">
        <v>0</v>
      </c>
      <c r="Q238" s="1300">
        <v>1</v>
      </c>
      <c r="R238" s="1266">
        <v>4017.2000000000003</v>
      </c>
      <c r="S238" s="1266">
        <v>0</v>
      </c>
      <c r="T238" s="1266">
        <f>+IF($Q238=1,$G238,INDEX([1]Summary!$K$5:$K$110,MATCH($C238,[1]Summary!$D$5:$D339,0)))</f>
        <v>4017.2000000000003</v>
      </c>
      <c r="U238" s="1266">
        <f>+IF($Q238=1,$J238,INDEX([1]Summary!$L$5:$L$110,MATCH($C238,[1]Summary!$D$5:$D339,0)))</f>
        <v>0</v>
      </c>
      <c r="V238" s="721"/>
      <c r="W238" s="721"/>
      <c r="X238" s="721"/>
      <c r="Y238" s="721"/>
      <c r="Z238" s="721"/>
      <c r="AA238" s="721"/>
      <c r="AB238" s="721"/>
      <c r="AC238" s="721"/>
      <c r="AD238" s="721"/>
      <c r="AI238" s="105"/>
      <c r="AJ238" s="105"/>
      <c r="AN238" s="105"/>
      <c r="AO238" s="105"/>
      <c r="AP238" s="105"/>
    </row>
    <row r="239" spans="1:42" outlineLevel="1">
      <c r="A239" s="545">
        <f>MAX($A$10:A238)+1</f>
        <v>230</v>
      </c>
      <c r="B239" s="716" t="s">
        <v>2096</v>
      </c>
      <c r="C239" s="716" t="s">
        <v>2205</v>
      </c>
      <c r="D239" s="716" t="s">
        <v>2206</v>
      </c>
      <c r="E239" s="559">
        <v>394.1</v>
      </c>
      <c r="F239" s="1302" cm="1">
        <f t="array" ref="F239">+IF(SUM(VALUE(N239:Q239)*$N$7:$Q$7)=0,R239,T239)</f>
        <v>4441.3</v>
      </c>
      <c r="G239" s="103">
        <f t="shared" si="12"/>
        <v>4441.3</v>
      </c>
      <c r="H239" s="717">
        <v>45473</v>
      </c>
      <c r="I239" s="1303" cm="1">
        <f t="array" ref="I239">+IF(SUM(VALUE(N239:Q239)*$N$7:$Q$7)=0,S239,U239)</f>
        <v>0</v>
      </c>
      <c r="J239" s="103"/>
      <c r="K239" s="103"/>
      <c r="M239"/>
      <c r="N239" s="1300">
        <v>0</v>
      </c>
      <c r="O239" s="1300">
        <v>0</v>
      </c>
      <c r="P239" s="1300">
        <v>0</v>
      </c>
      <c r="Q239" s="1300">
        <v>1</v>
      </c>
      <c r="R239" s="1266">
        <v>4441.3</v>
      </c>
      <c r="S239" s="1266">
        <v>0</v>
      </c>
      <c r="T239" s="1266">
        <f>+IF($Q239=1,$G239,INDEX([1]Summary!$K$5:$K$110,MATCH($C239,[1]Summary!$D$5:$D340,0)))</f>
        <v>4441.3</v>
      </c>
      <c r="U239" s="1266">
        <f>+IF($Q239=1,$J239,INDEX([1]Summary!$L$5:$L$110,MATCH($C239,[1]Summary!$D$5:$D340,0)))</f>
        <v>0</v>
      </c>
      <c r="V239" s="721"/>
      <c r="W239" s="721"/>
      <c r="X239" s="721"/>
      <c r="Y239" s="721"/>
      <c r="Z239" s="721"/>
      <c r="AA239" s="721"/>
      <c r="AB239" s="721"/>
      <c r="AC239" s="721"/>
      <c r="AD239" s="721"/>
      <c r="AI239" s="105"/>
      <c r="AJ239" s="105"/>
      <c r="AN239" s="105"/>
      <c r="AO239" s="105"/>
      <c r="AP239" s="105"/>
    </row>
    <row r="240" spans="1:42" outlineLevel="1">
      <c r="A240" s="545">
        <f>MAX($A$10:A239)+1</f>
        <v>231</v>
      </c>
      <c r="B240" s="716" t="s">
        <v>2096</v>
      </c>
      <c r="C240" s="716" t="s">
        <v>2207</v>
      </c>
      <c r="D240" s="716" t="s">
        <v>2208</v>
      </c>
      <c r="E240" s="559">
        <v>394.1</v>
      </c>
      <c r="F240" s="1302" cm="1">
        <f t="array" ref="F240">+IF(SUM(VALUE(N240:Q240)*$N$7:$Q$7)=0,R240,T240)</f>
        <v>904713.61200000008</v>
      </c>
      <c r="G240" s="103">
        <f t="shared" si="12"/>
        <v>904713.61200000008</v>
      </c>
      <c r="H240" s="717">
        <v>45412</v>
      </c>
      <c r="I240" s="1303" cm="1">
        <f t="array" ref="I240">+IF(SUM(VALUE(N240:Q240)*$N$7:$Q$7)=0,S240,U240)</f>
        <v>0</v>
      </c>
      <c r="J240" s="103"/>
      <c r="K240" s="103"/>
      <c r="L240" s="47">
        <v>20000</v>
      </c>
      <c r="M240"/>
      <c r="N240" s="1300">
        <v>0</v>
      </c>
      <c r="O240" s="1300">
        <v>0</v>
      </c>
      <c r="P240" s="1300">
        <v>0</v>
      </c>
      <c r="Q240" s="1300">
        <v>1</v>
      </c>
      <c r="R240" s="1266">
        <v>904713.61200000008</v>
      </c>
      <c r="S240" s="1266">
        <v>0</v>
      </c>
      <c r="T240" s="1266">
        <f>+IF($Q240=1,$G240,INDEX([1]Summary!$K$5:$K$110,MATCH($C240,[1]Summary!$D$5:$D341,0)))</f>
        <v>904713.61200000008</v>
      </c>
      <c r="U240" s="1266">
        <f>+IF($Q240=1,$J240,INDEX([1]Summary!$L$5:$L$110,MATCH($C240,[1]Summary!$D$5:$D341,0)))</f>
        <v>0</v>
      </c>
      <c r="V240" s="721"/>
      <c r="W240" s="721"/>
      <c r="X240" s="721"/>
      <c r="Y240" s="721"/>
      <c r="Z240" s="721"/>
      <c r="AA240" s="721"/>
      <c r="AB240" s="721"/>
      <c r="AC240" s="721"/>
      <c r="AD240" s="721"/>
      <c r="AI240" s="105"/>
      <c r="AJ240" s="105"/>
      <c r="AN240" s="105"/>
      <c r="AO240" s="105"/>
      <c r="AP240" s="105"/>
    </row>
    <row r="241" spans="1:42" outlineLevel="1">
      <c r="A241" s="545">
        <f>MAX($A$10:A240)+1</f>
        <v>232</v>
      </c>
      <c r="B241" s="716" t="s">
        <v>2096</v>
      </c>
      <c r="C241" s="716" t="s">
        <v>2209</v>
      </c>
      <c r="D241" s="716" t="s">
        <v>2210</v>
      </c>
      <c r="E241" s="559">
        <v>394.1</v>
      </c>
      <c r="F241" s="1302" cm="1">
        <f t="array" ref="F241">+IF(SUM(VALUE(N241:Q241)*$N$7:$Q$7)=0,R241,T241)</f>
        <v>7906.85</v>
      </c>
      <c r="G241" s="103">
        <f t="shared" si="12"/>
        <v>7906.85</v>
      </c>
      <c r="H241" s="717">
        <v>45347</v>
      </c>
      <c r="I241" s="1303" cm="1">
        <f t="array" ref="I241">+IF(SUM(VALUE(N241:Q241)*$N$7:$Q$7)=0,S241,U241)</f>
        <v>0</v>
      </c>
      <c r="J241" s="103"/>
      <c r="K241" s="103"/>
      <c r="M241"/>
      <c r="N241" s="1300">
        <v>0</v>
      </c>
      <c r="O241" s="1300">
        <v>0</v>
      </c>
      <c r="P241" s="1300">
        <v>0</v>
      </c>
      <c r="Q241" s="1300">
        <v>1</v>
      </c>
      <c r="R241" s="1266">
        <v>7906.85</v>
      </c>
      <c r="S241" s="1266">
        <v>0</v>
      </c>
      <c r="T241" s="1266">
        <f>+IF($Q241=1,$G241,INDEX([1]Summary!$K$5:$K$110,MATCH($C241,[1]Summary!$D$5:$D342,0)))</f>
        <v>7906.85</v>
      </c>
      <c r="U241" s="1266">
        <f>+IF($Q241=1,$J241,INDEX([1]Summary!$L$5:$L$110,MATCH($C241,[1]Summary!$D$5:$D342,0)))</f>
        <v>0</v>
      </c>
      <c r="V241" s="721"/>
      <c r="W241" s="721"/>
      <c r="X241" s="721"/>
      <c r="Y241" s="721"/>
      <c r="Z241" s="721"/>
      <c r="AA241" s="721"/>
      <c r="AB241" s="721"/>
      <c r="AC241" s="721"/>
      <c r="AD241" s="721"/>
      <c r="AI241" s="105"/>
      <c r="AJ241" s="105"/>
      <c r="AN241" s="105"/>
      <c r="AO241" s="105"/>
      <c r="AP241" s="105"/>
    </row>
    <row r="242" spans="1:42" outlineLevel="1">
      <c r="A242" s="545">
        <f>MAX($A$10:A241)+1</f>
        <v>233</v>
      </c>
      <c r="B242" s="716" t="s">
        <v>2096</v>
      </c>
      <c r="C242" s="716" t="s">
        <v>2211</v>
      </c>
      <c r="D242" s="716" t="s">
        <v>2208</v>
      </c>
      <c r="E242" s="559">
        <v>394.1</v>
      </c>
      <c r="F242" s="1302" cm="1">
        <f t="array" ref="F242">+IF(SUM(VALUE(N242:Q242)*$N$7:$Q$7)=0,R242,T242)</f>
        <v>0</v>
      </c>
      <c r="G242" s="103">
        <f t="shared" si="12"/>
        <v>0</v>
      </c>
      <c r="H242" s="717"/>
      <c r="I242" s="1303" cm="1">
        <f t="array" ref="I242">+IF(SUM(VALUE(N242:Q242)*$N$7:$Q$7)=0,S242,U242)</f>
        <v>1813571.088</v>
      </c>
      <c r="J242" s="103">
        <f t="shared" ref="J242:J259" si="14">+I242</f>
        <v>1813571.088</v>
      </c>
      <c r="K242" s="575">
        <v>45777</v>
      </c>
      <c r="L242" s="47">
        <v>260000</v>
      </c>
      <c r="M242"/>
      <c r="N242" s="1300">
        <v>0</v>
      </c>
      <c r="O242" s="1300">
        <v>1</v>
      </c>
      <c r="P242" s="1300">
        <v>0</v>
      </c>
      <c r="Q242" s="1300">
        <v>0</v>
      </c>
      <c r="R242" s="1266">
        <v>0</v>
      </c>
      <c r="S242" s="1266">
        <v>1813571.088</v>
      </c>
      <c r="T242" s="1266">
        <f>+IF($Q242=1,$G242,INDEX([1]Summary!$K$5:$K$110,MATCH($C242,[1]Summary!$D$5:$D343,0)))</f>
        <v>0</v>
      </c>
      <c r="U242" s="1266">
        <f>+IF($Q242=1,$J242,INDEX([1]Summary!$L$5:$L$110,MATCH($C242,[1]Summary!$D$5:$D343,0)))</f>
        <v>0</v>
      </c>
      <c r="V242" s="721"/>
      <c r="W242" s="721"/>
      <c r="X242" s="721"/>
      <c r="Y242" s="721"/>
      <c r="Z242" s="721"/>
      <c r="AA242" s="721"/>
      <c r="AB242" s="721"/>
      <c r="AC242" s="721"/>
      <c r="AD242" s="721"/>
      <c r="AI242" s="105"/>
      <c r="AJ242" s="105"/>
      <c r="AN242" s="105"/>
      <c r="AO242" s="105"/>
      <c r="AP242" s="105"/>
    </row>
    <row r="243" spans="1:42" outlineLevel="1">
      <c r="A243" s="545">
        <f>MAX($A$10:A242)+1</f>
        <v>234</v>
      </c>
      <c r="B243" s="716" t="s">
        <v>2096</v>
      </c>
      <c r="C243" s="716" t="s">
        <v>2212</v>
      </c>
      <c r="D243" s="716" t="s">
        <v>2213</v>
      </c>
      <c r="E243" s="559">
        <v>394.1</v>
      </c>
      <c r="F243" s="1302" cm="1">
        <f t="array" ref="F243">+IF(SUM(VALUE(N243:Q243)*$N$7:$Q$7)=0,R243,T243)</f>
        <v>5021.5</v>
      </c>
      <c r="G243" s="103">
        <f t="shared" si="12"/>
        <v>5021.5</v>
      </c>
      <c r="H243" s="717">
        <v>45382</v>
      </c>
      <c r="I243" s="1303" cm="1">
        <f t="array" ref="I243">+IF(SUM(VALUE(N243:Q243)*$N$7:$Q$7)=0,S243,U243)</f>
        <v>0</v>
      </c>
      <c r="J243" s="103">
        <f t="shared" si="14"/>
        <v>0</v>
      </c>
      <c r="K243" s="103"/>
      <c r="M243"/>
      <c r="N243" s="1300">
        <v>0</v>
      </c>
      <c r="O243" s="1300">
        <v>0</v>
      </c>
      <c r="P243" s="1300">
        <v>0</v>
      </c>
      <c r="Q243" s="1300">
        <v>1</v>
      </c>
      <c r="R243" s="1266">
        <v>5021.5</v>
      </c>
      <c r="S243" s="1266">
        <v>0</v>
      </c>
      <c r="T243" s="1266">
        <f>+IF($Q243=1,$G243,INDEX([1]Summary!$K$5:$K$110,MATCH($C243,[1]Summary!$D$5:$D344,0)))</f>
        <v>5021.5</v>
      </c>
      <c r="U243" s="1266">
        <f>+IF($Q243=1,$J243,INDEX([1]Summary!$L$5:$L$110,MATCH($C243,[1]Summary!$D$5:$D344,0)))</f>
        <v>0</v>
      </c>
      <c r="V243" s="721"/>
      <c r="W243" s="721"/>
      <c r="X243" s="721"/>
      <c r="Y243" s="721"/>
      <c r="Z243" s="721"/>
      <c r="AA243" s="721"/>
      <c r="AB243" s="721"/>
      <c r="AC243" s="721"/>
      <c r="AD243" s="721"/>
      <c r="AI243" s="105"/>
      <c r="AJ243" s="105"/>
      <c r="AN243" s="105"/>
      <c r="AO243" s="105"/>
      <c r="AP243" s="105"/>
    </row>
    <row r="244" spans="1:42" outlineLevel="1">
      <c r="A244" s="545">
        <f>MAX($A$10:A243)+1</f>
        <v>235</v>
      </c>
      <c r="B244" s="716" t="s">
        <v>2096</v>
      </c>
      <c r="C244" s="716" t="s">
        <v>2214</v>
      </c>
      <c r="D244" s="716" t="s">
        <v>2150</v>
      </c>
      <c r="E244" s="559">
        <v>394.1</v>
      </c>
      <c r="F244" s="1302" cm="1">
        <f t="array" ref="F244">+IF(SUM(VALUE(N244:Q244)*$N$7:$Q$7)=0,R244,T244)</f>
        <v>42682.75</v>
      </c>
      <c r="G244" s="103">
        <f t="shared" si="12"/>
        <v>42682.75</v>
      </c>
      <c r="H244" s="717">
        <v>45444</v>
      </c>
      <c r="I244" s="1303" cm="1">
        <f t="array" ref="I244">+IF(SUM(VALUE(N244:Q244)*$N$7:$Q$7)=0,S244,U244)</f>
        <v>0</v>
      </c>
      <c r="J244" s="103">
        <f t="shared" si="14"/>
        <v>0</v>
      </c>
      <c r="K244" s="103"/>
      <c r="M244"/>
      <c r="N244" s="1300">
        <v>0</v>
      </c>
      <c r="O244" s="1300">
        <v>0</v>
      </c>
      <c r="P244" s="1300">
        <v>0</v>
      </c>
      <c r="Q244" s="1300">
        <v>1</v>
      </c>
      <c r="R244" s="1266">
        <v>42682.75</v>
      </c>
      <c r="S244" s="1266">
        <v>0</v>
      </c>
      <c r="T244" s="1266">
        <f>+IF($Q244=1,$G244,INDEX([1]Summary!$K$5:$K$110,MATCH($C244,[1]Summary!$D$5:$D345,0)))</f>
        <v>42682.75</v>
      </c>
      <c r="U244" s="1266">
        <f>+IF($Q244=1,$J244,INDEX([1]Summary!$L$5:$L$110,MATCH($C244,[1]Summary!$D$5:$D345,0)))</f>
        <v>0</v>
      </c>
      <c r="V244" s="721"/>
      <c r="W244" s="721"/>
      <c r="X244" s="721"/>
      <c r="Y244" s="721"/>
      <c r="Z244" s="721"/>
      <c r="AA244" s="721"/>
      <c r="AB244" s="721"/>
      <c r="AC244" s="721"/>
      <c r="AD244" s="721"/>
      <c r="AI244" s="105"/>
      <c r="AJ244" s="105"/>
      <c r="AN244" s="105"/>
      <c r="AO244" s="105"/>
      <c r="AP244" s="105"/>
    </row>
    <row r="245" spans="1:42" outlineLevel="1">
      <c r="A245" s="545">
        <f>MAX($A$10:A244)+1</f>
        <v>236</v>
      </c>
      <c r="B245" s="716" t="s">
        <v>2096</v>
      </c>
      <c r="C245" s="716" t="s">
        <v>2215</v>
      </c>
      <c r="D245" s="716" t="s">
        <v>2150</v>
      </c>
      <c r="E245" s="559">
        <v>394.1</v>
      </c>
      <c r="F245" s="1302" cm="1">
        <f t="array" ref="F245">+IF(SUM(VALUE(N245:Q245)*$N$7:$Q$7)=0,R245,T245)</f>
        <v>0</v>
      </c>
      <c r="G245" s="103">
        <f t="shared" si="12"/>
        <v>0</v>
      </c>
      <c r="H245" s="717"/>
      <c r="I245" s="1303" cm="1">
        <f t="array" ref="I245">+IF(SUM(VALUE(N245:Q245)*$N$7:$Q$7)=0,S245,U245)</f>
        <v>42780.5</v>
      </c>
      <c r="J245" s="103">
        <f t="shared" si="14"/>
        <v>42780.5</v>
      </c>
      <c r="K245" s="575">
        <v>45809</v>
      </c>
      <c r="M245"/>
      <c r="N245" s="1300">
        <v>0</v>
      </c>
      <c r="O245" s="1300">
        <v>0</v>
      </c>
      <c r="P245" s="1300">
        <v>0</v>
      </c>
      <c r="Q245" s="1300">
        <v>1</v>
      </c>
      <c r="R245" s="1266">
        <v>0</v>
      </c>
      <c r="S245" s="1266">
        <v>42780.5</v>
      </c>
      <c r="T245" s="1266">
        <f>+IF($Q245=1,$G245,INDEX([1]Summary!$K$5:$K$110,MATCH($C245,[1]Summary!$D$5:$D346,0)))</f>
        <v>0</v>
      </c>
      <c r="U245" s="1266">
        <f>+IF($Q245=1,$J245,INDEX([1]Summary!$L$5:$L$110,MATCH($C245,[1]Summary!$D$5:$D346,0)))</f>
        <v>42780.5</v>
      </c>
      <c r="V245" s="721"/>
      <c r="W245" s="721"/>
      <c r="X245" s="721"/>
      <c r="Y245" s="721"/>
      <c r="Z245" s="721"/>
      <c r="AA245" s="721"/>
      <c r="AB245" s="721"/>
      <c r="AC245" s="721"/>
      <c r="AD245" s="721"/>
      <c r="AI245" s="105"/>
      <c r="AJ245" s="105"/>
      <c r="AN245" s="105"/>
      <c r="AO245" s="105"/>
      <c r="AP245" s="105"/>
    </row>
    <row r="246" spans="1:42" outlineLevel="1">
      <c r="A246" s="545">
        <f>MAX($A$10:A245)+1</f>
        <v>237</v>
      </c>
      <c r="B246" s="716" t="s">
        <v>2096</v>
      </c>
      <c r="C246" s="105" t="s">
        <v>2216</v>
      </c>
      <c r="D246" s="105" t="s">
        <v>2217</v>
      </c>
      <c r="E246" s="559">
        <v>390.1</v>
      </c>
      <c r="F246" s="1302" cm="1">
        <f t="array" ref="F246">+IF(SUM(VALUE(N246:Q246)*$N$7:$Q$7)=0,R246,T246)</f>
        <v>55236.5</v>
      </c>
      <c r="G246" s="103">
        <f t="shared" si="12"/>
        <v>55236.5</v>
      </c>
      <c r="I246" s="1303" cm="1">
        <f t="array" ref="I246">+IF(SUM(VALUE(N246:Q246)*$N$7:$Q$7)=0,S246,U246)</f>
        <v>0</v>
      </c>
      <c r="J246" s="103">
        <f t="shared" si="14"/>
        <v>0</v>
      </c>
      <c r="K246" s="717"/>
      <c r="M246"/>
      <c r="N246" s="1300">
        <v>0</v>
      </c>
      <c r="O246" s="1300">
        <v>0</v>
      </c>
      <c r="P246" s="1300">
        <v>0</v>
      </c>
      <c r="Q246" s="1300">
        <v>1</v>
      </c>
      <c r="R246" s="1266">
        <v>55236.5</v>
      </c>
      <c r="S246" s="1266">
        <v>0</v>
      </c>
      <c r="T246" s="1266">
        <f>+IF($Q246=1,$G246,INDEX([1]Summary!$K$5:$K$110,MATCH($C246,[1]Summary!$D$5:$D347,0)))</f>
        <v>55236.5</v>
      </c>
      <c r="U246" s="1266">
        <f>+IF($Q246=1,$J246,INDEX([1]Summary!$L$5:$L$110,MATCH($C246,[1]Summary!$D$5:$D347,0)))</f>
        <v>0</v>
      </c>
      <c r="V246" s="721"/>
      <c r="W246" s="721"/>
      <c r="X246" s="721"/>
      <c r="Y246" s="721"/>
      <c r="Z246" s="721"/>
      <c r="AA246" s="721"/>
      <c r="AB246" s="721"/>
      <c r="AC246" s="721"/>
      <c r="AD246" s="721"/>
      <c r="AI246" s="105"/>
      <c r="AJ246" s="105"/>
      <c r="AN246" s="105"/>
      <c r="AO246" s="105"/>
      <c r="AP246" s="105"/>
    </row>
    <row r="247" spans="1:42" outlineLevel="1">
      <c r="A247" s="545">
        <f>MAX($A$10:A246)+1</f>
        <v>238</v>
      </c>
      <c r="B247" s="716" t="s">
        <v>2096</v>
      </c>
      <c r="C247" s="716" t="s">
        <v>2218</v>
      </c>
      <c r="D247" s="716" t="s">
        <v>2219</v>
      </c>
      <c r="E247" s="559">
        <v>390.1</v>
      </c>
      <c r="F247" s="1302" cm="1">
        <f t="array" ref="F247">+IF(SUM(VALUE(N247:Q247)*$N$7:$Q$7)=0,R247,T247)</f>
        <v>155213.86869500001</v>
      </c>
      <c r="G247" s="103">
        <f t="shared" si="12"/>
        <v>155213.86869500001</v>
      </c>
      <c r="H247" s="717">
        <v>45596</v>
      </c>
      <c r="I247" s="1303" cm="1">
        <f t="array" ref="I247">+IF(SUM(VALUE(N247:Q247)*$N$7:$Q$7)=0,S247,U247)</f>
        <v>0</v>
      </c>
      <c r="J247" s="103">
        <f t="shared" si="14"/>
        <v>0</v>
      </c>
      <c r="K247" s="103"/>
      <c r="M247"/>
      <c r="N247" s="1300">
        <v>0</v>
      </c>
      <c r="O247" s="1300">
        <v>0</v>
      </c>
      <c r="P247" s="1300">
        <v>0</v>
      </c>
      <c r="Q247" s="1300">
        <v>1</v>
      </c>
      <c r="R247" s="1266">
        <v>155213.86869500001</v>
      </c>
      <c r="S247" s="1266">
        <v>0</v>
      </c>
      <c r="T247" s="1266">
        <f>+IF($Q247=1,$G247,INDEX([1]Summary!$K$5:$K$110,MATCH($C247,[1]Summary!$D$5:$D348,0)))</f>
        <v>155213.86869500001</v>
      </c>
      <c r="U247" s="1266">
        <f>+IF($Q247=1,$J247,INDEX([1]Summary!$L$5:$L$110,MATCH($C247,[1]Summary!$D$5:$D348,0)))</f>
        <v>0</v>
      </c>
      <c r="V247" s="721"/>
      <c r="W247" s="721"/>
      <c r="X247" s="721"/>
      <c r="Y247" s="721"/>
      <c r="Z247" s="721"/>
      <c r="AA247" s="721"/>
      <c r="AB247" s="721"/>
      <c r="AC247" s="721"/>
      <c r="AD247" s="721"/>
      <c r="AI247" s="105"/>
      <c r="AJ247" s="105"/>
      <c r="AN247" s="105"/>
      <c r="AO247" s="105"/>
      <c r="AP247" s="105"/>
    </row>
    <row r="248" spans="1:42" outlineLevel="1">
      <c r="A248" s="545">
        <f>MAX($A$10:A247)+1</f>
        <v>239</v>
      </c>
      <c r="B248" s="716" t="s">
        <v>2096</v>
      </c>
      <c r="C248" s="716" t="s">
        <v>2220</v>
      </c>
      <c r="D248" s="716" t="s">
        <v>2221</v>
      </c>
      <c r="E248" s="559">
        <v>390.1</v>
      </c>
      <c r="F248" s="1302" cm="1">
        <f t="array" ref="F248">+IF(SUM(VALUE(N248:Q248)*$N$7:$Q$7)=0,R248,T248)</f>
        <v>9540.85</v>
      </c>
      <c r="G248" s="103">
        <f t="shared" si="12"/>
        <v>9540.85</v>
      </c>
      <c r="H248" s="717">
        <v>45352</v>
      </c>
      <c r="I248" s="1303" cm="1">
        <f t="array" ref="I248">+IF(SUM(VALUE(N248:Q248)*$N$7:$Q$7)=0,S248,U248)</f>
        <v>0</v>
      </c>
      <c r="J248" s="103">
        <f t="shared" si="14"/>
        <v>0</v>
      </c>
      <c r="K248" s="103"/>
      <c r="M248"/>
      <c r="N248" s="1300">
        <v>0</v>
      </c>
      <c r="O248" s="1300">
        <v>0</v>
      </c>
      <c r="P248" s="1300">
        <v>0</v>
      </c>
      <c r="Q248" s="1300">
        <v>1</v>
      </c>
      <c r="R248" s="1266">
        <v>9540.85</v>
      </c>
      <c r="S248" s="1266">
        <v>0</v>
      </c>
      <c r="T248" s="1266">
        <f>+IF($Q248=1,$G248,INDEX([1]Summary!$K$5:$K$110,MATCH($C248,[1]Summary!$D$5:$D349,0)))</f>
        <v>9540.85</v>
      </c>
      <c r="U248" s="1266">
        <f>+IF($Q248=1,$J248,INDEX([1]Summary!$L$5:$L$110,MATCH($C248,[1]Summary!$D$5:$D349,0)))</f>
        <v>0</v>
      </c>
      <c r="V248" s="721"/>
      <c r="W248" s="721"/>
      <c r="X248" s="721"/>
      <c r="Y248" s="721"/>
      <c r="Z248" s="721"/>
      <c r="AA248" s="721"/>
      <c r="AB248" s="721"/>
      <c r="AC248" s="721"/>
      <c r="AD248" s="721"/>
      <c r="AI248" s="105"/>
      <c r="AJ248" s="105"/>
      <c r="AN248" s="105"/>
      <c r="AO248" s="105"/>
      <c r="AP248" s="105"/>
    </row>
    <row r="249" spans="1:42" outlineLevel="1">
      <c r="A249" s="545">
        <f>MAX($A$10:A248)+1</f>
        <v>240</v>
      </c>
      <c r="B249" s="716" t="s">
        <v>2096</v>
      </c>
      <c r="C249" s="105" t="s">
        <v>2222</v>
      </c>
      <c r="D249" s="105" t="s">
        <v>2223</v>
      </c>
      <c r="E249" s="559">
        <v>394.1</v>
      </c>
      <c r="F249" s="1302" cm="1">
        <f t="array" ref="F249">+IF(SUM(VALUE(N249:Q249)*$N$7:$Q$7)=0,R249,T249)</f>
        <v>30129</v>
      </c>
      <c r="G249" s="103">
        <f t="shared" ref="G249:G259" si="15">+F249</f>
        <v>30129</v>
      </c>
      <c r="H249" s="721">
        <v>45352</v>
      </c>
      <c r="I249" s="1303" cm="1">
        <f t="array" ref="I249">+IF(SUM(VALUE(N249:Q249)*$N$7:$Q$7)=0,S249,U249)</f>
        <v>0</v>
      </c>
      <c r="J249" s="103">
        <f t="shared" si="14"/>
        <v>0</v>
      </c>
      <c r="K249" s="717"/>
      <c r="M249"/>
      <c r="N249" s="1300">
        <v>0</v>
      </c>
      <c r="O249" s="1300">
        <v>0</v>
      </c>
      <c r="P249" s="1300">
        <v>0</v>
      </c>
      <c r="Q249" s="1300">
        <v>1</v>
      </c>
      <c r="R249" s="1266">
        <v>30129</v>
      </c>
      <c r="S249" s="1266">
        <v>0</v>
      </c>
      <c r="T249" s="1266">
        <f>+IF($Q249=1,$G249,INDEX([1]Summary!$K$5:$K$110,MATCH($C249,[1]Summary!$D$5:$D350,0)))</f>
        <v>30129</v>
      </c>
      <c r="U249" s="1266">
        <f>+IF($Q249=1,$J249,INDEX([1]Summary!$L$5:$L$110,MATCH($C249,[1]Summary!$D$5:$D350,0)))</f>
        <v>0</v>
      </c>
      <c r="V249" s="721"/>
      <c r="W249" s="721"/>
      <c r="X249" s="721"/>
      <c r="Y249" s="721"/>
      <c r="Z249" s="721"/>
      <c r="AA249" s="721"/>
      <c r="AB249" s="721"/>
      <c r="AC249" s="721"/>
      <c r="AD249" s="721"/>
      <c r="AI249" s="105"/>
      <c r="AJ249" s="105"/>
      <c r="AN249" s="105"/>
      <c r="AO249" s="105"/>
      <c r="AP249" s="105"/>
    </row>
    <row r="250" spans="1:42" outlineLevel="1">
      <c r="A250" s="545">
        <f>MAX($A$10:A249)+1</f>
        <v>241</v>
      </c>
      <c r="B250" s="716" t="s">
        <v>2096</v>
      </c>
      <c r="C250" s="716" t="s">
        <v>2224</v>
      </c>
      <c r="D250" s="716" t="s">
        <v>2225</v>
      </c>
      <c r="E250" s="559">
        <v>394.1</v>
      </c>
      <c r="F250" s="1302" cm="1">
        <f t="array" ref="F250">+IF(SUM(VALUE(N250:Q250)*$N$7:$Q$7)=0,R250,T250)</f>
        <v>30129</v>
      </c>
      <c r="G250" s="103">
        <f t="shared" si="15"/>
        <v>30129</v>
      </c>
      <c r="H250" s="717">
        <v>45352</v>
      </c>
      <c r="I250" s="1303" cm="1">
        <f t="array" ref="I250">+IF(SUM(VALUE(N250:Q250)*$N$7:$Q$7)=0,S250,U250)</f>
        <v>0</v>
      </c>
      <c r="J250" s="103">
        <f t="shared" si="14"/>
        <v>0</v>
      </c>
      <c r="K250" s="103"/>
      <c r="M250"/>
      <c r="N250" s="1300">
        <v>0</v>
      </c>
      <c r="O250" s="1300">
        <v>0</v>
      </c>
      <c r="P250" s="1300">
        <v>0</v>
      </c>
      <c r="Q250" s="1300">
        <v>1</v>
      </c>
      <c r="R250" s="1266">
        <v>30129</v>
      </c>
      <c r="S250" s="1266">
        <v>0</v>
      </c>
      <c r="T250" s="1266">
        <f>+IF($Q250=1,$G250,INDEX([1]Summary!$K$5:$K$110,MATCH($C250,[1]Summary!$D$5:$D351,0)))</f>
        <v>30129</v>
      </c>
      <c r="U250" s="1266">
        <f>+IF($Q250=1,$J250,INDEX([1]Summary!$L$5:$L$110,MATCH($C250,[1]Summary!$D$5:$D351,0)))</f>
        <v>0</v>
      </c>
      <c r="V250" s="721"/>
      <c r="W250" s="721"/>
      <c r="X250" s="721"/>
      <c r="Y250" s="721"/>
      <c r="Z250" s="721"/>
      <c r="AA250" s="721"/>
      <c r="AB250" s="721"/>
      <c r="AC250" s="721"/>
      <c r="AD250" s="721"/>
      <c r="AI250" s="105"/>
      <c r="AJ250" s="105"/>
      <c r="AN250" s="105"/>
      <c r="AO250" s="105"/>
      <c r="AP250" s="105"/>
    </row>
    <row r="251" spans="1:42" outlineLevel="1">
      <c r="A251" s="545">
        <f>MAX($A$10:A250)+1</f>
        <v>242</v>
      </c>
      <c r="B251" s="716" t="s">
        <v>2096</v>
      </c>
      <c r="C251" s="716" t="s">
        <v>2226</v>
      </c>
      <c r="D251" s="716" t="s">
        <v>2227</v>
      </c>
      <c r="E251" s="559">
        <v>390.1</v>
      </c>
      <c r="F251" s="1302" cm="1">
        <f t="array" ref="F251">+IF(SUM(VALUE(N251:Q251)*$N$7:$Q$7)=0,R251,T251)</f>
        <v>150645</v>
      </c>
      <c r="G251" s="103">
        <f t="shared" si="15"/>
        <v>150645</v>
      </c>
      <c r="H251" s="717">
        <v>45442</v>
      </c>
      <c r="I251" s="1303" cm="1">
        <f t="array" ref="I251">+IF(SUM(VALUE(N251:Q251)*$N$7:$Q$7)=0,S251,U251)</f>
        <v>0</v>
      </c>
      <c r="J251" s="103">
        <f t="shared" si="14"/>
        <v>0</v>
      </c>
      <c r="K251" s="103"/>
      <c r="M251"/>
      <c r="N251" s="1300">
        <v>0</v>
      </c>
      <c r="O251" s="1300">
        <v>0</v>
      </c>
      <c r="P251" s="1300">
        <v>0</v>
      </c>
      <c r="Q251" s="1300">
        <v>1</v>
      </c>
      <c r="R251" s="1266">
        <v>150645</v>
      </c>
      <c r="S251" s="1266">
        <v>0</v>
      </c>
      <c r="T251" s="1266">
        <f>+IF($Q251=1,$G251,INDEX([1]Summary!$K$5:$K$110,MATCH($C251,[1]Summary!$D$5:$D352,0)))</f>
        <v>150645</v>
      </c>
      <c r="U251" s="1266">
        <f>+IF($Q251=1,$J251,INDEX([1]Summary!$L$5:$L$110,MATCH($C251,[1]Summary!$D$5:$D352,0)))</f>
        <v>0</v>
      </c>
      <c r="V251" s="721"/>
      <c r="W251" s="721"/>
      <c r="X251" s="721"/>
      <c r="Y251" s="721"/>
      <c r="Z251" s="721"/>
      <c r="AA251" s="721"/>
      <c r="AB251" s="721"/>
      <c r="AC251" s="721"/>
      <c r="AD251" s="721"/>
      <c r="AI251" s="105"/>
      <c r="AJ251" s="105"/>
      <c r="AN251" s="105"/>
      <c r="AO251" s="105"/>
      <c r="AP251" s="105"/>
    </row>
    <row r="252" spans="1:42" outlineLevel="1">
      <c r="A252" s="545">
        <f>MAX($A$10:A251)+1</f>
        <v>243</v>
      </c>
      <c r="B252" s="716" t="s">
        <v>2096</v>
      </c>
      <c r="C252" s="716" t="s">
        <v>2228</v>
      </c>
      <c r="D252" s="716" t="s">
        <v>2229</v>
      </c>
      <c r="E252" s="559">
        <v>397.1</v>
      </c>
      <c r="F252" s="1302" cm="1">
        <f t="array" ref="F252">+IF(SUM(VALUE(N252:Q252)*$N$7:$Q$7)=0,R252,T252)</f>
        <v>3741.15</v>
      </c>
      <c r="G252" s="103">
        <f t="shared" si="15"/>
        <v>3741.15</v>
      </c>
      <c r="H252" s="717">
        <v>45351</v>
      </c>
      <c r="I252" s="1303" cm="1">
        <f t="array" ref="I252">+IF(SUM(VALUE(N252:Q252)*$N$7:$Q$7)=0,S252,U252)</f>
        <v>0</v>
      </c>
      <c r="J252" s="103">
        <f t="shared" si="14"/>
        <v>0</v>
      </c>
      <c r="K252" s="103"/>
      <c r="M252"/>
      <c r="N252" s="1300">
        <v>0</v>
      </c>
      <c r="O252" s="1300">
        <v>0</v>
      </c>
      <c r="P252" s="1300">
        <v>0</v>
      </c>
      <c r="Q252" s="1300">
        <v>1</v>
      </c>
      <c r="R252" s="1266">
        <v>3741.15</v>
      </c>
      <c r="S252" s="1266">
        <v>0</v>
      </c>
      <c r="T252" s="1266">
        <f>+IF($Q252=1,$G252,INDEX([1]Summary!$K$5:$K$110,MATCH($C252,[1]Summary!$D$5:$D353,0)))</f>
        <v>3741.15</v>
      </c>
      <c r="U252" s="1266">
        <f>+IF($Q252=1,$J252,INDEX([1]Summary!$L$5:$L$110,MATCH($C252,[1]Summary!$D$5:$D353,0)))</f>
        <v>0</v>
      </c>
      <c r="V252" s="721"/>
      <c r="W252" s="721"/>
      <c r="X252" s="721"/>
      <c r="Y252" s="721"/>
      <c r="Z252" s="721"/>
      <c r="AA252" s="721"/>
      <c r="AB252" s="721"/>
      <c r="AC252" s="721"/>
      <c r="AD252" s="721"/>
      <c r="AI252" s="105"/>
      <c r="AJ252" s="105"/>
      <c r="AN252" s="105"/>
      <c r="AO252" s="105"/>
      <c r="AP252" s="105"/>
    </row>
    <row r="253" spans="1:42" outlineLevel="1">
      <c r="A253" s="545">
        <f>MAX($A$10:A252)+1</f>
        <v>244</v>
      </c>
      <c r="B253" s="716" t="s">
        <v>2096</v>
      </c>
      <c r="C253" s="716" t="s">
        <v>2230</v>
      </c>
      <c r="D253" s="716" t="s">
        <v>2231</v>
      </c>
      <c r="E253" s="559">
        <v>391.3</v>
      </c>
      <c r="F253" s="1302" cm="1">
        <f t="array" ref="F253">+IF(SUM(VALUE(N253:Q253)*$N$7:$Q$7)=0,R253,T253)</f>
        <v>13227.237818814603</v>
      </c>
      <c r="G253" s="103">
        <f t="shared" si="15"/>
        <v>13227.237818814603</v>
      </c>
      <c r="H253" s="717">
        <v>45337</v>
      </c>
      <c r="I253" s="1303" cm="1">
        <f t="array" ref="I253">+IF(SUM(VALUE(N253:Q253)*$N$7:$Q$7)=0,S253,U253)</f>
        <v>0</v>
      </c>
      <c r="J253" s="103">
        <f t="shared" si="14"/>
        <v>0</v>
      </c>
      <c r="K253" s="103"/>
      <c r="M253"/>
      <c r="N253" s="1300">
        <v>0</v>
      </c>
      <c r="O253" s="1300">
        <v>0</v>
      </c>
      <c r="P253" s="1300">
        <v>0</v>
      </c>
      <c r="Q253" s="1300">
        <v>1</v>
      </c>
      <c r="R253" s="1266">
        <v>13227.237818814603</v>
      </c>
      <c r="S253" s="1266">
        <v>0</v>
      </c>
      <c r="T253" s="1266">
        <f>+IF($Q253=1,$G253,INDEX([1]Summary!$K$5:$K$110,MATCH($C253,[1]Summary!$D$5:$D354,0)))</f>
        <v>13227.237818814603</v>
      </c>
      <c r="U253" s="1266">
        <f>+IF($Q253=1,$J253,INDEX([1]Summary!$L$5:$L$110,MATCH($C253,[1]Summary!$D$5:$D354,0)))</f>
        <v>0</v>
      </c>
      <c r="V253" s="721"/>
      <c r="W253" s="721"/>
      <c r="X253" s="721"/>
      <c r="Y253" s="721"/>
      <c r="Z253" s="721"/>
      <c r="AA253" s="721"/>
      <c r="AB253" s="721"/>
      <c r="AC253" s="721"/>
      <c r="AD253" s="721"/>
      <c r="AI253" s="105"/>
      <c r="AJ253" s="105"/>
      <c r="AN253" s="105"/>
      <c r="AO253" s="105"/>
      <c r="AP253" s="105"/>
    </row>
    <row r="254" spans="1:42" outlineLevel="1">
      <c r="A254" s="545">
        <f>MAX($A$10:A253)+1</f>
        <v>245</v>
      </c>
      <c r="B254" s="716" t="s">
        <v>2096</v>
      </c>
      <c r="C254" s="716" t="s">
        <v>2232</v>
      </c>
      <c r="D254" s="716" t="s">
        <v>2233</v>
      </c>
      <c r="E254" s="559">
        <v>390.1</v>
      </c>
      <c r="F254" s="1302" cm="1">
        <f t="array" ref="F254">+IF(SUM(VALUE(N254:Q254)*$N$7:$Q$7)=0,R254,T254)</f>
        <v>9404.2325370000017</v>
      </c>
      <c r="G254" s="103">
        <f t="shared" si="15"/>
        <v>9404.2325370000017</v>
      </c>
      <c r="H254" s="717">
        <v>45321</v>
      </c>
      <c r="I254" s="1303" cm="1">
        <f t="array" ref="I254">+IF(SUM(VALUE(N254:Q254)*$N$7:$Q$7)=0,S254,U254)</f>
        <v>0</v>
      </c>
      <c r="J254" s="103">
        <f t="shared" si="14"/>
        <v>0</v>
      </c>
      <c r="K254" s="103"/>
      <c r="M254"/>
      <c r="N254" s="1300">
        <v>0</v>
      </c>
      <c r="O254" s="1300">
        <v>0</v>
      </c>
      <c r="P254" s="1300">
        <v>0</v>
      </c>
      <c r="Q254" s="1300">
        <v>1</v>
      </c>
      <c r="R254" s="1266">
        <v>9404.2325370000017</v>
      </c>
      <c r="S254" s="1266">
        <v>0</v>
      </c>
      <c r="T254" s="1266">
        <f>+IF($Q254=1,$G254,INDEX([1]Summary!$K$5:$K$110,MATCH($C254,[1]Summary!$D$5:$D355,0)))</f>
        <v>9404.2325370000017</v>
      </c>
      <c r="U254" s="1266">
        <f>+IF($Q254=1,$J254,INDEX([1]Summary!$L$5:$L$110,MATCH($C254,[1]Summary!$D$5:$D355,0)))</f>
        <v>0</v>
      </c>
      <c r="V254" s="721"/>
      <c r="W254" s="721"/>
      <c r="X254" s="721"/>
      <c r="Y254" s="721"/>
      <c r="Z254" s="721"/>
      <c r="AA254" s="721"/>
      <c r="AB254" s="721"/>
      <c r="AC254" s="721"/>
      <c r="AD254" s="721"/>
      <c r="AI254" s="105"/>
      <c r="AJ254" s="105"/>
      <c r="AN254" s="105"/>
      <c r="AO254" s="105"/>
      <c r="AP254" s="105"/>
    </row>
    <row r="255" spans="1:42" outlineLevel="1">
      <c r="A255" s="545">
        <f>MAX($A$10:A254)+1</f>
        <v>246</v>
      </c>
      <c r="B255" s="716" t="s">
        <v>2096</v>
      </c>
      <c r="C255" s="716" t="s">
        <v>2234</v>
      </c>
      <c r="D255" s="716" t="s">
        <v>2235</v>
      </c>
      <c r="E255" s="559">
        <v>394.1</v>
      </c>
      <c r="F255" s="1302" cm="1">
        <f t="array" ref="F255">+IF(SUM(VALUE(N255:Q255)*$N$7:$Q$7)=0,R255,T255)</f>
        <v>3136.7400000000002</v>
      </c>
      <c r="G255" s="103">
        <f t="shared" si="15"/>
        <v>3136.7400000000002</v>
      </c>
      <c r="H255" s="717">
        <v>45337</v>
      </c>
      <c r="I255" s="1303" cm="1">
        <f t="array" ref="I255">+IF(SUM(VALUE(N255:Q255)*$N$7:$Q$7)=0,S255,U255)</f>
        <v>0</v>
      </c>
      <c r="J255" s="103">
        <f t="shared" si="14"/>
        <v>0</v>
      </c>
      <c r="K255" s="103"/>
      <c r="M255"/>
      <c r="N255" s="1300">
        <v>0</v>
      </c>
      <c r="O255" s="1300">
        <v>0</v>
      </c>
      <c r="P255" s="1300">
        <v>0</v>
      </c>
      <c r="Q255" s="1300">
        <v>1</v>
      </c>
      <c r="R255" s="1266">
        <v>3136.7400000000002</v>
      </c>
      <c r="S255" s="1266">
        <v>0</v>
      </c>
      <c r="T255" s="1266">
        <f>+IF($Q255=1,$G255,INDEX([1]Summary!$K$5:$K$110,MATCH($C255,[1]Summary!$D$5:$D356,0)))</f>
        <v>3136.7400000000002</v>
      </c>
      <c r="U255" s="1266">
        <f>+IF($Q255=1,$J255,INDEX([1]Summary!$L$5:$L$110,MATCH($C255,[1]Summary!$D$5:$D356,0)))</f>
        <v>0</v>
      </c>
      <c r="V255" s="721"/>
      <c r="W255" s="721"/>
      <c r="X255" s="721"/>
      <c r="Y255" s="721"/>
      <c r="Z255" s="721"/>
      <c r="AA255" s="721"/>
      <c r="AB255" s="721"/>
      <c r="AC255" s="721"/>
      <c r="AD255" s="721"/>
      <c r="AI255" s="105"/>
      <c r="AJ255" s="105"/>
      <c r="AN255" s="105"/>
      <c r="AO255" s="105"/>
      <c r="AP255" s="105"/>
    </row>
    <row r="256" spans="1:42" outlineLevel="1">
      <c r="A256" s="545">
        <f>MAX($A$10:A255)+1</f>
        <v>247</v>
      </c>
      <c r="B256" s="716" t="s">
        <v>2096</v>
      </c>
      <c r="C256" s="105" t="s">
        <v>2236</v>
      </c>
      <c r="D256" s="105" t="s">
        <v>2237</v>
      </c>
      <c r="E256" s="559">
        <v>394.1</v>
      </c>
      <c r="F256" s="1302" cm="1">
        <f t="array" ref="F256">+IF(SUM(VALUE(N256:Q256)*$N$7:$Q$7)=0,R256,T256)</f>
        <v>3799.31</v>
      </c>
      <c r="G256" s="103">
        <f t="shared" si="15"/>
        <v>3799.31</v>
      </c>
      <c r="H256" s="721">
        <v>45321</v>
      </c>
      <c r="I256" s="1303" cm="1">
        <f t="array" ref="I256">+IF(SUM(VALUE(N256:Q256)*$N$7:$Q$7)=0,S256,U256)</f>
        <v>0</v>
      </c>
      <c r="J256" s="103">
        <f t="shared" si="14"/>
        <v>0</v>
      </c>
      <c r="K256" s="717"/>
      <c r="M256"/>
      <c r="N256" s="1300">
        <v>0</v>
      </c>
      <c r="O256" s="1300">
        <v>0</v>
      </c>
      <c r="P256" s="1300">
        <v>0</v>
      </c>
      <c r="Q256" s="1300">
        <v>1</v>
      </c>
      <c r="R256" s="1266">
        <v>3799.31</v>
      </c>
      <c r="S256" s="1266">
        <v>0</v>
      </c>
      <c r="T256" s="1266">
        <f>+IF($Q256=1,$G256,INDEX([1]Summary!$K$5:$K$110,MATCH($C256,[1]Summary!$D$5:$D357,0)))</f>
        <v>3799.31</v>
      </c>
      <c r="U256" s="1266">
        <f>+IF($Q256=1,$J256,INDEX([1]Summary!$L$5:$L$110,MATCH($C256,[1]Summary!$D$5:$D357,0)))</f>
        <v>0</v>
      </c>
      <c r="V256" s="721"/>
      <c r="W256" s="721"/>
      <c r="X256" s="721"/>
      <c r="Y256" s="721"/>
      <c r="Z256" s="721"/>
      <c r="AA256" s="721"/>
      <c r="AB256" s="721"/>
      <c r="AC256" s="721"/>
      <c r="AD256" s="721"/>
      <c r="AI256" s="105"/>
      <c r="AJ256" s="105"/>
      <c r="AN256" s="105"/>
      <c r="AO256" s="105"/>
      <c r="AP256" s="105"/>
    </row>
    <row r="257" spans="1:42" outlineLevel="1">
      <c r="A257" s="545">
        <f>MAX($A$10:A256)+1</f>
        <v>248</v>
      </c>
      <c r="B257" s="716" t="s">
        <v>2096</v>
      </c>
      <c r="C257" s="716" t="s">
        <v>2238</v>
      </c>
      <c r="D257" s="716" t="s">
        <v>2239</v>
      </c>
      <c r="E257" s="559">
        <v>394.1</v>
      </c>
      <c r="F257" s="1302" cm="1">
        <f t="array" ref="F257">+IF(SUM(VALUE(N257:Q257)*$N$7:$Q$7)=0,R257,T257)</f>
        <v>622666</v>
      </c>
      <c r="G257" s="103">
        <f t="shared" si="15"/>
        <v>622666</v>
      </c>
      <c r="H257" s="717">
        <v>45337</v>
      </c>
      <c r="I257" s="1303" cm="1">
        <f t="array" ref="I257">+IF(SUM(VALUE(N257:Q257)*$N$7:$Q$7)=0,S257,U257)</f>
        <v>0</v>
      </c>
      <c r="J257" s="103">
        <f t="shared" si="14"/>
        <v>0</v>
      </c>
      <c r="K257" s="103"/>
      <c r="M257"/>
      <c r="N257" s="1300">
        <v>0</v>
      </c>
      <c r="O257" s="1300">
        <v>0</v>
      </c>
      <c r="P257" s="1300">
        <v>0</v>
      </c>
      <c r="Q257" s="1300">
        <v>1</v>
      </c>
      <c r="R257" s="1266">
        <v>622666</v>
      </c>
      <c r="S257" s="1266">
        <v>0</v>
      </c>
      <c r="T257" s="1266">
        <f>+IF($Q257=1,$G257,INDEX([1]Summary!$K$5:$K$110,MATCH($C257,[1]Summary!$D$5:$D358,0)))</f>
        <v>622666</v>
      </c>
      <c r="U257" s="1266">
        <f>+IF($Q257=1,$J257,INDEX([1]Summary!$L$5:$L$110,MATCH($C257,[1]Summary!$D$5:$D358,0)))</f>
        <v>0</v>
      </c>
      <c r="V257" s="721"/>
      <c r="W257" s="721"/>
      <c r="X257" s="721"/>
      <c r="Y257" s="721"/>
      <c r="Z257" s="721"/>
      <c r="AA257" s="721"/>
      <c r="AB257" s="721"/>
      <c r="AC257" s="721"/>
      <c r="AD257" s="721"/>
      <c r="AI257" s="105"/>
      <c r="AJ257" s="105"/>
      <c r="AN257" s="105"/>
      <c r="AO257" s="105"/>
      <c r="AP257" s="105"/>
    </row>
    <row r="258" spans="1:42" outlineLevel="1">
      <c r="A258" s="545">
        <f>MAX($A$10:A257)+1</f>
        <v>249</v>
      </c>
      <c r="B258" s="716" t="s">
        <v>2096</v>
      </c>
      <c r="C258" s="716" t="s">
        <v>2240</v>
      </c>
      <c r="D258" s="716" t="s">
        <v>2241</v>
      </c>
      <c r="E258" s="559">
        <v>394.1</v>
      </c>
      <c r="F258" s="1302" cm="1">
        <f t="array" ref="F258">+IF(SUM(VALUE(N258:Q258)*$N$7:$Q$7)=0,R258,T258)</f>
        <v>1584.38</v>
      </c>
      <c r="G258" s="103">
        <f t="shared" si="15"/>
        <v>1584.38</v>
      </c>
      <c r="H258" s="717">
        <v>45350</v>
      </c>
      <c r="I258" s="1303" cm="1">
        <f t="array" ref="I258">+IF(SUM(VALUE(N258:Q258)*$N$7:$Q$7)=0,S258,U258)</f>
        <v>0</v>
      </c>
      <c r="J258" s="103">
        <f t="shared" si="14"/>
        <v>0</v>
      </c>
      <c r="K258" s="103"/>
      <c r="M258"/>
      <c r="N258" s="1300">
        <v>0</v>
      </c>
      <c r="O258" s="1300">
        <v>0</v>
      </c>
      <c r="P258" s="1300">
        <v>0</v>
      </c>
      <c r="Q258" s="1300">
        <v>1</v>
      </c>
      <c r="R258" s="1266">
        <v>1584.38</v>
      </c>
      <c r="S258" s="1266">
        <v>0</v>
      </c>
      <c r="T258" s="1266">
        <f>+IF($Q258=1,$G258,INDEX([1]Summary!$K$5:$K$110,MATCH($C258,[1]Summary!$D$5:$D359,0)))</f>
        <v>1584.38</v>
      </c>
      <c r="U258" s="1266">
        <f>+IF($Q258=1,$J258,INDEX([1]Summary!$L$5:$L$110,MATCH($C258,[1]Summary!$D$5:$D359,0)))</f>
        <v>0</v>
      </c>
      <c r="V258" s="721"/>
      <c r="W258" s="721"/>
      <c r="X258" s="721"/>
      <c r="Y258" s="721"/>
      <c r="Z258" s="721"/>
      <c r="AA258" s="721"/>
      <c r="AB258" s="721"/>
      <c r="AC258" s="721"/>
      <c r="AD258" s="721"/>
      <c r="AI258" s="105"/>
      <c r="AJ258" s="105"/>
      <c r="AN258" s="105"/>
      <c r="AO258" s="105"/>
      <c r="AP258" s="105"/>
    </row>
    <row r="259" spans="1:42" outlineLevel="1">
      <c r="A259" s="545">
        <f>MAX($A$10:A258)+1</f>
        <v>250</v>
      </c>
      <c r="B259" s="716" t="s">
        <v>2096</v>
      </c>
      <c r="C259" s="716" t="s">
        <v>2242</v>
      </c>
      <c r="D259" s="716" t="s">
        <v>2243</v>
      </c>
      <c r="E259" s="559">
        <v>397.4</v>
      </c>
      <c r="F259" s="1302" cm="1">
        <f t="array" ref="F259">+IF(SUM(VALUE(N259:Q259)*$N$7:$Q$7)=0,R259,T259)</f>
        <v>398580.42</v>
      </c>
      <c r="G259" s="103">
        <f t="shared" si="15"/>
        <v>398580.42</v>
      </c>
      <c r="H259" s="575">
        <v>45322</v>
      </c>
      <c r="I259" s="1303" cm="1">
        <f t="array" ref="I259">+IF(SUM(VALUE(N259:Q259)*$N$7:$Q$7)=0,S259,U259)</f>
        <v>0</v>
      </c>
      <c r="J259" s="471">
        <f t="shared" si="14"/>
        <v>0</v>
      </c>
      <c r="K259" s="471"/>
      <c r="M259"/>
      <c r="N259" s="1300">
        <v>0</v>
      </c>
      <c r="O259" s="1300">
        <v>0</v>
      </c>
      <c r="P259" s="1300">
        <v>0</v>
      </c>
      <c r="Q259" s="1300">
        <v>1</v>
      </c>
      <c r="R259" s="1266">
        <v>398580.42</v>
      </c>
      <c r="S259" s="1266">
        <v>0</v>
      </c>
      <c r="T259" s="1266">
        <f>+IF($Q259=1,$G259,INDEX([1]Summary!$K$5:$K$110,MATCH($C259,[1]Summary!$D$5:$D360,0)))</f>
        <v>398580.42</v>
      </c>
      <c r="U259" s="1266">
        <f>+IF($Q259=1,$J259,INDEX([1]Summary!$L$5:$L$110,MATCH($C259,[1]Summary!$D$5:$D360,0)))</f>
        <v>0</v>
      </c>
      <c r="V259" s="721"/>
      <c r="W259" s="721"/>
      <c r="X259" s="721"/>
      <c r="Y259" s="721"/>
      <c r="Z259" s="721"/>
      <c r="AA259" s="721"/>
      <c r="AB259" s="721"/>
      <c r="AC259" s="721"/>
      <c r="AD259" s="721"/>
      <c r="AI259" s="105"/>
      <c r="AJ259" s="105"/>
      <c r="AN259" s="105"/>
      <c r="AO259" s="105"/>
      <c r="AP259" s="105"/>
    </row>
    <row r="260" spans="1:42" outlineLevel="1">
      <c r="A260" s="545">
        <f>MAX($A$10:A259)+1</f>
        <v>251</v>
      </c>
      <c r="B260" s="729"/>
      <c r="C260" s="729"/>
      <c r="D260" s="730" t="s">
        <v>2244</v>
      </c>
      <c r="E260" s="560"/>
      <c r="F260" s="495">
        <f>SUM(F185:F259)</f>
        <v>8902101.571975816</v>
      </c>
      <c r="G260" s="495">
        <f>SUM(G185:G259)</f>
        <v>8902101.571975816</v>
      </c>
      <c r="H260" s="495"/>
      <c r="I260" s="713">
        <f>SUM(I185:I259)</f>
        <v>5709157.3109920006</v>
      </c>
      <c r="J260" s="495">
        <f>SUM(J185:J259)</f>
        <v>5709157.3109920006</v>
      </c>
      <c r="K260" s="495"/>
      <c r="L260" s="495">
        <f>SUM(L185:L259)</f>
        <v>280000</v>
      </c>
      <c r="M260"/>
      <c r="N260"/>
      <c r="O260"/>
      <c r="P260"/>
      <c r="Q260"/>
    </row>
    <row r="261" spans="1:42" outlineLevel="1">
      <c r="A261" s="545">
        <f>MAX($A$10:A260)+1</f>
        <v>252</v>
      </c>
      <c r="B261" s="731"/>
      <c r="C261" s="731"/>
      <c r="D261" s="731"/>
      <c r="E261" s="561"/>
      <c r="F261" s="103"/>
      <c r="G261" s="103"/>
      <c r="H261" s="103"/>
      <c r="I261" s="733"/>
      <c r="J261" s="103"/>
      <c r="K261" s="103"/>
      <c r="L261" s="103"/>
      <c r="M261"/>
      <c r="N261"/>
      <c r="O261"/>
      <c r="P261"/>
      <c r="Q261"/>
      <c r="AI261" s="105"/>
      <c r="AJ261" s="105"/>
      <c r="AN261" s="105"/>
      <c r="AO261" s="105"/>
      <c r="AP261" s="105"/>
    </row>
    <row r="262" spans="1:42" ht="15.75" outlineLevel="1" thickBot="1">
      <c r="A262" s="545">
        <f>MAX($A$10:A261)+1</f>
        <v>253</v>
      </c>
      <c r="B262" s="731"/>
      <c r="C262" s="731"/>
      <c r="D262" s="735" t="s">
        <v>200</v>
      </c>
      <c r="E262" s="563"/>
      <c r="F262" s="472">
        <f>F31+F34+F183+F260</f>
        <v>131930279.35551073</v>
      </c>
      <c r="G262" s="472">
        <f>G31+G34+G183+G260</f>
        <v>131930279.35551073</v>
      </c>
      <c r="H262" s="472"/>
      <c r="I262" s="715">
        <f>I31+I34+I183+I260</f>
        <v>88917505.200505003</v>
      </c>
      <c r="J262" s="472">
        <f>J31+J34+J183+J260</f>
        <v>88917505.200505003</v>
      </c>
      <c r="K262" s="472"/>
      <c r="L262" s="472">
        <f>L31+L34+L183+L260</f>
        <v>747500</v>
      </c>
      <c r="M262"/>
      <c r="N262"/>
      <c r="O262"/>
      <c r="P262"/>
      <c r="Q262"/>
    </row>
    <row r="263" spans="1:42" ht="15.75" outlineLevel="1" thickTop="1">
      <c r="A263" s="545">
        <f>MAX($A$10:A262)+1</f>
        <v>254</v>
      </c>
      <c r="B263" s="731"/>
      <c r="C263" s="731"/>
      <c r="D263" s="731"/>
      <c r="E263" s="561"/>
      <c r="F263" s="103"/>
      <c r="G263" s="103"/>
      <c r="H263" s="103"/>
      <c r="I263" s="733"/>
      <c r="J263" s="731"/>
      <c r="K263" s="731"/>
      <c r="L263" s="731"/>
      <c r="M263" s="731"/>
      <c r="N263" s="731"/>
      <c r="O263" s="731"/>
    </row>
    <row r="264" spans="1:42" outlineLevel="1">
      <c r="A264" s="545">
        <f>MAX($A$10:A263)+1</f>
        <v>255</v>
      </c>
      <c r="F264" s="103"/>
      <c r="G264" s="103"/>
      <c r="H264" s="103"/>
      <c r="I264" s="718"/>
      <c r="J264" s="719"/>
      <c r="K264" s="719"/>
      <c r="L264" s="719"/>
      <c r="M264" s="719"/>
      <c r="N264" s="719"/>
      <c r="O264" s="719"/>
    </row>
    <row r="265" spans="1:42" ht="30" outlineLevel="1">
      <c r="A265" s="545">
        <f>MAX($A$10:A264)+1</f>
        <v>256</v>
      </c>
      <c r="B265" s="716" t="s">
        <v>1330</v>
      </c>
      <c r="E265" s="736" t="s">
        <v>2245</v>
      </c>
      <c r="F265" s="736" t="s">
        <v>2246</v>
      </c>
      <c r="G265" s="736" t="s">
        <v>2247</v>
      </c>
      <c r="H265" s="737" t="s">
        <v>2248</v>
      </c>
      <c r="I265" s="1"/>
      <c r="K265" s="736" t="s">
        <v>2249</v>
      </c>
      <c r="L265" s="736" t="s">
        <v>2247</v>
      </c>
      <c r="M265" s="738" t="s">
        <v>2250</v>
      </c>
      <c r="N265" s="1301"/>
      <c r="O265" s="1301"/>
      <c r="Q265" s="1">
        <v>2024</v>
      </c>
    </row>
    <row r="266" spans="1:42" outlineLevel="1">
      <c r="A266" s="545">
        <f>MAX($A$10:A265)+1</f>
        <v>257</v>
      </c>
      <c r="B266" s="719"/>
      <c r="C266" s="716"/>
      <c r="D266" s="103"/>
      <c r="E266" s="739">
        <v>303</v>
      </c>
      <c r="F266" s="103">
        <f t="shared" ref="F266:F298" si="16">+SUMIF($E$10:$E$259,E266,$G$10:$G$259)</f>
        <v>9006672.1762900017</v>
      </c>
      <c r="G266" s="557" t="s">
        <v>2251</v>
      </c>
      <c r="H266" s="711">
        <v>745423.23</v>
      </c>
      <c r="I266" s="1"/>
      <c r="K266" s="103">
        <f t="shared" ref="K266:K298" si="17">+SUMIF($E$10:$E$259,E266,$J$10:$J$259)</f>
        <v>10841022.621869002</v>
      </c>
      <c r="L266" s="434" t="s">
        <v>2251</v>
      </c>
      <c r="M266" s="184">
        <v>804720.52</v>
      </c>
      <c r="N266" s="184"/>
      <c r="O266" s="184"/>
      <c r="P266" s="1" t="s">
        <v>4170</v>
      </c>
      <c r="Q266" s="42">
        <v>8263158.2299999986</v>
      </c>
      <c r="AD266" s="720"/>
      <c r="AE266" s="720"/>
    </row>
    <row r="267" spans="1:42" outlineLevel="1">
      <c r="A267" s="545">
        <f>MAX($A$10:A266)+1</f>
        <v>258</v>
      </c>
      <c r="B267" s="719"/>
      <c r="C267" s="716"/>
      <c r="D267" s="103"/>
      <c r="E267" s="739">
        <v>333</v>
      </c>
      <c r="F267" s="103">
        <f t="shared" si="16"/>
        <v>0</v>
      </c>
      <c r="G267" s="557">
        <v>0.05</v>
      </c>
      <c r="H267" s="711">
        <f t="shared" ref="H267:H298" si="18">+F267*G267</f>
        <v>0</v>
      </c>
      <c r="I267" s="1"/>
      <c r="K267" s="103">
        <f t="shared" si="17"/>
        <v>0</v>
      </c>
      <c r="L267" s="72">
        <f>G267</f>
        <v>0.05</v>
      </c>
      <c r="M267" s="184">
        <f t="shared" ref="M267:M298" si="19">+K267*L267</f>
        <v>0</v>
      </c>
      <c r="N267" s="184"/>
      <c r="O267" s="184"/>
      <c r="P267" s="1" t="s">
        <v>4174</v>
      </c>
      <c r="Q267" s="42">
        <v>43019214.749970011</v>
      </c>
      <c r="AD267" s="720"/>
      <c r="AE267" s="720"/>
    </row>
    <row r="268" spans="1:42" outlineLevel="1">
      <c r="A268" s="545">
        <f>MAX($A$10:A267)+1</f>
        <v>259</v>
      </c>
      <c r="B268" s="740"/>
      <c r="C268" s="740"/>
      <c r="E268" s="719">
        <v>367.1</v>
      </c>
      <c r="F268" s="103">
        <f t="shared" si="16"/>
        <v>3166077.7882189997</v>
      </c>
      <c r="G268" s="557">
        <f>'EOP Depn Exp Adj'!D16</f>
        <v>1.4999999999999999E-2</v>
      </c>
      <c r="H268" s="711">
        <f t="shared" si="18"/>
        <v>47491.166823284992</v>
      </c>
      <c r="I268" s="1"/>
      <c r="K268" s="103">
        <f t="shared" si="17"/>
        <v>0</v>
      </c>
      <c r="L268" s="72">
        <f t="shared" ref="L268:L298" si="20">+G268</f>
        <v>1.4999999999999999E-2</v>
      </c>
      <c r="M268" s="184">
        <f t="shared" si="19"/>
        <v>0</v>
      </c>
      <c r="N268" s="184"/>
      <c r="O268" s="184"/>
      <c r="P268" s="1" t="s">
        <v>4171</v>
      </c>
      <c r="Q268" s="42">
        <v>72985639.794989005</v>
      </c>
      <c r="R268" s="107"/>
      <c r="S268" s="107"/>
      <c r="T268" s="107"/>
      <c r="U268" s="107"/>
      <c r="V268" s="107"/>
      <c r="W268" s="107"/>
      <c r="X268" s="107"/>
      <c r="Y268" s="107"/>
      <c r="Z268" s="107"/>
      <c r="AA268" s="107"/>
      <c r="AB268" s="107"/>
      <c r="AC268" s="107"/>
      <c r="AD268" s="720"/>
      <c r="AE268" s="720"/>
    </row>
    <row r="269" spans="1:42" outlineLevel="1">
      <c r="A269" s="545">
        <f>MAX($A$10:A268)+1</f>
        <v>260</v>
      </c>
      <c r="B269" s="740"/>
      <c r="C269" s="740"/>
      <c r="E269" s="719">
        <v>374.1</v>
      </c>
      <c r="F269" s="103">
        <f t="shared" si="16"/>
        <v>119146.94</v>
      </c>
      <c r="G269" s="557">
        <v>0</v>
      </c>
      <c r="H269" s="711">
        <f t="shared" si="18"/>
        <v>0</v>
      </c>
      <c r="I269" s="1"/>
      <c r="K269" s="103">
        <f t="shared" si="17"/>
        <v>0</v>
      </c>
      <c r="L269" s="72">
        <f t="shared" si="20"/>
        <v>0</v>
      </c>
      <c r="M269" s="184">
        <f t="shared" si="19"/>
        <v>0</v>
      </c>
      <c r="N269" s="184"/>
      <c r="O269" s="184"/>
      <c r="P269" s="1" t="s">
        <v>4173</v>
      </c>
      <c r="Q269" s="42">
        <v>15925424.810551805</v>
      </c>
      <c r="R269" s="107"/>
      <c r="S269" s="107"/>
      <c r="T269" s="107"/>
      <c r="U269" s="107"/>
      <c r="V269" s="107"/>
      <c r="W269" s="107"/>
      <c r="X269" s="107"/>
      <c r="Y269" s="107"/>
      <c r="Z269" s="107"/>
      <c r="AA269" s="107"/>
      <c r="AB269" s="107"/>
      <c r="AC269" s="107"/>
      <c r="AD269" s="720"/>
      <c r="AE269" s="720"/>
    </row>
    <row r="270" spans="1:42" outlineLevel="1">
      <c r="A270" s="545">
        <f>MAX($A$10:A269)+1</f>
        <v>261</v>
      </c>
      <c r="B270" s="740"/>
      <c r="C270" s="740"/>
      <c r="D270" s="740"/>
      <c r="E270" s="719">
        <v>374.2</v>
      </c>
      <c r="F270" s="103">
        <f t="shared" si="16"/>
        <v>0</v>
      </c>
      <c r="G270" s="557">
        <f>'EOP Depn Exp Adj'!D19</f>
        <v>1.6400000000000001E-2</v>
      </c>
      <c r="H270" s="711">
        <f t="shared" si="18"/>
        <v>0</v>
      </c>
      <c r="I270" s="1"/>
      <c r="K270" s="103">
        <f t="shared" si="17"/>
        <v>0</v>
      </c>
      <c r="L270" s="72">
        <f t="shared" si="20"/>
        <v>1.6400000000000001E-2</v>
      </c>
      <c r="M270" s="184">
        <f t="shared" si="19"/>
        <v>0</v>
      </c>
      <c r="N270" s="184"/>
      <c r="O270" s="184"/>
      <c r="R270" s="107"/>
      <c r="S270" s="107"/>
      <c r="T270" s="107"/>
      <c r="U270" s="107"/>
      <c r="V270" s="107"/>
      <c r="W270" s="107"/>
      <c r="X270" s="107"/>
      <c r="Y270" s="107"/>
      <c r="Z270" s="107"/>
      <c r="AA270" s="107"/>
      <c r="AB270" s="107"/>
      <c r="AC270" s="107"/>
      <c r="AD270" s="720"/>
      <c r="AE270" s="720"/>
    </row>
    <row r="271" spans="1:42" outlineLevel="1">
      <c r="A271" s="545">
        <f>MAX($A$10:A270)+1</f>
        <v>262</v>
      </c>
      <c r="B271" s="740"/>
      <c r="C271" s="740"/>
      <c r="D271" s="740"/>
      <c r="E271" s="719">
        <v>375.1</v>
      </c>
      <c r="F271" s="103">
        <f t="shared" si="16"/>
        <v>0</v>
      </c>
      <c r="G271" s="557">
        <f>'EOP Depn Exp Adj'!D20</f>
        <v>8.3999999999999995E-3</v>
      </c>
      <c r="H271" s="711">
        <f t="shared" si="18"/>
        <v>0</v>
      </c>
      <c r="I271" s="1"/>
      <c r="K271" s="103">
        <f t="shared" si="17"/>
        <v>0</v>
      </c>
      <c r="L271" s="72">
        <f t="shared" si="20"/>
        <v>8.3999999999999995E-3</v>
      </c>
      <c r="M271" s="184">
        <f t="shared" si="19"/>
        <v>0</v>
      </c>
      <c r="N271" s="184"/>
      <c r="O271" s="184"/>
      <c r="R271" s="107"/>
      <c r="S271" s="107"/>
      <c r="T271" s="107"/>
      <c r="U271" s="107"/>
      <c r="V271" s="107"/>
      <c r="W271" s="107"/>
      <c r="X271" s="107"/>
      <c r="Y271" s="107"/>
      <c r="Z271" s="107"/>
      <c r="AA271" s="107"/>
      <c r="AB271" s="107"/>
      <c r="AC271" s="107"/>
      <c r="AD271" s="720"/>
      <c r="AE271" s="720"/>
    </row>
    <row r="272" spans="1:42" outlineLevel="1">
      <c r="A272" s="545">
        <f>MAX($A$10:A271)+1</f>
        <v>263</v>
      </c>
      <c r="B272" s="740"/>
      <c r="C272" s="740"/>
      <c r="D272" s="716"/>
      <c r="E272" s="719">
        <v>376.1</v>
      </c>
      <c r="F272" s="103">
        <f t="shared" si="16"/>
        <v>4194557.184196</v>
      </c>
      <c r="G272" s="557">
        <f>'EOP Depn Exp Adj'!D23</f>
        <v>3.56E-2</v>
      </c>
      <c r="H272" s="711">
        <f t="shared" si="18"/>
        <v>149326.23575737761</v>
      </c>
      <c r="I272" s="1"/>
      <c r="K272" s="103">
        <f t="shared" si="17"/>
        <v>1149642.93</v>
      </c>
      <c r="L272" s="72">
        <f t="shared" si="20"/>
        <v>3.56E-2</v>
      </c>
      <c r="M272" s="184">
        <f t="shared" si="19"/>
        <v>40927.288307999996</v>
      </c>
      <c r="N272" s="184"/>
      <c r="O272" s="184"/>
      <c r="R272" s="107"/>
      <c r="S272" s="107"/>
      <c r="T272" s="107"/>
      <c r="U272" s="107"/>
      <c r="V272" s="107"/>
      <c r="W272" s="107"/>
      <c r="X272" s="107"/>
      <c r="Y272" s="107"/>
      <c r="Z272" s="107"/>
      <c r="AA272" s="107"/>
      <c r="AB272" s="107"/>
      <c r="AC272" s="107"/>
      <c r="AD272" s="720"/>
      <c r="AE272" s="720"/>
    </row>
    <row r="273" spans="1:34" outlineLevel="1">
      <c r="A273" s="545">
        <f>MAX($A$10:A272)+1</f>
        <v>264</v>
      </c>
      <c r="B273" s="740"/>
      <c r="C273" s="740"/>
      <c r="D273" s="716"/>
      <c r="E273" s="719">
        <v>376.2</v>
      </c>
      <c r="F273" s="103">
        <f t="shared" si="16"/>
        <v>64392679.219277002</v>
      </c>
      <c r="G273" s="557">
        <f>'EOP Depn Exp Adj'!D21</f>
        <v>1.52E-2</v>
      </c>
      <c r="H273" s="711">
        <f t="shared" si="18"/>
        <v>978768.72413301037</v>
      </c>
      <c r="I273" s="1"/>
      <c r="K273" s="103">
        <f t="shared" si="17"/>
        <v>30360434.600635994</v>
      </c>
      <c r="L273" s="72">
        <f t="shared" si="20"/>
        <v>1.52E-2</v>
      </c>
      <c r="M273" s="184">
        <f t="shared" si="19"/>
        <v>461478.60592966713</v>
      </c>
      <c r="N273" s="184"/>
      <c r="O273" s="184"/>
      <c r="R273" s="107"/>
      <c r="S273" s="107"/>
      <c r="T273" s="107"/>
      <c r="U273" s="107"/>
      <c r="V273" s="107"/>
      <c r="W273" s="107"/>
      <c r="X273" s="107"/>
      <c r="Y273" s="107"/>
      <c r="Z273" s="107"/>
      <c r="AA273" s="107"/>
      <c r="AB273" s="107"/>
      <c r="AC273" s="107"/>
      <c r="AD273" s="720"/>
      <c r="AE273" s="720"/>
    </row>
    <row r="274" spans="1:34" outlineLevel="1">
      <c r="A274" s="545">
        <f>MAX($A$10:A273)+1</f>
        <v>265</v>
      </c>
      <c r="B274" s="740"/>
      <c r="C274" s="740"/>
      <c r="D274" s="716"/>
      <c r="E274" s="719">
        <v>376.3</v>
      </c>
      <c r="F274" s="103">
        <f t="shared" si="16"/>
        <v>18072234.839205001</v>
      </c>
      <c r="G274" s="557">
        <f>'EOP Depn Exp Adj'!D22</f>
        <v>2.81E-2</v>
      </c>
      <c r="H274" s="711">
        <f t="shared" si="18"/>
        <v>507829.79898166051</v>
      </c>
      <c r="I274" s="1"/>
      <c r="K274" s="103">
        <f t="shared" si="17"/>
        <v>15876129.168017998</v>
      </c>
      <c r="L274" s="72">
        <f t="shared" si="20"/>
        <v>2.81E-2</v>
      </c>
      <c r="M274" s="184">
        <f t="shared" si="19"/>
        <v>446119.22962130577</v>
      </c>
      <c r="N274" s="184"/>
      <c r="O274" s="184"/>
      <c r="R274" s="107"/>
      <c r="S274" s="107"/>
      <c r="T274" s="107"/>
      <c r="U274" s="107"/>
      <c r="V274" s="107"/>
      <c r="W274" s="107"/>
      <c r="X274" s="107"/>
      <c r="Y274" s="107"/>
      <c r="Z274" s="107"/>
      <c r="AA274" s="107"/>
      <c r="AB274" s="107"/>
      <c r="AC274" s="107"/>
      <c r="AD274" s="720"/>
      <c r="AE274" s="720"/>
    </row>
    <row r="275" spans="1:34" outlineLevel="1">
      <c r="A275" s="545">
        <f>MAX($A$10:A274)+1</f>
        <v>266</v>
      </c>
      <c r="B275" s="740"/>
      <c r="C275" s="740"/>
      <c r="D275" s="716"/>
      <c r="E275" s="739">
        <v>377</v>
      </c>
      <c r="F275" s="103">
        <f t="shared" si="16"/>
        <v>251442.65999999997</v>
      </c>
      <c r="G275" s="557">
        <f>'EOP Depn Exp Adj'!D24</f>
        <v>1.72E-2</v>
      </c>
      <c r="H275" s="711">
        <f t="shared" si="18"/>
        <v>4324.8137519999991</v>
      </c>
      <c r="I275" s="1"/>
      <c r="K275" s="103">
        <f t="shared" si="17"/>
        <v>0</v>
      </c>
      <c r="L275" s="72">
        <f t="shared" si="20"/>
        <v>1.72E-2</v>
      </c>
      <c r="M275" s="184">
        <f t="shared" si="19"/>
        <v>0</v>
      </c>
      <c r="N275" s="184"/>
      <c r="O275" s="184"/>
      <c r="R275" s="107"/>
      <c r="S275" s="107"/>
      <c r="T275" s="107"/>
      <c r="U275" s="107"/>
      <c r="V275" s="107"/>
      <c r="W275" s="107"/>
      <c r="X275" s="107"/>
      <c r="Y275" s="107"/>
      <c r="Z275" s="107"/>
      <c r="AA275" s="107"/>
      <c r="AB275" s="107"/>
      <c r="AC275" s="107"/>
      <c r="AD275" s="720"/>
      <c r="AE275" s="720"/>
    </row>
    <row r="276" spans="1:34" outlineLevel="1">
      <c r="A276" s="545">
        <f>MAX($A$10:A275)+1</f>
        <v>267</v>
      </c>
      <c r="B276" s="740"/>
      <c r="C276" s="740"/>
      <c r="D276" s="716"/>
      <c r="E276" s="739">
        <v>378</v>
      </c>
      <c r="F276" s="103">
        <f t="shared" si="16"/>
        <v>4460205.1191330003</v>
      </c>
      <c r="G276" s="557">
        <f>'EOP Depn Exp Adj'!D25</f>
        <v>1.9699999999999999E-2</v>
      </c>
      <c r="H276" s="711">
        <f t="shared" si="18"/>
        <v>87866.040846920107</v>
      </c>
      <c r="I276" s="1"/>
      <c r="K276" s="103">
        <f t="shared" si="17"/>
        <v>2000704.3452900001</v>
      </c>
      <c r="L276" s="72">
        <f t="shared" si="20"/>
        <v>1.9699999999999999E-2</v>
      </c>
      <c r="M276" s="184">
        <f t="shared" si="19"/>
        <v>39413.875602212996</v>
      </c>
      <c r="N276" s="184"/>
      <c r="O276" s="184"/>
      <c r="R276" s="107"/>
      <c r="S276" s="107"/>
      <c r="T276" s="107"/>
      <c r="U276" s="107"/>
      <c r="V276" s="107"/>
      <c r="W276" s="107"/>
      <c r="X276" s="107"/>
      <c r="Y276" s="107"/>
      <c r="Z276" s="107"/>
      <c r="AA276" s="107"/>
      <c r="AB276" s="107"/>
      <c r="AC276" s="107"/>
      <c r="AD276" s="720"/>
      <c r="AE276" s="720"/>
    </row>
    <row r="277" spans="1:34" outlineLevel="1">
      <c r="A277" s="545">
        <f>MAX($A$10:A276)+1</f>
        <v>268</v>
      </c>
      <c r="B277" s="740"/>
      <c r="C277" s="740"/>
      <c r="D277" s="716"/>
      <c r="E277" s="739">
        <v>379</v>
      </c>
      <c r="F277" s="103">
        <f t="shared" si="16"/>
        <v>62519.42635400001</v>
      </c>
      <c r="G277" s="557">
        <v>1.9699999999999999E-2</v>
      </c>
      <c r="H277" s="711">
        <f t="shared" si="18"/>
        <v>1231.6326991738001</v>
      </c>
      <c r="I277" s="1"/>
      <c r="K277" s="103">
        <f t="shared" si="17"/>
        <v>2531049.7000000002</v>
      </c>
      <c r="L277" s="72">
        <f t="shared" si="20"/>
        <v>1.9699999999999999E-2</v>
      </c>
      <c r="M277" s="184">
        <f t="shared" si="19"/>
        <v>49861.679089999998</v>
      </c>
      <c r="N277" s="184"/>
      <c r="O277" s="184"/>
      <c r="R277" s="107"/>
      <c r="S277" s="107"/>
      <c r="T277" s="107"/>
      <c r="U277" s="107"/>
      <c r="V277" s="107"/>
      <c r="W277" s="107"/>
      <c r="X277" s="107"/>
      <c r="Y277" s="107"/>
      <c r="Z277" s="107"/>
      <c r="AA277" s="107"/>
      <c r="AB277" s="107"/>
      <c r="AC277" s="107"/>
      <c r="AD277" s="720"/>
      <c r="AE277" s="720"/>
    </row>
    <row r="278" spans="1:34" outlineLevel="1">
      <c r="A278" s="545">
        <f>MAX($A$10:A277)+1</f>
        <v>269</v>
      </c>
      <c r="B278" s="740"/>
      <c r="C278" s="740"/>
      <c r="D278" s="716"/>
      <c r="E278" s="719">
        <v>380.1</v>
      </c>
      <c r="F278" s="103">
        <f t="shared" si="16"/>
        <v>0</v>
      </c>
      <c r="G278" s="557">
        <f>'EOP Depn Exp Adj'!D28</f>
        <v>3.4700000000000002E-2</v>
      </c>
      <c r="H278" s="711">
        <f t="shared" si="18"/>
        <v>0</v>
      </c>
      <c r="I278" s="1"/>
      <c r="K278" s="103">
        <f t="shared" si="17"/>
        <v>0</v>
      </c>
      <c r="L278" s="72">
        <f t="shared" si="20"/>
        <v>3.4700000000000002E-2</v>
      </c>
      <c r="M278" s="184">
        <f t="shared" si="19"/>
        <v>0</v>
      </c>
      <c r="N278" s="184"/>
      <c r="O278" s="184"/>
      <c r="R278" s="107"/>
      <c r="S278" s="107"/>
      <c r="T278" s="107"/>
      <c r="U278" s="107"/>
      <c r="V278" s="107"/>
      <c r="W278" s="107"/>
      <c r="X278" s="107"/>
      <c r="Y278" s="107"/>
      <c r="Z278" s="107"/>
      <c r="AA278" s="107"/>
      <c r="AB278" s="107"/>
      <c r="AC278" s="107"/>
      <c r="AD278" s="720"/>
      <c r="AE278" s="720"/>
    </row>
    <row r="279" spans="1:34" outlineLevel="1">
      <c r="A279" s="545">
        <f>MAX($A$10:A278)+1</f>
        <v>270</v>
      </c>
      <c r="B279" s="716"/>
      <c r="C279" s="716"/>
      <c r="D279" s="716"/>
      <c r="E279" s="2">
        <v>380.3</v>
      </c>
      <c r="F279" s="103">
        <f t="shared" si="16"/>
        <v>12693105.081136003</v>
      </c>
      <c r="G279" s="557">
        <f>'EOP Depn Exp Adj'!D27</f>
        <v>3.3599999999999998E-2</v>
      </c>
      <c r="H279" s="711">
        <f t="shared" si="18"/>
        <v>426488.33072616969</v>
      </c>
      <c r="I279" s="1"/>
      <c r="K279" s="103">
        <f t="shared" si="17"/>
        <v>13655559.353408001</v>
      </c>
      <c r="L279" s="72">
        <f t="shared" si="20"/>
        <v>3.3599999999999998E-2</v>
      </c>
      <c r="M279" s="184">
        <f t="shared" si="19"/>
        <v>458826.79427450884</v>
      </c>
      <c r="N279" s="184"/>
      <c r="O279" s="184"/>
      <c r="R279" s="107"/>
      <c r="S279" s="107"/>
      <c r="T279" s="107"/>
      <c r="U279" s="107"/>
      <c r="V279" s="107"/>
      <c r="W279" s="107"/>
      <c r="X279" s="107"/>
      <c r="Y279" s="107"/>
      <c r="Z279" s="107"/>
      <c r="AA279" s="107"/>
      <c r="AB279" s="107"/>
      <c r="AC279" s="107"/>
      <c r="AD279" s="720"/>
      <c r="AE279" s="720"/>
    </row>
    <row r="280" spans="1:34" outlineLevel="1">
      <c r="A280" s="545">
        <f>MAX($A$10:A279)+1</f>
        <v>271</v>
      </c>
      <c r="B280" s="716"/>
      <c r="C280" s="716"/>
      <c r="D280" s="716"/>
      <c r="E280" s="739">
        <v>381</v>
      </c>
      <c r="F280" s="103">
        <f t="shared" si="16"/>
        <v>5937987.0246250005</v>
      </c>
      <c r="G280" s="557">
        <f>'EOP Depn Exp Adj'!D30</f>
        <v>2.6100000000000002E-2</v>
      </c>
      <c r="H280" s="711">
        <f t="shared" si="18"/>
        <v>154981.46134271252</v>
      </c>
      <c r="I280" s="1"/>
      <c r="K280" s="103">
        <f t="shared" si="17"/>
        <v>6106833.2000000002</v>
      </c>
      <c r="L280" s="72">
        <f t="shared" si="20"/>
        <v>2.6100000000000002E-2</v>
      </c>
      <c r="M280" s="184">
        <f t="shared" si="19"/>
        <v>159388.34652000002</v>
      </c>
      <c r="N280" s="184"/>
      <c r="O280" s="184"/>
      <c r="R280" s="107"/>
      <c r="S280" s="107"/>
      <c r="T280" s="107"/>
      <c r="U280" s="107"/>
      <c r="V280" s="107"/>
      <c r="W280" s="107"/>
      <c r="X280" s="107"/>
      <c r="Y280" s="107"/>
      <c r="Z280" s="107"/>
      <c r="AA280" s="107"/>
      <c r="AB280" s="107"/>
      <c r="AC280" s="107"/>
      <c r="AD280" s="720"/>
      <c r="AE280" s="720"/>
    </row>
    <row r="281" spans="1:34" outlineLevel="1">
      <c r="A281" s="545">
        <f>MAX($A$10:A280)+1</f>
        <v>272</v>
      </c>
      <c r="B281" s="716"/>
      <c r="C281" s="716"/>
      <c r="D281" s="716"/>
      <c r="E281" s="739">
        <v>383</v>
      </c>
      <c r="F281" s="103">
        <f t="shared" si="16"/>
        <v>547264.69999999995</v>
      </c>
      <c r="G281" s="557">
        <f>'EOP Depn Exp Adj'!D31</f>
        <v>2.1600000000000001E-2</v>
      </c>
      <c r="H281" s="711">
        <f t="shared" si="18"/>
        <v>11820.917519999999</v>
      </c>
      <c r="I281" s="1"/>
      <c r="K281" s="103">
        <f t="shared" si="17"/>
        <v>562922.22</v>
      </c>
      <c r="L281" s="72">
        <f t="shared" si="20"/>
        <v>2.1600000000000001E-2</v>
      </c>
      <c r="M281" s="184">
        <f t="shared" si="19"/>
        <v>12159.119952000001</v>
      </c>
      <c r="N281" s="184"/>
      <c r="O281" s="184"/>
      <c r="R281" s="107"/>
      <c r="S281" s="107"/>
      <c r="T281" s="107"/>
      <c r="U281" s="107"/>
      <c r="V281" s="107"/>
      <c r="W281" s="107"/>
      <c r="X281" s="107"/>
      <c r="Y281" s="107"/>
      <c r="Z281" s="107"/>
      <c r="AA281" s="107"/>
      <c r="AB281" s="107"/>
      <c r="AC281" s="107"/>
      <c r="AD281" s="720"/>
      <c r="AE281" s="720"/>
    </row>
    <row r="282" spans="1:34" outlineLevel="1">
      <c r="A282" s="545">
        <f>MAX($A$10:A281)+1</f>
        <v>273</v>
      </c>
      <c r="B282" s="716"/>
      <c r="C282" s="716"/>
      <c r="D282" s="716"/>
      <c r="E282" s="739">
        <v>385</v>
      </c>
      <c r="F282" s="103">
        <f t="shared" si="16"/>
        <v>124285.6251</v>
      </c>
      <c r="G282" s="557">
        <f>'EOP Depn Exp Adj'!D32</f>
        <v>1.7000000000000001E-2</v>
      </c>
      <c r="H282" s="711">
        <f t="shared" si="18"/>
        <v>2112.8556267000004</v>
      </c>
      <c r="I282" s="1"/>
      <c r="K282" s="103">
        <f t="shared" si="17"/>
        <v>124049.75029200004</v>
      </c>
      <c r="L282" s="72">
        <f t="shared" si="20"/>
        <v>1.7000000000000001E-2</v>
      </c>
      <c r="M282" s="184">
        <f t="shared" si="19"/>
        <v>2108.8457549640007</v>
      </c>
      <c r="N282" s="184"/>
      <c r="O282" s="184"/>
      <c r="R282" s="107"/>
      <c r="S282" s="107"/>
      <c r="T282" s="107"/>
      <c r="U282" s="107"/>
      <c r="V282" s="107"/>
      <c r="W282" s="107"/>
      <c r="X282" s="107"/>
      <c r="Y282" s="107"/>
      <c r="Z282" s="107"/>
      <c r="AA282" s="107"/>
      <c r="AB282" s="107"/>
      <c r="AC282" s="107"/>
      <c r="AD282" s="720"/>
      <c r="AE282" s="720"/>
    </row>
    <row r="283" spans="1:34" outlineLevel="1">
      <c r="A283" s="545">
        <f>MAX($A$10:A282)+1</f>
        <v>274</v>
      </c>
      <c r="B283" s="716"/>
      <c r="C283" s="716"/>
      <c r="D283" s="2"/>
      <c r="E283" s="719">
        <v>390.1</v>
      </c>
      <c r="F283" s="103">
        <f t="shared" si="16"/>
        <v>543949.35173200001</v>
      </c>
      <c r="G283" s="557">
        <f>'EOP Depn Exp Adj'!D35</f>
        <v>1.44E-2</v>
      </c>
      <c r="H283" s="711">
        <f t="shared" si="18"/>
        <v>7832.8706649407995</v>
      </c>
      <c r="I283" s="1"/>
      <c r="K283" s="103">
        <f t="shared" si="17"/>
        <v>0</v>
      </c>
      <c r="L283" s="72">
        <f t="shared" si="20"/>
        <v>1.44E-2</v>
      </c>
      <c r="M283" s="184">
        <f t="shared" si="19"/>
        <v>0</v>
      </c>
      <c r="N283" s="184"/>
      <c r="O283" s="184"/>
      <c r="R283" s="107"/>
      <c r="S283" s="107"/>
      <c r="T283" s="107"/>
      <c r="U283" s="107"/>
      <c r="V283" s="107"/>
      <c r="W283" s="107"/>
      <c r="X283" s="107"/>
      <c r="Y283" s="107"/>
      <c r="Z283" s="107"/>
      <c r="AA283" s="107"/>
      <c r="AB283" s="107"/>
      <c r="AC283" s="107"/>
      <c r="AD283" s="720"/>
      <c r="AE283" s="720"/>
      <c r="AH283" s="105"/>
    </row>
    <row r="284" spans="1:34" outlineLevel="1">
      <c r="A284" s="545">
        <f>MAX($A$10:A283)+1</f>
        <v>275</v>
      </c>
      <c r="B284" s="716"/>
      <c r="C284" s="716"/>
      <c r="D284" s="2"/>
      <c r="E284" s="719">
        <v>391.2</v>
      </c>
      <c r="F284" s="103">
        <f t="shared" si="16"/>
        <v>0</v>
      </c>
      <c r="G284" s="557">
        <v>0</v>
      </c>
      <c r="H284" s="711">
        <f t="shared" si="18"/>
        <v>0</v>
      </c>
      <c r="I284" s="1"/>
      <c r="K284" s="103">
        <f t="shared" si="17"/>
        <v>0</v>
      </c>
      <c r="L284" s="72">
        <f t="shared" si="20"/>
        <v>0</v>
      </c>
      <c r="M284" s="184">
        <f t="shared" si="19"/>
        <v>0</v>
      </c>
      <c r="N284" s="184"/>
      <c r="O284" s="184"/>
      <c r="R284" s="107"/>
      <c r="S284" s="107"/>
      <c r="T284" s="107"/>
      <c r="U284" s="107"/>
      <c r="V284" s="107"/>
      <c r="W284" s="107"/>
      <c r="X284" s="107"/>
      <c r="Y284" s="107"/>
      <c r="Z284" s="107"/>
      <c r="AA284" s="107"/>
      <c r="AB284" s="107"/>
      <c r="AC284" s="107"/>
      <c r="AD284" s="720"/>
      <c r="AE284" s="720"/>
      <c r="AH284" s="105"/>
    </row>
    <row r="285" spans="1:34" outlineLevel="1">
      <c r="A285" s="545">
        <f>MAX($A$10:A284)+1</f>
        <v>276</v>
      </c>
      <c r="B285" s="716"/>
      <c r="C285" s="716"/>
      <c r="D285" s="2"/>
      <c r="E285" s="719">
        <v>391.3</v>
      </c>
      <c r="F285" s="103">
        <f t="shared" si="16"/>
        <v>447400.15949581465</v>
      </c>
      <c r="G285" s="557">
        <f>'EOP Depn Exp Adj'!D36</f>
        <v>0.44019999999999998</v>
      </c>
      <c r="H285" s="711">
        <f t="shared" si="18"/>
        <v>196945.55021005761</v>
      </c>
      <c r="I285" s="1"/>
      <c r="K285" s="103">
        <f t="shared" si="17"/>
        <v>238306.31219999999</v>
      </c>
      <c r="L285" s="72">
        <f t="shared" si="20"/>
        <v>0.44019999999999998</v>
      </c>
      <c r="M285" s="184">
        <f t="shared" si="19"/>
        <v>104902.43863044</v>
      </c>
      <c r="N285" s="184"/>
      <c r="O285" s="184"/>
      <c r="R285" s="107"/>
      <c r="S285" s="107"/>
      <c r="T285" s="107"/>
      <c r="U285" s="107"/>
      <c r="V285" s="107"/>
      <c r="W285" s="107"/>
      <c r="X285" s="107"/>
      <c r="Y285" s="107"/>
      <c r="Z285" s="107"/>
      <c r="AA285" s="107"/>
      <c r="AB285" s="107"/>
      <c r="AC285" s="107"/>
      <c r="AD285" s="720"/>
      <c r="AE285" s="720"/>
      <c r="AH285" s="105"/>
    </row>
    <row r="286" spans="1:34" outlineLevel="1">
      <c r="A286" s="545">
        <f>MAX($A$10:A285)+1</f>
        <v>277</v>
      </c>
      <c r="B286" s="716"/>
      <c r="C286" s="716"/>
      <c r="D286" s="2"/>
      <c r="E286" s="719">
        <v>391.4</v>
      </c>
      <c r="F286" s="103">
        <f t="shared" si="16"/>
        <v>0</v>
      </c>
      <c r="G286" s="557">
        <f>'EOP Depn Exp Adj'!D37</f>
        <v>0.26369999999999999</v>
      </c>
      <c r="H286" s="711">
        <f t="shared" si="18"/>
        <v>0</v>
      </c>
      <c r="I286" s="1"/>
      <c r="K286" s="103">
        <f t="shared" si="17"/>
        <v>0</v>
      </c>
      <c r="L286" s="72">
        <f t="shared" si="20"/>
        <v>0.26369999999999999</v>
      </c>
      <c r="M286" s="184">
        <f t="shared" si="19"/>
        <v>0</v>
      </c>
      <c r="N286" s="184"/>
      <c r="O286" s="184"/>
      <c r="R286" s="107"/>
      <c r="S286" s="107"/>
      <c r="T286" s="107"/>
      <c r="U286" s="107"/>
      <c r="V286" s="107"/>
      <c r="W286" s="107"/>
      <c r="X286" s="107"/>
      <c r="Y286" s="107"/>
      <c r="Z286" s="107"/>
      <c r="AA286" s="107"/>
      <c r="AB286" s="107"/>
      <c r="AC286" s="107"/>
      <c r="AD286" s="720"/>
      <c r="AE286" s="720"/>
      <c r="AH286" s="105"/>
    </row>
    <row r="287" spans="1:34" outlineLevel="1">
      <c r="A287" s="545">
        <f>MAX($A$10:A286)+1</f>
        <v>278</v>
      </c>
      <c r="B287" s="716"/>
      <c r="C287" s="716"/>
      <c r="D287" s="2"/>
      <c r="E287" s="719">
        <v>391.5</v>
      </c>
      <c r="F287" s="103">
        <f t="shared" si="16"/>
        <v>97895.851235000009</v>
      </c>
      <c r="G287" s="557">
        <f>'EOP Depn Exp Adj'!D38</f>
        <v>0.19</v>
      </c>
      <c r="H287" s="711">
        <f t="shared" si="18"/>
        <v>18600.211734650002</v>
      </c>
      <c r="I287" s="1"/>
      <c r="K287" s="103">
        <f t="shared" si="17"/>
        <v>148276.99154800002</v>
      </c>
      <c r="L287" s="72">
        <f t="shared" si="20"/>
        <v>0.19</v>
      </c>
      <c r="M287" s="184">
        <f t="shared" si="19"/>
        <v>28172.628394120005</v>
      </c>
      <c r="N287" s="184"/>
      <c r="O287" s="184"/>
      <c r="R287" s="107"/>
      <c r="S287" s="107"/>
      <c r="T287" s="107"/>
      <c r="U287" s="107"/>
      <c r="V287" s="107"/>
      <c r="W287" s="107"/>
      <c r="X287" s="107"/>
      <c r="Y287" s="107"/>
      <c r="Z287" s="107"/>
      <c r="AA287" s="107"/>
      <c r="AB287" s="107"/>
      <c r="AC287" s="107"/>
      <c r="AD287" s="720"/>
      <c r="AE287" s="720"/>
      <c r="AH287" s="105"/>
    </row>
    <row r="288" spans="1:34" outlineLevel="1">
      <c r="A288" s="545">
        <f>MAX($A$10:A287)+1</f>
        <v>279</v>
      </c>
      <c r="B288" s="716"/>
      <c r="C288" s="716"/>
      <c r="D288" s="2"/>
      <c r="E288" s="719">
        <v>392.1</v>
      </c>
      <c r="F288" s="103">
        <f t="shared" si="16"/>
        <v>0</v>
      </c>
      <c r="G288" s="557">
        <f>'EOP Depn Exp Adj'!D40</f>
        <v>2.69E-2</v>
      </c>
      <c r="H288" s="711">
        <f t="shared" si="18"/>
        <v>0</v>
      </c>
      <c r="I288" s="1" t="s">
        <v>2252</v>
      </c>
      <c r="K288" s="103">
        <f t="shared" si="17"/>
        <v>0</v>
      </c>
      <c r="L288" s="72">
        <f t="shared" si="20"/>
        <v>2.69E-2</v>
      </c>
      <c r="M288" s="184">
        <f t="shared" si="19"/>
        <v>0</v>
      </c>
      <c r="N288" s="184"/>
      <c r="O288" s="184"/>
      <c r="P288" s="1" t="s">
        <v>2252</v>
      </c>
      <c r="R288" s="107"/>
      <c r="S288" s="107"/>
      <c r="T288" s="107"/>
      <c r="U288" s="107"/>
      <c r="V288" s="107"/>
      <c r="W288" s="107"/>
      <c r="X288" s="107"/>
      <c r="Y288" s="107"/>
      <c r="Z288" s="107"/>
      <c r="AA288" s="107"/>
      <c r="AB288" s="107"/>
      <c r="AC288" s="107"/>
      <c r="AD288" s="720"/>
      <c r="AE288" s="720"/>
      <c r="AH288" s="105"/>
    </row>
    <row r="289" spans="1:35" outlineLevel="1">
      <c r="A289" s="545">
        <f>MAX($A$10:A288)+1</f>
        <v>280</v>
      </c>
      <c r="B289" s="716"/>
      <c r="C289" s="716"/>
      <c r="D289" s="2"/>
      <c r="E289" s="719">
        <v>392.2</v>
      </c>
      <c r="F289" s="103">
        <f t="shared" si="16"/>
        <v>1060664.9308400003</v>
      </c>
      <c r="G289" s="557">
        <f>'EOP Depn Exp Adj'!D41</f>
        <v>5.8900000000000001E-2</v>
      </c>
      <c r="H289" s="711">
        <f t="shared" si="18"/>
        <v>62473.164426476018</v>
      </c>
      <c r="I289" s="1" t="s">
        <v>2252</v>
      </c>
      <c r="K289" s="103">
        <f t="shared" si="17"/>
        <v>769996.95369600004</v>
      </c>
      <c r="L289" s="72">
        <f t="shared" si="20"/>
        <v>5.8900000000000001E-2</v>
      </c>
      <c r="M289" s="184">
        <f t="shared" si="19"/>
        <v>45352.8205726944</v>
      </c>
      <c r="N289" s="184"/>
      <c r="O289" s="184"/>
      <c r="P289" s="1" t="s">
        <v>2252</v>
      </c>
      <c r="R289" s="107"/>
      <c r="S289" s="107"/>
      <c r="T289" s="107"/>
      <c r="U289" s="107"/>
      <c r="V289" s="107"/>
      <c r="W289" s="107"/>
      <c r="X289" s="107"/>
      <c r="Y289" s="107"/>
      <c r="Z289" s="107"/>
      <c r="AA289" s="107"/>
      <c r="AB289" s="107"/>
      <c r="AC289" s="107"/>
      <c r="AD289" s="720"/>
      <c r="AE289" s="720"/>
      <c r="AH289" s="105"/>
    </row>
    <row r="290" spans="1:35" outlineLevel="1">
      <c r="A290" s="545">
        <f>MAX($A$10:A289)+1</f>
        <v>281</v>
      </c>
      <c r="B290" s="716"/>
      <c r="C290" s="716"/>
      <c r="D290" s="2"/>
      <c r="E290" s="719">
        <v>393</v>
      </c>
      <c r="F290" s="103">
        <f t="shared" si="16"/>
        <v>0</v>
      </c>
      <c r="G290" s="557">
        <f>'EOP Depn Exp Adj'!D42</f>
        <v>8.4000000000000005E-2</v>
      </c>
      <c r="H290" s="711">
        <f t="shared" si="18"/>
        <v>0</v>
      </c>
      <c r="I290" s="1"/>
      <c r="K290" s="103">
        <f t="shared" si="17"/>
        <v>0</v>
      </c>
      <c r="L290" s="72">
        <f t="shared" si="20"/>
        <v>8.4000000000000005E-2</v>
      </c>
      <c r="M290" s="184">
        <f t="shared" si="19"/>
        <v>0</v>
      </c>
      <c r="N290" s="184"/>
      <c r="O290" s="184"/>
      <c r="R290" s="107"/>
      <c r="S290" s="107"/>
      <c r="T290" s="107"/>
      <c r="U290" s="107"/>
      <c r="V290" s="107"/>
      <c r="W290" s="107"/>
      <c r="X290" s="107"/>
      <c r="Y290" s="107"/>
      <c r="Z290" s="107"/>
      <c r="AA290" s="107"/>
      <c r="AB290" s="107"/>
      <c r="AC290" s="107"/>
      <c r="AD290" s="720"/>
      <c r="AE290" s="720"/>
      <c r="AH290" s="105"/>
    </row>
    <row r="291" spans="1:35" outlineLevel="1">
      <c r="A291" s="545">
        <f>MAX($A$10:A290)+1</f>
        <v>282</v>
      </c>
      <c r="B291" s="716"/>
      <c r="C291" s="716"/>
      <c r="D291" s="2"/>
      <c r="E291" s="719">
        <v>394.1</v>
      </c>
      <c r="F291" s="103">
        <f t="shared" si="16"/>
        <v>2209605.8490629997</v>
      </c>
      <c r="G291" s="557">
        <f>'EOP Depn Exp Adj'!D43</f>
        <v>0.1066</v>
      </c>
      <c r="H291" s="711">
        <f t="shared" si="18"/>
        <v>235543.98351011577</v>
      </c>
      <c r="I291" s="1"/>
      <c r="K291" s="103">
        <f t="shared" si="17"/>
        <v>2179271.1579999998</v>
      </c>
      <c r="L291" s="72">
        <f t="shared" si="20"/>
        <v>0.1066</v>
      </c>
      <c r="M291" s="184">
        <f t="shared" si="19"/>
        <v>232310.30544279999</v>
      </c>
      <c r="N291" s="184"/>
      <c r="O291" s="184"/>
      <c r="R291" s="107"/>
      <c r="S291" s="107"/>
      <c r="T291" s="107"/>
      <c r="U291" s="107"/>
      <c r="V291" s="107"/>
      <c r="W291" s="107"/>
      <c r="X291" s="107"/>
      <c r="Y291" s="107"/>
      <c r="Z291" s="107"/>
      <c r="AA291" s="107"/>
      <c r="AB291" s="107"/>
      <c r="AC291" s="107"/>
      <c r="AD291" s="720"/>
      <c r="AE291" s="720"/>
      <c r="AH291" s="105"/>
    </row>
    <row r="292" spans="1:35" outlineLevel="1">
      <c r="A292" s="545">
        <f>MAX($A$10:A291)+1</f>
        <v>283</v>
      </c>
      <c r="B292" s="716"/>
      <c r="C292" s="716"/>
      <c r="D292" s="716"/>
      <c r="E292" s="719">
        <v>394.2</v>
      </c>
      <c r="F292" s="103">
        <f t="shared" si="16"/>
        <v>0</v>
      </c>
      <c r="G292" s="557">
        <f>'EOP Depn Exp Adj'!D44</f>
        <v>1.52E-2</v>
      </c>
      <c r="H292" s="711">
        <f t="shared" si="18"/>
        <v>0</v>
      </c>
      <c r="I292" s="1"/>
      <c r="K292" s="103">
        <f t="shared" si="17"/>
        <v>0</v>
      </c>
      <c r="L292" s="72">
        <f t="shared" si="20"/>
        <v>1.52E-2</v>
      </c>
      <c r="M292" s="184">
        <f t="shared" si="19"/>
        <v>0</v>
      </c>
      <c r="N292" s="184"/>
      <c r="O292" s="184"/>
      <c r="R292" s="107"/>
      <c r="S292" s="107"/>
      <c r="T292" s="107"/>
      <c r="U292" s="107"/>
      <c r="V292" s="107"/>
      <c r="W292" s="107"/>
      <c r="X292" s="107"/>
      <c r="Y292" s="107"/>
      <c r="Z292" s="107"/>
      <c r="AA292" s="107"/>
      <c r="AB292" s="107"/>
      <c r="AC292" s="107"/>
      <c r="AD292" s="720"/>
      <c r="AE292" s="720"/>
      <c r="AH292" s="105"/>
    </row>
    <row r="293" spans="1:35" outlineLevel="1">
      <c r="A293" s="545">
        <f>MAX($A$10:A292)+1</f>
        <v>284</v>
      </c>
      <c r="B293" s="716"/>
      <c r="C293" s="716"/>
      <c r="D293" s="716"/>
      <c r="E293" s="719">
        <v>395</v>
      </c>
      <c r="F293" s="103">
        <f t="shared" si="16"/>
        <v>0</v>
      </c>
      <c r="G293" s="557">
        <f>'EOP Depn Exp Adj'!D45</f>
        <v>0.14549999999999999</v>
      </c>
      <c r="H293" s="711">
        <f t="shared" si="18"/>
        <v>0</v>
      </c>
      <c r="I293" s="1"/>
      <c r="K293" s="103">
        <f t="shared" si="17"/>
        <v>0</v>
      </c>
      <c r="L293" s="72">
        <f t="shared" si="20"/>
        <v>0.14549999999999999</v>
      </c>
      <c r="M293" s="184">
        <f t="shared" si="19"/>
        <v>0</v>
      </c>
      <c r="N293" s="184"/>
      <c r="O293" s="184"/>
      <c r="R293" s="107"/>
      <c r="S293" s="107"/>
      <c r="T293" s="107"/>
      <c r="U293" s="107"/>
      <c r="V293" s="107"/>
      <c r="W293" s="107"/>
      <c r="X293" s="107"/>
      <c r="Y293" s="107"/>
      <c r="Z293" s="107"/>
      <c r="AA293" s="107"/>
      <c r="AB293" s="107"/>
      <c r="AC293" s="107"/>
      <c r="AD293" s="720"/>
      <c r="AE293" s="720"/>
      <c r="AH293" s="105"/>
    </row>
    <row r="294" spans="1:35" outlineLevel="1">
      <c r="A294" s="545">
        <f>MAX($A$10:A293)+1</f>
        <v>285</v>
      </c>
      <c r="B294" s="716"/>
      <c r="C294" s="716"/>
      <c r="D294" s="716"/>
      <c r="E294" s="719">
        <v>396.1</v>
      </c>
      <c r="F294" s="103">
        <f t="shared" si="16"/>
        <v>0</v>
      </c>
      <c r="G294" s="557">
        <f>'EOP Depn Exp Adj'!D47</f>
        <v>2.6100000000000002E-2</v>
      </c>
      <c r="H294" s="711">
        <f t="shared" si="18"/>
        <v>0</v>
      </c>
      <c r="I294" s="1" t="s">
        <v>2252</v>
      </c>
      <c r="K294" s="103">
        <f t="shared" si="17"/>
        <v>0</v>
      </c>
      <c r="L294" s="72">
        <f t="shared" si="20"/>
        <v>2.6100000000000002E-2</v>
      </c>
      <c r="M294" s="184">
        <f t="shared" si="19"/>
        <v>0</v>
      </c>
      <c r="N294" s="184"/>
      <c r="O294" s="184"/>
      <c r="P294" s="1" t="s">
        <v>2252</v>
      </c>
      <c r="R294" s="107"/>
      <c r="S294" s="107"/>
      <c r="T294" s="107"/>
      <c r="U294" s="107"/>
      <c r="V294" s="107"/>
      <c r="W294" s="107"/>
      <c r="X294" s="107"/>
      <c r="Y294" s="107"/>
      <c r="Z294" s="107"/>
      <c r="AA294" s="107"/>
      <c r="AB294" s="107"/>
      <c r="AC294" s="107"/>
      <c r="AD294" s="720"/>
      <c r="AE294" s="720"/>
      <c r="AH294" s="105"/>
    </row>
    <row r="295" spans="1:35" outlineLevel="1">
      <c r="A295" s="545">
        <f>MAX($A$10:A294)+1</f>
        <v>286</v>
      </c>
      <c r="B295" s="716"/>
      <c r="C295" s="716"/>
      <c r="D295" s="716"/>
      <c r="E295" s="719">
        <v>396.2</v>
      </c>
      <c r="F295" s="103">
        <f t="shared" si="16"/>
        <v>2463904.4573269999</v>
      </c>
      <c r="G295" s="557">
        <f>'EOP Depn Exp Adj'!D46</f>
        <v>9.6299999999999997E-2</v>
      </c>
      <c r="H295" s="711">
        <f t="shared" si="18"/>
        <v>237273.99924059008</v>
      </c>
      <c r="I295" s="1" t="s">
        <v>2252</v>
      </c>
      <c r="K295" s="103">
        <f t="shared" si="17"/>
        <v>2289180.1058280002</v>
      </c>
      <c r="L295" s="72">
        <f t="shared" si="20"/>
        <v>9.6299999999999997E-2</v>
      </c>
      <c r="M295" s="184">
        <f t="shared" si="19"/>
        <v>220448.0441912364</v>
      </c>
      <c r="N295" s="184"/>
      <c r="O295" s="184"/>
      <c r="P295" s="1" t="s">
        <v>2252</v>
      </c>
      <c r="R295" s="107"/>
      <c r="S295" s="107"/>
      <c r="T295" s="107"/>
      <c r="U295" s="107"/>
      <c r="V295" s="107"/>
      <c r="W295" s="107"/>
      <c r="X295" s="107"/>
      <c r="Y295" s="107"/>
      <c r="Z295" s="107"/>
      <c r="AA295" s="107"/>
      <c r="AB295" s="107"/>
      <c r="AC295" s="107"/>
      <c r="AD295" s="720"/>
      <c r="AE295" s="720"/>
    </row>
    <row r="296" spans="1:35" outlineLevel="1">
      <c r="A296" s="545">
        <f>MAX($A$10:A295)+1</f>
        <v>287</v>
      </c>
      <c r="B296" s="716"/>
      <c r="C296" s="716"/>
      <c r="D296" s="716"/>
      <c r="E296" s="719">
        <v>397.1</v>
      </c>
      <c r="F296" s="103">
        <f t="shared" si="16"/>
        <v>3741.15</v>
      </c>
      <c r="G296" s="557">
        <f>'EOP Depn Exp Adj'!D48</f>
        <v>5.3499999999999999E-2</v>
      </c>
      <c r="H296" s="711">
        <f t="shared" si="18"/>
        <v>200.15152499999999</v>
      </c>
      <c r="I296" s="1"/>
      <c r="K296" s="103">
        <f t="shared" si="17"/>
        <v>0</v>
      </c>
      <c r="L296" s="72">
        <f t="shared" si="20"/>
        <v>5.3499999999999999E-2</v>
      </c>
      <c r="M296" s="184">
        <f t="shared" si="19"/>
        <v>0</v>
      </c>
      <c r="N296" s="184"/>
      <c r="O296" s="184"/>
      <c r="R296" s="107"/>
      <c r="S296" s="107"/>
      <c r="T296" s="107"/>
      <c r="U296" s="107"/>
      <c r="V296" s="107"/>
      <c r="W296" s="107"/>
      <c r="X296" s="107"/>
      <c r="Y296" s="107"/>
      <c r="Z296" s="107"/>
      <c r="AA296" s="107"/>
      <c r="AB296" s="107"/>
      <c r="AC296" s="107"/>
      <c r="AD296" s="720"/>
      <c r="AE296" s="720"/>
    </row>
    <row r="297" spans="1:35" outlineLevel="1">
      <c r="A297" s="545">
        <f>MAX($A$10:A296)+1</f>
        <v>288</v>
      </c>
      <c r="B297" s="716"/>
      <c r="C297" s="716"/>
      <c r="D297" s="716"/>
      <c r="E297" s="719">
        <v>397.2</v>
      </c>
      <c r="F297" s="103">
        <f t="shared" si="16"/>
        <v>1599028.302283</v>
      </c>
      <c r="G297" s="557">
        <f>'EOP Depn Exp Adj'!D50</f>
        <v>5.5300000000000002E-2</v>
      </c>
      <c r="H297" s="711">
        <f t="shared" si="18"/>
        <v>88426.265116249895</v>
      </c>
      <c r="I297" s="1"/>
      <c r="K297" s="103">
        <f t="shared" si="17"/>
        <v>80099.389720000006</v>
      </c>
      <c r="L297" s="72">
        <f t="shared" si="20"/>
        <v>5.5300000000000002E-2</v>
      </c>
      <c r="M297" s="184">
        <f t="shared" si="19"/>
        <v>4429.4962515160005</v>
      </c>
      <c r="N297" s="184"/>
      <c r="O297" s="184"/>
      <c r="R297" s="107"/>
      <c r="S297" s="107"/>
      <c r="T297" s="107"/>
      <c r="U297" s="107"/>
      <c r="V297" s="107"/>
      <c r="W297" s="107"/>
      <c r="X297" s="107"/>
      <c r="Y297" s="107"/>
      <c r="Z297" s="107"/>
      <c r="AA297" s="107"/>
      <c r="AB297" s="107"/>
      <c r="AC297" s="107"/>
      <c r="AD297" s="720"/>
      <c r="AE297" s="720"/>
    </row>
    <row r="298" spans="1:35" outlineLevel="1">
      <c r="A298" s="545">
        <f>MAX($A$10:A297)+1</f>
        <v>289</v>
      </c>
      <c r="B298" s="716"/>
      <c r="C298" s="716"/>
      <c r="D298" s="716"/>
      <c r="E298" s="2">
        <v>397.3</v>
      </c>
      <c r="F298" s="103">
        <f t="shared" si="16"/>
        <v>75322.5</v>
      </c>
      <c r="G298" s="557">
        <f>'EOP Depn Exp Adj'!D51</f>
        <v>0.2162</v>
      </c>
      <c r="H298" s="711">
        <f t="shared" si="18"/>
        <v>16284.7245</v>
      </c>
      <c r="I298" s="1"/>
      <c r="K298" s="103">
        <f t="shared" si="17"/>
        <v>0</v>
      </c>
      <c r="L298" s="72">
        <f t="shared" si="20"/>
        <v>0.2162</v>
      </c>
      <c r="M298" s="184">
        <f t="shared" si="19"/>
        <v>0</v>
      </c>
      <c r="N298" s="184"/>
      <c r="O298" s="184"/>
      <c r="R298" s="107"/>
      <c r="S298" s="107"/>
      <c r="T298" s="107"/>
      <c r="U298" s="107"/>
      <c r="V298" s="107"/>
      <c r="W298" s="107"/>
      <c r="X298" s="107"/>
      <c r="Y298" s="107"/>
      <c r="Z298" s="107"/>
      <c r="AA298" s="107"/>
      <c r="AB298" s="107"/>
      <c r="AC298" s="107"/>
      <c r="AD298" s="720"/>
      <c r="AE298" s="720"/>
    </row>
    <row r="299" spans="1:35" outlineLevel="1">
      <c r="A299" s="545">
        <f>MAX($A$10:A298)+1</f>
        <v>290</v>
      </c>
      <c r="B299" s="716"/>
      <c r="C299" s="716"/>
      <c r="D299" s="716"/>
      <c r="E299" s="2" t="s">
        <v>2253</v>
      </c>
      <c r="F299" s="103">
        <f>F259</f>
        <v>398580.42</v>
      </c>
      <c r="G299" s="557" t="s">
        <v>2251</v>
      </c>
      <c r="H299" s="711">
        <f>F299/58*12</f>
        <v>82464.914482758613</v>
      </c>
      <c r="I299" s="1"/>
      <c r="K299" s="103">
        <f>J259</f>
        <v>0</v>
      </c>
      <c r="L299" s="434" t="s">
        <v>2251</v>
      </c>
      <c r="M299" s="184">
        <v>0</v>
      </c>
      <c r="N299" s="184"/>
      <c r="O299" s="184"/>
      <c r="R299" s="107"/>
      <c r="S299" s="107"/>
      <c r="T299" s="107"/>
      <c r="U299" s="107"/>
      <c r="V299" s="107"/>
      <c r="W299" s="107"/>
      <c r="X299" s="107"/>
      <c r="Y299" s="107"/>
      <c r="Z299" s="107"/>
      <c r="AA299" s="107"/>
      <c r="AB299" s="107"/>
      <c r="AC299" s="107"/>
      <c r="AD299" s="720"/>
      <c r="AE299" s="720"/>
    </row>
    <row r="300" spans="1:35" outlineLevel="1">
      <c r="A300" s="545">
        <f>MAX($A$10:A299)+1</f>
        <v>291</v>
      </c>
      <c r="B300" s="716"/>
      <c r="C300" s="716"/>
      <c r="D300" s="716"/>
      <c r="E300" s="2">
        <v>397.4</v>
      </c>
      <c r="F300" s="103">
        <f>+SUMIF($E$10:$E$259,E300,$G$10:$G$259)-F299</f>
        <v>0</v>
      </c>
      <c r="G300" s="557">
        <f>'EOP Depn Exp Adj'!D49</f>
        <v>6.9900000000000004E-2</v>
      </c>
      <c r="H300" s="711">
        <f>+F300*G300</f>
        <v>0</v>
      </c>
      <c r="I300" s="1"/>
      <c r="K300" s="103">
        <f>+SUMIF($E$10:$E$259,E300,$J$10:$J$259)-K299</f>
        <v>0</v>
      </c>
      <c r="L300" s="72">
        <f>+G300</f>
        <v>6.9900000000000004E-2</v>
      </c>
      <c r="M300" s="184">
        <f>+K300*L300</f>
        <v>0</v>
      </c>
      <c r="N300" s="184"/>
      <c r="O300" s="184"/>
      <c r="R300" s="107"/>
      <c r="S300" s="107"/>
      <c r="T300" s="107"/>
      <c r="U300" s="107"/>
      <c r="V300" s="107"/>
      <c r="W300" s="107"/>
      <c r="X300" s="107"/>
      <c r="Y300" s="107"/>
      <c r="Z300" s="107"/>
      <c r="AA300" s="107"/>
      <c r="AB300" s="107"/>
      <c r="AC300" s="107"/>
      <c r="AD300" s="720"/>
      <c r="AE300" s="720"/>
    </row>
    <row r="301" spans="1:35" outlineLevel="1">
      <c r="A301" s="545">
        <f>MAX($A$10:A300)+1</f>
        <v>292</v>
      </c>
      <c r="B301" s="716"/>
      <c r="C301" s="716"/>
      <c r="D301" s="716"/>
      <c r="E301" s="562">
        <v>398</v>
      </c>
      <c r="F301" s="103">
        <f>+SUMIF($E$10:$E$259,E301,$G$10:$G$259)</f>
        <v>2008.6000000000001</v>
      </c>
      <c r="G301" s="558">
        <f>'EOP Depn Exp Adj'!D52</f>
        <v>4.3499999999999997E-2</v>
      </c>
      <c r="H301" s="711">
        <f>+F301*G301</f>
        <v>87.374099999999999</v>
      </c>
      <c r="I301" s="1"/>
      <c r="K301" s="103">
        <f>+SUMIF($E$10:$E$259,E301,$J$10:$J$259)</f>
        <v>4026.4</v>
      </c>
      <c r="L301" s="741">
        <f>+G301</f>
        <v>4.3499999999999997E-2</v>
      </c>
      <c r="M301" s="184">
        <f>+K301*L301</f>
        <v>175.14839999999998</v>
      </c>
      <c r="N301" s="184"/>
      <c r="O301" s="184"/>
      <c r="R301" s="107"/>
      <c r="S301" s="107"/>
      <c r="T301" s="107"/>
      <c r="U301" s="107"/>
      <c r="V301" s="107"/>
      <c r="W301" s="107"/>
      <c r="X301" s="107"/>
      <c r="Y301" s="107"/>
      <c r="Z301" s="107"/>
      <c r="AA301" s="107"/>
      <c r="AB301" s="107"/>
      <c r="AC301" s="107"/>
      <c r="AD301" s="720"/>
      <c r="AE301" s="720"/>
    </row>
    <row r="302" spans="1:35" outlineLevel="1">
      <c r="A302" s="545">
        <f>MAX($A$10:A301)+1</f>
        <v>293</v>
      </c>
      <c r="B302" s="716"/>
      <c r="C302" s="716"/>
      <c r="D302" s="716"/>
      <c r="E302" s="742" t="s">
        <v>2254</v>
      </c>
      <c r="F302" s="495">
        <f>SUM(F266:F301)</f>
        <v>131930279.35551082</v>
      </c>
      <c r="G302" s="743"/>
      <c r="H302" s="713">
        <f>SUM(H266:H301)</f>
        <v>4063798.4177198489</v>
      </c>
      <c r="I302" s="1"/>
      <c r="K302" s="495">
        <f>SUM(K266:K301)</f>
        <v>88917505.200505003</v>
      </c>
      <c r="L302" s="506"/>
      <c r="M302" s="744">
        <f>SUM(M266:M301)</f>
        <v>3110795.1869354653</v>
      </c>
      <c r="N302" s="42"/>
      <c r="O302" s="42"/>
      <c r="AD302" s="105"/>
      <c r="AE302" s="720"/>
      <c r="AG302" s="105"/>
      <c r="AH302" s="105"/>
    </row>
    <row r="303" spans="1:35" outlineLevel="1">
      <c r="B303" s="716"/>
      <c r="C303" s="716"/>
      <c r="D303" s="716"/>
      <c r="E303" s="561"/>
      <c r="F303" s="103"/>
      <c r="G303" s="103"/>
      <c r="H303" s="103"/>
      <c r="I303" s="718"/>
      <c r="J303" s="103"/>
      <c r="K303" s="103"/>
      <c r="L303" s="103"/>
      <c r="M303" s="716"/>
      <c r="N303"/>
      <c r="O303"/>
      <c r="P303"/>
      <c r="Q303"/>
      <c r="AE303" s="105"/>
      <c r="AF303" s="105"/>
      <c r="AI303" s="105"/>
    </row>
    <row r="304" spans="1:35" outlineLevel="1">
      <c r="B304" s="716"/>
      <c r="C304" s="716"/>
      <c r="D304" s="716"/>
      <c r="E304" s="561"/>
      <c r="F304" s="103"/>
      <c r="G304" s="103"/>
      <c r="H304" s="103"/>
      <c r="I304" s="718"/>
      <c r="J304" s="103"/>
      <c r="K304" s="103"/>
      <c r="L304" s="103"/>
      <c r="M304" s="716"/>
      <c r="N304"/>
      <c r="O304"/>
      <c r="P304"/>
      <c r="Q304"/>
    </row>
    <row r="306" spans="2:17">
      <c r="B306" s="5"/>
      <c r="N306"/>
      <c r="O306"/>
      <c r="P306"/>
      <c r="Q306"/>
    </row>
    <row r="318" spans="2:17">
      <c r="E318"/>
      <c r="N318"/>
      <c r="O318"/>
      <c r="P318"/>
      <c r="Q318"/>
    </row>
    <row r="319" spans="2:17">
      <c r="E319"/>
      <c r="N319"/>
      <c r="O319"/>
      <c r="P319"/>
      <c r="Q319"/>
    </row>
    <row r="320" spans="2:17">
      <c r="E320"/>
      <c r="N320"/>
      <c r="O320"/>
      <c r="P320"/>
      <c r="Q320"/>
    </row>
    <row r="321" spans="5:17">
      <c r="E321"/>
      <c r="N321"/>
      <c r="O321"/>
      <c r="P321"/>
      <c r="Q321"/>
    </row>
    <row r="322" spans="5:17">
      <c r="E322"/>
      <c r="N322"/>
      <c r="O322"/>
      <c r="P322"/>
      <c r="Q322"/>
    </row>
    <row r="323" spans="5:17">
      <c r="E323"/>
      <c r="N323"/>
      <c r="O323"/>
      <c r="P323"/>
      <c r="Q323"/>
    </row>
    <row r="324" spans="5:17">
      <c r="E324"/>
      <c r="N324"/>
      <c r="O324"/>
      <c r="P324"/>
      <c r="Q324"/>
    </row>
    <row r="325" spans="5:17">
      <c r="E325"/>
      <c r="N325"/>
      <c r="O325"/>
      <c r="P325"/>
      <c r="Q325"/>
    </row>
    <row r="326" spans="5:17">
      <c r="E326"/>
      <c r="N326"/>
      <c r="O326"/>
      <c r="P326"/>
      <c r="Q326"/>
    </row>
    <row r="327" spans="5:17">
      <c r="E327"/>
      <c r="N327"/>
      <c r="O327"/>
      <c r="P327"/>
      <c r="Q327"/>
    </row>
    <row r="328" spans="5:17">
      <c r="E328"/>
      <c r="N328"/>
      <c r="O328"/>
      <c r="P328"/>
      <c r="Q328"/>
    </row>
    <row r="329" spans="5:17">
      <c r="E329"/>
      <c r="N329"/>
      <c r="O329"/>
      <c r="P329"/>
      <c r="Q329"/>
    </row>
    <row r="330" spans="5:17">
      <c r="E330"/>
      <c r="N330"/>
      <c r="O330"/>
      <c r="P330"/>
      <c r="Q330"/>
    </row>
    <row r="331" spans="5:17">
      <c r="E331"/>
      <c r="N331"/>
      <c r="O331"/>
      <c r="P331"/>
      <c r="Q331"/>
    </row>
    <row r="332" spans="5:17">
      <c r="E332"/>
      <c r="N332"/>
      <c r="O332"/>
      <c r="P332"/>
      <c r="Q332"/>
    </row>
    <row r="333" spans="5:17">
      <c r="E333"/>
      <c r="N333"/>
      <c r="O333"/>
      <c r="P333"/>
      <c r="Q333"/>
    </row>
    <row r="334" spans="5:17">
      <c r="E334"/>
      <c r="N334"/>
      <c r="O334"/>
      <c r="P334"/>
      <c r="Q334"/>
    </row>
    <row r="335" spans="5:17">
      <c r="E335"/>
      <c r="N335"/>
      <c r="O335"/>
      <c r="P335"/>
      <c r="Q335"/>
    </row>
    <row r="336" spans="5:17">
      <c r="E336"/>
      <c r="N336"/>
      <c r="O336"/>
      <c r="P336"/>
      <c r="Q336"/>
    </row>
    <row r="337" spans="5:17">
      <c r="E337"/>
      <c r="N337"/>
      <c r="O337"/>
      <c r="P337"/>
      <c r="Q337"/>
    </row>
    <row r="338" spans="5:17">
      <c r="E338"/>
      <c r="N338"/>
      <c r="O338"/>
      <c r="P338"/>
      <c r="Q338"/>
    </row>
    <row r="339" spans="5:17">
      <c r="E339"/>
      <c r="N339"/>
      <c r="O339"/>
      <c r="P339"/>
      <c r="Q339"/>
    </row>
    <row r="340" spans="5:17">
      <c r="E340"/>
      <c r="N340"/>
      <c r="O340"/>
      <c r="P340"/>
      <c r="Q340"/>
    </row>
    <row r="341" spans="5:17">
      <c r="E341"/>
      <c r="N341"/>
      <c r="O341"/>
      <c r="P341"/>
      <c r="Q341"/>
    </row>
    <row r="342" spans="5:17">
      <c r="E342"/>
      <c r="N342"/>
      <c r="O342"/>
      <c r="P342"/>
      <c r="Q342"/>
    </row>
    <row r="343" spans="5:17">
      <c r="E343"/>
      <c r="N343"/>
      <c r="O343"/>
      <c r="P343"/>
      <c r="Q343"/>
    </row>
    <row r="344" spans="5:17">
      <c r="E344"/>
      <c r="N344"/>
      <c r="O344"/>
      <c r="P344"/>
      <c r="Q344"/>
    </row>
    <row r="345" spans="5:17">
      <c r="E345"/>
      <c r="N345"/>
      <c r="O345"/>
      <c r="P345"/>
      <c r="Q345"/>
    </row>
    <row r="346" spans="5:17">
      <c r="E346"/>
      <c r="N346"/>
      <c r="O346"/>
      <c r="P346"/>
      <c r="Q346"/>
    </row>
    <row r="347" spans="5:17">
      <c r="E347"/>
      <c r="N347"/>
      <c r="O347"/>
      <c r="P347"/>
      <c r="Q347"/>
    </row>
    <row r="348" spans="5:17">
      <c r="E348"/>
      <c r="N348"/>
      <c r="O348"/>
      <c r="P348"/>
      <c r="Q348"/>
    </row>
    <row r="349" spans="5:17">
      <c r="E349"/>
      <c r="N349"/>
      <c r="O349"/>
      <c r="P349"/>
      <c r="Q349"/>
    </row>
    <row r="350" spans="5:17">
      <c r="E350"/>
      <c r="N350"/>
      <c r="O350"/>
      <c r="P350"/>
      <c r="Q350"/>
    </row>
    <row r="351" spans="5:17">
      <c r="E351"/>
      <c r="N351"/>
      <c r="O351"/>
      <c r="P351"/>
      <c r="Q351"/>
    </row>
    <row r="352" spans="5:17">
      <c r="E352"/>
      <c r="N352"/>
      <c r="O352"/>
      <c r="P352"/>
      <c r="Q352"/>
    </row>
    <row r="353" spans="5:17">
      <c r="E353"/>
      <c r="N353"/>
      <c r="O353"/>
      <c r="P353"/>
      <c r="Q353"/>
    </row>
    <row r="354" spans="5:17">
      <c r="E354"/>
      <c r="N354"/>
      <c r="O354"/>
      <c r="P354"/>
      <c r="Q354"/>
    </row>
    <row r="355" spans="5:17">
      <c r="E355"/>
      <c r="N355"/>
      <c r="O355"/>
      <c r="P355"/>
      <c r="Q355"/>
    </row>
    <row r="356" spans="5:17">
      <c r="E356"/>
      <c r="N356"/>
      <c r="O356"/>
      <c r="P356"/>
      <c r="Q356"/>
    </row>
    <row r="357" spans="5:17">
      <c r="E357"/>
      <c r="N357"/>
      <c r="O357"/>
      <c r="P357"/>
      <c r="Q357"/>
    </row>
    <row r="358" spans="5:17">
      <c r="E358"/>
      <c r="N358"/>
      <c r="O358"/>
      <c r="P358"/>
      <c r="Q358"/>
    </row>
    <row r="359" spans="5:17">
      <c r="E359"/>
      <c r="N359"/>
      <c r="O359"/>
      <c r="P359"/>
      <c r="Q359"/>
    </row>
    <row r="360" spans="5:17">
      <c r="E360"/>
      <c r="N360"/>
      <c r="O360"/>
      <c r="P360"/>
      <c r="Q360"/>
    </row>
    <row r="361" spans="5:17">
      <c r="E361"/>
      <c r="N361"/>
      <c r="O361"/>
      <c r="P361"/>
      <c r="Q361"/>
    </row>
    <row r="362" spans="5:17">
      <c r="E362"/>
      <c r="N362"/>
      <c r="O362"/>
      <c r="P362"/>
      <c r="Q362"/>
    </row>
    <row r="363" spans="5:17">
      <c r="E363"/>
      <c r="N363"/>
      <c r="O363"/>
      <c r="P363"/>
      <c r="Q363"/>
    </row>
    <row r="364" spans="5:17">
      <c r="E364"/>
      <c r="N364"/>
      <c r="O364"/>
      <c r="P364"/>
      <c r="Q364"/>
    </row>
    <row r="365" spans="5:17">
      <c r="E365"/>
      <c r="N365"/>
      <c r="O365"/>
      <c r="P365"/>
      <c r="Q365"/>
    </row>
    <row r="366" spans="5:17">
      <c r="E366"/>
      <c r="N366"/>
      <c r="O366"/>
      <c r="P366"/>
      <c r="Q366"/>
    </row>
    <row r="367" spans="5:17">
      <c r="E367"/>
      <c r="N367"/>
      <c r="O367"/>
      <c r="P367"/>
      <c r="Q367"/>
    </row>
    <row r="368" spans="5:17">
      <c r="E368"/>
      <c r="N368"/>
      <c r="O368"/>
      <c r="P368"/>
      <c r="Q368"/>
    </row>
    <row r="1048576" spans="14:17">
      <c r="N1048576"/>
      <c r="O1048576"/>
      <c r="P1048576"/>
      <c r="Q1048576"/>
    </row>
  </sheetData>
  <mergeCells count="6">
    <mergeCell ref="A6:L6"/>
    <mergeCell ref="A1:L1"/>
    <mergeCell ref="A2:L2"/>
    <mergeCell ref="A3:L3"/>
    <mergeCell ref="A4:L4"/>
    <mergeCell ref="A5:L5"/>
  </mergeCells>
  <dataValidations disablePrompts="1" count="2">
    <dataValidation type="list" allowBlank="1" showInputMessage="1" showErrorMessage="1" sqref="AF9:AF10" xr:uid="{907DE7E4-600A-437C-BD59-D9479821F8C7}">
      <formula1>"Yes, No"</formula1>
    </dataValidation>
    <dataValidation type="list" allowBlank="1" showInputMessage="1" showErrorMessage="1" sqref="AL11:AL12 AL18:AL21 AL33" xr:uid="{90CC524F-678D-44FB-B167-B2BE24CECC6F}">
      <formula1>$AI$8:$AJ$8</formula1>
    </dataValidation>
  </dataValidations>
  <pageMargins left="0.7" right="0.7" top="0.75" bottom="0.75" header="0.3" footer="0.3"/>
  <pageSetup scale="47" fitToHeight="0" orientation="landscape" useFirstPageNumber="1" r:id="rId1"/>
  <headerFooter scaleWithDoc="0" alignWithMargins="0">
    <oddHeader>&amp;RPage &amp;P of &amp;N</oddHeader>
    <oddFooter>&amp;LElectronic Tab Name: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405D7-CD53-4E9E-9B40-F8D8FE1E16EC}">
  <sheetPr codeName="Sheet51"/>
  <dimension ref="A1:AE158"/>
  <sheetViews>
    <sheetView view="pageBreakPreview" zoomScale="60" zoomScaleNormal="100" workbookViewId="0">
      <selection activeCell="M37" sqref="M37"/>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7" width="35.42578125" style="53" bestFit="1" customWidth="1"/>
    <col min="8" max="18" width="12" style="53" bestFit="1" customWidth="1"/>
    <col min="19" max="19" width="12" bestFit="1" customWidth="1"/>
    <col min="20" max="26" width="12" style="53" bestFit="1" customWidth="1"/>
    <col min="27"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row>
    <row r="11" spans="1:31" outlineLevel="1">
      <c r="A11" s="124">
        <f>MAX($A$10:A10)+1</f>
        <v>2</v>
      </c>
      <c r="B11" s="53" t="s">
        <v>1701</v>
      </c>
      <c r="C11" s="745">
        <f>+'24-25 Plant Additions'!G262</f>
        <v>140193437.58551073</v>
      </c>
      <c r="D11" s="449"/>
    </row>
    <row r="12" spans="1:31" outlineLevel="1">
      <c r="A12" s="124">
        <f>MAX($A$10:A11)+1</f>
        <v>3</v>
      </c>
      <c r="B12" s="424" t="s">
        <v>1702</v>
      </c>
      <c r="C12" s="746">
        <f>ROUND(C11*-2.9%,0)</f>
        <v>-4065610</v>
      </c>
      <c r="D12" s="254"/>
    </row>
    <row r="13" spans="1:31" outlineLevel="1">
      <c r="A13" s="124">
        <f>MAX($A$10:A12)+1</f>
        <v>4</v>
      </c>
      <c r="B13" s="424" t="s">
        <v>1703</v>
      </c>
      <c r="C13" s="745">
        <f>SUM(C11:C12)</f>
        <v>136127827.58551073</v>
      </c>
    </row>
    <row r="14" spans="1:31" outlineLevel="1">
      <c r="A14" s="124">
        <f>MAX($A$10:A13)+1</f>
        <v>5</v>
      </c>
      <c r="B14" s="424"/>
      <c r="C14" s="447"/>
    </row>
    <row r="15" spans="1:31" outlineLevel="1">
      <c r="A15" s="124">
        <f>MAX($A$10:A14)+1</f>
        <v>6</v>
      </c>
      <c r="B15" s="424" t="s">
        <v>1704</v>
      </c>
      <c r="C15" s="177">
        <f>-((C31/2)+'EOP Depn Exp Adj'!E55)</f>
        <v>-34181120.015377395</v>
      </c>
    </row>
    <row r="16" spans="1:31" outlineLevel="1">
      <c r="A16" s="124">
        <f>MAX($A$10:A15)+1</f>
        <v>7</v>
      </c>
      <c r="B16" s="424" t="s">
        <v>1702</v>
      </c>
      <c r="C16" s="747">
        <f>-C12</f>
        <v>4065610</v>
      </c>
    </row>
    <row r="17" spans="1:5" outlineLevel="1">
      <c r="A17" s="124">
        <f>MAX($A$10:A16)+1</f>
        <v>8</v>
      </c>
      <c r="B17" s="424" t="s">
        <v>1705</v>
      </c>
      <c r="C17" s="749">
        <f>'24-25 Cost of Removal'!F101</f>
        <v>-1530560.75</v>
      </c>
    </row>
    <row r="18" spans="1:5" outlineLevel="1">
      <c r="A18" s="124">
        <f>MAX($A$10:A17)+1</f>
        <v>9</v>
      </c>
      <c r="B18" s="424" t="s">
        <v>1706</v>
      </c>
      <c r="C18" s="747">
        <f>SUM(C15:C17)</f>
        <v>-31646070.765377395</v>
      </c>
    </row>
    <row r="19" spans="1:5" outlineLevel="1">
      <c r="A19" s="124">
        <f>MAX($A$10:A18)+1</f>
        <v>10</v>
      </c>
      <c r="B19" s="424"/>
      <c r="C19" s="447"/>
      <c r="D19" s="216"/>
    </row>
    <row r="20" spans="1:5" outlineLevel="1">
      <c r="A20" s="124">
        <f>MAX($A$10:A19)+1</f>
        <v>11</v>
      </c>
      <c r="B20" s="424" t="s">
        <v>1707</v>
      </c>
      <c r="C20" s="177">
        <f>'24-25 ADIT'!D16</f>
        <v>68761.561904037371</v>
      </c>
    </row>
    <row r="21" spans="1:5" outlineLevel="1">
      <c r="A21" s="124">
        <f>MAX($A$10:A20)+1</f>
        <v>12</v>
      </c>
      <c r="B21" s="60"/>
      <c r="C21" s="60"/>
    </row>
    <row r="22" spans="1:5" outlineLevel="1">
      <c r="A22" s="124">
        <f>MAX($A$10:A21)+1</f>
        <v>13</v>
      </c>
      <c r="B22" s="1403" t="s">
        <v>1708</v>
      </c>
      <c r="C22" s="1403"/>
      <c r="D22"/>
    </row>
    <row r="23" spans="1:5" outlineLevel="1">
      <c r="A23" s="124">
        <f>MAX($A$10:A22)+1</f>
        <v>14</v>
      </c>
      <c r="B23" s="53" t="s">
        <v>1709</v>
      </c>
      <c r="C23" s="565">
        <f>SUM(C110:N110,C115:N115,C122:N122)</f>
        <v>1571477.0432382778</v>
      </c>
    </row>
    <row r="24" spans="1:5" outlineLevel="1">
      <c r="A24" s="124">
        <f>MAX($A$10:A23)+1</f>
        <v>15</v>
      </c>
    </row>
    <row r="25" spans="1:5" outlineLevel="1">
      <c r="A25" s="124">
        <f>MAX($A$10:A24)+1</f>
        <v>16</v>
      </c>
      <c r="B25" s="424" t="s">
        <v>1710</v>
      </c>
      <c r="C25" s="177">
        <f>'Operating Report'!AG54</f>
        <v>66819.203878491579</v>
      </c>
      <c r="D25" s="121"/>
    </row>
    <row r="26" spans="1:5" outlineLevel="1">
      <c r="A26" s="124">
        <f>MAX($A$10:A25)+1</f>
        <v>17</v>
      </c>
      <c r="B26" s="424"/>
      <c r="C26" s="177"/>
    </row>
    <row r="27" spans="1:5" outlineLevel="1">
      <c r="A27" s="124">
        <f>MAX($A$10:A26)+1</f>
        <v>18</v>
      </c>
      <c r="B27" s="53" t="s">
        <v>1711</v>
      </c>
      <c r="C27" s="135">
        <f>'Operating Report'!AG94</f>
        <v>10558.529677620663</v>
      </c>
    </row>
    <row r="28" spans="1:5" outlineLevel="1">
      <c r="A28" s="124">
        <f>MAX($A$10:A27)+1</f>
        <v>19</v>
      </c>
    </row>
    <row r="29" spans="1:5" outlineLevel="1">
      <c r="A29" s="124">
        <f>MAX($A$10:A28)+1</f>
        <v>20</v>
      </c>
      <c r="B29" s="53" t="s">
        <v>1712</v>
      </c>
      <c r="C29" s="177">
        <f>+'24-25 Plant Additions'!H302-'24-25 Plant Additions'!H289-'24-25 Plant Additions'!H295-'24-25 Plant Additions'!H288-'24-25 Plant Additions'!H294</f>
        <v>3915989.1024727817</v>
      </c>
    </row>
    <row r="30" spans="1:5" outlineLevel="1">
      <c r="A30" s="124">
        <f>MAX($A$10:A29)+1</f>
        <v>21</v>
      </c>
      <c r="B30" s="53" t="s">
        <v>1713</v>
      </c>
      <c r="C30" s="214">
        <f>ROUND(C12*0.0306,2)</f>
        <v>-124407.67</v>
      </c>
      <c r="E30" s="121"/>
    </row>
    <row r="31" spans="1:5" outlineLevel="1">
      <c r="A31" s="124">
        <f>MAX($A$10:A30)+1</f>
        <v>22</v>
      </c>
      <c r="B31" s="53" t="s">
        <v>1714</v>
      </c>
      <c r="C31" s="177">
        <f>C29+C30</f>
        <v>3791581.4324727817</v>
      </c>
      <c r="E31" s="121"/>
    </row>
    <row r="32" spans="1:5"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330312.59999999998</v>
      </c>
      <c r="E34" s="121"/>
      <c r="F34" s="112"/>
    </row>
    <row r="35" spans="1:7" outlineLevel="1">
      <c r="A35" s="124">
        <f>MAX($A$10:A34)+1</f>
        <v>26</v>
      </c>
      <c r="C35" s="177"/>
    </row>
    <row r="36" spans="1:7" outlineLevel="1">
      <c r="A36" s="124">
        <f>MAX($A$10:A35)+1</f>
        <v>27</v>
      </c>
      <c r="B36" t="s">
        <v>1716</v>
      </c>
      <c r="C36" s="177">
        <f>-'24-25 Plant Additions'!L10-'24-25 Plant Additions'!L11-'24-25 Plant Additions'!L25-'24-25 Plant Additions'!L240</f>
        <v>-292500</v>
      </c>
      <c r="D36" s="53" t="s">
        <v>1717</v>
      </c>
      <c r="E36" s="121">
        <f>C36-E37</f>
        <v>-280000</v>
      </c>
      <c r="F36" s="121"/>
    </row>
    <row r="37" spans="1:7" outlineLevel="1">
      <c r="A37" s="124">
        <f>MAX($A$10:A36)+1</f>
        <v>28</v>
      </c>
      <c r="C37" s="177"/>
      <c r="D37" s="53" t="s">
        <v>1718</v>
      </c>
      <c r="E37" s="121">
        <f>-'24-25 Plant Additions'!L11</f>
        <v>-12500</v>
      </c>
      <c r="G37" s="121"/>
    </row>
    <row r="38" spans="1:7" outlineLevel="1">
      <c r="A38" s="124">
        <f>MAX($A$10:A37)+1</f>
        <v>29</v>
      </c>
      <c r="B38" s="53" t="s">
        <v>1719</v>
      </c>
      <c r="C38" s="565">
        <f>((C23-SUM(C25,C27,C34,C31,C36))*'Exh JAD-6, Conversion Factor'!$C$33)</f>
        <v>-490411.89178602945</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Additions'!J262</f>
        <v>107258633.47050501</v>
      </c>
    </row>
    <row r="42" spans="1:7">
      <c r="A42" s="124">
        <f>MAX($A$10:A41)+1</f>
        <v>33</v>
      </c>
      <c r="B42" s="424" t="s">
        <v>1702</v>
      </c>
      <c r="C42" s="746">
        <f>ROUND(C41*-2.9%,0)</f>
        <v>-3110500</v>
      </c>
      <c r="D42" s="254"/>
    </row>
    <row r="43" spans="1:7">
      <c r="A43" s="124">
        <f>MAX($A$10:A42)+1</f>
        <v>34</v>
      </c>
      <c r="B43" s="424" t="s">
        <v>1703</v>
      </c>
      <c r="C43" s="745">
        <f>SUM(C41:C42)</f>
        <v>104148133.47050501</v>
      </c>
    </row>
    <row r="44" spans="1:7">
      <c r="A44" s="124">
        <f>MAX($A$10:A43)+1</f>
        <v>35</v>
      </c>
      <c r="B44" s="424"/>
    </row>
    <row r="45" spans="1:7">
      <c r="A45" s="124">
        <f>MAX($A$10:A44)+1</f>
        <v>36</v>
      </c>
      <c r="B45" s="424" t="s">
        <v>1704</v>
      </c>
      <c r="C45" s="177">
        <f>-((C61/2)+'EOP Depn Exp Adj'!E55+C31)</f>
        <v>-37896908.399198055</v>
      </c>
    </row>
    <row r="46" spans="1:7">
      <c r="A46" s="124">
        <f>MAX($A$10:A45)+1</f>
        <v>37</v>
      </c>
      <c r="B46" s="424" t="s">
        <v>1702</v>
      </c>
      <c r="C46" s="135">
        <f>-C42</f>
        <v>3110500</v>
      </c>
    </row>
    <row r="47" spans="1:7">
      <c r="A47" s="124">
        <f>MAX($A$10:A46)+1</f>
        <v>38</v>
      </c>
      <c r="B47" s="424" t="s">
        <v>1705</v>
      </c>
      <c r="C47" s="256">
        <f>'24-25 Cost of Removal'!H101</f>
        <v>590288.46</v>
      </c>
    </row>
    <row r="48" spans="1:7">
      <c r="A48" s="124">
        <f>MAX($A$10:A47)+1</f>
        <v>39</v>
      </c>
      <c r="B48" s="424" t="s">
        <v>1706</v>
      </c>
      <c r="C48" s="747">
        <f>SUM(C45:C47)</f>
        <v>-34196119.939198054</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Additions'!M302-'24-25 Plant Additions'!M289-'24-25 Plant Additions'!M295-'24-25 Plant Additions'!M288-'24-25 Plant Additions'!M294</f>
        <v>3735176.6351685347</v>
      </c>
    </row>
    <row r="60" spans="1:6">
      <c r="A60" s="124">
        <f>MAX($A$10:A59)+1</f>
        <v>51</v>
      </c>
      <c r="B60" s="53" t="s">
        <v>1713</v>
      </c>
      <c r="C60" s="214">
        <f>ROUND(C42*0.0306,2)</f>
        <v>-95181.3</v>
      </c>
    </row>
    <row r="61" spans="1:6">
      <c r="A61" s="124">
        <f>MAX($A$10:A60)+1</f>
        <v>52</v>
      </c>
      <c r="B61" s="53" t="s">
        <v>1714</v>
      </c>
      <c r="C61" s="177">
        <f>C59+C60</f>
        <v>3639995.3351685349</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252714.23999999999</v>
      </c>
      <c r="D64"/>
    </row>
    <row r="65" spans="1:26">
      <c r="A65" s="124">
        <f>MAX($A$10:A64)+1</f>
        <v>56</v>
      </c>
      <c r="C65" s="177"/>
    </row>
    <row r="66" spans="1:26">
      <c r="A66" s="124">
        <f>MAX($A$10:A65)+1</f>
        <v>57</v>
      </c>
      <c r="B66" t="s">
        <v>1716</v>
      </c>
      <c r="C66" s="177">
        <f>-'24-25 Plant Additions'!L12-'24-25 Plant Additions'!L21-'24-25 Plant Additions'!L242</f>
        <v>-455000</v>
      </c>
      <c r="D66" s="53" t="s">
        <v>1717</v>
      </c>
      <c r="E66" s="121">
        <f>C66-E67</f>
        <v>-280000</v>
      </c>
    </row>
    <row r="67" spans="1:26">
      <c r="A67" s="124">
        <f>MAX($A$10:A66)+1</f>
        <v>58</v>
      </c>
      <c r="D67" s="53" t="s">
        <v>1718</v>
      </c>
      <c r="E67" s="121">
        <f>-'24-25 Plant Additions'!L21</f>
        <v>-175000</v>
      </c>
      <c r="G67" s="121"/>
    </row>
    <row r="68" spans="1:26">
      <c r="A68" s="124">
        <f>MAX($A$10:A67)+1</f>
        <v>59</v>
      </c>
      <c r="B68" s="53" t="s">
        <v>1719</v>
      </c>
      <c r="C68" s="565">
        <f>((C53-SUM(C55,C57,C64,C61,C66))*'Exh JAD-6, Conversion Factor'!$C$33)</f>
        <v>-313199.76393299759</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SUM($C$73:$N$73)</f>
        <v>3576</v>
      </c>
      <c r="D78" s="135">
        <f t="shared" ref="D78:N78" si="0">SUM($C$73:$N$73)</f>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SUM($O$73:$Z$73)</f>
        <v>3567</v>
      </c>
      <c r="P78" s="135">
        <f t="shared" ref="P78:Z78" si="1">SUM($O$73:$Z$73)</f>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Z91"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si="6"/>
        <v>385491.19998866279</v>
      </c>
      <c r="P90" s="227">
        <f t="shared" si="6"/>
        <v>302531.08998857351</v>
      </c>
      <c r="Q90" s="227">
        <f t="shared" si="6"/>
        <v>258359.36310493672</v>
      </c>
      <c r="R90" s="227">
        <f t="shared" si="6"/>
        <v>166989.45714193527</v>
      </c>
      <c r="S90" s="227">
        <f t="shared" si="6"/>
        <v>105889.04837542165</v>
      </c>
      <c r="T90" s="227">
        <f t="shared" si="6"/>
        <v>55094.697291316523</v>
      </c>
      <c r="U90" s="227">
        <f t="shared" si="6"/>
        <v>56920.540896655511</v>
      </c>
      <c r="V90" s="227">
        <f t="shared" si="6"/>
        <v>29875.01268982593</v>
      </c>
      <c r="W90" s="227">
        <f t="shared" si="6"/>
        <v>65064.277468612738</v>
      </c>
      <c r="X90" s="227">
        <f t="shared" si="6"/>
        <v>158403.32068045993</v>
      </c>
      <c r="Y90" s="227">
        <f t="shared" si="6"/>
        <v>297252.83165960899</v>
      </c>
      <c r="Z90" s="227">
        <f t="shared" si="6"/>
        <v>383972.72520805482</v>
      </c>
    </row>
    <row r="91" spans="1:26">
      <c r="A91" s="124">
        <f>MAX($A$10:A90)+1</f>
        <v>82</v>
      </c>
      <c r="B91" s="53" t="s">
        <v>87</v>
      </c>
      <c r="C91" s="227">
        <f t="shared" si="6"/>
        <v>239442.76957331412</v>
      </c>
      <c r="D91" s="227">
        <f t="shared" si="6"/>
        <v>190330.92276753276</v>
      </c>
      <c r="E91" s="227">
        <f t="shared" si="6"/>
        <v>155444.97708893236</v>
      </c>
      <c r="F91" s="227">
        <f t="shared" si="6"/>
        <v>99850.831062116151</v>
      </c>
      <c r="G91" s="227">
        <f t="shared" si="6"/>
        <v>69528.979308284062</v>
      </c>
      <c r="H91" s="227">
        <f t="shared" si="6"/>
        <v>44348.077901978504</v>
      </c>
      <c r="I91" s="227">
        <f t="shared" si="6"/>
        <v>45824.736200325831</v>
      </c>
      <c r="J91" s="227">
        <f t="shared" si="6"/>
        <v>45825.385737094039</v>
      </c>
      <c r="K91" s="227">
        <f t="shared" si="6"/>
        <v>64398.460924924628</v>
      </c>
      <c r="L91" s="227">
        <f t="shared" si="6"/>
        <v>117469.42760722029</v>
      </c>
      <c r="M91" s="227">
        <f t="shared" si="6"/>
        <v>174087.01507093274</v>
      </c>
      <c r="N91" s="227">
        <f t="shared" si="6"/>
        <v>235919.03655076443</v>
      </c>
      <c r="O91" s="227">
        <f>O79*O84</f>
        <v>235147.83200249233</v>
      </c>
      <c r="P91" s="227">
        <f t="shared" si="6"/>
        <v>186916.91518425863</v>
      </c>
      <c r="Q91" s="227">
        <f t="shared" si="6"/>
        <v>152656.72637881699</v>
      </c>
      <c r="R91" s="227">
        <f t="shared" si="6"/>
        <v>98059.784765037839</v>
      </c>
      <c r="S91" s="227">
        <f t="shared" si="6"/>
        <v>68281.822728763262</v>
      </c>
      <c r="T91" s="227">
        <f t="shared" si="6"/>
        <v>43552.596684005795</v>
      </c>
      <c r="U91" s="227">
        <f t="shared" si="6"/>
        <v>45002.767837988147</v>
      </c>
      <c r="V91" s="227">
        <f t="shared" si="6"/>
        <v>45003.405723872624</v>
      </c>
      <c r="W91" s="227">
        <f t="shared" si="6"/>
        <v>63243.331580979793</v>
      </c>
      <c r="X91" s="227">
        <f t="shared" si="6"/>
        <v>115362.35267256162</v>
      </c>
      <c r="Y91" s="227">
        <f t="shared" si="6"/>
        <v>170964.37802930168</v>
      </c>
      <c r="Z91" s="227">
        <f t="shared" si="6"/>
        <v>231687.30495344131</v>
      </c>
    </row>
    <row r="92" spans="1:26">
      <c r="A92" s="124">
        <f>MAX($A$10:A91)+1</f>
        <v>83</v>
      </c>
      <c r="B92" s="53" t="s">
        <v>1729</v>
      </c>
      <c r="C92" s="227">
        <f t="shared" ref="C92:Z94" si="7">C$80*C85</f>
        <v>2968.4233870967741</v>
      </c>
      <c r="D92" s="227">
        <f t="shared" si="7"/>
        <v>2768.4435483870966</v>
      </c>
      <c r="E92" s="227">
        <f t="shared" si="7"/>
        <v>2899.541414141414</v>
      </c>
      <c r="F92" s="227">
        <f t="shared" si="7"/>
        <v>2674.0570264765784</v>
      </c>
      <c r="G92" s="227">
        <f t="shared" si="7"/>
        <v>2264.957142857143</v>
      </c>
      <c r="H92" s="227">
        <f t="shared" si="7"/>
        <v>1450.6</v>
      </c>
      <c r="I92" s="227">
        <f t="shared" si="7"/>
        <v>1242.5214723926381</v>
      </c>
      <c r="J92" s="227">
        <f t="shared" si="7"/>
        <v>1189.0245901639344</v>
      </c>
      <c r="K92" s="227">
        <f t="shared" si="7"/>
        <v>1257.3463114754097</v>
      </c>
      <c r="L92" s="227">
        <f t="shared" si="7"/>
        <v>1558.7714285714287</v>
      </c>
      <c r="M92" s="227">
        <f t="shared" si="7"/>
        <v>2270.2576064908721</v>
      </c>
      <c r="N92" s="227">
        <f>N$80*N85</f>
        <v>2721.0060606060606</v>
      </c>
      <c r="O92" s="227">
        <f t="shared" si="7"/>
        <v>2544.3629032258063</v>
      </c>
      <c r="P92" s="227">
        <f t="shared" si="7"/>
        <v>2372.9516129032259</v>
      </c>
      <c r="Q92" s="227">
        <f t="shared" si="7"/>
        <v>2485.3212121212118</v>
      </c>
      <c r="R92" s="227">
        <f t="shared" si="7"/>
        <v>2292.048879837067</v>
      </c>
      <c r="S92" s="227">
        <f t="shared" si="7"/>
        <v>1941.3918367346939</v>
      </c>
      <c r="T92" s="227">
        <f t="shared" si="7"/>
        <v>1243.3714285714286</v>
      </c>
      <c r="U92" s="227">
        <f t="shared" si="7"/>
        <v>1065.0184049079755</v>
      </c>
      <c r="V92" s="227">
        <f t="shared" si="7"/>
        <v>1019.1639344262295</v>
      </c>
      <c r="W92" s="227">
        <f t="shared" si="7"/>
        <v>1077.7254098360654</v>
      </c>
      <c r="X92" s="227">
        <f t="shared" si="7"/>
        <v>1336.0897959183674</v>
      </c>
      <c r="Y92" s="227">
        <f t="shared" si="7"/>
        <v>1945.9350912778905</v>
      </c>
      <c r="Z92" s="227">
        <f t="shared" si="7"/>
        <v>2332.2909090909088</v>
      </c>
    </row>
    <row r="93" spans="1:26">
      <c r="A93" s="124">
        <f>MAX($A$10:A92)+1</f>
        <v>84</v>
      </c>
      <c r="B93" s="53" t="s">
        <v>1730</v>
      </c>
      <c r="C93" s="227">
        <f t="shared" si="7"/>
        <v>11561.925403225807</v>
      </c>
      <c r="D93" s="227">
        <f t="shared" si="7"/>
        <v>9565.104838709678</v>
      </c>
      <c r="E93" s="227">
        <f t="shared" si="7"/>
        <v>10462.270707070707</v>
      </c>
      <c r="F93" s="227">
        <f t="shared" si="7"/>
        <v>8109.8635437881876</v>
      </c>
      <c r="G93" s="227">
        <f t="shared" si="7"/>
        <v>6412.1</v>
      </c>
      <c r="H93" s="227">
        <f t="shared" si="7"/>
        <v>3953.4428571428571</v>
      </c>
      <c r="I93" s="227">
        <f t="shared" si="7"/>
        <v>3180.6625766871166</v>
      </c>
      <c r="J93" s="227">
        <f t="shared" si="7"/>
        <v>3328.9733606557375</v>
      </c>
      <c r="K93" s="227">
        <f t="shared" si="7"/>
        <v>3472.5881147540981</v>
      </c>
      <c r="L93" s="227">
        <f t="shared" si="7"/>
        <v>4507.9285714285716</v>
      </c>
      <c r="M93" s="227">
        <f t="shared" si="7"/>
        <v>6303.0385395537523</v>
      </c>
      <c r="N93" s="227">
        <f t="shared" si="7"/>
        <v>9025.7292929292926</v>
      </c>
      <c r="O93" s="227">
        <f t="shared" si="7"/>
        <v>9910.2217741935492</v>
      </c>
      <c r="P93" s="227">
        <f t="shared" si="7"/>
        <v>8198.6612903225814</v>
      </c>
      <c r="Q93" s="227">
        <f t="shared" si="7"/>
        <v>8967.6606060606064</v>
      </c>
      <c r="R93" s="227">
        <f t="shared" si="7"/>
        <v>6951.311608961304</v>
      </c>
      <c r="S93" s="227">
        <f t="shared" si="7"/>
        <v>5496.0857142857149</v>
      </c>
      <c r="T93" s="227">
        <f t="shared" si="7"/>
        <v>3388.6653061224488</v>
      </c>
      <c r="U93" s="227">
        <f t="shared" si="7"/>
        <v>2726.282208588957</v>
      </c>
      <c r="V93" s="227">
        <f t="shared" si="7"/>
        <v>2853.405737704918</v>
      </c>
      <c r="W93" s="227">
        <f t="shared" si="7"/>
        <v>2976.5040983606555</v>
      </c>
      <c r="X93" s="227">
        <f t="shared" si="7"/>
        <v>3863.9387755102043</v>
      </c>
      <c r="Y93" s="227">
        <f t="shared" si="7"/>
        <v>5402.6044624746446</v>
      </c>
      <c r="Z93" s="227">
        <f t="shared" si="7"/>
        <v>7736.3393939393936</v>
      </c>
    </row>
    <row r="94" spans="1:26">
      <c r="A94" s="124">
        <f>MAX($A$10:A93)+1</f>
        <v>85</v>
      </c>
      <c r="B94" s="53" t="s">
        <v>1731</v>
      </c>
      <c r="C94" s="227">
        <f t="shared" si="7"/>
        <v>11548.800403225807</v>
      </c>
      <c r="D94" s="227">
        <f t="shared" si="7"/>
        <v>6506.1189516129034</v>
      </c>
      <c r="E94" s="227">
        <f t="shared" si="7"/>
        <v>9960.2222222222226</v>
      </c>
      <c r="F94" s="227">
        <f t="shared" si="7"/>
        <v>5435.9775967413443</v>
      </c>
      <c r="G94" s="227">
        <f t="shared" si="7"/>
        <v>4004.7142857142853</v>
      </c>
      <c r="H94" s="227">
        <f t="shared" si="7"/>
        <v>2302.3142857142857</v>
      </c>
      <c r="I94" s="227">
        <f t="shared" si="7"/>
        <v>1870.7464212678938</v>
      </c>
      <c r="J94" s="227">
        <f t="shared" si="7"/>
        <v>2444.405737704918</v>
      </c>
      <c r="K94" s="227">
        <f t="shared" si="7"/>
        <v>2941.219262295082</v>
      </c>
      <c r="L94" s="227">
        <f t="shared" si="7"/>
        <v>7069.7857142857147</v>
      </c>
      <c r="M94" s="227">
        <f t="shared" si="7"/>
        <v>5475.050709939148</v>
      </c>
      <c r="N94" s="227">
        <f t="shared" si="7"/>
        <v>7451.7474747474753</v>
      </c>
      <c r="O94" s="227">
        <f t="shared" si="7"/>
        <v>9898.9717741935492</v>
      </c>
      <c r="P94" s="227">
        <f t="shared" si="7"/>
        <v>5576.6733870967746</v>
      </c>
      <c r="Q94" s="227">
        <f t="shared" si="7"/>
        <v>8537.3333333333339</v>
      </c>
      <c r="R94" s="227">
        <f t="shared" si="7"/>
        <v>4659.4093686354381</v>
      </c>
      <c r="S94" s="227">
        <f t="shared" si="7"/>
        <v>3432.612244897959</v>
      </c>
      <c r="T94" s="227">
        <f t="shared" si="7"/>
        <v>1973.4122448979592</v>
      </c>
      <c r="U94" s="227">
        <f t="shared" si="7"/>
        <v>1603.4969325153374</v>
      </c>
      <c r="V94" s="227">
        <f t="shared" si="7"/>
        <v>2095.2049180327867</v>
      </c>
      <c r="W94" s="227">
        <f t="shared" si="7"/>
        <v>2521.0450819672133</v>
      </c>
      <c r="X94" s="227">
        <f t="shared" si="7"/>
        <v>6059.8163265306121</v>
      </c>
      <c r="Y94" s="227">
        <f t="shared" si="7"/>
        <v>4692.9006085192696</v>
      </c>
      <c r="Z94" s="227">
        <f t="shared" si="7"/>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8">C97*C78</f>
        <v>17880</v>
      </c>
      <c r="D108" s="566">
        <f t="shared" si="8"/>
        <v>17880</v>
      </c>
      <c r="E108" s="566">
        <f t="shared" si="8"/>
        <v>17880</v>
      </c>
      <c r="F108" s="566">
        <f t="shared" si="8"/>
        <v>17880</v>
      </c>
      <c r="G108" s="566">
        <f t="shared" si="8"/>
        <v>17880</v>
      </c>
      <c r="H108" s="566">
        <f t="shared" si="8"/>
        <v>17880</v>
      </c>
      <c r="I108" s="566">
        <f t="shared" si="8"/>
        <v>17880</v>
      </c>
      <c r="J108" s="566">
        <f t="shared" si="8"/>
        <v>17880</v>
      </c>
      <c r="K108" s="566">
        <f t="shared" si="8"/>
        <v>17880</v>
      </c>
      <c r="L108" s="566">
        <f t="shared" si="8"/>
        <v>17880</v>
      </c>
      <c r="M108" s="566">
        <f t="shared" si="8"/>
        <v>17880</v>
      </c>
      <c r="N108" s="566">
        <f t="shared" si="8"/>
        <v>17880</v>
      </c>
      <c r="O108" s="566">
        <f t="shared" si="8"/>
        <v>35670</v>
      </c>
      <c r="P108" s="566">
        <f t="shared" si="8"/>
        <v>35670</v>
      </c>
      <c r="Q108" s="566">
        <f t="shared" si="8"/>
        <v>35670</v>
      </c>
      <c r="R108" s="566">
        <f t="shared" si="8"/>
        <v>35670</v>
      </c>
      <c r="S108" s="566">
        <f t="shared" si="8"/>
        <v>35670</v>
      </c>
      <c r="T108" s="566">
        <f t="shared" si="8"/>
        <v>35670</v>
      </c>
      <c r="U108" s="566">
        <f t="shared" si="8"/>
        <v>35670</v>
      </c>
      <c r="V108" s="566">
        <f t="shared" si="8"/>
        <v>35670</v>
      </c>
      <c r="W108" s="566">
        <f t="shared" si="8"/>
        <v>35670</v>
      </c>
      <c r="X108" s="566">
        <f t="shared" si="8"/>
        <v>35670</v>
      </c>
      <c r="Y108" s="566">
        <f t="shared" si="8"/>
        <v>35670</v>
      </c>
      <c r="Z108" s="566">
        <f t="shared" si="8"/>
        <v>35670</v>
      </c>
    </row>
    <row r="109" spans="1:26">
      <c r="A109" s="124">
        <f>MAX($A$10:A108)+1</f>
        <v>100</v>
      </c>
      <c r="B109" t="s">
        <v>142</v>
      </c>
      <c r="C109" s="256">
        <f t="shared" ref="C109:Z109" si="9">C90*C98</f>
        <v>138044.88503789133</v>
      </c>
      <c r="D109" s="256">
        <f t="shared" si="9"/>
        <v>108336.76498734298</v>
      </c>
      <c r="E109" s="256">
        <f t="shared" si="9"/>
        <v>92518.813864837168</v>
      </c>
      <c r="F109" s="256">
        <f t="shared" si="9"/>
        <v>59799.13527047127</v>
      </c>
      <c r="G109" s="256">
        <f t="shared" si="9"/>
        <v>37919.001809085894</v>
      </c>
      <c r="H109" s="256">
        <f t="shared" si="9"/>
        <v>19729.48060552586</v>
      </c>
      <c r="I109" s="256">
        <f t="shared" si="9"/>
        <v>20383.317504016934</v>
      </c>
      <c r="J109" s="256">
        <f t="shared" si="9"/>
        <v>10698.279733477324</v>
      </c>
      <c r="K109" s="256">
        <f t="shared" si="9"/>
        <v>23299.599844282468</v>
      </c>
      <c r="L109" s="256">
        <f t="shared" si="9"/>
        <v>56724.428971653375</v>
      </c>
      <c r="M109" s="256">
        <f t="shared" si="9"/>
        <v>106446.61402087827</v>
      </c>
      <c r="N109" s="256">
        <f t="shared" si="9"/>
        <v>137501.11730330199</v>
      </c>
      <c r="O109" s="256">
        <f t="shared" si="9"/>
        <v>169797.3088590063</v>
      </c>
      <c r="P109" s="256">
        <f t="shared" si="9"/>
        <v>133255.86920726698</v>
      </c>
      <c r="Q109" s="256">
        <f t="shared" si="9"/>
        <v>113799.54866683147</v>
      </c>
      <c r="R109" s="256">
        <f t="shared" si="9"/>
        <v>73553.846187308227</v>
      </c>
      <c r="S109" s="256">
        <f t="shared" si="9"/>
        <v>46640.949137921976</v>
      </c>
      <c r="T109" s="256">
        <f t="shared" si="9"/>
        <v>24267.561315906187</v>
      </c>
      <c r="U109" s="256">
        <f t="shared" si="9"/>
        <v>25071.790648749851</v>
      </c>
      <c r="V109" s="256">
        <f t="shared" si="9"/>
        <v>13159.046839487626</v>
      </c>
      <c r="W109" s="256">
        <f t="shared" si="9"/>
        <v>28658.862296599851</v>
      </c>
      <c r="X109" s="256">
        <f t="shared" si="9"/>
        <v>69771.910660122187</v>
      </c>
      <c r="Y109" s="256">
        <f t="shared" si="9"/>
        <v>130930.95476110796</v>
      </c>
      <c r="Z109" s="256">
        <f t="shared" si="9"/>
        <v>169128.4662723919</v>
      </c>
    </row>
    <row r="110" spans="1:26">
      <c r="A110" s="124">
        <f>MAX($A$10:A109)+1</f>
        <v>101</v>
      </c>
      <c r="B110" t="s">
        <v>1734</v>
      </c>
      <c r="C110" s="254">
        <f t="shared" ref="C110:N110" si="10">SUM(C108:C109)</f>
        <v>155924.88503789133</v>
      </c>
      <c r="D110" s="254">
        <f t="shared" si="10"/>
        <v>126216.76498734298</v>
      </c>
      <c r="E110" s="254">
        <f t="shared" si="10"/>
        <v>110398.81386483717</v>
      </c>
      <c r="F110" s="254">
        <f t="shared" si="10"/>
        <v>77679.135270471277</v>
      </c>
      <c r="G110" s="254">
        <f t="shared" si="10"/>
        <v>55799.001809085894</v>
      </c>
      <c r="H110" s="254">
        <f t="shared" si="10"/>
        <v>37609.48060552586</v>
      </c>
      <c r="I110" s="254">
        <f t="shared" si="10"/>
        <v>38263.31750401693</v>
      </c>
      <c r="J110" s="254">
        <f t="shared" si="10"/>
        <v>28578.279733477324</v>
      </c>
      <c r="K110" s="254">
        <f t="shared" si="10"/>
        <v>41179.599844282464</v>
      </c>
      <c r="L110" s="254">
        <f t="shared" si="10"/>
        <v>74604.428971653368</v>
      </c>
      <c r="M110" s="254">
        <f t="shared" si="10"/>
        <v>124326.61402087827</v>
      </c>
      <c r="N110" s="254">
        <f t="shared" si="10"/>
        <v>155381.11730330199</v>
      </c>
      <c r="O110" s="254">
        <f t="shared" ref="O110:Z110" si="11">SUM(O108:O109)</f>
        <v>205467.3088590063</v>
      </c>
      <c r="P110" s="254">
        <f t="shared" si="11"/>
        <v>168925.86920726698</v>
      </c>
      <c r="Q110" s="254">
        <f t="shared" si="11"/>
        <v>149469.54866683146</v>
      </c>
      <c r="R110" s="254">
        <f t="shared" si="11"/>
        <v>109223.84618730823</v>
      </c>
      <c r="S110" s="254">
        <f t="shared" si="11"/>
        <v>82310.949137921969</v>
      </c>
      <c r="T110" s="254">
        <f t="shared" si="11"/>
        <v>59937.56131590619</v>
      </c>
      <c r="U110" s="254">
        <f t="shared" si="11"/>
        <v>60741.790648749855</v>
      </c>
      <c r="V110" s="254">
        <f t="shared" si="11"/>
        <v>48829.046839487622</v>
      </c>
      <c r="W110" s="254">
        <f t="shared" si="11"/>
        <v>64328.862296599851</v>
      </c>
      <c r="X110" s="254">
        <f t="shared" si="11"/>
        <v>105441.91066012219</v>
      </c>
      <c r="Y110" s="254">
        <f t="shared" si="11"/>
        <v>166600.95476110798</v>
      </c>
      <c r="Z110" s="254">
        <f t="shared" si="11"/>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2">C79*C99</f>
        <v>5798</v>
      </c>
      <c r="D113" s="566">
        <f t="shared" si="12"/>
        <v>5798</v>
      </c>
      <c r="E113" s="566">
        <f t="shared" si="12"/>
        <v>5798</v>
      </c>
      <c r="F113" s="566">
        <f t="shared" si="12"/>
        <v>5798</v>
      </c>
      <c r="G113" s="566">
        <f t="shared" si="12"/>
        <v>5798</v>
      </c>
      <c r="H113" s="566">
        <f t="shared" si="12"/>
        <v>5798</v>
      </c>
      <c r="I113" s="566">
        <f t="shared" si="12"/>
        <v>5798</v>
      </c>
      <c r="J113" s="566">
        <f t="shared" si="12"/>
        <v>5798</v>
      </c>
      <c r="K113" s="566">
        <f t="shared" si="12"/>
        <v>5798</v>
      </c>
      <c r="L113" s="566">
        <f t="shared" si="12"/>
        <v>5798</v>
      </c>
      <c r="M113" s="566">
        <f t="shared" si="12"/>
        <v>5798</v>
      </c>
      <c r="N113" s="566">
        <f t="shared" si="12"/>
        <v>5798</v>
      </c>
      <c r="O113" s="566">
        <f t="shared" si="12"/>
        <v>8760</v>
      </c>
      <c r="P113" s="566">
        <f t="shared" si="12"/>
        <v>8760</v>
      </c>
      <c r="Q113" s="566">
        <f t="shared" si="12"/>
        <v>8760</v>
      </c>
      <c r="R113" s="566">
        <f t="shared" si="12"/>
        <v>8760</v>
      </c>
      <c r="S113" s="566">
        <f t="shared" si="12"/>
        <v>8760</v>
      </c>
      <c r="T113" s="566">
        <f t="shared" si="12"/>
        <v>8760</v>
      </c>
      <c r="U113" s="566">
        <f t="shared" si="12"/>
        <v>8760</v>
      </c>
      <c r="V113" s="566">
        <f t="shared" si="12"/>
        <v>8760</v>
      </c>
      <c r="W113" s="566">
        <f t="shared" si="12"/>
        <v>8760</v>
      </c>
      <c r="X113" s="566">
        <f t="shared" si="12"/>
        <v>8760</v>
      </c>
      <c r="Y113" s="566">
        <f t="shared" si="12"/>
        <v>8760</v>
      </c>
      <c r="Z113" s="566">
        <f t="shared" si="12"/>
        <v>8760</v>
      </c>
    </row>
    <row r="114" spans="1:26">
      <c r="A114" s="124">
        <f>MAX($A$10:A113)+1</f>
        <v>105</v>
      </c>
      <c r="B114" t="s">
        <v>142</v>
      </c>
      <c r="C114" s="256">
        <f t="shared" ref="C114:Z114" si="13">C91*C100</f>
        <v>70702.660999608197</v>
      </c>
      <c r="D114" s="256">
        <f t="shared" si="13"/>
        <v>56200.914874797083</v>
      </c>
      <c r="E114" s="256">
        <f t="shared" si="13"/>
        <v>45899.792834819949</v>
      </c>
      <c r="F114" s="256">
        <f t="shared" si="13"/>
        <v>29483.953396021661</v>
      </c>
      <c r="G114" s="256">
        <f t="shared" si="13"/>
        <v>20530.517010150121</v>
      </c>
      <c r="H114" s="256">
        <f t="shared" si="13"/>
        <v>13095.100442896215</v>
      </c>
      <c r="I114" s="256">
        <f t="shared" si="13"/>
        <v>13531.128105232214</v>
      </c>
      <c r="J114" s="256">
        <f t="shared" si="13"/>
        <v>13531.319900449129</v>
      </c>
      <c r="K114" s="256">
        <f t="shared" si="13"/>
        <v>19015.577541911745</v>
      </c>
      <c r="L114" s="256">
        <f t="shared" si="13"/>
        <v>34686.372583860015</v>
      </c>
      <c r="M114" s="256">
        <f t="shared" si="13"/>
        <v>51404.41381014503</v>
      </c>
      <c r="N114" s="256">
        <f t="shared" si="13"/>
        <v>69662.17311270973</v>
      </c>
      <c r="O114" s="256">
        <f>O91*O100</f>
        <v>76813.390801934147</v>
      </c>
      <c r="P114" s="256">
        <f t="shared" si="13"/>
        <v>61058.279514089925</v>
      </c>
      <c r="Q114" s="256">
        <f t="shared" si="13"/>
        <v>49866.846238904363</v>
      </c>
      <c r="R114" s="256">
        <f t="shared" si="13"/>
        <v>32032.209291347262</v>
      </c>
      <c r="S114" s="256">
        <f t="shared" si="13"/>
        <v>22304.940212577807</v>
      </c>
      <c r="T114" s="256">
        <f t="shared" si="13"/>
        <v>14226.891232797334</v>
      </c>
      <c r="U114" s="256">
        <f t="shared" si="13"/>
        <v>14700.604141957208</v>
      </c>
      <c r="V114" s="256">
        <f t="shared" si="13"/>
        <v>14700.812513760231</v>
      </c>
      <c r="W114" s="256">
        <f t="shared" si="13"/>
        <v>20659.066694242858</v>
      </c>
      <c r="X114" s="256">
        <f t="shared" si="13"/>
        <v>37684.266124018985</v>
      </c>
      <c r="Y114" s="256">
        <f t="shared" si="13"/>
        <v>55847.223727051685</v>
      </c>
      <c r="Z114" s="256">
        <f t="shared" si="13"/>
        <v>75682.975036091142</v>
      </c>
    </row>
    <row r="115" spans="1:26">
      <c r="A115" s="124">
        <f>MAX($A$10:A114)+1</f>
        <v>106</v>
      </c>
      <c r="B115" t="s">
        <v>1735</v>
      </c>
      <c r="C115" s="254">
        <f t="shared" ref="C115:N115" si="14">SUM(C113:C114)</f>
        <v>76500.660999608197</v>
      </c>
      <c r="D115" s="254">
        <f t="shared" si="14"/>
        <v>61998.914874797083</v>
      </c>
      <c r="E115" s="254">
        <f t="shared" si="14"/>
        <v>51697.792834819949</v>
      </c>
      <c r="F115" s="254">
        <f t="shared" si="14"/>
        <v>35281.953396021665</v>
      </c>
      <c r="G115" s="254">
        <f t="shared" si="14"/>
        <v>26328.517010150121</v>
      </c>
      <c r="H115" s="254">
        <f t="shared" si="14"/>
        <v>18893.100442896215</v>
      </c>
      <c r="I115" s="254">
        <f t="shared" si="14"/>
        <v>19329.128105232216</v>
      </c>
      <c r="J115" s="254">
        <f t="shared" si="14"/>
        <v>19329.319900449129</v>
      </c>
      <c r="K115" s="254">
        <f t="shared" si="14"/>
        <v>24813.577541911745</v>
      </c>
      <c r="L115" s="254">
        <f t="shared" si="14"/>
        <v>40484.372583860015</v>
      </c>
      <c r="M115" s="254">
        <f t="shared" si="14"/>
        <v>57202.41381014503</v>
      </c>
      <c r="N115" s="254">
        <f t="shared" si="14"/>
        <v>75460.17311270973</v>
      </c>
      <c r="O115" s="254">
        <f>SUM(O113:O114)</f>
        <v>85573.390801934147</v>
      </c>
      <c r="P115" s="254">
        <f t="shared" ref="P115:Z115" si="15">SUM(P113:P114)</f>
        <v>69818.279514089925</v>
      </c>
      <c r="Q115" s="254">
        <f t="shared" si="15"/>
        <v>58626.846238904363</v>
      </c>
      <c r="R115" s="254">
        <f t="shared" si="15"/>
        <v>40792.209291347259</v>
      </c>
      <c r="S115" s="254">
        <f t="shared" si="15"/>
        <v>31064.940212577807</v>
      </c>
      <c r="T115" s="254">
        <f t="shared" si="15"/>
        <v>22986.891232797334</v>
      </c>
      <c r="U115" s="254">
        <f t="shared" si="15"/>
        <v>23460.604141957207</v>
      </c>
      <c r="V115" s="254">
        <f t="shared" si="15"/>
        <v>23460.812513760233</v>
      </c>
      <c r="W115" s="254">
        <f t="shared" si="15"/>
        <v>29419.066694242858</v>
      </c>
      <c r="X115" s="254">
        <f t="shared" si="15"/>
        <v>46444.266124018985</v>
      </c>
      <c r="Y115" s="254">
        <f t="shared" si="15"/>
        <v>64607.223727051685</v>
      </c>
      <c r="Z115" s="254">
        <f t="shared" si="15"/>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16">C80*C101</f>
        <v>420</v>
      </c>
      <c r="D118" s="566">
        <f t="shared" si="16"/>
        <v>420</v>
      </c>
      <c r="E118" s="566">
        <f t="shared" si="16"/>
        <v>420</v>
      </c>
      <c r="F118" s="566">
        <f t="shared" si="16"/>
        <v>420</v>
      </c>
      <c r="G118" s="566">
        <f t="shared" si="16"/>
        <v>420</v>
      </c>
      <c r="H118" s="566">
        <f t="shared" si="16"/>
        <v>420</v>
      </c>
      <c r="I118" s="566">
        <f t="shared" si="16"/>
        <v>420</v>
      </c>
      <c r="J118" s="566">
        <f t="shared" si="16"/>
        <v>420</v>
      </c>
      <c r="K118" s="566">
        <f t="shared" si="16"/>
        <v>420</v>
      </c>
      <c r="L118" s="566">
        <f t="shared" si="16"/>
        <v>420</v>
      </c>
      <c r="M118" s="566">
        <f t="shared" si="16"/>
        <v>420</v>
      </c>
      <c r="N118" s="566">
        <f t="shared" si="16"/>
        <v>420</v>
      </c>
      <c r="O118" s="566">
        <f t="shared" si="16"/>
        <v>600</v>
      </c>
      <c r="P118" s="566">
        <f t="shared" si="16"/>
        <v>600</v>
      </c>
      <c r="Q118" s="566">
        <f t="shared" si="16"/>
        <v>600</v>
      </c>
      <c r="R118" s="566">
        <f t="shared" si="16"/>
        <v>600</v>
      </c>
      <c r="S118" s="566">
        <f t="shared" si="16"/>
        <v>600</v>
      </c>
      <c r="T118" s="566">
        <f t="shared" si="16"/>
        <v>600</v>
      </c>
      <c r="U118" s="566">
        <f t="shared" si="16"/>
        <v>600</v>
      </c>
      <c r="V118" s="566">
        <f t="shared" si="16"/>
        <v>600</v>
      </c>
      <c r="W118" s="566">
        <f t="shared" si="16"/>
        <v>600</v>
      </c>
      <c r="X118" s="566">
        <f t="shared" si="16"/>
        <v>600</v>
      </c>
      <c r="Y118" s="566">
        <f t="shared" si="16"/>
        <v>600</v>
      </c>
      <c r="Z118" s="566">
        <f t="shared" si="16"/>
        <v>600</v>
      </c>
    </row>
    <row r="119" spans="1:26">
      <c r="A119" s="124">
        <f>MAX($A$10:A118)+1</f>
        <v>110</v>
      </c>
      <c r="B119" t="s">
        <v>160</v>
      </c>
      <c r="C119" s="227">
        <f t="shared" ref="C119:Z121" si="17">C92*C102</f>
        <v>678.10663854838708</v>
      </c>
      <c r="D119" s="227">
        <f t="shared" si="17"/>
        <v>632.42324419354838</v>
      </c>
      <c r="E119" s="227">
        <f t="shared" si="17"/>
        <v>662.37124064646457</v>
      </c>
      <c r="F119" s="227">
        <f t="shared" si="17"/>
        <v>610.86158712830957</v>
      </c>
      <c r="G119" s="227">
        <f t="shared" si="17"/>
        <v>517.40680971428571</v>
      </c>
      <c r="H119" s="227">
        <f t="shared" si="17"/>
        <v>331.37506400000001</v>
      </c>
      <c r="I119" s="227">
        <f t="shared" si="17"/>
        <v>283.84160515337425</v>
      </c>
      <c r="J119" s="227">
        <f t="shared" si="17"/>
        <v>271.62077737704919</v>
      </c>
      <c r="K119" s="227">
        <f t="shared" si="17"/>
        <v>287.22819139344261</v>
      </c>
      <c r="L119" s="227">
        <f t="shared" si="17"/>
        <v>356.08574514285721</v>
      </c>
      <c r="M119" s="227">
        <f t="shared" si="17"/>
        <v>518.6176476267749</v>
      </c>
      <c r="N119" s="227">
        <f t="shared" si="17"/>
        <v>621.58662448484847</v>
      </c>
      <c r="O119" s="227">
        <f t="shared" si="17"/>
        <v>677.05496854838702</v>
      </c>
      <c r="P119" s="227">
        <f t="shared" si="17"/>
        <v>631.44242419354839</v>
      </c>
      <c r="Q119" s="227">
        <f t="shared" si="17"/>
        <v>661.34397454545444</v>
      </c>
      <c r="R119" s="227">
        <f t="shared" si="17"/>
        <v>609.91420692464351</v>
      </c>
      <c r="S119" s="227">
        <f t="shared" si="17"/>
        <v>516.60436775510209</v>
      </c>
      <c r="T119" s="227">
        <f t="shared" si="17"/>
        <v>330.86113714285716</v>
      </c>
      <c r="U119" s="227">
        <f t="shared" si="17"/>
        <v>283.40139754601228</v>
      </c>
      <c r="V119" s="227">
        <f t="shared" si="17"/>
        <v>271.1995229508197</v>
      </c>
      <c r="W119" s="227">
        <f t="shared" si="17"/>
        <v>286.78273155737702</v>
      </c>
      <c r="X119" s="227">
        <f t="shared" si="17"/>
        <v>355.53349469387757</v>
      </c>
      <c r="Y119" s="227">
        <f t="shared" si="17"/>
        <v>517.81332778904664</v>
      </c>
      <c r="Z119" s="227">
        <f t="shared" si="17"/>
        <v>620.62261090909089</v>
      </c>
    </row>
    <row r="120" spans="1:26">
      <c r="A120" s="124">
        <f>MAX($A$10:A119)+1</f>
        <v>111</v>
      </c>
      <c r="B120" t="s">
        <v>161</v>
      </c>
      <c r="C120" s="227">
        <f t="shared" si="17"/>
        <v>2186.7069515120966</v>
      </c>
      <c r="D120" s="227">
        <f t="shared" si="17"/>
        <v>1809.0482781451612</v>
      </c>
      <c r="E120" s="227">
        <f t="shared" si="17"/>
        <v>1978.7292588282828</v>
      </c>
      <c r="F120" s="227">
        <f t="shared" si="17"/>
        <v>1533.8184920366598</v>
      </c>
      <c r="G120" s="227">
        <f t="shared" si="17"/>
        <v>1212.7204730000001</v>
      </c>
      <c r="H120" s="227">
        <f t="shared" si="17"/>
        <v>747.71464757142849</v>
      </c>
      <c r="I120" s="227">
        <f t="shared" si="17"/>
        <v>601.55871312883437</v>
      </c>
      <c r="J120" s="227">
        <f t="shared" si="17"/>
        <v>629.60873170081959</v>
      </c>
      <c r="K120" s="227">
        <f t="shared" si="17"/>
        <v>656.77059014344252</v>
      </c>
      <c r="L120" s="227">
        <f t="shared" si="17"/>
        <v>852.58453071428573</v>
      </c>
      <c r="M120" s="227">
        <f t="shared" si="17"/>
        <v>1192.093678985801</v>
      </c>
      <c r="N120" s="227">
        <f t="shared" si="17"/>
        <v>1707.0361811717171</v>
      </c>
      <c r="O120" s="227">
        <f t="shared" si="17"/>
        <v>2183.320959072581</v>
      </c>
      <c r="P120" s="227">
        <f t="shared" si="17"/>
        <v>1806.247068870968</v>
      </c>
      <c r="Q120" s="227">
        <f t="shared" si="17"/>
        <v>1975.6653081212123</v>
      </c>
      <c r="R120" s="227">
        <f t="shared" si="17"/>
        <v>1531.443460570265</v>
      </c>
      <c r="S120" s="227">
        <f t="shared" si="17"/>
        <v>1210.8426437142859</v>
      </c>
      <c r="T120" s="227">
        <f t="shared" si="17"/>
        <v>746.55685359183667</v>
      </c>
      <c r="U120" s="227">
        <f t="shared" si="17"/>
        <v>600.62723337423313</v>
      </c>
      <c r="V120" s="227">
        <f t="shared" si="17"/>
        <v>628.6338180737705</v>
      </c>
      <c r="W120" s="227">
        <f t="shared" si="17"/>
        <v>655.75361790983607</v>
      </c>
      <c r="X120" s="227">
        <f t="shared" si="17"/>
        <v>851.26435163265319</v>
      </c>
      <c r="Y120" s="227">
        <f t="shared" si="17"/>
        <v>1190.247789127789</v>
      </c>
      <c r="Z120" s="227">
        <f t="shared" si="17"/>
        <v>1704.3929318787877</v>
      </c>
    </row>
    <row r="121" spans="1:26">
      <c r="A121" s="124">
        <f>MAX($A$10:A120)+1</f>
        <v>112</v>
      </c>
      <c r="B121" t="s">
        <v>162</v>
      </c>
      <c r="C121" s="256">
        <f t="shared" si="17"/>
        <v>2115.6247458669354</v>
      </c>
      <c r="D121" s="256">
        <f t="shared" si="17"/>
        <v>1191.8559307459677</v>
      </c>
      <c r="E121" s="256">
        <f t="shared" si="17"/>
        <v>1824.613108888889</v>
      </c>
      <c r="F121" s="256">
        <f t="shared" si="17"/>
        <v>995.81673594704682</v>
      </c>
      <c r="G121" s="256">
        <f t="shared" si="17"/>
        <v>733.62360999999987</v>
      </c>
      <c r="H121" s="256">
        <f t="shared" si="17"/>
        <v>421.76095399999997</v>
      </c>
      <c r="I121" s="256">
        <f t="shared" si="17"/>
        <v>342.70203691206547</v>
      </c>
      <c r="J121" s="256">
        <f t="shared" si="17"/>
        <v>447.79068709016389</v>
      </c>
      <c r="K121" s="256">
        <f t="shared" si="17"/>
        <v>538.80195665983604</v>
      </c>
      <c r="L121" s="256">
        <f t="shared" si="17"/>
        <v>1295.114045</v>
      </c>
      <c r="M121" s="256">
        <f t="shared" si="17"/>
        <v>1002.9745395537525</v>
      </c>
      <c r="N121" s="256">
        <f t="shared" si="17"/>
        <v>1365.08561989899</v>
      </c>
      <c r="O121" s="256">
        <f t="shared" si="17"/>
        <v>2112.3415868951615</v>
      </c>
      <c r="P121" s="256">
        <f t="shared" si="17"/>
        <v>1190.0063340725808</v>
      </c>
      <c r="Q121" s="256">
        <f t="shared" si="17"/>
        <v>1821.7815600000001</v>
      </c>
      <c r="R121" s="256">
        <f t="shared" si="17"/>
        <v>994.27136517311612</v>
      </c>
      <c r="S121" s="256">
        <f t="shared" si="17"/>
        <v>732.48512693877547</v>
      </c>
      <c r="T121" s="256">
        <f t="shared" si="17"/>
        <v>421.10643893877551</v>
      </c>
      <c r="U121" s="256">
        <f t="shared" si="17"/>
        <v>342.17021042944788</v>
      </c>
      <c r="V121" s="256">
        <f t="shared" si="17"/>
        <v>447.09577745901635</v>
      </c>
      <c r="W121" s="256">
        <f t="shared" si="17"/>
        <v>537.96581004098368</v>
      </c>
      <c r="X121" s="256">
        <f t="shared" si="17"/>
        <v>1293.1042059183674</v>
      </c>
      <c r="Y121" s="256">
        <f t="shared" si="17"/>
        <v>1001.418060851927</v>
      </c>
      <c r="Z121" s="256">
        <f t="shared" si="17"/>
        <v>1362.9671945454547</v>
      </c>
    </row>
    <row r="122" spans="1:26">
      <c r="A122" s="124">
        <f>MAX($A$10:A121)+1</f>
        <v>113</v>
      </c>
      <c r="B122" t="s">
        <v>1736</v>
      </c>
      <c r="C122" s="254">
        <f t="shared" ref="C122:N122" si="18">SUM(C118:C121)</f>
        <v>5400.4383359274198</v>
      </c>
      <c r="D122" s="254">
        <f t="shared" si="18"/>
        <v>4053.327453084677</v>
      </c>
      <c r="E122" s="254">
        <f t="shared" si="18"/>
        <v>4885.713608363636</v>
      </c>
      <c r="F122" s="254">
        <f t="shared" si="18"/>
        <v>3560.4968151120161</v>
      </c>
      <c r="G122" s="254">
        <f t="shared" si="18"/>
        <v>2883.7508927142853</v>
      </c>
      <c r="H122" s="254">
        <f t="shared" si="18"/>
        <v>1920.8506655714286</v>
      </c>
      <c r="I122" s="254">
        <f t="shared" si="18"/>
        <v>1648.1023551942742</v>
      </c>
      <c r="J122" s="254">
        <f t="shared" si="18"/>
        <v>1769.0201961680327</v>
      </c>
      <c r="K122" s="254">
        <f t="shared" si="18"/>
        <v>1902.8007381967209</v>
      </c>
      <c r="L122" s="254">
        <f t="shared" si="18"/>
        <v>2923.784320857143</v>
      </c>
      <c r="M122" s="254">
        <f t="shared" si="18"/>
        <v>3133.6858661663287</v>
      </c>
      <c r="N122" s="254">
        <f t="shared" si="18"/>
        <v>4113.7084255555556</v>
      </c>
      <c r="O122" s="254">
        <f t="shared" ref="O122:Z122" si="19">SUM(O118:O121)</f>
        <v>5572.7175145161291</v>
      </c>
      <c r="P122" s="254">
        <f t="shared" si="19"/>
        <v>4227.6958271370977</v>
      </c>
      <c r="Q122" s="254">
        <f t="shared" si="19"/>
        <v>5058.7908426666672</v>
      </c>
      <c r="R122" s="254">
        <f t="shared" si="19"/>
        <v>3735.6290326680246</v>
      </c>
      <c r="S122" s="254">
        <f t="shared" si="19"/>
        <v>3059.9321384081632</v>
      </c>
      <c r="T122" s="254">
        <f t="shared" si="19"/>
        <v>2098.5244296734695</v>
      </c>
      <c r="U122" s="254">
        <f t="shared" si="19"/>
        <v>1826.1988413496933</v>
      </c>
      <c r="V122" s="254">
        <f t="shared" si="19"/>
        <v>1946.9291184836065</v>
      </c>
      <c r="W122" s="254">
        <f t="shared" si="19"/>
        <v>2080.5021595081967</v>
      </c>
      <c r="X122" s="254">
        <f t="shared" si="19"/>
        <v>3099.9020522448982</v>
      </c>
      <c r="Y122" s="254">
        <f t="shared" si="19"/>
        <v>3309.4791777687624</v>
      </c>
      <c r="Z122" s="254">
        <f t="shared" si="19"/>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10:C10"/>
    <mergeCell ref="B22:C22"/>
    <mergeCell ref="B40:C40"/>
    <mergeCell ref="B52:C52"/>
    <mergeCell ref="B70:Z70"/>
    <mergeCell ref="A6:C6"/>
    <mergeCell ref="A1:C1"/>
    <mergeCell ref="A2:C2"/>
    <mergeCell ref="A3:C3"/>
    <mergeCell ref="A4:C4"/>
    <mergeCell ref="A5:C5"/>
  </mergeCells>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F6ED-C207-451C-8AA4-57F5AEE12AB0}">
  <sheetPr codeName="Sheet35"/>
  <dimension ref="A1:X35"/>
  <sheetViews>
    <sheetView zoomScale="85" zoomScaleNormal="85" workbookViewId="0">
      <selection activeCell="I32" sqref="I32"/>
    </sheetView>
  </sheetViews>
  <sheetFormatPr defaultColWidth="9.140625" defaultRowHeight="14.85" customHeight="1"/>
  <cols>
    <col min="1" max="1" width="2.7109375" style="1" customWidth="1"/>
    <col min="2" max="2" width="4.7109375" style="1" customWidth="1"/>
    <col min="3" max="3" width="34.7109375" style="1" bestFit="1" customWidth="1"/>
    <col min="4" max="8" width="16.7109375" style="1" customWidth="1"/>
    <col min="9" max="9" width="19.7109375" style="1" customWidth="1"/>
    <col min="10" max="11" width="16.7109375" style="1" customWidth="1"/>
    <col min="12" max="12" width="2.7109375" style="1" customWidth="1"/>
    <col min="13" max="16" width="1.42578125" style="1" customWidth="1"/>
    <col min="17" max="17" width="16.42578125" style="1" customWidth="1"/>
    <col min="18" max="18" width="1.42578125" style="1" customWidth="1"/>
    <col min="19" max="20" width="9.140625" style="1"/>
    <col min="21" max="21" width="1.42578125" style="1" customWidth="1"/>
    <col min="22" max="23" width="9.140625" style="1"/>
    <col min="24" max="24" width="1.42578125" style="1" customWidth="1"/>
    <col min="25" max="16384" width="9.140625" style="1"/>
  </cols>
  <sheetData>
    <row r="1" spans="1:12" ht="15">
      <c r="A1" s="10" t="s">
        <v>1063</v>
      </c>
      <c r="L1" s="11"/>
    </row>
    <row r="2" spans="1:12" ht="15">
      <c r="A2" s="10" t="s">
        <v>0</v>
      </c>
      <c r="L2" s="11" t="s">
        <v>4169</v>
      </c>
    </row>
    <row r="3" spans="1:12" ht="15">
      <c r="A3" s="10"/>
      <c r="L3" s="11"/>
    </row>
    <row r="4" spans="1:12" ht="15.75" thickBot="1"/>
    <row r="5" spans="1:12" ht="30.75" thickBot="1">
      <c r="B5" s="1297" t="s">
        <v>4168</v>
      </c>
      <c r="C5" s="1297"/>
      <c r="D5" s="1297" t="s">
        <v>4167</v>
      </c>
      <c r="E5" s="1296" t="s">
        <v>4166</v>
      </c>
      <c r="F5" s="1295" t="s">
        <v>4165</v>
      </c>
      <c r="G5" s="1295" t="s">
        <v>4164</v>
      </c>
      <c r="H5" s="1294" t="s">
        <v>4163</v>
      </c>
      <c r="I5" s="1294" t="s">
        <v>4162</v>
      </c>
      <c r="J5" s="1293" t="s">
        <v>4161</v>
      </c>
      <c r="K5" s="1292" t="s">
        <v>4160</v>
      </c>
    </row>
    <row r="6" spans="1:12" ht="15">
      <c r="B6" s="1291"/>
      <c r="C6" s="1290"/>
      <c r="D6" s="1290"/>
      <c r="E6" s="1290"/>
      <c r="F6" s="1290"/>
      <c r="G6" s="1290"/>
      <c r="H6" s="1290"/>
      <c r="I6" s="1290"/>
      <c r="J6" s="1290"/>
      <c r="K6" s="1289"/>
    </row>
    <row r="7" spans="1:12" ht="15">
      <c r="B7" s="1285">
        <v>1</v>
      </c>
      <c r="C7" s="10" t="s">
        <v>4159</v>
      </c>
      <c r="D7" s="65">
        <f>SUM(E7:K7)</f>
        <v>125366415.42627013</v>
      </c>
      <c r="E7" s="65">
        <v>58676042.966684461</v>
      </c>
      <c r="F7" s="65">
        <v>31458385.280462097</v>
      </c>
      <c r="G7" s="65">
        <v>2700980.2054416006</v>
      </c>
      <c r="H7" s="65">
        <v>2740306.8195457892</v>
      </c>
      <c r="I7" s="65">
        <v>166822.89697999999</v>
      </c>
      <c r="J7" s="65">
        <v>26475874.907156188</v>
      </c>
      <c r="K7" s="1042">
        <v>3148002.3499999996</v>
      </c>
    </row>
    <row r="8" spans="1:12" ht="15">
      <c r="B8" s="1288"/>
      <c r="C8" s="8"/>
      <c r="D8" s="65"/>
      <c r="E8" s="65"/>
      <c r="F8" s="65"/>
      <c r="G8" s="65"/>
      <c r="H8" s="65"/>
      <c r="I8" s="65"/>
      <c r="J8" s="65"/>
      <c r="K8" s="1042"/>
    </row>
    <row r="9" spans="1:12" ht="15">
      <c r="B9" s="1288"/>
      <c r="C9" s="8" t="s">
        <v>1019</v>
      </c>
      <c r="D9" s="65">
        <f>SUM(E9:K9)</f>
        <v>30458349.959045291</v>
      </c>
      <c r="E9" s="65">
        <v>17819519.749330748</v>
      </c>
      <c r="F9" s="65">
        <v>2798895.4513108805</v>
      </c>
      <c r="G9" s="65">
        <v>399600.96819471195</v>
      </c>
      <c r="H9" s="65">
        <v>387951.37746852037</v>
      </c>
      <c r="I9" s="65">
        <v>46971.819451675226</v>
      </c>
      <c r="J9" s="65">
        <v>9005410.593288755</v>
      </c>
      <c r="K9" s="1042">
        <v>0</v>
      </c>
    </row>
    <row r="10" spans="1:12" ht="15">
      <c r="B10" s="1285">
        <v>2</v>
      </c>
      <c r="C10" s="10" t="s">
        <v>4158</v>
      </c>
      <c r="D10" s="65">
        <f>SUM(E10:K10)</f>
        <v>155824765.38531542</v>
      </c>
      <c r="E10" s="65">
        <f t="shared" ref="E10:K10" si="0">SUM(E9,E7)</f>
        <v>76495562.716015205</v>
      </c>
      <c r="F10" s="65">
        <f t="shared" si="0"/>
        <v>34257280.731772974</v>
      </c>
      <c r="G10" s="65">
        <f t="shared" si="0"/>
        <v>3100581.1736363126</v>
      </c>
      <c r="H10" s="65">
        <f t="shared" si="0"/>
        <v>3128258.1970143095</v>
      </c>
      <c r="I10" s="65">
        <f t="shared" si="0"/>
        <v>213794.71643167522</v>
      </c>
      <c r="J10" s="65">
        <f t="shared" si="0"/>
        <v>35481285.500444941</v>
      </c>
      <c r="K10" s="1042">
        <f t="shared" si="0"/>
        <v>3148002.3499999996</v>
      </c>
    </row>
    <row r="11" spans="1:12" ht="15">
      <c r="B11" s="1285"/>
      <c r="C11" s="10"/>
      <c r="D11" s="65"/>
      <c r="E11" s="65"/>
      <c r="F11" s="65"/>
      <c r="G11" s="65"/>
      <c r="H11" s="65"/>
      <c r="I11" s="65"/>
      <c r="J11" s="65"/>
      <c r="K11" s="1042"/>
    </row>
    <row r="12" spans="1:12" ht="15">
      <c r="B12" s="1285"/>
      <c r="C12" s="10" t="s">
        <v>4157</v>
      </c>
      <c r="D12" s="65">
        <v>13371323</v>
      </c>
      <c r="E12" s="65">
        <f t="shared" ref="E12:J12" si="1">E10/SUM($E10:$J10)*$D12</f>
        <v>6699427.3182619382</v>
      </c>
      <c r="F12" s="65">
        <f t="shared" si="1"/>
        <v>3000228.4346325737</v>
      </c>
      <c r="G12" s="65">
        <f t="shared" si="1"/>
        <v>271546.70780399261</v>
      </c>
      <c r="H12" s="65">
        <f t="shared" si="1"/>
        <v>273970.64195027883</v>
      </c>
      <c r="I12" s="65">
        <f t="shared" si="1"/>
        <v>18723.990162406648</v>
      </c>
      <c r="J12" s="65">
        <f t="shared" si="1"/>
        <v>3107425.9071888099</v>
      </c>
      <c r="K12" s="1042"/>
    </row>
    <row r="13" spans="1:12" ht="15">
      <c r="B13" s="1285">
        <v>3</v>
      </c>
      <c r="C13" s="10" t="s">
        <v>535</v>
      </c>
      <c r="D13" s="1287">
        <f>SUM(E13:K13)</f>
        <v>169196088.38531542</v>
      </c>
      <c r="E13" s="1287">
        <f t="shared" ref="E13:K13" si="2">SUM(E12,E10)</f>
        <v>83194990.034277141</v>
      </c>
      <c r="F13" s="1287">
        <f t="shared" si="2"/>
        <v>37257509.166405551</v>
      </c>
      <c r="G13" s="1287">
        <f t="shared" si="2"/>
        <v>3372127.8814403052</v>
      </c>
      <c r="H13" s="1287">
        <f t="shared" si="2"/>
        <v>3402228.8389645885</v>
      </c>
      <c r="I13" s="1287">
        <f t="shared" si="2"/>
        <v>232518.70659408186</v>
      </c>
      <c r="J13" s="1287">
        <f t="shared" si="2"/>
        <v>38588711.407633752</v>
      </c>
      <c r="K13" s="1286">
        <f t="shared" si="2"/>
        <v>3148002.3499999996</v>
      </c>
    </row>
    <row r="14" spans="1:12" ht="15">
      <c r="B14" s="1285"/>
      <c r="C14" s="10"/>
      <c r="D14" s="65"/>
      <c r="E14" s="65"/>
      <c r="F14" s="65"/>
      <c r="G14" s="65"/>
      <c r="H14" s="65"/>
      <c r="I14" s="65"/>
      <c r="J14" s="65"/>
      <c r="K14" s="1042"/>
    </row>
    <row r="15" spans="1:12" ht="15">
      <c r="B15" s="1285"/>
      <c r="C15" s="10" t="s">
        <v>4156</v>
      </c>
      <c r="D15" s="65">
        <v>11669242</v>
      </c>
      <c r="E15" s="65">
        <f t="shared" ref="E15:J15" si="3">E10/SUM($E10:$J10)*$D15</f>
        <v>5846634.5206236942</v>
      </c>
      <c r="F15" s="65">
        <f t="shared" si="3"/>
        <v>2618319.1939203539</v>
      </c>
      <c r="G15" s="65">
        <f t="shared" si="3"/>
        <v>236980.60750369116</v>
      </c>
      <c r="H15" s="65">
        <f t="shared" si="3"/>
        <v>239095.99086142454</v>
      </c>
      <c r="I15" s="65">
        <f t="shared" si="3"/>
        <v>16340.550027154564</v>
      </c>
      <c r="J15" s="65">
        <f t="shared" si="3"/>
        <v>2711871.1370636816</v>
      </c>
      <c r="K15" s="1042"/>
    </row>
    <row r="16" spans="1:12" ht="15">
      <c r="B16" s="1285">
        <v>4</v>
      </c>
      <c r="C16" s="10" t="s">
        <v>577</v>
      </c>
      <c r="D16" s="1287">
        <f>SUM(E16:K16)</f>
        <v>180865330.38531542</v>
      </c>
      <c r="E16" s="1287">
        <f t="shared" ref="E16:K16" si="4">SUM(E15,E13)</f>
        <v>89041624.55490084</v>
      </c>
      <c r="F16" s="1287">
        <f t="shared" si="4"/>
        <v>39875828.360325903</v>
      </c>
      <c r="G16" s="1287">
        <f t="shared" si="4"/>
        <v>3609108.4889439964</v>
      </c>
      <c r="H16" s="1287">
        <f t="shared" si="4"/>
        <v>3641324.8298260132</v>
      </c>
      <c r="I16" s="1287">
        <f t="shared" si="4"/>
        <v>248859.25662123642</v>
      </c>
      <c r="J16" s="1287">
        <f t="shared" si="4"/>
        <v>41300582.544697434</v>
      </c>
      <c r="K16" s="1286">
        <f t="shared" si="4"/>
        <v>3148002.3499999996</v>
      </c>
    </row>
    <row r="17" spans="2:24" ht="15">
      <c r="B17" s="1285"/>
      <c r="C17" s="10"/>
      <c r="D17" s="1287"/>
      <c r="E17" s="1287"/>
      <c r="F17" s="1287"/>
      <c r="G17" s="1287"/>
      <c r="H17" s="1287"/>
      <c r="I17" s="1287"/>
      <c r="J17" s="1287"/>
      <c r="K17" s="1286"/>
    </row>
    <row r="18" spans="2:24" ht="15">
      <c r="B18" s="1285"/>
      <c r="C18" s="11"/>
      <c r="D18" s="65"/>
      <c r="E18" s="65"/>
      <c r="F18" s="65"/>
      <c r="G18" s="65"/>
      <c r="H18" s="65"/>
      <c r="I18" s="65"/>
      <c r="J18" s="65"/>
      <c r="K18" s="1286"/>
    </row>
    <row r="19" spans="2:24" ht="14.85" customHeight="1">
      <c r="B19" s="1035"/>
      <c r="C19" s="10"/>
      <c r="D19" s="6"/>
      <c r="E19" s="47"/>
      <c r="F19" s="47"/>
      <c r="G19" s="47"/>
      <c r="K19" s="1286"/>
    </row>
    <row r="20" spans="2:24" ht="14.85" customHeight="1">
      <c r="B20" s="1035"/>
      <c r="C20" s="11"/>
      <c r="E20" s="1284"/>
      <c r="F20" s="1284"/>
      <c r="G20" s="1284"/>
      <c r="H20" s="1284"/>
      <c r="I20" s="1284"/>
      <c r="J20" s="1284"/>
      <c r="K20" s="1286"/>
    </row>
    <row r="21" spans="2:24" ht="15">
      <c r="B21" s="1285">
        <v>5</v>
      </c>
      <c r="C21" s="10"/>
      <c r="D21" s="65"/>
      <c r="E21" s="1284"/>
      <c r="F21" s="1284"/>
      <c r="G21" s="1284"/>
      <c r="H21" s="1284"/>
      <c r="I21" s="1284"/>
      <c r="J21" s="1284"/>
      <c r="K21" s="1042"/>
    </row>
    <row r="22" spans="2:24" ht="14.85" customHeight="1" thickBot="1">
      <c r="B22" s="1283"/>
      <c r="C22" s="1282"/>
      <c r="D22" s="1282"/>
      <c r="E22" s="1282"/>
      <c r="F22" s="1282"/>
      <c r="G22" s="1282"/>
      <c r="H22" s="1282"/>
      <c r="I22" s="1282"/>
      <c r="J22" s="1282"/>
      <c r="K22" s="1281"/>
    </row>
    <row r="23" spans="2:24" ht="7.5" customHeight="1">
      <c r="M23" s="1312"/>
      <c r="N23" s="1312"/>
      <c r="O23" s="1312"/>
      <c r="P23" s="1312"/>
      <c r="Q23" s="1312"/>
      <c r="R23" s="1312"/>
      <c r="S23" s="1312"/>
      <c r="T23" s="1312"/>
      <c r="U23" s="1312"/>
      <c r="V23" s="1312"/>
      <c r="W23" s="1312"/>
      <c r="X23" s="1312"/>
    </row>
    <row r="24" spans="2:24" ht="14.85" customHeight="1">
      <c r="M24" s="1312"/>
      <c r="N24" s="1312"/>
      <c r="O24" s="1312"/>
      <c r="P24" s="1312"/>
      <c r="Q24" s="1312"/>
      <c r="R24" s="1312"/>
      <c r="S24" s="1318" t="s">
        <v>4155</v>
      </c>
      <c r="T24" s="1316"/>
      <c r="U24" s="1312"/>
      <c r="V24" s="1318" t="s">
        <v>4108</v>
      </c>
      <c r="W24" s="1316"/>
      <c r="X24" s="1312"/>
    </row>
    <row r="25" spans="2:24" ht="14.85" customHeight="1">
      <c r="M25" s="1312"/>
      <c r="N25" s="1312"/>
      <c r="O25" s="1312"/>
      <c r="P25" s="1312"/>
      <c r="Q25" s="1312"/>
      <c r="R25" s="1312"/>
      <c r="S25" s="1317" t="s">
        <v>4179</v>
      </c>
      <c r="T25" s="1317" t="s">
        <v>4180</v>
      </c>
      <c r="U25" s="1312"/>
      <c r="V25" s="1317" t="s">
        <v>4179</v>
      </c>
      <c r="W25" s="1317" t="s">
        <v>4180</v>
      </c>
      <c r="X25" s="1312"/>
    </row>
    <row r="26" spans="2:24" ht="7.5" customHeight="1">
      <c r="M26" s="1312"/>
      <c r="N26" s="1312"/>
      <c r="O26" s="1312"/>
      <c r="P26" s="1312"/>
      <c r="Q26" s="1312"/>
      <c r="R26" s="1312"/>
      <c r="S26" s="1312"/>
      <c r="T26" s="1312"/>
      <c r="U26" s="1312"/>
      <c r="V26" s="1312"/>
      <c r="W26" s="1312"/>
      <c r="X26" s="1312"/>
    </row>
    <row r="27" spans="2:24" ht="14.85" customHeight="1">
      <c r="M27" s="1312"/>
      <c r="N27" s="1315">
        <v>1</v>
      </c>
      <c r="O27" s="1312"/>
      <c r="P27" s="1314"/>
      <c r="Q27" s="1312" t="str" cm="1">
        <f t="array" ref="Q27:Q32">+TRANSPOSE(E5:J5)</f>
        <v>Residential - 503</v>
      </c>
      <c r="R27" s="1312"/>
      <c r="S27" s="1313">
        <f>+(E12+E9)/E7</f>
        <v>0.4178698124124397</v>
      </c>
      <c r="T27" s="1313">
        <f>+E15/E13</f>
        <v>7.0276281278654207E-2</v>
      </c>
      <c r="U27" s="1312"/>
      <c r="V27" s="1313">
        <f>+'Table 1'!I33</f>
        <v>0.15183114264579423</v>
      </c>
      <c r="W27" s="1313">
        <f>+'Table 1'!K33</f>
        <v>6.9712760445069782E-3</v>
      </c>
      <c r="X27" s="1312"/>
    </row>
    <row r="28" spans="2:24" ht="14.85" customHeight="1">
      <c r="E28" s="6"/>
      <c r="F28" s="6"/>
      <c r="G28" s="6"/>
      <c r="H28" s="6"/>
      <c r="I28" s="6"/>
      <c r="J28" s="6"/>
      <c r="K28" s="6"/>
      <c r="M28" s="1312"/>
      <c r="N28" s="1315">
        <v>2</v>
      </c>
      <c r="O28" s="1312"/>
      <c r="P28" s="1314"/>
      <c r="Q28" s="1319" t="str">
        <v>Commercial - 504</v>
      </c>
      <c r="R28" s="1319"/>
      <c r="S28" s="1320">
        <f>+(F12+F9)/F7</f>
        <v>0.1843427065388866</v>
      </c>
      <c r="T28" s="1320">
        <f>+F15/F13</f>
        <v>7.0276281278654207E-2</v>
      </c>
      <c r="U28" s="1319"/>
      <c r="V28" s="1320">
        <f>+V27</f>
        <v>0.15183114264579423</v>
      </c>
      <c r="W28" s="1320">
        <f>+W27</f>
        <v>6.9712760445069782E-3</v>
      </c>
      <c r="X28" s="1312"/>
    </row>
    <row r="29" spans="2:24" ht="14.85" customHeight="1">
      <c r="M29" s="1312"/>
      <c r="N29" s="1315">
        <v>3</v>
      </c>
      <c r="O29" s="1312"/>
      <c r="P29" s="1314"/>
      <c r="Q29" s="1312" t="str">
        <v>Industrial - 505</v>
      </c>
      <c r="R29" s="1312"/>
      <c r="S29" s="1313">
        <f>+(G12+G9)/G7</f>
        <v>0.2484830042984244</v>
      </c>
      <c r="T29" s="1313">
        <f>+G15/G13</f>
        <v>7.0276281278654193E-2</v>
      </c>
      <c r="U29" s="1312"/>
      <c r="V29" s="1313">
        <f t="shared" ref="V29:V32" si="5">+V28</f>
        <v>0.15183114264579423</v>
      </c>
      <c r="W29" s="1313">
        <f t="shared" ref="W29:W32" si="6">+W28</f>
        <v>6.9712760445069782E-3</v>
      </c>
      <c r="X29" s="1312"/>
    </row>
    <row r="30" spans="2:24" ht="14.85" customHeight="1">
      <c r="M30" s="1312"/>
      <c r="N30" s="1315">
        <v>4</v>
      </c>
      <c r="O30" s="1312"/>
      <c r="P30" s="1314"/>
      <c r="Q30" s="1319" t="str">
        <v>Large Volume - 511</v>
      </c>
      <c r="R30" s="1319"/>
      <c r="S30" s="1320">
        <f>+(H12+H9)/H7</f>
        <v>0.24155033104231519</v>
      </c>
      <c r="T30" s="1320">
        <f>+H15/H13</f>
        <v>7.0276281278654207E-2</v>
      </c>
      <c r="U30" s="1319"/>
      <c r="V30" s="1320">
        <f t="shared" si="5"/>
        <v>0.15183114264579423</v>
      </c>
      <c r="W30" s="1320">
        <f t="shared" si="6"/>
        <v>6.9712760445069782E-3</v>
      </c>
      <c r="X30" s="1312"/>
    </row>
    <row r="31" spans="2:24" ht="14.85" customHeight="1">
      <c r="M31" s="1312"/>
      <c r="N31" s="1315">
        <v>5</v>
      </c>
      <c r="O31" s="1312"/>
      <c r="P31" s="1314"/>
      <c r="Q31" s="1312" t="str">
        <v>Interruptible - 570</v>
      </c>
      <c r="R31" s="1312"/>
      <c r="S31" s="1313">
        <f>+(I12+I9)/I7</f>
        <v>0.39380571134643455</v>
      </c>
      <c r="T31" s="1313">
        <f>+I15/I13</f>
        <v>7.0276281278654207E-2</v>
      </c>
      <c r="U31" s="1312"/>
      <c r="V31" s="1313">
        <f t="shared" si="5"/>
        <v>0.15183114264579423</v>
      </c>
      <c r="W31" s="1313">
        <f t="shared" si="6"/>
        <v>6.9712760445069782E-3</v>
      </c>
      <c r="X31" s="1312"/>
    </row>
    <row r="32" spans="2:24" ht="14.85" customHeight="1">
      <c r="M32" s="1312"/>
      <c r="N32" s="1315">
        <v>6</v>
      </c>
      <c r="O32" s="1312"/>
      <c r="P32" s="1314"/>
      <c r="Q32" s="1319" t="str">
        <v>Transport - 663</v>
      </c>
      <c r="R32" s="1319"/>
      <c r="S32" s="1321">
        <f>+(J12+J9)/J7</f>
        <v>0.45750467332822969</v>
      </c>
      <c r="T32" s="1321">
        <f>+J15/J13</f>
        <v>7.0276281278654207E-2</v>
      </c>
      <c r="U32" s="1319"/>
      <c r="V32" s="1321">
        <f t="shared" si="5"/>
        <v>0.15183114264579423</v>
      </c>
      <c r="W32" s="1321">
        <f t="shared" si="6"/>
        <v>6.9712760445069782E-3</v>
      </c>
      <c r="X32" s="1312"/>
    </row>
    <row r="33" spans="6:24" ht="7.5" customHeight="1">
      <c r="F33" s="1">
        <v>2</v>
      </c>
      <c r="M33" s="1312"/>
      <c r="N33" s="1315"/>
      <c r="O33" s="1312"/>
      <c r="P33" s="1314"/>
      <c r="Q33" s="1312"/>
      <c r="R33" s="1312"/>
      <c r="S33" s="1312"/>
      <c r="T33" s="1312"/>
      <c r="U33" s="1312"/>
      <c r="V33" s="1312"/>
      <c r="W33" s="1312"/>
      <c r="X33" s="1312"/>
    </row>
    <row r="34" spans="6:24" ht="14.85" customHeight="1">
      <c r="M34" s="1312"/>
      <c r="N34" s="1315">
        <v>7</v>
      </c>
      <c r="O34" s="1312"/>
      <c r="P34" s="1314"/>
      <c r="Q34" s="1312" t="s">
        <v>4151</v>
      </c>
      <c r="R34" s="1312"/>
      <c r="S34" s="1313">
        <f>+(D12+D9)/D7</f>
        <v>0.34961255620188153</v>
      </c>
      <c r="T34" s="1313">
        <f>+D15/D13</f>
        <v>6.8968745739708112E-2</v>
      </c>
      <c r="U34" s="1312"/>
      <c r="V34" s="1313">
        <f>+'Table 1'!I25</f>
        <v>0.14858411523814594</v>
      </c>
      <c r="W34" s="1313">
        <f>+'Table 1'!K25</f>
        <v>6.8414760816239498E-3</v>
      </c>
      <c r="X34" s="1312"/>
    </row>
    <row r="35" spans="6:24" ht="7.5" customHeight="1">
      <c r="M35" s="1312"/>
      <c r="N35" s="1312"/>
      <c r="O35" s="1312"/>
      <c r="P35" s="1312"/>
      <c r="Q35" s="1312"/>
      <c r="R35" s="1312"/>
      <c r="S35" s="1312"/>
      <c r="T35" s="1312"/>
      <c r="U35" s="1312"/>
      <c r="V35" s="1312"/>
      <c r="W35" s="1312"/>
      <c r="X35" s="1312"/>
    </row>
  </sheetData>
  <pageMargins left="0.7" right="0.7" top="0.75" bottom="0.75" header="0.3" footer="0.3"/>
  <pageSetup scale="64" orientation="landscape"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6240-B3A8-4CFB-B4E0-BAC9D7378933}">
  <sheetPr codeName="Sheet12">
    <tabColor rgb="FFFFC000"/>
  </sheetPr>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0820-5FC2-41B2-B094-130364AAABE1}">
  <sheetPr codeName="Sheet38"/>
  <dimension ref="A1:B4"/>
  <sheetViews>
    <sheetView workbookViewId="0"/>
  </sheetViews>
  <sheetFormatPr defaultColWidth="8.85546875" defaultRowHeight="15"/>
  <cols>
    <col min="1" max="1" width="6" style="53" bestFit="1" customWidth="1"/>
    <col min="2" max="2" width="37.85546875" style="53" bestFit="1" customWidth="1"/>
    <col min="3" max="16384" width="8.85546875" style="53"/>
  </cols>
  <sheetData>
    <row r="1" spans="1:2">
      <c r="A1" s="12" t="str">
        <f ca="1">MID(CELL("filename",A1),FIND("]",CELL("filename",A1))+1,255)</f>
        <v>Cover</v>
      </c>
      <c r="B1" s="12"/>
    </row>
    <row r="2" spans="1:2">
      <c r="B2" s="53" t="str">
        <f>Company</f>
        <v>Cascade Natural Gas Corp.</v>
      </c>
    </row>
    <row r="3" spans="1:2">
      <c r="B3" s="53" t="s">
        <v>0</v>
      </c>
    </row>
    <row r="4" spans="1:2">
      <c r="B4" s="53" t="str">
        <f>Title3</f>
        <v>Multi-year Rate Case</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627F-14B6-4181-98D2-8E975F23D9CB}">
  <sheetPr codeName="Sheet40">
    <pageSetUpPr fitToPage="1"/>
  </sheetPr>
  <dimension ref="A1:Q171"/>
  <sheetViews>
    <sheetView workbookViewId="0">
      <selection activeCell="A2" sqref="A2:A6"/>
    </sheetView>
  </sheetViews>
  <sheetFormatPr defaultColWidth="9.28515625" defaultRowHeight="15"/>
  <cols>
    <col min="1" max="1" width="42.42578125" style="1" bestFit="1" customWidth="1"/>
    <col min="2" max="2" width="23.85546875" style="1" bestFit="1" customWidth="1"/>
    <col min="3" max="3" width="20.28515625" style="1" bestFit="1" customWidth="1"/>
    <col min="4" max="4" width="18.42578125" style="1" bestFit="1" customWidth="1"/>
    <col min="5" max="5" width="22.140625" style="1" bestFit="1" customWidth="1"/>
    <col min="6" max="6" width="23.5703125" style="1" bestFit="1" customWidth="1"/>
    <col min="7" max="7" width="21.42578125" style="1" bestFit="1" customWidth="1"/>
    <col min="8" max="8" width="18" style="1" bestFit="1" customWidth="1"/>
    <col min="9" max="15" width="9.28515625" style="1"/>
    <col min="16" max="17" width="2" style="1" bestFit="1" customWidth="1"/>
    <col min="18" max="16384" width="9.28515625" style="1"/>
  </cols>
  <sheetData>
    <row r="1" spans="1:8">
      <c r="A1" s="12" t="str">
        <f ca="1">MID(CELL("filename",A1),FIND("]",CELL("filename",A1))+1,255)</f>
        <v>Title</v>
      </c>
      <c r="B1" s="12" t="s">
        <v>1</v>
      </c>
    </row>
    <row r="2" spans="1:8">
      <c r="A2" s="934" t="s">
        <v>2</v>
      </c>
      <c r="B2" s="1" t="s">
        <v>3</v>
      </c>
    </row>
    <row r="3" spans="1:8">
      <c r="A3" s="935" t="s">
        <v>0</v>
      </c>
      <c r="B3" s="1" t="s">
        <v>4</v>
      </c>
    </row>
    <row r="4" spans="1:8">
      <c r="A4" s="935" t="s">
        <v>5</v>
      </c>
      <c r="B4" s="1" t="s">
        <v>6</v>
      </c>
    </row>
    <row r="5" spans="1:8">
      <c r="A5" s="384" t="s">
        <v>7</v>
      </c>
      <c r="B5" s="1" t="s">
        <v>8</v>
      </c>
    </row>
    <row r="6" spans="1:8">
      <c r="A6" s="935" t="s">
        <v>9</v>
      </c>
      <c r="B6" s="1" t="s">
        <v>10</v>
      </c>
    </row>
    <row r="7" spans="1:8">
      <c r="A7" s="53"/>
    </row>
    <row r="8" spans="1:8">
      <c r="A8" s="286" t="s">
        <v>11</v>
      </c>
      <c r="B8" s="287">
        <v>503</v>
      </c>
      <c r="C8" s="287">
        <v>504</v>
      </c>
      <c r="D8" s="287">
        <v>505</v>
      </c>
      <c r="E8" s="287">
        <v>511</v>
      </c>
      <c r="F8" s="287">
        <v>663</v>
      </c>
      <c r="G8" s="287">
        <v>570</v>
      </c>
      <c r="H8" s="485" t="s">
        <v>12</v>
      </c>
    </row>
    <row r="9" spans="1:8">
      <c r="A9" s="288"/>
      <c r="B9" s="2" t="s">
        <v>13</v>
      </c>
      <c r="C9" s="2" t="s">
        <v>14</v>
      </c>
      <c r="D9" s="2" t="s">
        <v>15</v>
      </c>
      <c r="E9" s="2" t="s">
        <v>16</v>
      </c>
      <c r="F9" s="2" t="s">
        <v>17</v>
      </c>
      <c r="G9" s="2" t="s">
        <v>18</v>
      </c>
      <c r="H9" s="13" t="s">
        <v>19</v>
      </c>
    </row>
    <row r="10" spans="1:8">
      <c r="A10" s="289"/>
      <c r="B10" s="432" t="s">
        <v>20</v>
      </c>
      <c r="C10" s="432" t="s">
        <v>20</v>
      </c>
      <c r="D10" s="432" t="s">
        <v>20</v>
      </c>
      <c r="E10" s="432" t="s">
        <v>20</v>
      </c>
      <c r="F10" s="432" t="s">
        <v>21</v>
      </c>
      <c r="G10" s="432" t="s">
        <v>20</v>
      </c>
      <c r="H10" s="433" t="s">
        <v>21</v>
      </c>
    </row>
    <row r="171" spans="2:17">
      <c r="B171" s="1" t="s">
        <v>22</v>
      </c>
      <c r="P171" s="1">
        <f>P132+P161</f>
        <v>0</v>
      </c>
      <c r="Q171" s="1">
        <f>Q132+Q161</f>
        <v>0</v>
      </c>
    </row>
  </sheetData>
  <dataValidations count="1">
    <dataValidation type="list" allowBlank="1" showInputMessage="1" showErrorMessage="1" sqref="A3" xr:uid="{12B3CDC0-6B70-48F8-B1E5-69BCF3B52A40}">
      <formula1>"Washington Jurisdiction, Oregon Jurisdiction"</formula1>
    </dataValidation>
  </dataValidations>
  <pageMargins left="0.25" right="0.25" top="0.75" bottom="0.75" header="0.3" footer="0.3"/>
  <pageSetup scale="7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01F98-D751-476B-843A-EEB1C225417B}">
  <sheetPr codeName="Sheet52"/>
  <dimension ref="A1:H141"/>
  <sheetViews>
    <sheetView view="pageBreakPreview" zoomScale="60" zoomScaleNormal="100" workbookViewId="0">
      <selection activeCell="A4" sqref="A4:G4"/>
    </sheetView>
  </sheetViews>
  <sheetFormatPr defaultColWidth="9.140625" defaultRowHeight="15"/>
  <cols>
    <col min="1" max="1" width="5.7109375" style="386" customWidth="1"/>
    <col min="2" max="2" width="43.140625" style="386" customWidth="1"/>
    <col min="3" max="3" width="26.5703125" style="386" customWidth="1"/>
    <col min="4" max="5" width="18.85546875" style="386" bestFit="1" customWidth="1"/>
    <col min="6" max="6" width="25.85546875" style="386" customWidth="1"/>
    <col min="7" max="7" width="17.7109375" style="386" bestFit="1" customWidth="1"/>
    <col min="8" max="8" width="13.42578125" style="386" bestFit="1" customWidth="1"/>
    <col min="9" max="16384" width="9.140625" style="386"/>
  </cols>
  <sheetData>
    <row r="1" spans="1:7" s="1" customFormat="1">
      <c r="A1" s="1406" t="str">
        <f>Company</f>
        <v>Cascade Natural Gas Corp.</v>
      </c>
      <c r="B1" s="1406"/>
      <c r="C1" s="1406"/>
      <c r="D1" s="1406"/>
      <c r="E1" s="1406"/>
      <c r="F1" s="1406"/>
      <c r="G1" s="1406"/>
    </row>
    <row r="2" spans="1:7" s="1" customFormat="1">
      <c r="A2" s="1406" t="s">
        <v>3784</v>
      </c>
      <c r="B2" s="1406"/>
      <c r="C2" s="1406"/>
      <c r="D2" s="1406"/>
      <c r="E2" s="1406"/>
      <c r="F2" s="1406"/>
      <c r="G2" s="1406"/>
    </row>
    <row r="3" spans="1:7" s="1" customFormat="1">
      <c r="A3" s="1406" t="s">
        <v>23</v>
      </c>
      <c r="B3" s="1406"/>
      <c r="C3" s="1406"/>
      <c r="D3" s="1406"/>
      <c r="E3" s="1406"/>
      <c r="F3" s="1406"/>
      <c r="G3" s="1406"/>
    </row>
    <row r="4" spans="1:7" s="387" customFormat="1">
      <c r="A4" s="1406" t="s">
        <v>24</v>
      </c>
      <c r="B4" s="1406"/>
      <c r="C4" s="1406"/>
      <c r="D4" s="1406"/>
      <c r="E4" s="1406"/>
      <c r="F4" s="1406"/>
      <c r="G4" s="1406"/>
    </row>
    <row r="5" spans="1:7" s="387" customFormat="1">
      <c r="A5" s="1412"/>
      <c r="B5" s="1412"/>
      <c r="C5" s="1412"/>
      <c r="D5" s="1412"/>
      <c r="E5" s="1412"/>
    </row>
    <row r="6" spans="1:7" s="387" customFormat="1">
      <c r="A6" s="881"/>
      <c r="B6" s="881"/>
      <c r="C6" s="881"/>
      <c r="D6" s="881"/>
      <c r="E6" s="881"/>
    </row>
    <row r="7" spans="1:7">
      <c r="A7" s="900" t="s">
        <v>25</v>
      </c>
      <c r="B7" s="879"/>
      <c r="C7" s="879"/>
      <c r="D7" s="879"/>
      <c r="E7" s="879"/>
    </row>
    <row r="8" spans="1:7">
      <c r="A8" s="880" t="s">
        <v>26</v>
      </c>
      <c r="B8" s="1408" t="s">
        <v>27</v>
      </c>
      <c r="C8" s="1408"/>
      <c r="D8" s="1408"/>
      <c r="E8" s="1408"/>
    </row>
    <row r="9" spans="1:7">
      <c r="A9" s="880"/>
      <c r="B9" s="1408"/>
      <c r="C9" s="1408"/>
      <c r="D9" s="1408"/>
      <c r="E9" s="1408"/>
    </row>
    <row r="10" spans="1:7">
      <c r="A10" s="880"/>
      <c r="B10" s="1408"/>
      <c r="C10" s="1408"/>
      <c r="D10" s="1408"/>
      <c r="E10" s="1408"/>
    </row>
    <row r="11" spans="1:7">
      <c r="A11" s="881"/>
    </row>
    <row r="12" spans="1:7">
      <c r="A12" s="881"/>
      <c r="B12" s="386" t="s">
        <v>28</v>
      </c>
      <c r="D12" s="881"/>
    </row>
    <row r="13" spans="1:7">
      <c r="A13" s="881"/>
      <c r="B13" s="882"/>
      <c r="D13" s="883"/>
      <c r="E13" s="883"/>
    </row>
    <row r="14" spans="1:7">
      <c r="A14" s="881"/>
      <c r="C14" s="884" t="s">
        <v>29</v>
      </c>
      <c r="D14" s="885">
        <v>7188900</v>
      </c>
      <c r="E14" s="885"/>
    </row>
    <row r="15" spans="1:7">
      <c r="A15" s="881"/>
      <c r="C15" s="884"/>
      <c r="D15" s="885"/>
    </row>
    <row r="16" spans="1:7">
      <c r="A16" s="881"/>
      <c r="D16" s="901">
        <v>2023</v>
      </c>
      <c r="E16" s="883"/>
    </row>
    <row r="17" spans="1:8">
      <c r="A17" s="881"/>
      <c r="C17" s="886" t="s">
        <v>30</v>
      </c>
      <c r="D17" s="885">
        <f>'Summary Document Support'!D28</f>
        <v>7311279.3599999975</v>
      </c>
      <c r="E17" s="885"/>
    </row>
    <row r="18" spans="1:8">
      <c r="A18" s="881"/>
      <c r="C18" s="887"/>
    </row>
    <row r="19" spans="1:8" s="358" customFormat="1" ht="31.5" customHeight="1">
      <c r="A19" s="888" t="s">
        <v>32</v>
      </c>
      <c r="B19" s="1409" t="s">
        <v>33</v>
      </c>
      <c r="C19" s="1409"/>
      <c r="D19" s="1409"/>
      <c r="E19" s="1409"/>
    </row>
    <row r="20" spans="1:8" ht="30">
      <c r="A20" s="881"/>
      <c r="B20" s="1410"/>
      <c r="C20" s="1410"/>
      <c r="D20" s="902" t="s">
        <v>34</v>
      </c>
      <c r="E20" s="902" t="s">
        <v>35</v>
      </c>
      <c r="F20" s="885"/>
      <c r="G20" s="885"/>
    </row>
    <row r="21" spans="1:8">
      <c r="A21" s="881"/>
      <c r="B21" s="1410" t="s">
        <v>36</v>
      </c>
      <c r="C21" s="1410"/>
      <c r="D21" s="885">
        <f>'Exh JAD-3 ROO Summary'!E13+'Exh JAD-4 MYRP Summary'!D13</f>
        <v>147200726.64810663</v>
      </c>
      <c r="E21" s="885">
        <f>'Exh JAD-4 MYRP Summary'!K13</f>
        <v>193077477.55235988</v>
      </c>
      <c r="F21" s="885"/>
    </row>
    <row r="22" spans="1:8" ht="30">
      <c r="A22" s="881"/>
      <c r="B22" s="1410"/>
      <c r="C22" s="1410"/>
      <c r="D22" s="902" t="str">
        <f>D$20</f>
        <v>Rate Effective Date - March 1, 2025</v>
      </c>
      <c r="E22" s="902" t="str">
        <f>E$20</f>
        <v>Rate Effective Date - March 1, 2026</v>
      </c>
      <c r="F22" s="885"/>
      <c r="G22" s="885"/>
    </row>
    <row r="23" spans="1:8">
      <c r="A23" s="881"/>
      <c r="B23" s="1410" t="s">
        <v>37</v>
      </c>
      <c r="C23" s="1410"/>
      <c r="D23" s="885">
        <f>'Exh JAD-4 MYRP Summary'!G13</f>
        <v>191030399.64810663</v>
      </c>
      <c r="E23" s="885">
        <f>'Exh JAD-4 MYRP Summary'!M13</f>
        <v>204746719.55235988</v>
      </c>
      <c r="G23" s="885"/>
      <c r="H23" s="885"/>
    </row>
    <row r="24" spans="1:8">
      <c r="A24" s="881"/>
      <c r="B24" s="882"/>
      <c r="C24" s="898"/>
      <c r="D24" s="885"/>
      <c r="E24" s="885"/>
      <c r="G24" s="885"/>
    </row>
    <row r="25" spans="1:8">
      <c r="A25" s="880" t="s">
        <v>38</v>
      </c>
      <c r="B25" s="889" t="s">
        <v>39</v>
      </c>
      <c r="D25" s="885"/>
      <c r="E25" s="885"/>
    </row>
    <row r="26" spans="1:8">
      <c r="A26" s="880"/>
      <c r="B26" s="889"/>
      <c r="D26" s="885"/>
      <c r="E26" s="885"/>
    </row>
    <row r="27" spans="1:8" ht="30">
      <c r="A27" s="881"/>
      <c r="D27" s="902" t="s">
        <v>34</v>
      </c>
      <c r="E27" s="902" t="s">
        <v>35</v>
      </c>
    </row>
    <row r="28" spans="1:8">
      <c r="A28" s="881"/>
      <c r="B28" s="386" t="s">
        <v>40</v>
      </c>
      <c r="C28" s="882"/>
      <c r="D28" s="890">
        <f>'Summary Document Support'!B36</f>
        <v>0.35454931846490656</v>
      </c>
      <c r="E28" s="890">
        <f>'Summary Document Support'!B40</f>
        <v>6.1478629565420738E-2</v>
      </c>
    </row>
    <row r="29" spans="1:8">
      <c r="A29" s="881"/>
      <c r="B29" s="386" t="s">
        <v>41</v>
      </c>
      <c r="C29" s="882"/>
      <c r="D29" s="890">
        <f>'Summary Document Support'!C36</f>
        <v>0.14718326653768662</v>
      </c>
      <c r="E29" s="890">
        <f>'Summary Document Support'!C40</f>
        <v>5.7192863988683208E-2</v>
      </c>
    </row>
    <row r="30" spans="1:8">
      <c r="A30" s="881"/>
      <c r="B30" s="386" t="s">
        <v>42</v>
      </c>
      <c r="C30" s="882"/>
      <c r="D30" s="890">
        <f>'Summary Document Support'!D36</f>
        <v>0.19891444610213907</v>
      </c>
      <c r="E30" s="890">
        <f>'Summary Document Support'!D40</f>
        <v>5.8005233226729409E-2</v>
      </c>
    </row>
    <row r="31" spans="1:8">
      <c r="A31" s="881"/>
      <c r="B31" s="386" t="s">
        <v>43</v>
      </c>
      <c r="C31" s="882"/>
      <c r="D31" s="890">
        <f>'Summary Document Support'!E36</f>
        <v>0.19612192232105255</v>
      </c>
      <c r="E31" s="890">
        <f>'Summary Document Support'!E40</f>
        <v>5.9226512005071862E-2</v>
      </c>
    </row>
    <row r="32" spans="1:8">
      <c r="A32" s="881"/>
      <c r="B32" s="386" t="s">
        <v>44</v>
      </c>
      <c r="C32" s="882"/>
      <c r="D32" s="890">
        <f>'Summary Document Support'!F36</f>
        <v>0.3475704089070219</v>
      </c>
      <c r="E32" s="890">
        <f>'Summary Document Support'!F40</f>
        <v>6.415349642707964E-2</v>
      </c>
    </row>
    <row r="33" spans="1:7">
      <c r="A33" s="881"/>
      <c r="B33" s="386" t="s">
        <v>45</v>
      </c>
      <c r="C33" s="882"/>
      <c r="D33" s="890">
        <f>'Summary Document Support'!G36</f>
        <v>0.42813470438458429</v>
      </c>
      <c r="E33" s="890">
        <f>'Summary Document Support'!G40</f>
        <v>6.7117296362546416E-2</v>
      </c>
    </row>
    <row r="34" spans="1:7">
      <c r="A34" s="881"/>
      <c r="B34" s="386" t="s">
        <v>46</v>
      </c>
      <c r="D34" s="890">
        <f>'Exh JAD-5, Rev Req Calc'!E19</f>
        <v>0.29775446085111945</v>
      </c>
      <c r="E34" s="890">
        <f>'Exh JAD-5, Rev Req Calc'!F19</f>
        <v>6.0438131613955164E-2</v>
      </c>
    </row>
    <row r="35" spans="1:7">
      <c r="A35" s="881"/>
      <c r="E35" s="891"/>
    </row>
    <row r="36" spans="1:7">
      <c r="A36" s="880" t="s">
        <v>47</v>
      </c>
      <c r="B36" s="889" t="s">
        <v>48</v>
      </c>
    </row>
    <row r="37" spans="1:7" ht="30">
      <c r="A37" s="881"/>
      <c r="D37" s="902" t="s">
        <v>34</v>
      </c>
      <c r="E37" s="902" t="s">
        <v>35</v>
      </c>
    </row>
    <row r="38" spans="1:7">
      <c r="A38" s="881"/>
      <c r="B38" s="386" t="str">
        <f t="shared" ref="B38:B44" si="0">B28</f>
        <v>Residential Service (Sch. 503)</v>
      </c>
      <c r="C38" s="882"/>
      <c r="D38" s="892">
        <f>'Summary Document Support'!B35</f>
        <v>24518947.067592688</v>
      </c>
      <c r="E38" s="892">
        <f>'Summary Document Support'!B39</f>
        <v>5846634.5206236942</v>
      </c>
    </row>
    <row r="39" spans="1:7">
      <c r="A39" s="881"/>
      <c r="B39" s="386" t="str">
        <f t="shared" si="0"/>
        <v>Commercial Service (Sch. 504)</v>
      </c>
      <c r="C39" s="882"/>
      <c r="D39" s="892">
        <f>'Summary Document Support'!C35</f>
        <v>5799123.8859434538</v>
      </c>
      <c r="E39" s="892">
        <f>'Summary Document Support'!C39</f>
        <v>2618319.1939203539</v>
      </c>
    </row>
    <row r="40" spans="1:7">
      <c r="A40" s="881"/>
      <c r="B40" s="386" t="str">
        <f t="shared" si="0"/>
        <v>Industrial Service (Sch. 505)</v>
      </c>
      <c r="C40" s="882"/>
      <c r="D40" s="892">
        <f>'Summary Document Support'!D35</f>
        <v>671147.67599870451</v>
      </c>
      <c r="E40" s="892">
        <f>'Summary Document Support'!D39</f>
        <v>236980.60750369116</v>
      </c>
    </row>
    <row r="41" spans="1:7">
      <c r="A41" s="881"/>
      <c r="B41" s="386" t="str">
        <f t="shared" si="0"/>
        <v>Large Volume Service (Sch. 511)</v>
      </c>
      <c r="C41" s="882"/>
      <c r="D41" s="892">
        <f>'Summary Document Support'!E35</f>
        <v>661922.0194187992</v>
      </c>
      <c r="E41" s="892">
        <f>'Summary Document Support'!E39</f>
        <v>239095.99086142454</v>
      </c>
    </row>
    <row r="42" spans="1:7">
      <c r="A42" s="881"/>
      <c r="B42" s="386" t="str">
        <f t="shared" si="0"/>
        <v>Interruptible Service (Sch. 570)</v>
      </c>
      <c r="C42" s="882"/>
      <c r="D42" s="892">
        <f>'Summary Document Support'!F35</f>
        <v>65695.809614081867</v>
      </c>
      <c r="E42" s="892">
        <f>'Summary Document Support'!F39</f>
        <v>16340.550027154564</v>
      </c>
    </row>
    <row r="43" spans="1:7">
      <c r="A43" s="881"/>
      <c r="B43" s="386" t="str">
        <f t="shared" si="0"/>
        <v>Transportation Service (Sch. 663)</v>
      </c>
      <c r="C43" s="882"/>
      <c r="D43" s="892">
        <f>'Summary Document Support'!G35</f>
        <v>12112836.500477565</v>
      </c>
      <c r="E43" s="892">
        <f>'Summary Document Support'!G39</f>
        <v>2711871.1370636816</v>
      </c>
    </row>
    <row r="44" spans="1:7">
      <c r="A44" s="881"/>
      <c r="B44" s="386" t="str">
        <f t="shared" si="0"/>
        <v>Total requested revenue change</v>
      </c>
      <c r="D44" s="885">
        <f>'Exh JAD-5, Rev Req Calc'!E15</f>
        <v>43829673</v>
      </c>
      <c r="E44" s="885">
        <f>'Exh JAD-5, Rev Req Calc'!F15</f>
        <v>11669242</v>
      </c>
    </row>
    <row r="45" spans="1:7">
      <c r="A45" s="881"/>
      <c r="D45" s="885"/>
      <c r="E45" s="885"/>
    </row>
    <row r="46" spans="1:7">
      <c r="A46" s="881"/>
    </row>
    <row r="47" spans="1:7" ht="44.25" customHeight="1">
      <c r="A47" s="893" t="s">
        <v>49</v>
      </c>
      <c r="B47" s="1409" t="s">
        <v>50</v>
      </c>
      <c r="C47" s="1409"/>
      <c r="D47" s="1409"/>
      <c r="E47" s="1409"/>
    </row>
    <row r="48" spans="1:7">
      <c r="A48" s="881"/>
      <c r="D48" s="1411" t="s">
        <v>3785</v>
      </c>
      <c r="E48" s="1411"/>
      <c r="F48" s="1411" t="s">
        <v>3786</v>
      </c>
      <c r="G48" s="1411"/>
    </row>
    <row r="49" spans="1:8" ht="45">
      <c r="A49" s="881"/>
      <c r="D49" s="902" t="s">
        <v>34</v>
      </c>
      <c r="E49" s="902" t="s">
        <v>35</v>
      </c>
      <c r="F49" s="902" t="s">
        <v>34</v>
      </c>
      <c r="G49" s="902" t="s">
        <v>35</v>
      </c>
    </row>
    <row r="50" spans="1:8">
      <c r="A50" s="881"/>
      <c r="B50" s="386" t="s">
        <v>3783</v>
      </c>
      <c r="C50" s="882"/>
      <c r="D50" s="894">
        <f>'Summary Document Support'!E50</f>
        <v>9.399431666666672</v>
      </c>
      <c r="E50" s="894">
        <f>'Summary Document Support'!H50</f>
        <v>1.7403916666666674</v>
      </c>
      <c r="F50" s="891">
        <f>'Summary Document Support'!F50</f>
        <v>0.12621676174899571</v>
      </c>
      <c r="G50" s="891">
        <f>'Summary Document Support'!I50</f>
        <v>2.075106768931571E-2</v>
      </c>
    </row>
    <row r="51" spans="1:8">
      <c r="A51" s="881"/>
      <c r="B51" s="386" t="str">
        <f>B39</f>
        <v>Commercial Service (Sch. 504)</v>
      </c>
      <c r="C51" s="882"/>
      <c r="D51" s="894">
        <f>'Summary Document Support'!E59</f>
        <v>15.692064307700491</v>
      </c>
      <c r="E51" s="894">
        <f>'Summary Document Support'!H59</f>
        <v>5.9487298973382394</v>
      </c>
      <c r="F51" s="891">
        <f>'Summary Document Support'!F59</f>
        <v>4.4196957489514785E-2</v>
      </c>
      <c r="G51" s="891">
        <f>'Summary Document Support'!I59</f>
        <v>1.6045532004661203E-2</v>
      </c>
    </row>
    <row r="52" spans="1:8">
      <c r="A52" s="881"/>
      <c r="B52" s="386" t="str">
        <f>B40</f>
        <v>Industrial Service (Sch. 505)</v>
      </c>
      <c r="C52" s="882"/>
      <c r="D52" s="894">
        <f>'Summary Document Support'!E74</f>
        <v>107.14403111553838</v>
      </c>
      <c r="E52" s="894">
        <f>'Summary Document Support'!H74</f>
        <v>32.328481513944098</v>
      </c>
      <c r="F52" s="891">
        <f>'Summary Document Support'!F74</f>
        <v>4.4738485188063483E-2</v>
      </c>
      <c r="G52" s="891">
        <f>'Summary Document Support'!I74</f>
        <v>1.2920847659200879E-2</v>
      </c>
    </row>
    <row r="53" spans="1:8">
      <c r="A53" s="881"/>
      <c r="B53" s="386" t="str">
        <f>B41</f>
        <v>Large Volume Service (Sch. 511)</v>
      </c>
      <c r="C53" s="882"/>
      <c r="D53" s="894">
        <f>'Summary Document Support'!E89</f>
        <v>624.95795456229098</v>
      </c>
      <c r="E53" s="894">
        <f>'Summary Document Support'!H89</f>
        <v>217.01741392255644</v>
      </c>
      <c r="F53" s="891">
        <f>'Summary Document Support'!F89</f>
        <v>3.9320414228214542E-2</v>
      </c>
      <c r="G53" s="891">
        <f>'Summary Document Support'!I89</f>
        <v>1.3137490359052212E-2</v>
      </c>
    </row>
    <row r="54" spans="1:8">
      <c r="A54" s="881"/>
      <c r="B54" s="386" t="str">
        <f>B42</f>
        <v>Interruptible Service (Sch. 570)</v>
      </c>
      <c r="C54" s="882"/>
      <c r="D54" s="894">
        <f>'Summary Document Support'!E102</f>
        <v>1060.4425480952377</v>
      </c>
      <c r="E54" s="894">
        <f>'Summary Document Support'!H102</f>
        <v>235.34501380952497</v>
      </c>
      <c r="F54" s="891">
        <f>'Summary Document Support'!F102</f>
        <v>4.134861795948843E-2</v>
      </c>
      <c r="G54" s="891">
        <f>'Summary Document Support'!I102</f>
        <v>8.8121668216242233E-3</v>
      </c>
    </row>
    <row r="55" spans="1:8">
      <c r="A55" s="881"/>
      <c r="B55" s="386" t="str">
        <f>B43</f>
        <v>Transportation Service (Sch. 663)</v>
      </c>
      <c r="C55" s="882"/>
      <c r="D55" s="894">
        <f>'Summary Document Support'!E122</f>
        <v>6061.6747515500865</v>
      </c>
      <c r="E55" s="894">
        <f>'Summary Document Support'!H122</f>
        <v>1218.3384065889441</v>
      </c>
      <c r="F55" s="891">
        <f>'Summary Document Support'!F122</f>
        <v>0.32978817563880075</v>
      </c>
      <c r="G55" s="891">
        <f>'Summary Document Support'!I122</f>
        <v>4.9845725142682124E-2</v>
      </c>
    </row>
    <row r="56" spans="1:8">
      <c r="A56" s="881"/>
      <c r="D56" s="894"/>
    </row>
    <row r="57" spans="1:8">
      <c r="A57" s="881"/>
    </row>
    <row r="58" spans="1:8">
      <c r="A58" s="880" t="s">
        <v>52</v>
      </c>
      <c r="B58" s="889" t="s">
        <v>53</v>
      </c>
    </row>
    <row r="59" spans="1:8" ht="30">
      <c r="A59" s="881"/>
      <c r="C59" s="901" t="s">
        <v>54</v>
      </c>
      <c r="D59" s="902" t="s">
        <v>34</v>
      </c>
      <c r="E59" s="902" t="s">
        <v>35</v>
      </c>
    </row>
    <row r="60" spans="1:8">
      <c r="A60" s="881"/>
      <c r="B60" s="386" t="str">
        <f>B38</f>
        <v>Residential Service (Sch. 503)</v>
      </c>
      <c r="C60" s="895">
        <f>'Customer Counts'!N10</f>
        <v>204516</v>
      </c>
      <c r="D60" s="895">
        <f>C60+'Provisional Plant Additions'!C78</f>
        <v>208092</v>
      </c>
      <c r="E60" s="895">
        <f>D60+'Provisional Plant Additions'!O78</f>
        <v>211659</v>
      </c>
      <c r="G60" s="895"/>
      <c r="H60" s="895"/>
    </row>
    <row r="61" spans="1:8">
      <c r="A61" s="881"/>
      <c r="B61" s="386" t="str">
        <f>B51</f>
        <v>Commercial Service (Sch. 504)</v>
      </c>
      <c r="C61" s="895">
        <f>'Customer Counts'!N11+'Customer Counts'!N12</f>
        <v>27656</v>
      </c>
      <c r="D61" s="895">
        <f>C61+'Provisional Plant Additions'!C79</f>
        <v>28102</v>
      </c>
      <c r="E61" s="895">
        <f>D61+'Provisional Plant Additions'!O79</f>
        <v>28540</v>
      </c>
      <c r="G61" s="895"/>
      <c r="H61" s="895"/>
    </row>
    <row r="62" spans="1:8">
      <c r="A62" s="881"/>
      <c r="B62" s="386" t="str">
        <f>B52</f>
        <v>Industrial Service (Sch. 505)</v>
      </c>
      <c r="C62" s="895">
        <f>'Customer Counts'!N13</f>
        <v>495</v>
      </c>
      <c r="D62" s="895">
        <f>C62+'Provisional Plant Additions'!C80</f>
        <v>502</v>
      </c>
      <c r="E62" s="895">
        <f>D62+'Provisional Plant Additions'!O80</f>
        <v>508</v>
      </c>
      <c r="G62" s="895"/>
      <c r="H62" s="895"/>
    </row>
    <row r="63" spans="1:8">
      <c r="A63" s="881"/>
      <c r="B63" s="386" t="str">
        <f>B53</f>
        <v>Large Volume Service (Sch. 511)</v>
      </c>
      <c r="C63" s="895">
        <f>'Customer Counts'!N14+'Customer Counts'!N15+'Customer Counts'!N16</f>
        <v>99</v>
      </c>
      <c r="D63" s="895">
        <f t="shared" ref="D63:E65" si="1">C63</f>
        <v>99</v>
      </c>
      <c r="E63" s="895">
        <f t="shared" si="1"/>
        <v>99</v>
      </c>
      <c r="G63" s="895"/>
      <c r="H63" s="895"/>
    </row>
    <row r="64" spans="1:8">
      <c r="A64" s="881"/>
      <c r="B64" s="386" t="str">
        <f>B54</f>
        <v>Interruptible Service (Sch. 570)</v>
      </c>
      <c r="C64" s="895">
        <f>'Customer Counts'!N17</f>
        <v>7</v>
      </c>
      <c r="D64" s="895">
        <f t="shared" si="1"/>
        <v>7</v>
      </c>
      <c r="E64" s="895">
        <f t="shared" si="1"/>
        <v>7</v>
      </c>
      <c r="G64" s="895"/>
      <c r="H64" s="895"/>
    </row>
    <row r="65" spans="1:8">
      <c r="A65" s="881"/>
      <c r="B65" s="386" t="str">
        <f>B55</f>
        <v>Transportation Service (Sch. 663)</v>
      </c>
      <c r="C65" s="895">
        <f>'Customer Counts'!N18</f>
        <v>193</v>
      </c>
      <c r="D65" s="895">
        <f t="shared" si="1"/>
        <v>193</v>
      </c>
      <c r="E65" s="895">
        <f t="shared" si="1"/>
        <v>193</v>
      </c>
      <c r="G65" s="895"/>
      <c r="H65" s="895"/>
    </row>
    <row r="66" spans="1:8">
      <c r="A66" s="881"/>
      <c r="B66" s="386" t="s">
        <v>19</v>
      </c>
      <c r="C66" s="895">
        <f>'Customer Counts'!N19</f>
        <v>7</v>
      </c>
      <c r="D66" s="895">
        <f>C66</f>
        <v>7</v>
      </c>
      <c r="E66" s="895">
        <f>D66</f>
        <v>7</v>
      </c>
      <c r="G66" s="895"/>
      <c r="H66" s="895"/>
    </row>
    <row r="67" spans="1:8">
      <c r="A67" s="881"/>
      <c r="B67" s="386" t="s">
        <v>3782</v>
      </c>
      <c r="C67" s="895">
        <f>SUM(C60:C66)</f>
        <v>232973</v>
      </c>
      <c r="D67" s="895">
        <f>SUM(D60:D66)</f>
        <v>237002</v>
      </c>
      <c r="E67" s="895">
        <f>SUM(E60:E66)</f>
        <v>241013</v>
      </c>
      <c r="G67" s="895"/>
      <c r="H67" s="895"/>
    </row>
    <row r="68" spans="1:8">
      <c r="A68" s="881"/>
      <c r="B68" s="896"/>
      <c r="C68" s="895"/>
      <c r="D68" s="895"/>
      <c r="E68" s="895"/>
    </row>
    <row r="69" spans="1:8">
      <c r="A69" s="881"/>
      <c r="D69" s="895"/>
      <c r="E69" s="895"/>
    </row>
    <row r="70" spans="1:8">
      <c r="A70" s="880" t="s">
        <v>55</v>
      </c>
      <c r="B70" s="889" t="s">
        <v>56</v>
      </c>
    </row>
    <row r="71" spans="1:8">
      <c r="A71" s="881"/>
    </row>
    <row r="72" spans="1:8">
      <c r="A72" s="881"/>
      <c r="B72" s="386" t="s">
        <v>57</v>
      </c>
      <c r="D72" s="890">
        <v>6.8500000000000005E-2</v>
      </c>
    </row>
    <row r="73" spans="1:8">
      <c r="A73" s="881"/>
      <c r="B73" s="386" t="s">
        <v>58</v>
      </c>
      <c r="D73" s="890">
        <v>9.4E-2</v>
      </c>
    </row>
    <row r="74" spans="1:8">
      <c r="A74" s="881"/>
      <c r="D74" s="890"/>
    </row>
    <row r="75" spans="1:8">
      <c r="A75" s="880" t="s">
        <v>59</v>
      </c>
      <c r="B75" s="889" t="s">
        <v>60</v>
      </c>
      <c r="D75" s="890"/>
    </row>
    <row r="76" spans="1:8">
      <c r="A76" s="880"/>
      <c r="B76" s="889"/>
      <c r="D76" s="890"/>
    </row>
    <row r="77" spans="1:8">
      <c r="A77" s="881"/>
      <c r="B77" s="386" t="s">
        <v>61</v>
      </c>
      <c r="D77" s="891">
        <f>'Exh JAD-3 ROO Summary'!C40</f>
        <v>5.5582745595101637E-2</v>
      </c>
      <c r="G77" s="904"/>
    </row>
    <row r="78" spans="1:8">
      <c r="A78" s="881"/>
      <c r="B78" s="386" t="s">
        <v>62</v>
      </c>
      <c r="D78" s="937">
        <f>('Exh JAD-3 ROO Summary'!C30-'Interest Sync Adj'!E10)/('Exh JAD-3 ROO Summary'!C38*0.43449)</f>
        <v>4.5546040322171265E-2</v>
      </c>
      <c r="G78" s="903"/>
    </row>
    <row r="79" spans="1:8">
      <c r="A79" s="881"/>
      <c r="D79" s="905"/>
      <c r="G79" s="903"/>
    </row>
    <row r="80" spans="1:8">
      <c r="A80" s="881"/>
    </row>
    <row r="81" spans="1:5">
      <c r="A81" s="880" t="s">
        <v>63</v>
      </c>
      <c r="B81" s="889" t="s">
        <v>64</v>
      </c>
    </row>
    <row r="82" spans="1:5">
      <c r="A82" s="880"/>
      <c r="B82" s="889" t="s">
        <v>65</v>
      </c>
    </row>
    <row r="83" spans="1:5" ht="30">
      <c r="A83" s="881"/>
      <c r="D83" s="902" t="s">
        <v>34</v>
      </c>
      <c r="E83" s="902" t="s">
        <v>35</v>
      </c>
    </row>
    <row r="84" spans="1:5">
      <c r="A84" s="881"/>
      <c r="B84" s="386" t="s">
        <v>66</v>
      </c>
      <c r="D84" s="890">
        <f>'WACC Calculation'!$E$14</f>
        <v>7.8939999999999996E-2</v>
      </c>
      <c r="E84" s="890">
        <f>'WACC Calculation'!$E$14</f>
        <v>7.8939999999999996E-2</v>
      </c>
    </row>
    <row r="85" spans="1:5">
      <c r="A85" s="881"/>
      <c r="B85" s="386" t="s">
        <v>67</v>
      </c>
      <c r="D85" s="890">
        <f>'WACC Calculation'!D13</f>
        <v>0.105</v>
      </c>
      <c r="E85" s="890">
        <f>'WACC Calculation'!D13</f>
        <v>0.105</v>
      </c>
    </row>
    <row r="86" spans="1:5">
      <c r="A86" s="881"/>
      <c r="D86" s="890"/>
    </row>
    <row r="87" spans="1:5">
      <c r="A87" s="881"/>
      <c r="B87" s="386" t="s">
        <v>68</v>
      </c>
      <c r="D87" s="890"/>
    </row>
    <row r="88" spans="1:5">
      <c r="A88" s="881"/>
    </row>
    <row r="89" spans="1:5" ht="30">
      <c r="A89" s="880" t="s">
        <v>69</v>
      </c>
      <c r="B89" s="889" t="s">
        <v>70</v>
      </c>
      <c r="D89" s="902" t="s">
        <v>34</v>
      </c>
      <c r="E89" s="902" t="s">
        <v>35</v>
      </c>
    </row>
    <row r="90" spans="1:5">
      <c r="A90" s="881"/>
      <c r="C90" s="884" t="s">
        <v>71</v>
      </c>
      <c r="D90" s="890">
        <f>'WACC Calculation'!$C$10+'WACC Calculation'!$C$11</f>
        <v>0.49714999999999998</v>
      </c>
      <c r="E90" s="890">
        <f>'WACC Calculation'!$C$10+'WACC Calculation'!$C$11</f>
        <v>0.49714999999999998</v>
      </c>
    </row>
    <row r="91" spans="1:5">
      <c r="A91" s="881"/>
      <c r="C91" s="884" t="s">
        <v>72</v>
      </c>
      <c r="D91" s="890">
        <f>'WACC Calculation'!$C$13</f>
        <v>0.50285000000000002</v>
      </c>
      <c r="E91" s="890">
        <f>'WACC Calculation'!$C$13</f>
        <v>0.50285000000000002</v>
      </c>
    </row>
    <row r="92" spans="1:5">
      <c r="A92" s="881"/>
      <c r="C92" s="884"/>
      <c r="D92" s="890"/>
    </row>
    <row r="93" spans="1:5">
      <c r="A93" s="880" t="s">
        <v>73</v>
      </c>
      <c r="B93" s="889" t="s">
        <v>74</v>
      </c>
    </row>
    <row r="94" spans="1:5" ht="30">
      <c r="A94" s="881"/>
      <c r="D94" s="902" t="s">
        <v>34</v>
      </c>
      <c r="E94" s="902" t="s">
        <v>35</v>
      </c>
    </row>
    <row r="95" spans="1:5">
      <c r="A95" s="881"/>
      <c r="C95" s="884" t="s">
        <v>75</v>
      </c>
      <c r="D95" s="885">
        <f>'Exh JAD-5, Rev Req Calc'!D11</f>
        <v>57185301.460737325</v>
      </c>
      <c r="E95" s="885">
        <f>'Exh JAD-4 MYRP Summary'!M30</f>
        <v>62517683.466553032</v>
      </c>
    </row>
    <row r="96" spans="1:5">
      <c r="A96" s="881"/>
    </row>
    <row r="97" spans="1:5" ht="30">
      <c r="A97" s="880" t="s">
        <v>76</v>
      </c>
      <c r="B97" s="889" t="s">
        <v>77</v>
      </c>
      <c r="D97" s="902" t="s">
        <v>34</v>
      </c>
      <c r="E97" s="902" t="s">
        <v>35</v>
      </c>
    </row>
    <row r="98" spans="1:5">
      <c r="A98" s="881"/>
      <c r="C98" s="884" t="s">
        <v>78</v>
      </c>
      <c r="D98" s="897">
        <f>'Exh JAD-4 MYRP Summary'!G38</f>
        <v>724414763.88063502</v>
      </c>
      <c r="E98" s="897">
        <f>'Exh JAD-4 MYRP Summary'!M38</f>
        <v>791964571.90512753</v>
      </c>
    </row>
    <row r="99" spans="1:5">
      <c r="A99" s="881"/>
      <c r="B99" s="884"/>
      <c r="D99" s="897"/>
    </row>
    <row r="100" spans="1:5" ht="30.75" customHeight="1">
      <c r="A100" s="881"/>
      <c r="B100" s="1407" t="s">
        <v>79</v>
      </c>
      <c r="C100" s="1407"/>
      <c r="D100" s="1407"/>
      <c r="E100" s="898"/>
    </row>
    <row r="101" spans="1:5">
      <c r="A101" s="881"/>
    </row>
    <row r="102" spans="1:5">
      <c r="A102" s="880" t="s">
        <v>80</v>
      </c>
      <c r="B102" s="889" t="s">
        <v>81</v>
      </c>
    </row>
    <row r="103" spans="1:5">
      <c r="A103" s="881"/>
    </row>
    <row r="104" spans="1:5">
      <c r="A104" s="881"/>
      <c r="B104" s="899" t="s">
        <v>82</v>
      </c>
    </row>
    <row r="105" spans="1:5">
      <c r="A105" s="881"/>
    </row>
    <row r="106" spans="1:5">
      <c r="A106" s="881"/>
      <c r="B106" s="899"/>
    </row>
    <row r="107" spans="1:5">
      <c r="A107" s="881"/>
      <c r="B107" s="899"/>
    </row>
    <row r="108" spans="1:5">
      <c r="A108" s="881"/>
    </row>
    <row r="109" spans="1:5">
      <c r="A109" s="881"/>
    </row>
    <row r="110" spans="1:5">
      <c r="A110" s="881"/>
    </row>
    <row r="111" spans="1:5">
      <c r="A111" s="881"/>
    </row>
    <row r="112" spans="1:5">
      <c r="A112" s="881"/>
    </row>
    <row r="113" spans="1:1">
      <c r="A113" s="881"/>
    </row>
    <row r="114" spans="1:1">
      <c r="A114" s="881"/>
    </row>
    <row r="115" spans="1:1">
      <c r="A115" s="881"/>
    </row>
    <row r="116" spans="1:1">
      <c r="A116" s="881"/>
    </row>
    <row r="117" spans="1:1">
      <c r="A117" s="881"/>
    </row>
    <row r="118" spans="1:1">
      <c r="A118" s="881"/>
    </row>
    <row r="119" spans="1:1">
      <c r="A119" s="881"/>
    </row>
    <row r="120" spans="1:1">
      <c r="A120" s="881"/>
    </row>
    <row r="121" spans="1:1">
      <c r="A121" s="881"/>
    </row>
    <row r="122" spans="1:1">
      <c r="A122" s="881"/>
    </row>
    <row r="123" spans="1:1">
      <c r="A123" s="881"/>
    </row>
    <row r="124" spans="1:1">
      <c r="A124" s="881"/>
    </row>
    <row r="125" spans="1:1">
      <c r="A125" s="881"/>
    </row>
    <row r="126" spans="1:1">
      <c r="A126" s="881"/>
    </row>
    <row r="127" spans="1:1">
      <c r="A127" s="881"/>
    </row>
    <row r="128" spans="1:1">
      <c r="A128" s="881"/>
    </row>
    <row r="129" spans="1:1">
      <c r="A129" s="881"/>
    </row>
    <row r="130" spans="1:1">
      <c r="A130" s="881"/>
    </row>
    <row r="131" spans="1:1">
      <c r="A131" s="881"/>
    </row>
    <row r="132" spans="1:1">
      <c r="A132" s="881"/>
    </row>
    <row r="133" spans="1:1">
      <c r="A133" s="881"/>
    </row>
    <row r="134" spans="1:1">
      <c r="A134" s="881"/>
    </row>
    <row r="135" spans="1:1">
      <c r="A135" s="881"/>
    </row>
    <row r="136" spans="1:1">
      <c r="A136" s="881"/>
    </row>
    <row r="137" spans="1:1">
      <c r="A137" s="881"/>
    </row>
    <row r="138" spans="1:1">
      <c r="A138" s="881"/>
    </row>
    <row r="139" spans="1:1">
      <c r="A139" s="881"/>
    </row>
    <row r="140" spans="1:1">
      <c r="A140" s="881"/>
    </row>
    <row r="141" spans="1:1">
      <c r="A141" s="881"/>
    </row>
  </sheetData>
  <mergeCells count="15">
    <mergeCell ref="A1:G1"/>
    <mergeCell ref="B100:D100"/>
    <mergeCell ref="B8:E10"/>
    <mergeCell ref="B19:E19"/>
    <mergeCell ref="B20:C20"/>
    <mergeCell ref="B21:C21"/>
    <mergeCell ref="B22:C22"/>
    <mergeCell ref="D48:E48"/>
    <mergeCell ref="A2:G2"/>
    <mergeCell ref="A3:G3"/>
    <mergeCell ref="A4:G4"/>
    <mergeCell ref="F48:G48"/>
    <mergeCell ref="B23:C23"/>
    <mergeCell ref="B47:E47"/>
    <mergeCell ref="A5:E5"/>
  </mergeCells>
  <pageMargins left="0.7" right="0.7" top="0.75" bottom="0.75" header="0.3" footer="0.3"/>
  <pageSetup scale="57" orientation="portrait" horizontalDpi="1200" verticalDpi="1200" r:id="rId1"/>
  <rowBreaks count="1" manualBreakCount="1">
    <brk id="5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BEC15-5712-4686-ADCC-70D283B6B258}">
  <sheetPr codeName="Sheet53"/>
  <dimension ref="A1:J131"/>
  <sheetViews>
    <sheetView topLeftCell="A103" workbookViewId="0">
      <selection activeCell="B128" sqref="B128"/>
    </sheetView>
  </sheetViews>
  <sheetFormatPr defaultRowHeight="15"/>
  <cols>
    <col min="1" max="1" width="26.85546875" customWidth="1"/>
    <col min="2" max="2" width="19.85546875" bestFit="1" customWidth="1"/>
    <col min="3" max="3" width="13.42578125" customWidth="1"/>
    <col min="4" max="4" width="16.7109375" customWidth="1"/>
    <col min="5" max="5" width="10.28515625" bestFit="1" customWidth="1"/>
    <col min="6" max="6" width="9.140625" bestFit="1" customWidth="1"/>
    <col min="7" max="7" width="14.42578125" bestFit="1" customWidth="1"/>
    <col min="8" max="8" width="10.28515625" bestFit="1" customWidth="1"/>
    <col min="9" max="9" width="12.28515625" bestFit="1" customWidth="1"/>
  </cols>
  <sheetData>
    <row r="1" spans="1:4">
      <c r="A1" t="s">
        <v>3753</v>
      </c>
    </row>
    <row r="2" spans="1:4">
      <c r="B2" s="449"/>
    </row>
    <row r="3" spans="1:4" ht="45">
      <c r="B3" s="644" t="s">
        <v>83</v>
      </c>
      <c r="C3" s="644" t="s">
        <v>84</v>
      </c>
      <c r="D3" s="644" t="s">
        <v>85</v>
      </c>
    </row>
    <row r="4" spans="1:4">
      <c r="A4" t="s">
        <v>86</v>
      </c>
      <c r="B4" s="362">
        <f>'Exh JAD-2, TY Revenues'!C12</f>
        <v>125222746</v>
      </c>
      <c r="C4" s="907">
        <v>2.809E-2</v>
      </c>
      <c r="D4" s="546">
        <f>ROUND(B4*C4,2)</f>
        <v>3517506.94</v>
      </c>
    </row>
    <row r="5" spans="1:4">
      <c r="B5" s="362"/>
      <c r="D5" s="522"/>
    </row>
    <row r="6" spans="1:4">
      <c r="A6" t="s">
        <v>87</v>
      </c>
      <c r="B6" s="362">
        <f>'Exh JAD-2, TY Revenues'!C34</f>
        <v>91384163</v>
      </c>
      <c r="C6" s="907">
        <v>2.3609999999999999E-2</v>
      </c>
      <c r="D6" s="546">
        <f>ROUND(B6*C6,2)</f>
        <v>2157580.09</v>
      </c>
    </row>
    <row r="7" spans="1:4">
      <c r="B7" s="362"/>
    </row>
    <row r="8" spans="1:4">
      <c r="A8" t="s">
        <v>88</v>
      </c>
      <c r="B8" s="362"/>
    </row>
    <row r="9" spans="1:4">
      <c r="A9" t="s">
        <v>89</v>
      </c>
      <c r="B9" s="362">
        <f>'Exh JAD-2, TY Revenues'!C56</f>
        <v>1777957</v>
      </c>
      <c r="C9" s="907">
        <v>1.821E-2</v>
      </c>
      <c r="D9" s="546">
        <f>ROUND(B9*C9,2)</f>
        <v>32376.6</v>
      </c>
    </row>
    <row r="10" spans="1:4">
      <c r="A10" t="s">
        <v>90</v>
      </c>
      <c r="B10" s="362">
        <f>'Exh JAD-2, TY Revenues'!C57</f>
        <v>5625345</v>
      </c>
      <c r="C10" s="907">
        <v>1.49E-2</v>
      </c>
      <c r="D10" s="546">
        <f>ROUND(B10*C10,2)</f>
        <v>83817.64</v>
      </c>
    </row>
    <row r="11" spans="1:4">
      <c r="A11" t="s">
        <v>91</v>
      </c>
      <c r="B11" s="362">
        <f>'Exh JAD-2, TY Revenues'!C58</f>
        <v>4720007</v>
      </c>
      <c r="C11" s="907">
        <v>1.44E-2</v>
      </c>
      <c r="D11" s="546">
        <f>ROUND(B11*C11,2)</f>
        <v>67968.100000000006</v>
      </c>
    </row>
    <row r="12" spans="1:4">
      <c r="B12" s="362"/>
    </row>
    <row r="13" spans="1:4">
      <c r="A13" t="s">
        <v>92</v>
      </c>
      <c r="B13" s="362"/>
    </row>
    <row r="14" spans="1:4">
      <c r="A14" t="s">
        <v>93</v>
      </c>
      <c r="B14" s="362">
        <f>'Exh JAD-2, TY Revenues'!C80</f>
        <v>9910204</v>
      </c>
      <c r="C14" s="907">
        <v>1.452E-2</v>
      </c>
      <c r="D14" s="546">
        <f>ROUND(B14*C14,2)</f>
        <v>143896.16</v>
      </c>
    </row>
    <row r="15" spans="1:4">
      <c r="A15" t="s">
        <v>94</v>
      </c>
      <c r="B15" s="362">
        <f>'Exh JAD-2, TY Revenues'!C81</f>
        <v>5361730</v>
      </c>
      <c r="C15" s="907">
        <v>1.1259999999999999E-2</v>
      </c>
      <c r="D15" s="546">
        <f>ROUND(B15*C15,2)</f>
        <v>60373.08</v>
      </c>
    </row>
    <row r="16" spans="1:4">
      <c r="A16" t="s">
        <v>95</v>
      </c>
      <c r="B16" s="362">
        <f>'Exh JAD-2, TY Revenues'!C82</f>
        <v>1490771</v>
      </c>
      <c r="C16" s="907">
        <v>3.2100000000000002E-3</v>
      </c>
      <c r="D16" s="546">
        <f>ROUND(B16*C16,2)</f>
        <v>4785.37</v>
      </c>
    </row>
    <row r="17" spans="1:10">
      <c r="B17" s="362"/>
    </row>
    <row r="18" spans="1:10">
      <c r="A18" t="s">
        <v>96</v>
      </c>
      <c r="B18" s="362"/>
    </row>
    <row r="19" spans="1:10">
      <c r="A19" t="s">
        <v>97</v>
      </c>
      <c r="B19" s="362">
        <f>'Exh JAD-2, TY Revenues'!C105</f>
        <v>1086598</v>
      </c>
      <c r="C19" s="907">
        <v>8.1200000000000005E-3</v>
      </c>
      <c r="D19" s="546">
        <f>ROUND(B19*C19,2)</f>
        <v>8823.18</v>
      </c>
    </row>
    <row r="20" spans="1:10">
      <c r="A20" t="s">
        <v>98</v>
      </c>
      <c r="B20" s="362">
        <f>'Exh JAD-2, TY Revenues'!C106</f>
        <v>1011000</v>
      </c>
      <c r="C20" s="907">
        <v>2.63E-3</v>
      </c>
      <c r="D20" s="546">
        <f>ROUND(B20*C20,2)</f>
        <v>2658.93</v>
      </c>
    </row>
    <row r="21" spans="1:10">
      <c r="B21" s="362"/>
    </row>
    <row r="22" spans="1:10">
      <c r="A22" t="s">
        <v>99</v>
      </c>
      <c r="B22" s="362"/>
    </row>
    <row r="23" spans="1:10">
      <c r="A23" t="s">
        <v>100</v>
      </c>
      <c r="B23" s="362">
        <f>'Exh JAD-2, TY Revenues'!C131</f>
        <v>101046525</v>
      </c>
      <c r="C23" s="907">
        <v>5.3899999999999998E-3</v>
      </c>
      <c r="D23" s="546">
        <f>ROUND(B23*C23,2)</f>
        <v>544640.77</v>
      </c>
    </row>
    <row r="24" spans="1:10">
      <c r="A24" t="s">
        <v>101</v>
      </c>
      <c r="B24" s="362">
        <f>'Exh JAD-2, TY Revenues'!C132</f>
        <v>72331672</v>
      </c>
      <c r="C24" s="907">
        <v>2.0899999999999981E-3</v>
      </c>
      <c r="D24" s="546">
        <f>ROUND(B24*C24,2)</f>
        <v>151173.19</v>
      </c>
    </row>
    <row r="25" spans="1:10">
      <c r="A25" t="s">
        <v>101</v>
      </c>
      <c r="B25" s="362">
        <f>'Exh JAD-2, TY Revenues'!C133</f>
        <v>37333928</v>
      </c>
      <c r="C25" s="907">
        <v>1.3500000000000022E-3</v>
      </c>
      <c r="D25" s="546">
        <f>ROUND(B25*C25,2)</f>
        <v>50400.800000000003</v>
      </c>
    </row>
    <row r="26" spans="1:10">
      <c r="A26" t="s">
        <v>102</v>
      </c>
      <c r="B26" s="362">
        <f>'Exh JAD-2, TY Revenues'!C134</f>
        <v>647038014</v>
      </c>
      <c r="C26" s="907">
        <v>7.5000000000000002E-4</v>
      </c>
      <c r="D26" s="546">
        <f>ROUND(B26*C26,2)</f>
        <v>485278.51</v>
      </c>
    </row>
    <row r="28" spans="1:10">
      <c r="A28" t="s">
        <v>103</v>
      </c>
      <c r="D28" s="546">
        <f>SUM(D4:D26)</f>
        <v>7311279.3599999975</v>
      </c>
    </row>
    <row r="30" spans="1:10">
      <c r="A30" t="s">
        <v>3777</v>
      </c>
    </row>
    <row r="31" spans="1:10" ht="86.25">
      <c r="A31" s="1022" t="s">
        <v>537</v>
      </c>
      <c r="B31" s="1023" t="s">
        <v>40</v>
      </c>
      <c r="C31" s="1023" t="s">
        <v>41</v>
      </c>
      <c r="D31" s="1023" t="s">
        <v>42</v>
      </c>
      <c r="E31" s="1023" t="s">
        <v>43</v>
      </c>
      <c r="F31" s="1023" t="s">
        <v>44</v>
      </c>
      <c r="G31" s="1023" t="s">
        <v>45</v>
      </c>
      <c r="H31" s="1023" t="s">
        <v>19</v>
      </c>
      <c r="I31" s="1023" t="s">
        <v>200</v>
      </c>
      <c r="J31" s="386"/>
    </row>
    <row r="32" spans="1:10">
      <c r="A32" s="386" t="s">
        <v>601</v>
      </c>
      <c r="B32" s="1024">
        <v>68129289.440536901</v>
      </c>
      <c r="C32" s="1024">
        <v>38893381.135779843</v>
      </c>
      <c r="D32" s="1024">
        <v>3335856.2765841116</v>
      </c>
      <c r="E32" s="1024">
        <v>3375053.6991740759</v>
      </c>
      <c r="F32" s="1024">
        <v>189014.39228002884</v>
      </c>
      <c r="G32" s="1024">
        <v>28292115.487084791</v>
      </c>
      <c r="H32" s="1024">
        <v>3414539.1734286412</v>
      </c>
      <c r="I32" s="895">
        <f>SUM(B32:H32)</f>
        <v>145629249.60486841</v>
      </c>
      <c r="J32" s="386" t="s">
        <v>3754</v>
      </c>
    </row>
    <row r="33" spans="1:10">
      <c r="A33" s="386" t="s">
        <v>3755</v>
      </c>
      <c r="B33" s="1024">
        <f>SUM('Provisional Plant Additions'!C110:N110)</f>
        <v>1025961.438952765</v>
      </c>
      <c r="C33" s="1024">
        <f>SUM('Provisional Plant Additions'!C115:N115)</f>
        <v>507319.92461260105</v>
      </c>
      <c r="D33" s="1024">
        <f>SUM('Provisional Plant Additions'!C122:N122)</f>
        <v>38195.679672911516</v>
      </c>
      <c r="E33" s="1024">
        <v>0</v>
      </c>
      <c r="F33" s="1024">
        <v>0</v>
      </c>
      <c r="G33" s="1024">
        <v>0</v>
      </c>
      <c r="H33" s="1024">
        <v>0</v>
      </c>
      <c r="I33" s="895">
        <f>SUM(B33:H33)</f>
        <v>1571477.0432382775</v>
      </c>
      <c r="J33" s="386" t="s">
        <v>3756</v>
      </c>
    </row>
    <row r="34" spans="1:10">
      <c r="A34" s="386" t="s">
        <v>3757</v>
      </c>
      <c r="B34" s="895">
        <f t="shared" ref="B34:H34" si="0">B32+B33</f>
        <v>69155250.87948966</v>
      </c>
      <c r="C34" s="895">
        <f t="shared" si="0"/>
        <v>39400701.060392447</v>
      </c>
      <c r="D34" s="895">
        <f t="shared" si="0"/>
        <v>3374051.9562570229</v>
      </c>
      <c r="E34" s="895">
        <f t="shared" si="0"/>
        <v>3375053.6991740759</v>
      </c>
      <c r="F34" s="895">
        <f t="shared" si="0"/>
        <v>189014.39228002884</v>
      </c>
      <c r="G34" s="895">
        <f t="shared" si="0"/>
        <v>28292115.487084791</v>
      </c>
      <c r="H34" s="895">
        <f t="shared" si="0"/>
        <v>3414539.1734286412</v>
      </c>
      <c r="I34" s="895">
        <f>SUM(B34:H34)</f>
        <v>147200726.64810666</v>
      </c>
      <c r="J34" s="386"/>
    </row>
    <row r="35" spans="1:10">
      <c r="A35" s="386" t="s">
        <v>3758</v>
      </c>
      <c r="B35" s="895">
        <v>24518947.067592688</v>
      </c>
      <c r="C35" s="895">
        <v>5799123.8859434538</v>
      </c>
      <c r="D35" s="895">
        <v>671147.67599870451</v>
      </c>
      <c r="E35" s="895">
        <v>661922.0194187992</v>
      </c>
      <c r="F35" s="895">
        <v>65695.809614081867</v>
      </c>
      <c r="G35" s="895">
        <v>12112836.500477565</v>
      </c>
      <c r="H35" s="895">
        <v>0</v>
      </c>
      <c r="I35" s="895">
        <f>SUM(B35:H35)</f>
        <v>43829672.959045291</v>
      </c>
      <c r="J35" s="386" t="s">
        <v>3759</v>
      </c>
    </row>
    <row r="36" spans="1:10">
      <c r="A36" s="386" t="s">
        <v>602</v>
      </c>
      <c r="B36" s="903">
        <f t="shared" ref="B36:I36" si="1">B35/B34</f>
        <v>0.35454931846490656</v>
      </c>
      <c r="C36" s="903">
        <f t="shared" si="1"/>
        <v>0.14718326653768662</v>
      </c>
      <c r="D36" s="903">
        <f t="shared" si="1"/>
        <v>0.19891444610213907</v>
      </c>
      <c r="E36" s="903">
        <f t="shared" si="1"/>
        <v>0.19612192232105255</v>
      </c>
      <c r="F36" s="903">
        <f t="shared" si="1"/>
        <v>0.3475704089070219</v>
      </c>
      <c r="G36" s="903">
        <f t="shared" si="1"/>
        <v>0.42813470438458429</v>
      </c>
      <c r="H36" s="903">
        <f t="shared" si="1"/>
        <v>0</v>
      </c>
      <c r="I36" s="903">
        <f t="shared" si="1"/>
        <v>0.29775446057289584</v>
      </c>
      <c r="J36" s="386"/>
    </row>
    <row r="37" spans="1:10">
      <c r="A37" s="386" t="s">
        <v>3760</v>
      </c>
      <c r="B37" s="1024">
        <f>SUM('Provisional Plant Additions'!O110:Z110)</f>
        <v>1426076.1148527004</v>
      </c>
      <c r="C37" s="1024">
        <f>SUM('Provisional Plant Additions'!O115:Z115)</f>
        <v>580697.50552877295</v>
      </c>
      <c r="D37" s="1024">
        <f>SUM('Provisional Plant Additions'!O122:Z122)</f>
        <v>40304.283871758045</v>
      </c>
      <c r="E37" s="1024">
        <v>0</v>
      </c>
      <c r="F37" s="1024">
        <v>0</v>
      </c>
      <c r="G37" s="1024">
        <v>0</v>
      </c>
      <c r="H37" s="1024">
        <v>0</v>
      </c>
      <c r="I37" s="895">
        <f>SUM(B37:H37)</f>
        <v>2047077.9042532314</v>
      </c>
      <c r="J37" s="386" t="s">
        <v>3756</v>
      </c>
    </row>
    <row r="38" spans="1:10">
      <c r="A38" s="386" t="s">
        <v>3757</v>
      </c>
      <c r="B38" s="1024">
        <f t="shared" ref="B38:H38" si="2">B34+B35+B37</f>
        <v>95100274.061935037</v>
      </c>
      <c r="C38" s="1024">
        <f t="shared" si="2"/>
        <v>45780522.451864667</v>
      </c>
      <c r="D38" s="1024">
        <f t="shared" si="2"/>
        <v>4085503.9161274857</v>
      </c>
      <c r="E38" s="1024">
        <f t="shared" si="2"/>
        <v>4036975.7185928752</v>
      </c>
      <c r="F38" s="1024">
        <f t="shared" si="2"/>
        <v>254710.20189411071</v>
      </c>
      <c r="G38" s="1024">
        <f t="shared" si="2"/>
        <v>40404951.987562358</v>
      </c>
      <c r="H38" s="1024">
        <f t="shared" si="2"/>
        <v>3414539.1734286412</v>
      </c>
      <c r="I38" s="895">
        <f>SUM(B38:H38)</f>
        <v>193077477.51140517</v>
      </c>
      <c r="J38" s="386"/>
    </row>
    <row r="39" spans="1:10">
      <c r="A39" s="386" t="s">
        <v>3761</v>
      </c>
      <c r="B39" s="1024">
        <v>5846634.5206236942</v>
      </c>
      <c r="C39" s="1024">
        <v>2618319.1939203539</v>
      </c>
      <c r="D39" s="1024">
        <v>236980.60750369116</v>
      </c>
      <c r="E39" s="1024">
        <v>239095.99086142454</v>
      </c>
      <c r="F39" s="1024">
        <v>16340.550027154564</v>
      </c>
      <c r="G39" s="1024">
        <v>2711871.1370636816</v>
      </c>
      <c r="H39" s="1024">
        <v>0</v>
      </c>
      <c r="I39" s="895">
        <f>SUM(B39:H39)</f>
        <v>11669242.000000002</v>
      </c>
      <c r="J39" s="386" t="s">
        <v>3759</v>
      </c>
    </row>
    <row r="40" spans="1:10">
      <c r="A40" s="386"/>
      <c r="B40" s="903">
        <f t="shared" ref="B40:I40" si="3">B39/B38</f>
        <v>6.1478629565420738E-2</v>
      </c>
      <c r="C40" s="903">
        <f t="shared" si="3"/>
        <v>5.7192863988683208E-2</v>
      </c>
      <c r="D40" s="903">
        <f t="shared" si="3"/>
        <v>5.8005233226729409E-2</v>
      </c>
      <c r="E40" s="903">
        <f t="shared" si="3"/>
        <v>5.9226512005071862E-2</v>
      </c>
      <c r="F40" s="903">
        <f t="shared" si="3"/>
        <v>6.415349642707964E-2</v>
      </c>
      <c r="G40" s="903">
        <f t="shared" si="3"/>
        <v>6.7117296362546416E-2</v>
      </c>
      <c r="H40" s="903">
        <f t="shared" si="3"/>
        <v>0</v>
      </c>
      <c r="I40" s="903">
        <f t="shared" si="3"/>
        <v>6.0438131626775034E-2</v>
      </c>
      <c r="J40" s="386"/>
    </row>
    <row r="42" spans="1:10">
      <c r="A42" s="386" t="s">
        <v>3762</v>
      </c>
    </row>
    <row r="43" spans="1:10">
      <c r="A43" t="s">
        <v>40</v>
      </c>
    </row>
    <row r="44" spans="1:10">
      <c r="C44" s="449" t="s">
        <v>3734</v>
      </c>
      <c r="D44" s="449" t="s">
        <v>3763</v>
      </c>
      <c r="E44" s="1413" t="s">
        <v>3764</v>
      </c>
      <c r="F44" s="1413"/>
      <c r="G44" s="1025">
        <v>46082</v>
      </c>
      <c r="H44" s="1413" t="s">
        <v>3764</v>
      </c>
      <c r="I44" s="1413"/>
    </row>
    <row r="45" spans="1:10">
      <c r="B45" s="531" t="s">
        <v>3765</v>
      </c>
      <c r="C45" s="531" t="s">
        <v>3766</v>
      </c>
      <c r="D45" s="531" t="s">
        <v>3736</v>
      </c>
      <c r="E45" s="531" t="s">
        <v>369</v>
      </c>
      <c r="F45" s="531" t="s">
        <v>3767</v>
      </c>
      <c r="G45" s="531" t="s">
        <v>3736</v>
      </c>
      <c r="H45" s="531" t="s">
        <v>369</v>
      </c>
      <c r="I45" s="531" t="s">
        <v>3767</v>
      </c>
    </row>
    <row r="46" spans="1:10">
      <c r="A46" t="s">
        <v>141</v>
      </c>
      <c r="C46" s="1018">
        <v>5</v>
      </c>
      <c r="D46" s="1018">
        <v>10</v>
      </c>
      <c r="G46" s="1018">
        <v>11.5</v>
      </c>
    </row>
    <row r="47" spans="1:10">
      <c r="A47" t="s">
        <v>3735</v>
      </c>
      <c r="C47" s="907">
        <v>0.35719999999999996</v>
      </c>
      <c r="D47" s="907">
        <v>0.44046999999999997</v>
      </c>
      <c r="G47" s="907">
        <v>0.44502000000000003</v>
      </c>
    </row>
    <row r="48" spans="1:10">
      <c r="A48" t="s">
        <v>3768</v>
      </c>
      <c r="C48" s="907">
        <v>0.95769999999999977</v>
      </c>
      <c r="D48" s="907">
        <f>C48</f>
        <v>0.95769999999999977</v>
      </c>
      <c r="G48" s="907">
        <f>C48</f>
        <v>0.95769999999999977</v>
      </c>
    </row>
    <row r="50" spans="1:9">
      <c r="A50" t="s">
        <v>3769</v>
      </c>
      <c r="B50" s="362">
        <f>634/12</f>
        <v>52.833333333333336</v>
      </c>
      <c r="C50" s="1018">
        <f>C46+((C47+C48)*B50)</f>
        <v>74.470549999999989</v>
      </c>
      <c r="D50" s="1018">
        <f>D46+((D47+D48)*B50)</f>
        <v>83.869981666666661</v>
      </c>
      <c r="E50" s="529">
        <f>D50-C50</f>
        <v>9.399431666666672</v>
      </c>
      <c r="F50" s="834">
        <f>E50/C50</f>
        <v>0.12621676174899571</v>
      </c>
      <c r="G50" s="1018">
        <f>G46+((G47+G48)*B50)</f>
        <v>85.610373333333328</v>
      </c>
      <c r="H50" s="529">
        <f>G50-D50</f>
        <v>1.7403916666666674</v>
      </c>
      <c r="I50" s="834">
        <f>H50/D50</f>
        <v>2.075106768931571E-2</v>
      </c>
    </row>
    <row r="52" spans="1:9">
      <c r="A52" t="s">
        <v>41</v>
      </c>
    </row>
    <row r="53" spans="1:9">
      <c r="C53" s="449" t="s">
        <v>3734</v>
      </c>
      <c r="D53" s="449" t="s">
        <v>3763</v>
      </c>
      <c r="E53" s="1413" t="s">
        <v>3764</v>
      </c>
      <c r="F53" s="1413"/>
      <c r="G53" s="1025">
        <v>46082</v>
      </c>
      <c r="H53" s="1413" t="s">
        <v>3764</v>
      </c>
      <c r="I53" s="1413"/>
    </row>
    <row r="54" spans="1:9">
      <c r="B54" s="531" t="s">
        <v>3765</v>
      </c>
      <c r="C54" s="531" t="s">
        <v>3766</v>
      </c>
      <c r="D54" s="531" t="s">
        <v>3736</v>
      </c>
      <c r="E54" s="531" t="s">
        <v>369</v>
      </c>
      <c r="F54" s="531" t="s">
        <v>3767</v>
      </c>
      <c r="G54" s="531" t="s">
        <v>3736</v>
      </c>
      <c r="H54" s="531" t="s">
        <v>369</v>
      </c>
      <c r="I54" s="531" t="s">
        <v>3767</v>
      </c>
    </row>
    <row r="55" spans="1:9">
      <c r="A55" t="s">
        <v>141</v>
      </c>
      <c r="C55" s="1018">
        <v>13</v>
      </c>
      <c r="D55" s="1018">
        <v>20</v>
      </c>
      <c r="G55" s="1018">
        <v>25.5</v>
      </c>
    </row>
    <row r="56" spans="1:9">
      <c r="A56" t="s">
        <v>3735</v>
      </c>
      <c r="C56" s="907">
        <v>0.29528000000000004</v>
      </c>
      <c r="D56" s="907">
        <v>0.32666000000000001</v>
      </c>
      <c r="G56" s="907">
        <v>0.32828000000000002</v>
      </c>
    </row>
    <row r="57" spans="1:9">
      <c r="A57" t="s">
        <v>3768</v>
      </c>
      <c r="C57" s="907">
        <v>0.93957999999999986</v>
      </c>
      <c r="D57" s="907">
        <f>C57</f>
        <v>0.93957999999999986</v>
      </c>
      <c r="G57" s="907">
        <f>C57</f>
        <v>0.93957999999999986</v>
      </c>
    </row>
    <row r="59" spans="1:9">
      <c r="A59" t="s">
        <v>3769</v>
      </c>
      <c r="B59" s="362">
        <f>93408945/337224</f>
        <v>276.99376378905419</v>
      </c>
      <c r="C59" s="1018">
        <f>C55+((C56+C57)*B59)</f>
        <v>355.04851915255142</v>
      </c>
      <c r="D59" s="1018">
        <f>D55+((D56+D57)*B59)</f>
        <v>370.74058346025191</v>
      </c>
      <c r="E59" s="529">
        <f>D59-C59</f>
        <v>15.692064307700491</v>
      </c>
      <c r="F59" s="834">
        <f>E59/C59</f>
        <v>4.4196957489514785E-2</v>
      </c>
      <c r="G59" s="1018">
        <f>G55+((G56+G57)*B59)</f>
        <v>376.68931335759015</v>
      </c>
      <c r="H59" s="529">
        <f>G59-D59</f>
        <v>5.9487298973382394</v>
      </c>
      <c r="I59" s="834">
        <f>H59/D59</f>
        <v>1.6045532004661203E-2</v>
      </c>
    </row>
    <row r="61" spans="1:9">
      <c r="A61" t="s">
        <v>42</v>
      </c>
    </row>
    <row r="62" spans="1:9">
      <c r="C62" s="449" t="s">
        <v>3734</v>
      </c>
      <c r="D62" s="449" t="s">
        <v>3763</v>
      </c>
      <c r="E62" s="1413" t="s">
        <v>3764</v>
      </c>
      <c r="F62" s="1413"/>
      <c r="G62" s="1025">
        <v>46082</v>
      </c>
      <c r="H62" s="1413" t="s">
        <v>3764</v>
      </c>
      <c r="I62" s="1413"/>
    </row>
    <row r="63" spans="1:9">
      <c r="B63" s="531" t="s">
        <v>3765</v>
      </c>
      <c r="C63" s="531" t="s">
        <v>3766</v>
      </c>
      <c r="D63" s="531" t="s">
        <v>3736</v>
      </c>
      <c r="E63" s="531" t="s">
        <v>369</v>
      </c>
      <c r="F63" s="531" t="s">
        <v>3767</v>
      </c>
      <c r="G63" s="531" t="s">
        <v>3736</v>
      </c>
      <c r="H63" s="531" t="s">
        <v>369</v>
      </c>
      <c r="I63" s="531" t="s">
        <v>3767</v>
      </c>
    </row>
    <row r="64" spans="1:9">
      <c r="A64" t="s">
        <v>141</v>
      </c>
      <c r="C64" s="1018">
        <v>60</v>
      </c>
      <c r="D64" s="1018">
        <v>100</v>
      </c>
      <c r="G64" s="1018">
        <v>130</v>
      </c>
    </row>
    <row r="65" spans="1:9">
      <c r="A65" t="s">
        <v>3770</v>
      </c>
      <c r="C65" s="907">
        <v>0.22844</v>
      </c>
      <c r="D65" s="907">
        <v>0.2661</v>
      </c>
      <c r="G65" s="907">
        <v>0.26740999999999998</v>
      </c>
    </row>
    <row r="66" spans="1:9">
      <c r="A66" t="s">
        <v>3771</v>
      </c>
      <c r="C66" s="907">
        <v>0.18912999999999999</v>
      </c>
      <c r="D66" s="907">
        <v>0.22031000000000001</v>
      </c>
      <c r="G66" s="907">
        <v>0.22139</v>
      </c>
    </row>
    <row r="67" spans="1:9">
      <c r="A67" t="s">
        <v>3772</v>
      </c>
      <c r="C67" s="907">
        <v>0.18318999999999999</v>
      </c>
      <c r="D67" s="907">
        <v>0.21339</v>
      </c>
      <c r="G67" s="907">
        <v>0.21443999999999999</v>
      </c>
    </row>
    <row r="68" spans="1:9">
      <c r="A68" t="s">
        <v>3768</v>
      </c>
      <c r="C68" s="907">
        <v>0.94052053077623277</v>
      </c>
      <c r="D68" s="907">
        <f>C68</f>
        <v>0.94052053077623277</v>
      </c>
      <c r="G68" s="907">
        <f>C68</f>
        <v>0.94052053077623277</v>
      </c>
    </row>
    <row r="70" spans="1:9">
      <c r="A70" t="s">
        <v>3769</v>
      </c>
      <c r="B70" s="362">
        <f>(1811858+5728797+4805653)/6024</f>
        <v>2049.5199203187253</v>
      </c>
      <c r="C70" s="529"/>
      <c r="D70" s="529"/>
      <c r="E70" s="529"/>
      <c r="F70" s="834"/>
      <c r="G70" s="529"/>
      <c r="H70" s="529"/>
      <c r="I70" s="834"/>
    </row>
    <row r="71" spans="1:9">
      <c r="A71" t="s">
        <v>3773</v>
      </c>
      <c r="B71" s="47">
        <f>IF(B70&gt;500,500,B70)</f>
        <v>500</v>
      </c>
      <c r="C71" s="1018">
        <f>C64+((C65+C68)*B71)</f>
        <v>644.48026538811632</v>
      </c>
      <c r="D71" s="1018">
        <f>D64+((D65+D68)*B71)</f>
        <v>703.31026538811636</v>
      </c>
      <c r="E71" s="529"/>
      <c r="F71" s="834"/>
      <c r="G71" s="1018">
        <f>G64+((G65+G68)*B71)</f>
        <v>733.96526538811634</v>
      </c>
      <c r="H71" s="529"/>
      <c r="I71" s="834"/>
    </row>
    <row r="72" spans="1:9">
      <c r="A72" t="s">
        <v>351</v>
      </c>
      <c r="B72" s="47">
        <f>IF(B70&gt;4000,3500,B70-B71)</f>
        <v>1549.5199203187253</v>
      </c>
      <c r="C72" s="1018">
        <f>((C66+C68)*B72)</f>
        <v>1750.4160004363939</v>
      </c>
      <c r="D72" s="1018">
        <f>((D66+D68)*B72)</f>
        <v>1798.7300315519319</v>
      </c>
      <c r="E72" s="529"/>
      <c r="F72" s="834"/>
      <c r="G72" s="1018">
        <f>((G66+G68)*B72)</f>
        <v>1800.403513065876</v>
      </c>
      <c r="H72" s="529"/>
      <c r="I72" s="834"/>
    </row>
    <row r="73" spans="1:9">
      <c r="A73" t="s">
        <v>352</v>
      </c>
      <c r="B73" s="47">
        <f>IF(B70&gt;4000,B70-B71-B72,0)</f>
        <v>0</v>
      </c>
      <c r="C73" s="1026">
        <f>((C67+C68)*B73)</f>
        <v>0</v>
      </c>
      <c r="D73" s="1026">
        <f>((D67+D68)*B73)</f>
        <v>0</v>
      </c>
      <c r="E73" s="529"/>
      <c r="F73" s="834"/>
      <c r="G73" s="1026">
        <f>((G67+G68)*B73)</f>
        <v>0</v>
      </c>
      <c r="H73" s="529"/>
      <c r="I73" s="834"/>
    </row>
    <row r="74" spans="1:9">
      <c r="A74" t="s">
        <v>385</v>
      </c>
      <c r="B74" s="47"/>
      <c r="C74" s="1018">
        <f>SUM(C71:C73)</f>
        <v>2394.89626582451</v>
      </c>
      <c r="D74" s="1018">
        <f>SUM(D71:D73)</f>
        <v>2502.0402969400484</v>
      </c>
      <c r="E74" s="529">
        <f>D74-C74</f>
        <v>107.14403111553838</v>
      </c>
      <c r="F74" s="834">
        <f>E74/C74</f>
        <v>4.4738485188063483E-2</v>
      </c>
      <c r="G74" s="1018">
        <f>SUM(G71:G73)</f>
        <v>2534.3687784539925</v>
      </c>
      <c r="H74" s="529">
        <f>G74-D74</f>
        <v>32.328481513944098</v>
      </c>
      <c r="I74" s="834">
        <f>H74/D74</f>
        <v>1.2920847659200879E-2</v>
      </c>
    </row>
    <row r="75" spans="1:9">
      <c r="B75" s="47"/>
      <c r="C75" s="1018"/>
      <c r="D75" s="1018"/>
      <c r="E75" s="529"/>
      <c r="F75" s="834"/>
      <c r="G75" s="1018"/>
      <c r="H75" s="529"/>
      <c r="I75" s="834"/>
    </row>
    <row r="76" spans="1:9">
      <c r="A76" t="s">
        <v>43</v>
      </c>
    </row>
    <row r="77" spans="1:9">
      <c r="C77" s="449" t="s">
        <v>3734</v>
      </c>
      <c r="D77" s="449" t="s">
        <v>3763</v>
      </c>
      <c r="E77" s="1413" t="s">
        <v>3764</v>
      </c>
      <c r="F77" s="1413"/>
      <c r="G77" s="1025">
        <v>46082</v>
      </c>
      <c r="H77" s="1413" t="s">
        <v>3764</v>
      </c>
      <c r="I77" s="1413"/>
    </row>
    <row r="78" spans="1:9">
      <c r="B78" s="531" t="s">
        <v>3765</v>
      </c>
      <c r="C78" s="531" t="s">
        <v>3766</v>
      </c>
      <c r="D78" s="531" t="s">
        <v>3736</v>
      </c>
      <c r="E78" s="531" t="s">
        <v>369</v>
      </c>
      <c r="F78" s="531" t="s">
        <v>3767</v>
      </c>
      <c r="G78" s="531" t="s">
        <v>3736</v>
      </c>
      <c r="H78" s="531" t="s">
        <v>369</v>
      </c>
      <c r="I78" s="531" t="s">
        <v>3767</v>
      </c>
    </row>
    <row r="79" spans="1:9">
      <c r="A79" t="s">
        <v>141</v>
      </c>
      <c r="C79" s="1018">
        <v>125</v>
      </c>
      <c r="D79" s="1018">
        <v>250</v>
      </c>
      <c r="G79" s="1018">
        <v>350</v>
      </c>
    </row>
    <row r="80" spans="1:9">
      <c r="A80" t="s">
        <v>3770</v>
      </c>
      <c r="C80" s="907">
        <v>0.17965</v>
      </c>
      <c r="D80" s="907">
        <v>0.21523999999999999</v>
      </c>
      <c r="G80" s="907">
        <v>0.22356999999999999</v>
      </c>
    </row>
    <row r="81" spans="1:9">
      <c r="A81" t="s">
        <v>3771</v>
      </c>
      <c r="C81" s="907">
        <v>0.14091999999999999</v>
      </c>
      <c r="D81" s="907">
        <v>0.16883999999999999</v>
      </c>
      <c r="G81" s="907">
        <v>0.17538000000000001</v>
      </c>
    </row>
    <row r="82" spans="1:9">
      <c r="A82" t="s">
        <v>3772</v>
      </c>
      <c r="C82" s="907">
        <v>4.5109999999999997E-2</v>
      </c>
      <c r="D82" s="907">
        <v>5.4050000000000001E-2</v>
      </c>
      <c r="G82" s="907">
        <v>5.6140000000000002E-2</v>
      </c>
    </row>
    <row r="83" spans="1:9">
      <c r="A83" t="s">
        <v>3768</v>
      </c>
      <c r="C83" s="907">
        <v>0.94288053077623279</v>
      </c>
      <c r="D83" s="907">
        <f>C83</f>
        <v>0.94288053077623279</v>
      </c>
      <c r="G83" s="907">
        <f>C83</f>
        <v>0.94288053077623279</v>
      </c>
    </row>
    <row r="85" spans="1:9">
      <c r="A85" t="s">
        <v>3769</v>
      </c>
      <c r="B85" s="362">
        <f>(9861039+5346795+1480844)/1188</f>
        <v>14047.708754208754</v>
      </c>
      <c r="C85" s="529"/>
      <c r="D85" s="529"/>
      <c r="E85" s="529"/>
      <c r="F85" s="834"/>
      <c r="G85" s="529"/>
      <c r="H85" s="529"/>
      <c r="I85" s="834"/>
    </row>
    <row r="86" spans="1:9">
      <c r="A86" t="s">
        <v>3773</v>
      </c>
      <c r="B86" s="47">
        <f>IF(B85&gt;20000,20000,B85)</f>
        <v>14047.708754208754</v>
      </c>
      <c r="C86" s="1018">
        <f>C79+((C80+C83)*B86)</f>
        <v>15893.981964051884</v>
      </c>
      <c r="D86" s="1018">
        <f>D79+((D80+D83)*B86)</f>
        <v>16518.939918614175</v>
      </c>
      <c r="E86" s="529"/>
      <c r="F86" s="834"/>
      <c r="G86" s="1018">
        <f>G79+((G80+G83)*B86)</f>
        <v>16735.957332536731</v>
      </c>
      <c r="H86" s="529"/>
      <c r="I86" s="834"/>
    </row>
    <row r="87" spans="1:9">
      <c r="A87" t="s">
        <v>351</v>
      </c>
      <c r="B87" s="47">
        <f>IF(B85&gt;100000,80000,B85-B86)</f>
        <v>0</v>
      </c>
      <c r="C87" s="1018">
        <f>((C81+C83)*B87)</f>
        <v>0</v>
      </c>
      <c r="D87" s="1018">
        <f>((D81+D83)*B87)</f>
        <v>0</v>
      </c>
      <c r="E87" s="529"/>
      <c r="F87" s="834"/>
      <c r="G87" s="1018">
        <f>((G81+G83)*B87)</f>
        <v>0</v>
      </c>
      <c r="H87" s="529"/>
      <c r="I87" s="834"/>
    </row>
    <row r="88" spans="1:9">
      <c r="A88" t="s">
        <v>352</v>
      </c>
      <c r="B88" s="47">
        <f>IF(B85&gt;100000,B85-B86-B87,0)</f>
        <v>0</v>
      </c>
      <c r="C88" s="1026">
        <f>((C82+C83)*B88)</f>
        <v>0</v>
      </c>
      <c r="D88" s="1026">
        <f>((D82+D83)*B88)</f>
        <v>0</v>
      </c>
      <c r="E88" s="529"/>
      <c r="F88" s="834"/>
      <c r="G88" s="1026">
        <f>((G82+G83)*B88)</f>
        <v>0</v>
      </c>
      <c r="H88" s="529"/>
      <c r="I88" s="834"/>
    </row>
    <row r="89" spans="1:9">
      <c r="A89" t="s">
        <v>385</v>
      </c>
      <c r="B89" s="47"/>
      <c r="C89" s="1018">
        <f>SUM(C86:C88)</f>
        <v>15893.981964051884</v>
      </c>
      <c r="D89" s="1018">
        <f>SUM(D86:D88)</f>
        <v>16518.939918614175</v>
      </c>
      <c r="E89" s="529">
        <f>D89-C89</f>
        <v>624.95795456229098</v>
      </c>
      <c r="F89" s="834">
        <f>E89/C89</f>
        <v>3.9320414228214542E-2</v>
      </c>
      <c r="G89" s="1018">
        <f>SUM(G86:G88)</f>
        <v>16735.957332536731</v>
      </c>
      <c r="H89" s="529">
        <f>G89-D89</f>
        <v>217.01741392255644</v>
      </c>
      <c r="I89" s="834">
        <f>H89/D89</f>
        <v>1.3137490359052212E-2</v>
      </c>
    </row>
    <row r="90" spans="1:9">
      <c r="B90" s="47"/>
      <c r="C90" s="1018"/>
      <c r="D90" s="1018"/>
      <c r="E90" s="529"/>
      <c r="F90" s="834"/>
      <c r="G90" s="1018"/>
      <c r="H90" s="529"/>
      <c r="I90" s="834"/>
    </row>
    <row r="91" spans="1:9">
      <c r="A91" t="s">
        <v>44</v>
      </c>
    </row>
    <row r="92" spans="1:9">
      <c r="C92" s="449" t="s">
        <v>3734</v>
      </c>
      <c r="D92" s="449" t="s">
        <v>3763</v>
      </c>
      <c r="E92" s="1413" t="s">
        <v>3764</v>
      </c>
      <c r="F92" s="1413"/>
      <c r="G92" s="1025">
        <v>46082</v>
      </c>
      <c r="H92" s="1413" t="s">
        <v>3764</v>
      </c>
      <c r="I92" s="1413"/>
    </row>
    <row r="93" spans="1:9">
      <c r="B93" s="531" t="s">
        <v>3765</v>
      </c>
      <c r="C93" s="531" t="s">
        <v>3766</v>
      </c>
      <c r="D93" s="531" t="s">
        <v>3736</v>
      </c>
      <c r="E93" s="531" t="s">
        <v>369</v>
      </c>
      <c r="F93" s="531" t="s">
        <v>3767</v>
      </c>
      <c r="G93" s="531" t="s">
        <v>3736</v>
      </c>
      <c r="H93" s="531" t="s">
        <v>369</v>
      </c>
      <c r="I93" s="531" t="s">
        <v>3767</v>
      </c>
    </row>
    <row r="94" spans="1:9">
      <c r="A94" t="s">
        <v>141</v>
      </c>
      <c r="C94" s="1018">
        <v>163</v>
      </c>
      <c r="D94" s="1018">
        <v>300</v>
      </c>
      <c r="G94" s="1018">
        <v>400</v>
      </c>
    </row>
    <row r="95" spans="1:9">
      <c r="A95" t="s">
        <v>3770</v>
      </c>
      <c r="C95" s="907">
        <v>0.10450999999999999</v>
      </c>
      <c r="D95" s="907">
        <v>0.14149</v>
      </c>
      <c r="G95" s="907">
        <v>0.14691000000000001</v>
      </c>
    </row>
    <row r="96" spans="1:9">
      <c r="A96" t="s">
        <v>3771</v>
      </c>
      <c r="C96" s="907">
        <v>3.9139999999999994E-2</v>
      </c>
      <c r="D96" s="907">
        <v>5.2990000000000002E-2</v>
      </c>
      <c r="G96" s="907">
        <v>5.5019999999999999E-2</v>
      </c>
    </row>
    <row r="97" spans="1:9">
      <c r="A97" t="s">
        <v>3768</v>
      </c>
      <c r="C97" s="907">
        <v>0.91599263421115962</v>
      </c>
      <c r="D97" s="907">
        <f>C97</f>
        <v>0.91599263421115962</v>
      </c>
      <c r="G97" s="907">
        <f>C97</f>
        <v>0.91599263421115962</v>
      </c>
    </row>
    <row r="99" spans="1:9">
      <c r="A99" t="s">
        <v>3769</v>
      </c>
      <c r="B99" s="362">
        <f>(1086598+1011000)/84</f>
        <v>24971.404761904763</v>
      </c>
      <c r="C99" s="529"/>
      <c r="D99" s="529"/>
      <c r="E99" s="529"/>
      <c r="F99" s="834"/>
      <c r="G99" s="529"/>
      <c r="H99" s="529"/>
      <c r="I99" s="834"/>
    </row>
    <row r="100" spans="1:9">
      <c r="A100" t="s">
        <v>3773</v>
      </c>
      <c r="B100" s="47">
        <f>IF(B99&gt;30000,30000,B99)</f>
        <v>24971.404761904763</v>
      </c>
      <c r="C100" s="1018">
        <f>C94+((C95+C97)*B100)</f>
        <v>25646.384339476906</v>
      </c>
      <c r="D100" s="1018">
        <f>D94+((D95+D97)*B100)</f>
        <v>26706.826887572144</v>
      </c>
      <c r="E100" s="529"/>
      <c r="F100" s="834"/>
      <c r="G100" s="1018">
        <f>G94+((G95+G97)*B100)</f>
        <v>26942.171901381669</v>
      </c>
      <c r="H100" s="529"/>
      <c r="I100" s="834"/>
    </row>
    <row r="101" spans="1:9">
      <c r="A101" t="s">
        <v>351</v>
      </c>
      <c r="B101" s="47">
        <f>IF(B99&gt;30000,B99-B100,0)</f>
        <v>0</v>
      </c>
      <c r="C101" s="1026">
        <f>((C96+C97)*B101)</f>
        <v>0</v>
      </c>
      <c r="D101" s="1026">
        <f>((D96+D97)*B101)</f>
        <v>0</v>
      </c>
      <c r="E101" s="529"/>
      <c r="F101" s="834"/>
      <c r="G101" s="1026">
        <f>((G96+G97)*B101)</f>
        <v>0</v>
      </c>
      <c r="H101" s="529"/>
      <c r="I101" s="834"/>
    </row>
    <row r="102" spans="1:9">
      <c r="A102" t="s">
        <v>385</v>
      </c>
      <c r="B102" s="47"/>
      <c r="C102" s="1018">
        <f>SUM(C100:C101)</f>
        <v>25646.384339476906</v>
      </c>
      <c r="D102" s="1018">
        <f>SUM(D100:D101)</f>
        <v>26706.826887572144</v>
      </c>
      <c r="E102" s="529">
        <f>D102-C102</f>
        <v>1060.4425480952377</v>
      </c>
      <c r="F102" s="834">
        <f>E102/C102</f>
        <v>4.134861795948843E-2</v>
      </c>
      <c r="G102" s="1018">
        <f>SUM(G100:G101)</f>
        <v>26942.171901381669</v>
      </c>
      <c r="H102" s="529">
        <f>G102-D102</f>
        <v>235.34501380952497</v>
      </c>
      <c r="I102" s="834">
        <f>H102/D102</f>
        <v>8.8121668216242233E-3</v>
      </c>
    </row>
    <row r="103" spans="1:9">
      <c r="B103" s="47"/>
      <c r="C103" s="1018"/>
      <c r="D103" s="1018"/>
      <c r="E103" s="529"/>
      <c r="F103" s="834"/>
      <c r="G103" s="1018"/>
      <c r="H103" s="529"/>
      <c r="I103" s="834"/>
    </row>
    <row r="104" spans="1:9">
      <c r="A104" t="s">
        <v>45</v>
      </c>
    </row>
    <row r="105" spans="1:9">
      <c r="C105" s="449" t="s">
        <v>3734</v>
      </c>
      <c r="D105" s="449" t="s">
        <v>3763</v>
      </c>
      <c r="E105" s="1413" t="s">
        <v>3764</v>
      </c>
      <c r="F105" s="1413"/>
      <c r="G105" s="1025">
        <v>46082</v>
      </c>
      <c r="H105" s="1413" t="s">
        <v>3764</v>
      </c>
      <c r="I105" s="1413"/>
    </row>
    <row r="106" spans="1:9">
      <c r="B106" s="531" t="s">
        <v>3765</v>
      </c>
      <c r="C106" s="531" t="s">
        <v>3766</v>
      </c>
      <c r="D106" s="531" t="s">
        <v>3736</v>
      </c>
      <c r="E106" s="531" t="s">
        <v>369</v>
      </c>
      <c r="F106" s="531" t="s">
        <v>3767</v>
      </c>
      <c r="G106" s="531" t="s">
        <v>3736</v>
      </c>
      <c r="H106" s="531" t="s">
        <v>369</v>
      </c>
      <c r="I106" s="531" t="s">
        <v>3767</v>
      </c>
    </row>
    <row r="107" spans="1:9">
      <c r="A107" t="s">
        <v>506</v>
      </c>
      <c r="B107" s="449"/>
      <c r="C107" s="1018">
        <v>0.2</v>
      </c>
      <c r="D107" s="1018">
        <v>0.4</v>
      </c>
      <c r="E107" s="449"/>
      <c r="F107" s="449"/>
      <c r="G107" s="1018">
        <v>0.45</v>
      </c>
      <c r="H107" s="449"/>
      <c r="I107" s="449"/>
    </row>
    <row r="108" spans="1:9">
      <c r="A108" t="s">
        <v>141</v>
      </c>
      <c r="C108" s="1018">
        <v>625</v>
      </c>
      <c r="D108" s="1018">
        <v>1000</v>
      </c>
      <c r="G108" s="1018">
        <v>1200</v>
      </c>
    </row>
    <row r="109" spans="1:9">
      <c r="A109" t="s">
        <v>173</v>
      </c>
      <c r="C109" s="907">
        <v>4.0000000000000002E-4</v>
      </c>
      <c r="D109" s="907">
        <v>1.1000000000000001E-3</v>
      </c>
      <c r="G109" s="907">
        <v>1.1000000000000001E-3</v>
      </c>
    </row>
    <row r="110" spans="1:9">
      <c r="A110" t="s">
        <v>3770</v>
      </c>
      <c r="C110" s="907">
        <v>6.6020000000000009E-2</v>
      </c>
      <c r="D110" s="907">
        <v>7.4870000000000006E-2</v>
      </c>
      <c r="G110" s="907">
        <v>7.5389999999999999E-2</v>
      </c>
    </row>
    <row r="111" spans="1:9">
      <c r="A111" t="s">
        <v>3771</v>
      </c>
      <c r="C111" s="907">
        <v>2.681E-2</v>
      </c>
      <c r="D111" s="907">
        <v>3.04E-2</v>
      </c>
      <c r="G111" s="907">
        <v>3.0609999999999998E-2</v>
      </c>
    </row>
    <row r="112" spans="1:9">
      <c r="A112" t="s">
        <v>3772</v>
      </c>
      <c r="C112" s="907">
        <v>1.7979999999999999E-2</v>
      </c>
      <c r="D112" s="907">
        <v>2.0389999999999998E-2</v>
      </c>
      <c r="G112" s="907">
        <v>2.053E-2</v>
      </c>
    </row>
    <row r="113" spans="1:9">
      <c r="A113" t="s">
        <v>3774</v>
      </c>
      <c r="C113" s="907">
        <v>1.0800000000000001E-2</v>
      </c>
      <c r="D113" s="907">
        <v>1.225E-2</v>
      </c>
      <c r="G113" s="907">
        <v>1.234E-2</v>
      </c>
    </row>
    <row r="114" spans="1:9">
      <c r="A114" t="s">
        <v>3768</v>
      </c>
      <c r="C114" s="907">
        <v>2.0100000000000001E-3</v>
      </c>
      <c r="D114" s="907">
        <f>C114</f>
        <v>2.0100000000000001E-3</v>
      </c>
      <c r="G114" s="907">
        <f>C114</f>
        <v>2.0100000000000001E-3</v>
      </c>
    </row>
    <row r="116" spans="1:9">
      <c r="A116" t="s">
        <v>3775</v>
      </c>
      <c r="B116" s="362">
        <f>42366960/2316</f>
        <v>18293.160621761657</v>
      </c>
    </row>
    <row r="117" spans="1:9">
      <c r="A117" t="s">
        <v>3769</v>
      </c>
      <c r="B117" s="362">
        <f>(100667737+72067729+37181911+645023692)/2316</f>
        <v>369145.53929188254</v>
      </c>
      <c r="C117" s="529"/>
      <c r="D117" s="529"/>
      <c r="E117" s="529"/>
      <c r="F117" s="834"/>
      <c r="G117" s="529"/>
      <c r="H117" s="529"/>
      <c r="I117" s="834"/>
    </row>
    <row r="118" spans="1:9">
      <c r="A118" t="s">
        <v>3776</v>
      </c>
      <c r="B118" s="47">
        <f>IF(B117&gt;100000,100000,B117)</f>
        <v>100000</v>
      </c>
      <c r="C118" s="1018">
        <f>(C107*B116)+C108+(C109*B117)+((C110+C114)*B118)</f>
        <v>11234.290340069085</v>
      </c>
      <c r="D118" s="1018">
        <f>(D107*B116)+D108+(D109*B117)+((D110+D114)*B118)</f>
        <v>16411.324341925734</v>
      </c>
      <c r="E118" s="529"/>
      <c r="F118" s="834"/>
      <c r="G118" s="1018">
        <f>(G107*B116)+G108+(G109*B117)+((G110+G114)*B118)</f>
        <v>17577.982373013816</v>
      </c>
      <c r="H118" s="529"/>
      <c r="I118" s="834"/>
    </row>
    <row r="119" spans="1:9">
      <c r="A119" t="s">
        <v>351</v>
      </c>
      <c r="B119" s="47">
        <f>IF(B117&gt;300000,200000,B117-B118)</f>
        <v>200000</v>
      </c>
      <c r="C119" s="1018">
        <f>(C111+C114)*B119</f>
        <v>5764</v>
      </c>
      <c r="D119" s="1018">
        <f>(D111+D114)*B119</f>
        <v>6482</v>
      </c>
      <c r="E119" s="529"/>
      <c r="F119" s="834"/>
      <c r="G119" s="1018">
        <f>(G111+G114)*B119</f>
        <v>6523.9999999999991</v>
      </c>
      <c r="H119" s="529"/>
      <c r="I119" s="834"/>
    </row>
    <row r="120" spans="1:9">
      <c r="A120" t="s">
        <v>352</v>
      </c>
      <c r="B120" s="47">
        <f>IF(B117&gt;500000,200000,B117-B118-B119)</f>
        <v>69145.539291882538</v>
      </c>
      <c r="C120" s="1018">
        <f>(C112+C114)*B120</f>
        <v>1382.2193304447319</v>
      </c>
      <c r="D120" s="1018">
        <f>(D112+D114)*B120</f>
        <v>1548.8600801381688</v>
      </c>
      <c r="E120" s="529"/>
      <c r="F120" s="834"/>
      <c r="G120" s="1018">
        <f>(G112+G114)*B120</f>
        <v>1558.5404556390324</v>
      </c>
      <c r="H120" s="529"/>
      <c r="I120" s="834"/>
    </row>
    <row r="121" spans="1:9">
      <c r="A121" t="s">
        <v>354</v>
      </c>
      <c r="B121" s="47">
        <f>IF(B117&gt;500000,B117-B118-B119-B120,0)</f>
        <v>0</v>
      </c>
      <c r="C121" s="1026">
        <f>(C113+C114)*B121</f>
        <v>0</v>
      </c>
      <c r="D121" s="1026">
        <f>(D113+D114)*B121</f>
        <v>0</v>
      </c>
      <c r="E121" s="529"/>
      <c r="F121" s="834"/>
      <c r="G121" s="1026">
        <f>(G113+G114)*B121</f>
        <v>0</v>
      </c>
      <c r="H121" s="529"/>
      <c r="I121" s="834"/>
    </row>
    <row r="122" spans="1:9">
      <c r="A122" t="s">
        <v>385</v>
      </c>
      <c r="B122" s="47"/>
      <c r="C122" s="1018">
        <f>SUM(C118:C121)</f>
        <v>18380.509670513817</v>
      </c>
      <c r="D122" s="1018">
        <f>SUM(D118:D121)</f>
        <v>24442.184422063903</v>
      </c>
      <c r="E122" s="529">
        <f>D122-C122</f>
        <v>6061.6747515500865</v>
      </c>
      <c r="F122" s="834">
        <f>E122/C122</f>
        <v>0.32978817563880075</v>
      </c>
      <c r="G122" s="1018">
        <f>SUM(G118:G121)</f>
        <v>25660.522828652847</v>
      </c>
      <c r="H122" s="529">
        <f>G122-D122</f>
        <v>1218.3384065889441</v>
      </c>
      <c r="I122" s="834">
        <f>H122/D122</f>
        <v>4.9845725142682124E-2</v>
      </c>
    </row>
    <row r="125" spans="1:9">
      <c r="A125" t="s">
        <v>3778</v>
      </c>
    </row>
    <row r="126" spans="1:9">
      <c r="A126" s="386" t="s">
        <v>3779</v>
      </c>
      <c r="B126" s="885">
        <f>'Summary Document'!D44</f>
        <v>43829673</v>
      </c>
    </row>
    <row r="127" spans="1:9">
      <c r="A127" s="386" t="s">
        <v>3780</v>
      </c>
      <c r="B127" s="895">
        <v>4167572.17</v>
      </c>
    </row>
    <row r="128" spans="1:9">
      <c r="A128" s="386" t="s">
        <v>3781</v>
      </c>
      <c r="B128" s="895">
        <v>867005.48</v>
      </c>
    </row>
    <row r="129" spans="1:2">
      <c r="A129" s="386" t="s">
        <v>200</v>
      </c>
      <c r="B129" s="885">
        <f>SUM(B126:B128)</f>
        <v>48864250.649999999</v>
      </c>
    </row>
    <row r="130" spans="1:2">
      <c r="A130" s="386"/>
      <c r="B130" s="1024">
        <f>'Exh JAD-2, TY Revenues'!D29+'Exh JAD-2, TY Revenues'!D51+'Exh JAD-2, TY Revenues'!D75+'Exh JAD-2, TY Revenues'!D100+'Exh JAD-2, TY Revenues'!D124+'Exh JAD-2, TY Revenues'!D148</f>
        <v>370707518.79140168</v>
      </c>
    </row>
    <row r="131" spans="1:2">
      <c r="A131" s="386"/>
      <c r="B131" s="903">
        <f>B129/B130</f>
        <v>0.13181348684081068</v>
      </c>
    </row>
  </sheetData>
  <mergeCells count="12">
    <mergeCell ref="E77:F77"/>
    <mergeCell ref="H77:I77"/>
    <mergeCell ref="E92:F92"/>
    <mergeCell ref="H92:I92"/>
    <mergeCell ref="E105:F105"/>
    <mergeCell ref="H105:I105"/>
    <mergeCell ref="E44:F44"/>
    <mergeCell ref="H44:I44"/>
    <mergeCell ref="E53:F53"/>
    <mergeCell ref="H53:I53"/>
    <mergeCell ref="E62:F62"/>
    <mergeCell ref="H62:I62"/>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92CB-5576-4CA0-A7E9-9C599FF2CBAC}">
  <sheetPr codeName="Sheet45"/>
  <dimension ref="A1:M18"/>
  <sheetViews>
    <sheetView workbookViewId="0">
      <selection activeCell="C25" sqref="C25"/>
    </sheetView>
  </sheetViews>
  <sheetFormatPr defaultColWidth="8.85546875" defaultRowHeight="15"/>
  <cols>
    <col min="1" max="16384" width="8.85546875" style="53"/>
  </cols>
  <sheetData>
    <row r="1" spans="1:13">
      <c r="A1" s="12" t="str">
        <f ca="1">MID(CELL("filename",A1),FIND("]",CELL("filename",A1))+1,255)</f>
        <v>TY Revenues ---&gt;</v>
      </c>
    </row>
    <row r="2" spans="1:13">
      <c r="B2" s="1414" t="s">
        <v>105</v>
      </c>
      <c r="C2" s="1414"/>
      <c r="D2" s="1414"/>
      <c r="E2" s="1414"/>
      <c r="F2" s="1414"/>
      <c r="G2" s="1414"/>
      <c r="H2" s="1414"/>
      <c r="I2" s="1414"/>
      <c r="J2" s="1414"/>
      <c r="K2" s="1414"/>
      <c r="L2" s="1414"/>
      <c r="M2" s="1414"/>
    </row>
    <row r="3" spans="1:13">
      <c r="B3" s="1414"/>
      <c r="C3" s="1414"/>
      <c r="D3" s="1414"/>
      <c r="E3" s="1414"/>
      <c r="F3" s="1414"/>
      <c r="G3" s="1414"/>
      <c r="H3" s="1414"/>
      <c r="I3" s="1414"/>
      <c r="J3" s="1414"/>
      <c r="K3" s="1414"/>
      <c r="L3" s="1414"/>
      <c r="M3" s="1414"/>
    </row>
    <row r="4" spans="1:13">
      <c r="B4" s="1414"/>
      <c r="C4" s="1414"/>
      <c r="D4" s="1414"/>
      <c r="E4" s="1414"/>
      <c r="F4" s="1414"/>
      <c r="G4" s="1414"/>
      <c r="H4" s="1414"/>
      <c r="I4" s="1414"/>
      <c r="J4" s="1414"/>
      <c r="K4" s="1414"/>
      <c r="L4" s="1414"/>
      <c r="M4" s="1414"/>
    </row>
    <row r="5" spans="1:13">
      <c r="B5" s="1414"/>
      <c r="C5" s="1414"/>
      <c r="D5" s="1414"/>
      <c r="E5" s="1414"/>
      <c r="F5" s="1414"/>
      <c r="G5" s="1414"/>
      <c r="H5" s="1414"/>
      <c r="I5" s="1414"/>
      <c r="J5" s="1414"/>
      <c r="K5" s="1414"/>
      <c r="L5" s="1414"/>
      <c r="M5" s="1414"/>
    </row>
    <row r="6" spans="1:13">
      <c r="B6" s="1414"/>
      <c r="C6" s="1414"/>
      <c r="D6" s="1414"/>
      <c r="E6" s="1414"/>
      <c r="F6" s="1414"/>
      <c r="G6" s="1414"/>
      <c r="H6" s="1414"/>
      <c r="I6" s="1414"/>
      <c r="J6" s="1414"/>
      <c r="K6" s="1414"/>
      <c r="L6" s="1414"/>
      <c r="M6" s="1414"/>
    </row>
    <row r="7" spans="1:13">
      <c r="B7" s="1414"/>
      <c r="C7" s="1414"/>
      <c r="D7" s="1414"/>
      <c r="E7" s="1414"/>
      <c r="F7" s="1414"/>
      <c r="G7" s="1414"/>
      <c r="H7" s="1414"/>
      <c r="I7" s="1414"/>
      <c r="J7" s="1414"/>
      <c r="K7" s="1414"/>
      <c r="L7" s="1414"/>
      <c r="M7" s="1414"/>
    </row>
    <row r="8" spans="1:13">
      <c r="B8" s="1414"/>
      <c r="C8" s="1414"/>
      <c r="D8" s="1414"/>
      <c r="E8" s="1414"/>
      <c r="F8" s="1414"/>
      <c r="G8" s="1414"/>
      <c r="H8" s="1414"/>
      <c r="I8" s="1414"/>
      <c r="J8" s="1414"/>
      <c r="K8" s="1414"/>
      <c r="L8" s="1414"/>
      <c r="M8" s="1414"/>
    </row>
    <row r="9" spans="1:13">
      <c r="B9" s="1414"/>
      <c r="C9" s="1414"/>
      <c r="D9" s="1414"/>
      <c r="E9" s="1414"/>
      <c r="F9" s="1414"/>
      <c r="G9" s="1414"/>
      <c r="H9" s="1414"/>
      <c r="I9" s="1414"/>
      <c r="J9" s="1414"/>
      <c r="K9" s="1414"/>
      <c r="L9" s="1414"/>
      <c r="M9" s="1414"/>
    </row>
    <row r="10" spans="1:13">
      <c r="B10" s="1414"/>
      <c r="C10" s="1414"/>
      <c r="D10" s="1414"/>
      <c r="E10" s="1414"/>
      <c r="F10" s="1414"/>
      <c r="G10" s="1414"/>
      <c r="H10" s="1414"/>
      <c r="I10" s="1414"/>
      <c r="J10" s="1414"/>
      <c r="K10" s="1414"/>
      <c r="L10" s="1414"/>
      <c r="M10" s="1414"/>
    </row>
    <row r="11" spans="1:13">
      <c r="B11" s="1414"/>
      <c r="C11" s="1414"/>
      <c r="D11" s="1414"/>
      <c r="E11" s="1414"/>
      <c r="F11" s="1414"/>
      <c r="G11" s="1414"/>
      <c r="H11" s="1414"/>
      <c r="I11" s="1414"/>
      <c r="J11" s="1414"/>
      <c r="K11" s="1414"/>
      <c r="L11" s="1414"/>
      <c r="M11" s="1414"/>
    </row>
    <row r="12" spans="1:13">
      <c r="B12" s="1414"/>
      <c r="C12" s="1414"/>
      <c r="D12" s="1414"/>
      <c r="E12" s="1414"/>
      <c r="F12" s="1414"/>
      <c r="G12" s="1414"/>
      <c r="H12" s="1414"/>
      <c r="I12" s="1414"/>
      <c r="J12" s="1414"/>
      <c r="K12" s="1414"/>
      <c r="L12" s="1414"/>
      <c r="M12" s="1414"/>
    </row>
    <row r="13" spans="1:13">
      <c r="B13" s="1414"/>
      <c r="C13" s="1414"/>
      <c r="D13" s="1414"/>
      <c r="E13" s="1414"/>
      <c r="F13" s="1414"/>
      <c r="G13" s="1414"/>
      <c r="H13" s="1414"/>
      <c r="I13" s="1414"/>
      <c r="J13" s="1414"/>
      <c r="K13" s="1414"/>
      <c r="L13" s="1414"/>
      <c r="M13" s="1414"/>
    </row>
    <row r="14" spans="1:13">
      <c r="B14" s="1414"/>
      <c r="C14" s="1414"/>
      <c r="D14" s="1414"/>
      <c r="E14" s="1414"/>
      <c r="F14" s="1414"/>
      <c r="G14" s="1414"/>
      <c r="H14" s="1414"/>
      <c r="I14" s="1414"/>
      <c r="J14" s="1414"/>
      <c r="K14" s="1414"/>
      <c r="L14" s="1414"/>
      <c r="M14" s="1414"/>
    </row>
    <row r="15" spans="1:13">
      <c r="B15" s="1414"/>
      <c r="C15" s="1414"/>
      <c r="D15" s="1414"/>
      <c r="E15" s="1414"/>
      <c r="F15" s="1414"/>
      <c r="G15" s="1414"/>
      <c r="H15" s="1414"/>
      <c r="I15" s="1414"/>
      <c r="J15" s="1414"/>
      <c r="K15" s="1414"/>
      <c r="L15" s="1414"/>
      <c r="M15" s="1414"/>
    </row>
    <row r="16" spans="1:13">
      <c r="B16" s="1414"/>
      <c r="C16" s="1414"/>
      <c r="D16" s="1414"/>
      <c r="E16" s="1414"/>
      <c r="F16" s="1414"/>
      <c r="G16" s="1414"/>
      <c r="H16" s="1414"/>
      <c r="I16" s="1414"/>
      <c r="J16" s="1414"/>
      <c r="K16" s="1414"/>
      <c r="L16" s="1414"/>
      <c r="M16" s="1414"/>
    </row>
    <row r="17" spans="2:13">
      <c r="B17" s="1414"/>
      <c r="C17" s="1414"/>
      <c r="D17" s="1414"/>
      <c r="E17" s="1414"/>
      <c r="F17" s="1414"/>
      <c r="G17" s="1414"/>
      <c r="H17" s="1414"/>
      <c r="I17" s="1414"/>
      <c r="J17" s="1414"/>
      <c r="K17" s="1414"/>
      <c r="L17" s="1414"/>
      <c r="M17" s="1414"/>
    </row>
    <row r="18" spans="2:13">
      <c r="B18" s="1414"/>
      <c r="C18" s="1414"/>
      <c r="D18" s="1414"/>
      <c r="E18" s="1414"/>
      <c r="F18" s="1414"/>
      <c r="G18" s="1414"/>
      <c r="H18" s="1414"/>
      <c r="I18" s="1414"/>
      <c r="J18" s="1414"/>
      <c r="K18" s="1414"/>
      <c r="L18" s="1414"/>
      <c r="M18" s="1414"/>
    </row>
  </sheetData>
  <mergeCells count="1">
    <mergeCell ref="B2:M1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7E199-DE9D-418F-BF24-71FB67AFE986}">
  <sheetPr codeName="Sheet1"/>
  <dimension ref="A1:Y238"/>
  <sheetViews>
    <sheetView view="pageBreakPreview" zoomScale="60" zoomScaleNormal="100" workbookViewId="0">
      <selection activeCell="O11" sqref="O11"/>
    </sheetView>
  </sheetViews>
  <sheetFormatPr defaultColWidth="8.7109375" defaultRowHeight="15"/>
  <cols>
    <col min="1" max="1" width="7.42578125" style="2" customWidth="1"/>
    <col min="2" max="2" width="50.5703125" style="1" bestFit="1" customWidth="1"/>
    <col min="3" max="3" width="20.7109375" style="11" customWidth="1"/>
    <col min="4" max="4" width="20.85546875" style="11" bestFit="1" customWidth="1"/>
    <col min="5" max="5" width="2.140625" style="11" customWidth="1"/>
    <col min="6" max="6" width="17.140625" style="11" customWidth="1"/>
    <col min="7" max="7" width="2.140625" style="11" customWidth="1"/>
    <col min="8" max="8" width="20.7109375" style="11" customWidth="1"/>
    <col min="9" max="9" width="18.7109375" style="11" bestFit="1" customWidth="1"/>
    <col min="10" max="10" width="2.140625" style="11" customWidth="1"/>
    <col min="11" max="11" width="22.5703125" style="11" customWidth="1"/>
    <col min="12" max="12" width="22.140625" style="11" customWidth="1"/>
    <col min="13" max="13" width="19.28515625" style="11" customWidth="1"/>
    <col min="14" max="14" width="2.140625" style="11" customWidth="1"/>
    <col min="15" max="15" width="19.7109375" style="11" customWidth="1"/>
    <col min="16" max="16" width="15.85546875" style="11" customWidth="1"/>
    <col min="17" max="17" width="17.7109375" style="11" bestFit="1" customWidth="1"/>
    <col min="18" max="18" width="2.140625" style="11" customWidth="1"/>
    <col min="19" max="19" width="20.140625" style="11" customWidth="1"/>
    <col min="20" max="20" width="13.85546875" style="11" customWidth="1"/>
    <col min="21" max="21" width="20.140625" style="11" customWidth="1"/>
    <col min="22" max="22" width="2.140625" style="11" customWidth="1"/>
    <col min="23" max="23" width="19.7109375" style="11" customWidth="1"/>
    <col min="24" max="24" width="24.28515625" style="11" customWidth="1"/>
    <col min="25" max="25" width="17.7109375" style="1" customWidth="1"/>
    <col min="26" max="16384" width="8.7109375" style="1"/>
  </cols>
  <sheetData>
    <row r="1" spans="1:25">
      <c r="A1" s="543" t="str">
        <f>Company</f>
        <v>Cascade Natural Gas Corp.</v>
      </c>
      <c r="B1" s="604"/>
      <c r="C1" s="9"/>
      <c r="D1" s="9"/>
      <c r="E1" s="9"/>
      <c r="F1" s="9"/>
      <c r="G1" s="9"/>
      <c r="H1" s="9"/>
      <c r="I1" s="9"/>
      <c r="J1" s="9"/>
      <c r="K1" s="9"/>
      <c r="L1" s="9"/>
      <c r="M1" s="9"/>
      <c r="N1" s="9"/>
      <c r="O1" s="9"/>
      <c r="P1" s="9"/>
      <c r="Q1" s="9"/>
      <c r="R1" s="9"/>
      <c r="S1" s="9"/>
      <c r="T1" s="9"/>
      <c r="U1" s="9"/>
      <c r="V1" s="9"/>
      <c r="W1" s="9"/>
      <c r="X1" s="9"/>
    </row>
    <row r="2" spans="1:25">
      <c r="A2" s="543" t="str">
        <f>Title1</f>
        <v>Washington Jurisdiction</v>
      </c>
      <c r="B2" s="604"/>
      <c r="C2" s="9"/>
      <c r="D2" s="9"/>
      <c r="E2" s="9"/>
      <c r="F2" s="9"/>
      <c r="G2" s="9"/>
      <c r="H2" s="9"/>
      <c r="I2" s="9"/>
      <c r="J2" s="9"/>
      <c r="K2" s="9"/>
      <c r="L2" s="9"/>
      <c r="M2" s="9"/>
      <c r="N2" s="9"/>
      <c r="O2" s="9"/>
      <c r="P2" s="9"/>
      <c r="Q2" s="9"/>
      <c r="R2" s="9"/>
      <c r="S2" s="9"/>
      <c r="T2" s="9"/>
      <c r="U2" s="9"/>
      <c r="V2" s="9"/>
      <c r="W2" s="9"/>
      <c r="X2" s="9"/>
    </row>
    <row r="3" spans="1:25">
      <c r="A3" s="543" t="str">
        <f>Title2</f>
        <v>Twelve-Months ended December 31, 2023</v>
      </c>
      <c r="B3" s="604"/>
      <c r="C3" s="9"/>
      <c r="D3" s="9"/>
      <c r="E3" s="9"/>
      <c r="F3" s="9"/>
      <c r="G3" s="9"/>
      <c r="H3" s="9"/>
      <c r="I3" s="9"/>
      <c r="J3" s="9"/>
      <c r="K3" s="9"/>
      <c r="L3" s="9"/>
      <c r="M3" s="9"/>
      <c r="N3" s="9"/>
      <c r="O3" s="9"/>
      <c r="P3" s="9"/>
      <c r="Q3" s="9"/>
      <c r="R3" s="9"/>
      <c r="S3" s="9"/>
      <c r="T3" s="9"/>
      <c r="U3" s="9"/>
      <c r="V3" s="9"/>
      <c r="W3" s="9"/>
      <c r="X3" s="9"/>
    </row>
    <row r="4" spans="1:25">
      <c r="A4" s="543" t="s">
        <v>106</v>
      </c>
      <c r="B4" s="604"/>
      <c r="C4" s="9"/>
      <c r="D4" s="9"/>
      <c r="E4" s="9"/>
      <c r="F4" s="9"/>
      <c r="G4" s="9"/>
      <c r="H4" s="9"/>
      <c r="I4" s="9"/>
      <c r="J4" s="9"/>
      <c r="K4" s="9"/>
      <c r="L4" s="9"/>
      <c r="M4" s="9"/>
      <c r="N4" s="9"/>
      <c r="O4" s="9"/>
      <c r="P4" s="9"/>
      <c r="Q4" s="9"/>
      <c r="R4" s="9"/>
      <c r="S4" s="9"/>
      <c r="T4" s="9"/>
      <c r="U4" s="9"/>
      <c r="V4" s="9"/>
      <c r="W4" s="9"/>
      <c r="X4" s="9"/>
    </row>
    <row r="5" spans="1:25">
      <c r="B5" s="429"/>
      <c r="H5" s="605"/>
      <c r="I5" s="605"/>
    </row>
    <row r="6" spans="1:25" s="239" customFormat="1" ht="60">
      <c r="A6" s="545"/>
      <c r="C6" s="1415" t="s">
        <v>107</v>
      </c>
      <c r="D6" s="1416"/>
      <c r="E6" s="606"/>
      <c r="F6" s="607" t="s">
        <v>108</v>
      </c>
      <c r="G6" s="607"/>
      <c r="H6" s="1418" t="s">
        <v>109</v>
      </c>
      <c r="I6" s="1418"/>
      <c r="J6" s="606"/>
      <c r="K6" s="1417" t="s">
        <v>110</v>
      </c>
      <c r="L6" s="1417"/>
      <c r="M6" s="1417"/>
      <c r="N6" s="606"/>
      <c r="O6" s="1417" t="s">
        <v>111</v>
      </c>
      <c r="P6" s="1417"/>
      <c r="Q6" s="1417"/>
      <c r="R6" s="606"/>
      <c r="S6" s="1417" t="s">
        <v>112</v>
      </c>
      <c r="T6" s="1417"/>
      <c r="U6" s="1417"/>
      <c r="V6" s="606"/>
      <c r="W6" s="1415" t="s">
        <v>113</v>
      </c>
      <c r="X6" s="1416"/>
    </row>
    <row r="7" spans="1:25" ht="60">
      <c r="A7" s="608" t="s">
        <v>114</v>
      </c>
      <c r="B7" s="608" t="s">
        <v>115</v>
      </c>
      <c r="C7" s="609" t="s">
        <v>116</v>
      </c>
      <c r="D7" s="609" t="s">
        <v>117</v>
      </c>
      <c r="E7" s="610"/>
      <c r="F7" s="354" t="s">
        <v>118</v>
      </c>
      <c r="G7" s="610"/>
      <c r="H7" s="476" t="s">
        <v>119</v>
      </c>
      <c r="I7" s="476" t="s">
        <v>118</v>
      </c>
      <c r="J7" s="610"/>
      <c r="K7" s="476" t="s">
        <v>120</v>
      </c>
      <c r="L7" s="476" t="s">
        <v>119</v>
      </c>
      <c r="M7" s="476" t="s">
        <v>118</v>
      </c>
      <c r="N7" s="610"/>
      <c r="O7" s="609" t="s">
        <v>121</v>
      </c>
      <c r="P7" s="609" t="s">
        <v>119</v>
      </c>
      <c r="Q7" s="609" t="s">
        <v>118</v>
      </c>
      <c r="R7" s="610"/>
      <c r="S7" s="609" t="s">
        <v>122</v>
      </c>
      <c r="T7" s="355" t="s">
        <v>119</v>
      </c>
      <c r="U7" s="353" t="s">
        <v>118</v>
      </c>
      <c r="V7" s="610"/>
      <c r="W7" s="609" t="s">
        <v>122</v>
      </c>
      <c r="X7" s="609" t="s">
        <v>118</v>
      </c>
    </row>
    <row r="8" spans="1:25">
      <c r="B8" s="2" t="s">
        <v>123</v>
      </c>
      <c r="C8" s="2" t="s">
        <v>124</v>
      </c>
      <c r="D8" s="2" t="s">
        <v>125</v>
      </c>
      <c r="E8" s="2"/>
      <c r="F8" s="2" t="s">
        <v>126</v>
      </c>
      <c r="G8" s="2"/>
      <c r="H8" s="2" t="s">
        <v>127</v>
      </c>
      <c r="I8" s="2" t="s">
        <v>128</v>
      </c>
      <c r="J8" s="2"/>
      <c r="K8" s="2" t="s">
        <v>129</v>
      </c>
      <c r="L8" s="2" t="s">
        <v>130</v>
      </c>
      <c r="M8" s="2" t="s">
        <v>131</v>
      </c>
      <c r="N8" s="2"/>
      <c r="O8" s="2" t="s">
        <v>132</v>
      </c>
      <c r="P8" s="2" t="s">
        <v>133</v>
      </c>
      <c r="Q8" s="2" t="s">
        <v>134</v>
      </c>
      <c r="R8" s="2"/>
      <c r="S8" s="2" t="s">
        <v>135</v>
      </c>
      <c r="T8" s="2" t="s">
        <v>136</v>
      </c>
      <c r="U8" s="2" t="s">
        <v>137</v>
      </c>
      <c r="V8" s="2"/>
      <c r="W8" s="2" t="s">
        <v>138</v>
      </c>
      <c r="X8" s="2" t="s">
        <v>139</v>
      </c>
    </row>
    <row r="9" spans="1:25">
      <c r="A9" s="2">
        <v>1</v>
      </c>
      <c r="B9" s="611">
        <v>503</v>
      </c>
    </row>
    <row r="10" spans="1:25">
      <c r="A10" s="2">
        <f>MAX($A$9:A9)+1</f>
        <v>2</v>
      </c>
      <c r="B10" t="s">
        <v>140</v>
      </c>
    </row>
    <row r="11" spans="1:25">
      <c r="A11" s="2">
        <f>MAX($A$9:A10)+1</f>
        <v>3</v>
      </c>
      <c r="B11" s="520" t="s">
        <v>141</v>
      </c>
      <c r="C11" s="532">
        <f>'Customer Counts'!O10</f>
        <v>2438793</v>
      </c>
      <c r="D11" s="612">
        <f>SUMIFS('Monthly Billed Revenues'!S:S,'Monthly Billed Revenues'!B:B,"*"&amp;$B$9&amp;"*",'Monthly Billed Revenues'!E:E,"*"&amp;B11&amp;"*")+SUMIFS('Monthly Billed Revenues'!S:S,'Monthly Billed Revenues'!B:B,"*"&amp;$B$9&amp;"*",'Monthly Billed Revenues'!D:D,"Service Charge - Revadj")+'Unbilled Revenue'!D45</f>
        <v>12736721.799999999</v>
      </c>
      <c r="E11" s="613"/>
      <c r="F11" s="614"/>
      <c r="G11" s="613"/>
      <c r="H11" s="551">
        <v>5</v>
      </c>
      <c r="I11" s="612">
        <f>(C11*H11)-D11</f>
        <v>-542756.79999999888</v>
      </c>
      <c r="J11" s="613"/>
      <c r="K11" s="532"/>
      <c r="L11" s="551"/>
      <c r="M11" s="612"/>
      <c r="N11" s="613"/>
      <c r="O11" s="532">
        <f>'EOP Calculations'!Q55-C11</f>
        <v>15399</v>
      </c>
      <c r="P11" s="551">
        <f>$H$11</f>
        <v>5</v>
      </c>
      <c r="Q11" s="612">
        <f>O11*P11</f>
        <v>76995</v>
      </c>
      <c r="R11" s="613"/>
      <c r="S11" s="532"/>
      <c r="T11" s="551"/>
      <c r="U11" s="612"/>
      <c r="V11" s="613"/>
      <c r="W11" s="532">
        <f>C11+O11</f>
        <v>2454192</v>
      </c>
      <c r="X11" s="612">
        <f>D11+F11+I11+M11+Q11+U11</f>
        <v>12270960</v>
      </c>
      <c r="Y11" s="16"/>
    </row>
    <row r="12" spans="1:25">
      <c r="A12" s="2">
        <f>MAX($A$9:A11)+1</f>
        <v>4</v>
      </c>
      <c r="B12" t="s">
        <v>142</v>
      </c>
      <c r="C12" s="532">
        <f>'Rev Recon Summary'!Q12+'Unbilled Revenue'!C43</f>
        <v>125222746</v>
      </c>
      <c r="D12" s="532">
        <f>SUMIFS('Monthly Billed Revenues'!S:S,'Monthly Billed Revenues'!B:B,"*"&amp;$B$9&amp;"*",'Monthly Billed Revenues'!E:E,"*"&amp;B12&amp;"*")+SUMIFS('Monthly Billed Revenues'!S:S,'Monthly Billed Revenues'!B:B,"*"&amp;$B$9&amp;"*",'Monthly Billed Revenues'!D:D,"Margin - Revadj")+'Unbilled Revenue'!D46</f>
        <v>42768014.203700006</v>
      </c>
      <c r="E12" s="613"/>
      <c r="F12" s="613"/>
      <c r="G12" s="613"/>
      <c r="H12">
        <v>0.33950999999999998</v>
      </c>
      <c r="I12" s="532">
        <f>(C12*H12)-D12</f>
        <v>-253639.70924001187</v>
      </c>
      <c r="J12" s="613"/>
      <c r="K12" s="532">
        <f>'Weather Normalization'!D23</f>
        <v>4035410.9547813153</v>
      </c>
      <c r="L12">
        <f>$H$12</f>
        <v>0.33950999999999998</v>
      </c>
      <c r="M12" s="532">
        <f>K12*L12</f>
        <v>1370062.3732578042</v>
      </c>
      <c r="N12" s="613"/>
      <c r="O12" s="532">
        <f>'EOP Calculations'!P55-C12-K12</f>
        <v>655289.20055035595</v>
      </c>
      <c r="P12">
        <f>$H$12</f>
        <v>0.33950999999999998</v>
      </c>
      <c r="Q12" s="532">
        <f>O12*P12</f>
        <v>222477.23647885132</v>
      </c>
      <c r="R12" s="613"/>
      <c r="S12" s="532">
        <f>C12+K12+O12</f>
        <v>129913446.15533167</v>
      </c>
      <c r="T12" s="552">
        <v>1.7690000000000001E-2</v>
      </c>
      <c r="U12" s="532">
        <f>S12*T12</f>
        <v>2298168.8624878172</v>
      </c>
      <c r="V12" s="613"/>
      <c r="W12" s="532">
        <f>C12+K12+O12</f>
        <v>129913446.15533167</v>
      </c>
      <c r="X12" s="532">
        <f>D12+F12+I12+M12+Q12+U12</f>
        <v>46405082.966684461</v>
      </c>
      <c r="Y12" s="16"/>
    </row>
    <row r="13" spans="1:25">
      <c r="A13" s="2">
        <f>MAX($A$9:A12)+1</f>
        <v>5</v>
      </c>
      <c r="B13"/>
      <c r="C13" s="532"/>
      <c r="D13" s="532"/>
      <c r="E13" s="613"/>
      <c r="F13" s="613"/>
      <c r="G13" s="613"/>
      <c r="H13"/>
      <c r="I13"/>
      <c r="J13" s="613"/>
      <c r="K13"/>
      <c r="L13"/>
      <c r="M13"/>
      <c r="N13" s="613"/>
      <c r="O13"/>
      <c r="P13"/>
      <c r="Q13"/>
      <c r="R13" s="613"/>
      <c r="S13"/>
      <c r="T13"/>
      <c r="U13"/>
      <c r="V13" s="613"/>
      <c r="W13"/>
      <c r="X13"/>
      <c r="Y13" s="16"/>
    </row>
    <row r="14" spans="1:25">
      <c r="A14" s="2">
        <f>MAX($A$9:A13)+1</f>
        <v>6</v>
      </c>
      <c r="B14" t="s">
        <v>143</v>
      </c>
      <c r="C14" s="532"/>
      <c r="D14" s="532"/>
      <c r="E14" s="613"/>
      <c r="F14" s="613"/>
      <c r="G14" s="613"/>
      <c r="H14"/>
      <c r="I14" s="549"/>
      <c r="J14" s="613"/>
      <c r="K14"/>
      <c r="L14"/>
      <c r="M14" s="549"/>
      <c r="N14" s="613"/>
      <c r="O14"/>
      <c r="P14"/>
      <c r="Q14" s="549"/>
      <c r="R14" s="613"/>
      <c r="S14"/>
      <c r="T14"/>
      <c r="U14" s="549"/>
      <c r="V14" s="613"/>
      <c r="W14"/>
      <c r="X14" s="549"/>
      <c r="Y14" s="16"/>
    </row>
    <row r="15" spans="1:25">
      <c r="A15" s="2">
        <f>MAX($A$9:A14)+1</f>
        <v>7</v>
      </c>
      <c r="B15" t="s">
        <v>144</v>
      </c>
      <c r="C15" s="532"/>
      <c r="D15" s="532">
        <f>SUMIFS('Monthly Billed Revenues'!S:S,'Monthly Billed Revenues'!B:B,"*"&amp;$B$9&amp;"*",'Monthly Billed Revenues'!E:E,"*"&amp;B15&amp;"*")+SUMIFS('Monthly Billed Revenues'!S:S,'Monthly Billed Revenues'!B:B,"*"&amp;$B$9&amp;"*",'Monthly Billed Revenues'!D:D,"Avg Cost of Gas - Revadj")+'Unbilled Revenue'!D49</f>
        <v>88202461.570199996</v>
      </c>
      <c r="E15" s="613"/>
      <c r="F15" s="522">
        <f>-D15</f>
        <v>-88202461.570199996</v>
      </c>
      <c r="G15" s="613"/>
      <c r="H15"/>
      <c r="I15" s="522"/>
      <c r="J15" s="613"/>
      <c r="K15"/>
      <c r="L15"/>
      <c r="M15" s="522"/>
      <c r="N15" s="613"/>
      <c r="O15"/>
      <c r="P15"/>
      <c r="Q15" s="522"/>
      <c r="R15" s="613"/>
      <c r="S15"/>
      <c r="T15"/>
      <c r="U15" s="522"/>
      <c r="V15" s="613"/>
      <c r="W15"/>
      <c r="X15" s="532">
        <f t="shared" ref="X15:X28" si="0">D15+F15+I15+M15+Q15+U15</f>
        <v>0</v>
      </c>
      <c r="Y15" s="16"/>
    </row>
    <row r="16" spans="1:25">
      <c r="A16" s="2">
        <f>MAX($A$9:A15)+1</f>
        <v>8</v>
      </c>
      <c r="B16" t="s">
        <v>145</v>
      </c>
      <c r="C16" s="532"/>
      <c r="D16" s="532">
        <f>SUMIFS('Monthly Billed Revenues'!S:S,'Monthly Billed Revenues'!B:B,"*"&amp;$B$9&amp;"*",'Monthly Billed Revenues'!E:E,"*"&amp;B16&amp;"*")+SUMIFS('Monthly Billed Revenues'!S:S,'Monthly Billed Revenues'!B:B,"*"&amp;$B$9&amp;"*",'Monthly Billed Revenues'!E:E,"Temp. Gas Cost Adjustment")+SUMIFS('Monthly Billed Revenues'!S:S,'Monthly Billed Revenues'!B:B,"*"&amp;$B$9&amp;"*",'Monthly Billed Revenues'!D:D,"Temp Gas Cost Am - Revadj")+SUMIFS('Monthly Billed Revenues'!S:S,'Monthly Billed Revenues'!B:B,"*"&amp;$B$9&amp;"*",'Monthly Billed Revenues'!E:E,"WA Deferred Gas Costs")+SUMIFS('Monthly Billed Revenues'!S:S,'Monthly Billed Revenues'!B:B,"*"&amp;$B$9&amp;"*",'Monthly Billed Revenues'!D:D,"Defd Gas Cost - Revadj")+'Unbilled Revenue'!D50</f>
        <v>24693669.875400003</v>
      </c>
      <c r="F16" s="522">
        <f t="shared" ref="F16:F22" si="1">-D16</f>
        <v>-24693669.875400003</v>
      </c>
      <c r="H16"/>
      <c r="I16"/>
      <c r="K16"/>
      <c r="L16"/>
      <c r="M16"/>
      <c r="O16"/>
      <c r="P16"/>
      <c r="Q16"/>
      <c r="S16"/>
      <c r="T16"/>
      <c r="U16"/>
      <c r="W16"/>
      <c r="X16" s="532">
        <f t="shared" si="0"/>
        <v>0</v>
      </c>
      <c r="Y16" s="16"/>
    </row>
    <row r="17" spans="1:25">
      <c r="A17" s="2">
        <f>MAX($A$9:A16)+1</f>
        <v>9</v>
      </c>
      <c r="B17" t="s">
        <v>146</v>
      </c>
      <c r="C17" s="532"/>
      <c r="D17" s="532">
        <f>SUMIFS('Monthly Billed Revenues'!S:S,'Monthly Billed Revenues'!B:B,"*"&amp;$B$9&amp;"*",'Monthly Billed Revenues'!E:E,"*"&amp;B17&amp;"*")+SUMIFS('Monthly Billed Revenues'!S:S,'Monthly Billed Revenues'!B:B,"*"&amp;$B$9&amp;"*",'Monthly Billed Revenues'!D:D,"WEAF - Revadj")+'Unbilled Revenue'!D52</f>
        <v>830181.12659999996</v>
      </c>
      <c r="F17" s="522">
        <f t="shared" si="1"/>
        <v>-830181.12659999996</v>
      </c>
      <c r="H17"/>
      <c r="I17"/>
      <c r="K17"/>
      <c r="L17"/>
      <c r="M17"/>
      <c r="O17"/>
      <c r="P17"/>
      <c r="Q17"/>
      <c r="S17"/>
      <c r="T17"/>
      <c r="U17"/>
      <c r="W17"/>
      <c r="X17" s="532">
        <f t="shared" si="0"/>
        <v>0</v>
      </c>
      <c r="Y17" s="16"/>
    </row>
    <row r="18" spans="1:25">
      <c r="A18" s="2">
        <f>MAX($A$9:A17)+1</f>
        <v>10</v>
      </c>
      <c r="B18" t="s">
        <v>147</v>
      </c>
      <c r="C18" s="532"/>
      <c r="D18" s="532">
        <f>SUMIFS('Monthly Billed Revenues'!S:S,'Monthly Billed Revenues'!B:B,"*"&amp;$B$9&amp;"*",'Monthly Billed Revenues'!E:E,"*"&amp;B18&amp;"*")+SUMIFS('Monthly Billed Revenues'!S:S,'Monthly Billed Revenues'!B:B,"*"&amp;$B$9&amp;"*",'Monthly Billed Revenues'!D:D,"Repl Pipe Cost - Revadj")+'Unbilled Revenue'!D54</f>
        <v>1373249.1971</v>
      </c>
      <c r="E18" s="613"/>
      <c r="G18" s="613"/>
      <c r="H18"/>
      <c r="I18"/>
      <c r="J18" s="613"/>
      <c r="K18"/>
      <c r="L18"/>
      <c r="M18"/>
      <c r="N18" s="613"/>
      <c r="O18"/>
      <c r="P18"/>
      <c r="Q18"/>
      <c r="R18" s="613"/>
      <c r="U18" s="522">
        <f>-D18</f>
        <v>-1373249.1971</v>
      </c>
      <c r="V18" s="613"/>
      <c r="W18"/>
      <c r="X18" s="532">
        <f t="shared" si="0"/>
        <v>0</v>
      </c>
      <c r="Y18" s="16"/>
    </row>
    <row r="19" spans="1:25">
      <c r="A19" s="2">
        <f>MAX($A$9:A18)+1</f>
        <v>11</v>
      </c>
      <c r="B19" t="s">
        <v>148</v>
      </c>
      <c r="C19" s="532"/>
      <c r="D19" s="532">
        <f>SUMIFS('Monthly Billed Revenues'!S:S,'Monthly Billed Revenues'!B:B,"*"&amp;$B$9&amp;"*",'Monthly Billed Revenues'!E:E,"*"&amp;B19&amp;"*")+SUMIFS('Monthly Billed Revenues'!S:S,'Monthly Billed Revenues'!B:B,"*"&amp;$B$9&amp;"*",'Monthly Billed Revenues'!D:D,"Decouple Mech - Revadj")+'Unbilled Revenue'!D53</f>
        <v>1346703.6482999998</v>
      </c>
      <c r="E19" s="613"/>
      <c r="F19" s="522">
        <f t="shared" si="1"/>
        <v>-1346703.6482999998</v>
      </c>
      <c r="G19" s="613"/>
      <c r="H19"/>
      <c r="I19"/>
      <c r="J19" s="613"/>
      <c r="K19"/>
      <c r="L19"/>
      <c r="M19"/>
      <c r="N19" s="613"/>
      <c r="O19"/>
      <c r="P19"/>
      <c r="Q19"/>
      <c r="R19" s="613"/>
      <c r="S19"/>
      <c r="T19"/>
      <c r="U19"/>
      <c r="V19" s="613"/>
      <c r="W19"/>
      <c r="X19" s="532">
        <f t="shared" si="0"/>
        <v>0</v>
      </c>
      <c r="Y19" s="16"/>
    </row>
    <row r="20" spans="1:25">
      <c r="A20" s="2">
        <f>MAX($A$9:A19)+1</f>
        <v>12</v>
      </c>
      <c r="B20" t="s">
        <v>149</v>
      </c>
      <c r="C20" s="532"/>
      <c r="D20" s="532">
        <f>SUMIFS('Monthly Billed Revenues'!S:S,'Monthly Billed Revenues'!B:B,"*"&amp;$B$9&amp;"*",'Monthly Billed Revenues'!E:E,"*"&amp;B20&amp;"*")+SUMIFS('Monthly Billed Revenues'!S:S,'Monthly Billed Revenues'!B:B,"*"&amp;$B$9&amp;"*",'Monthly Billed Revenues'!D:D,"Con Cost Rec - Revadj")+'Unbilled Revenue'!D51</f>
        <v>4342527.4752000002</v>
      </c>
      <c r="E20" s="613"/>
      <c r="F20" s="522">
        <f t="shared" si="1"/>
        <v>-4342527.4752000002</v>
      </c>
      <c r="G20" s="613"/>
      <c r="H20"/>
      <c r="I20"/>
      <c r="J20" s="613"/>
      <c r="K20"/>
      <c r="L20"/>
      <c r="M20"/>
      <c r="N20" s="613"/>
      <c r="O20"/>
      <c r="P20"/>
      <c r="Q20"/>
      <c r="R20" s="613"/>
      <c r="S20"/>
      <c r="T20"/>
      <c r="U20"/>
      <c r="V20" s="613"/>
      <c r="W20"/>
      <c r="X20" s="532">
        <f t="shared" si="0"/>
        <v>0</v>
      </c>
      <c r="Y20" s="16"/>
    </row>
    <row r="21" spans="1:25">
      <c r="A21" s="2">
        <f>MAX($A$9:A20)+1</f>
        <v>13</v>
      </c>
      <c r="B21" t="s">
        <v>150</v>
      </c>
      <c r="C21" s="532"/>
      <c r="D21" s="532">
        <f>SUMIFS('Monthly Billed Revenues'!S:S,'Monthly Billed Revenues'!B:B,"*"&amp;$B$9&amp;"*",'Monthly Billed Revenues'!E:E,"*"&amp;B21&amp;"*")+SUMIFS('Monthly Billed Revenues'!S:S,'Monthly Billed Revenues'!B:B,"*"&amp;$B$9&amp;"*",'Monthly Billed Revenues'!D:D,"Protected EDIT - Revadj")+'Unbilled Revenue'!D47</f>
        <v>-275820.42879999999</v>
      </c>
      <c r="E21" s="613"/>
      <c r="F21" s="522">
        <f t="shared" si="1"/>
        <v>275820.42879999999</v>
      </c>
      <c r="G21" s="613"/>
      <c r="H21" s="530"/>
      <c r="I21"/>
      <c r="J21" s="613"/>
      <c r="K21"/>
      <c r="L21"/>
      <c r="M21"/>
      <c r="N21" s="613"/>
      <c r="O21"/>
      <c r="P21"/>
      <c r="Q21"/>
      <c r="R21" s="613"/>
      <c r="S21"/>
      <c r="T21"/>
      <c r="U21"/>
      <c r="V21" s="613"/>
      <c r="W21"/>
      <c r="X21" s="532">
        <f t="shared" si="0"/>
        <v>0</v>
      </c>
      <c r="Y21" s="16"/>
    </row>
    <row r="22" spans="1:25">
      <c r="A22" s="2">
        <f>MAX($A$9:A21)+1</f>
        <v>14</v>
      </c>
      <c r="B22" t="s">
        <v>151</v>
      </c>
      <c r="C22" s="532"/>
      <c r="D22" s="532">
        <f>SUMIFS('Monthly Billed Revenues'!S:S,'Monthly Billed Revenues'!B:B,"*"&amp;$B$9&amp;"*",'Monthly Billed Revenues'!E:E,"*"&amp;B22&amp;"*")+SUMIFS('Monthly Billed Revenues'!S:S,'Monthly Billed Revenues'!B:B,"*"&amp;$B$9&amp;"*",'Monthly Billed Revenues'!D:D,"Unprotected EDIT - Revadj")+SUMIFS('Monthly Billed Revenues'!S:S,'Monthly Billed Revenues'!B:B,"*"&amp;$B$9&amp;"*",'Monthly Billed Revenues'!E:E,"WA Temporary Federal Income Tax Rate Credit")+SUMIFS('Monthly Billed Revenues'!S:S,'Monthly Billed Revenues'!B:B,"*"&amp;$B$9&amp;"*",'Monthly Billed Revenues'!D:D,"FIT Credit - Revadj")+'Unbilled Revenue'!D48</f>
        <v>-376809.66170000006</v>
      </c>
      <c r="E22" s="613"/>
      <c r="F22" s="522">
        <f t="shared" si="1"/>
        <v>376809.66170000006</v>
      </c>
      <c r="G22" s="613"/>
      <c r="H22"/>
      <c r="I22"/>
      <c r="J22" s="613"/>
      <c r="K22"/>
      <c r="L22"/>
      <c r="M22"/>
      <c r="N22" s="613"/>
      <c r="O22"/>
      <c r="P22"/>
      <c r="Q22"/>
      <c r="R22" s="613"/>
      <c r="S22"/>
      <c r="T22"/>
      <c r="U22"/>
      <c r="V22" s="613"/>
      <c r="W22"/>
      <c r="X22" s="532">
        <f t="shared" si="0"/>
        <v>0</v>
      </c>
      <c r="Y22" s="16"/>
    </row>
    <row r="23" spans="1:25">
      <c r="A23" s="2">
        <f>MAX($A$9:A22)+1</f>
        <v>15</v>
      </c>
      <c r="B23" t="s">
        <v>152</v>
      </c>
      <c r="C23" s="532"/>
      <c r="D23" s="532">
        <f>SUMIFS('Monthly Billed Revenues'!S:S,'Monthly Billed Revenues'!B:B,"*"&amp;$B$9&amp;"*",'Monthly Billed Revenues'!E:E,"*"&amp;B23&amp;"*")+SUMIFS('Monthly Billed Revenues'!S:S,'Monthly Billed Revenues'!B:B,"*"&amp;$B$9&amp;"*",'Monthly Billed Revenues'!D:D,"City Tax - Revadj")</f>
        <v>9067556.4700000007</v>
      </c>
      <c r="E23" s="613"/>
      <c r="F23" s="522"/>
      <c r="G23" s="613"/>
      <c r="H23"/>
      <c r="I23"/>
      <c r="J23" s="613"/>
      <c r="K23"/>
      <c r="L23"/>
      <c r="M23"/>
      <c r="N23" s="613"/>
      <c r="O23"/>
      <c r="P23"/>
      <c r="Q23"/>
      <c r="R23" s="613"/>
      <c r="S23"/>
      <c r="T23"/>
      <c r="U23"/>
      <c r="V23" s="613"/>
      <c r="W23"/>
      <c r="X23" s="532">
        <f t="shared" si="0"/>
        <v>9067556.4700000007</v>
      </c>
      <c r="Y23" s="16"/>
    </row>
    <row r="24" spans="1:25">
      <c r="A24" s="2">
        <f>MAX($A$9:A23)+1</f>
        <v>16</v>
      </c>
      <c r="B24" t="s">
        <v>153</v>
      </c>
      <c r="C24" s="532"/>
      <c r="D24" s="532">
        <f>SUMIFS('Monthly Billed Revenues'!S:S,'Monthly Billed Revenues'!B:B,"*"&amp;$B$9&amp;"*",'Monthly Billed Revenues'!E:E,"*"&amp;B24&amp;"*")</f>
        <v>-1075.6800000000003</v>
      </c>
      <c r="E24" s="613"/>
      <c r="F24" s="522"/>
      <c r="G24" s="613"/>
      <c r="H24"/>
      <c r="I24"/>
      <c r="J24" s="613"/>
      <c r="K24"/>
      <c r="L24"/>
      <c r="M24"/>
      <c r="N24" s="613"/>
      <c r="O24"/>
      <c r="P24"/>
      <c r="Q24"/>
      <c r="R24" s="613"/>
      <c r="S24"/>
      <c r="T24"/>
      <c r="U24"/>
      <c r="V24" s="613"/>
      <c r="W24"/>
      <c r="X24" s="532">
        <f t="shared" si="0"/>
        <v>-1075.6800000000003</v>
      </c>
      <c r="Y24" s="16"/>
    </row>
    <row r="25" spans="1:25">
      <c r="A25" s="2">
        <f>MAX($A$9:A24)+1</f>
        <v>17</v>
      </c>
      <c r="B25" t="s">
        <v>154</v>
      </c>
      <c r="C25" s="548"/>
      <c r="D25" s="548">
        <f>SUMIFS('Monthly Billed Revenues'!S:S,'Monthly Billed Revenues'!B:B,"*"&amp;$B$9&amp;"*",'Monthly Billed Revenues'!E:E,"*"&amp;B25&amp;"*")</f>
        <v>30647.74</v>
      </c>
      <c r="E25" s="613"/>
      <c r="F25" s="522"/>
      <c r="G25" s="613"/>
      <c r="H25"/>
      <c r="I25"/>
      <c r="J25" s="613"/>
      <c r="K25"/>
      <c r="L25"/>
      <c r="M25"/>
      <c r="N25" s="613"/>
      <c r="O25"/>
      <c r="P25"/>
      <c r="Q25"/>
      <c r="R25" s="613"/>
      <c r="S25"/>
      <c r="T25"/>
      <c r="U25"/>
      <c r="V25" s="613"/>
      <c r="W25"/>
      <c r="X25" s="532">
        <f t="shared" si="0"/>
        <v>30647.74</v>
      </c>
      <c r="Y25" s="16"/>
    </row>
    <row r="26" spans="1:25">
      <c r="A26" s="2">
        <f>MAX($A$9:A25)+1</f>
        <v>18</v>
      </c>
      <c r="B26" t="s">
        <v>155</v>
      </c>
      <c r="C26" s="532"/>
      <c r="D26" s="532">
        <f>'Rev Recon Summary'!Q22</f>
        <v>2181346.73</v>
      </c>
      <c r="E26" s="613"/>
      <c r="G26" s="613"/>
      <c r="H26"/>
      <c r="I26"/>
      <c r="J26" s="613"/>
      <c r="K26"/>
      <c r="L26"/>
      <c r="M26" s="522">
        <f>-D26</f>
        <v>-2181346.73</v>
      </c>
      <c r="N26" s="613"/>
      <c r="O26"/>
      <c r="P26"/>
      <c r="Q26"/>
      <c r="R26" s="613"/>
      <c r="S26"/>
      <c r="T26"/>
      <c r="U26"/>
      <c r="V26" s="613"/>
      <c r="W26"/>
      <c r="X26" s="532">
        <f t="shared" si="0"/>
        <v>0</v>
      </c>
      <c r="Y26" s="16"/>
    </row>
    <row r="27" spans="1:25">
      <c r="A27" s="2">
        <f>MAX($A$9:A26)+1</f>
        <v>19</v>
      </c>
      <c r="B27" t="s">
        <v>156</v>
      </c>
      <c r="C27"/>
      <c r="D27" s="532">
        <f>-'WEAF &amp; Decoupling Rev Adj'!D11</f>
        <v>-1333132.9099999999</v>
      </c>
      <c r="E27" s="613"/>
      <c r="F27" s="522">
        <f>-D27</f>
        <v>1333132.9099999999</v>
      </c>
      <c r="G27" s="613"/>
      <c r="H27"/>
      <c r="I27"/>
      <c r="J27" s="613"/>
      <c r="K27"/>
      <c r="L27"/>
      <c r="M27"/>
      <c r="N27" s="613"/>
      <c r="O27"/>
      <c r="P27"/>
      <c r="Q27"/>
      <c r="R27" s="613"/>
      <c r="S27"/>
      <c r="T27"/>
      <c r="U27"/>
      <c r="V27" s="613"/>
      <c r="W27"/>
      <c r="X27" s="532">
        <f t="shared" si="0"/>
        <v>0</v>
      </c>
      <c r="Y27" s="16"/>
    </row>
    <row r="28" spans="1:25">
      <c r="A28" s="2">
        <f>MAX($A$9:A27)+1</f>
        <v>20</v>
      </c>
      <c r="B28" t="s">
        <v>157</v>
      </c>
      <c r="C28"/>
      <c r="D28" s="615">
        <f>-'WEAF &amp; Decoupling Rev Adj'!D21</f>
        <v>-797700.35</v>
      </c>
      <c r="E28" s="613"/>
      <c r="F28" s="616">
        <f>-D28</f>
        <v>797700.35</v>
      </c>
      <c r="G28" s="613"/>
      <c r="H28"/>
      <c r="I28" s="481"/>
      <c r="J28" s="613"/>
      <c r="K28"/>
      <c r="L28"/>
      <c r="M28" s="481"/>
      <c r="N28" s="613"/>
      <c r="O28"/>
      <c r="P28"/>
      <c r="Q28" s="481"/>
      <c r="R28" s="613"/>
      <c r="S28"/>
      <c r="T28"/>
      <c r="U28" s="481"/>
      <c r="V28" s="613"/>
      <c r="W28"/>
      <c r="X28" s="615">
        <f t="shared" si="0"/>
        <v>0</v>
      </c>
      <c r="Y28" s="16"/>
    </row>
    <row r="29" spans="1:25">
      <c r="A29" s="2">
        <f>MAX($A$9:A28)+1</f>
        <v>21</v>
      </c>
      <c r="B29" s="617" t="s">
        <v>158</v>
      </c>
      <c r="C29" s="618">
        <f>D29-'Rev Recon Summary'!Q28</f>
        <v>-0.36399999260902405</v>
      </c>
      <c r="D29" s="290">
        <f>SUM(D11:D28)</f>
        <v>184788540.80599999</v>
      </c>
      <c r="E29" s="619"/>
      <c r="F29" s="620">
        <f>SUM(F11:F28)</f>
        <v>-116632080.34520002</v>
      </c>
      <c r="G29" s="619"/>
      <c r="H29" s="481"/>
      <c r="I29" s="621">
        <f>SUM(I11:I28)</f>
        <v>-796396.50924001075</v>
      </c>
      <c r="J29" s="619"/>
      <c r="K29" s="481"/>
      <c r="L29" s="481"/>
      <c r="M29" s="621">
        <f>SUM(M11:M28)</f>
        <v>-811284.35674219579</v>
      </c>
      <c r="N29" s="619"/>
      <c r="O29" s="481"/>
      <c r="P29" s="481"/>
      <c r="Q29" s="621">
        <f>SUM(Q11:Q28)</f>
        <v>299472.23647885129</v>
      </c>
      <c r="R29" s="619"/>
      <c r="S29" s="481"/>
      <c r="T29" s="481"/>
      <c r="U29" s="621">
        <f>SUM(U11:U28)</f>
        <v>924919.66538781719</v>
      </c>
      <c r="V29" s="619"/>
      <c r="W29" s="481"/>
      <c r="X29" s="621">
        <f>SUM(X11:X28)</f>
        <v>67773171.496684447</v>
      </c>
      <c r="Y29" s="16"/>
    </row>
    <row r="30" spans="1:25">
      <c r="A30" s="2">
        <f>MAX($A$9:A29)+1</f>
        <v>22</v>
      </c>
      <c r="C30" s="622"/>
      <c r="D30" s="43"/>
      <c r="F30"/>
      <c r="H30"/>
      <c r="I30"/>
      <c r="K30"/>
      <c r="L30"/>
      <c r="M30"/>
      <c r="O30"/>
      <c r="P30"/>
      <c r="Q30"/>
      <c r="S30"/>
      <c r="T30"/>
      <c r="U30"/>
      <c r="W30"/>
      <c r="X30"/>
      <c r="Y30" s="16"/>
    </row>
    <row r="31" spans="1:25">
      <c r="A31" s="2">
        <f>MAX($A$9:A30)+1</f>
        <v>23</v>
      </c>
      <c r="B31" s="531">
        <v>504</v>
      </c>
      <c r="D31" s="43"/>
      <c r="F31"/>
      <c r="H31"/>
      <c r="I31"/>
      <c r="K31"/>
      <c r="L31"/>
      <c r="M31"/>
      <c r="O31"/>
      <c r="P31"/>
      <c r="Q31"/>
      <c r="S31"/>
      <c r="T31"/>
      <c r="U31"/>
      <c r="W31"/>
      <c r="X31"/>
      <c r="Y31" s="16"/>
    </row>
    <row r="32" spans="1:25">
      <c r="A32" s="2">
        <f>MAX($A$9:A31)+1</f>
        <v>24</v>
      </c>
      <c r="B32" s="1" t="s">
        <v>140</v>
      </c>
      <c r="D32" s="43"/>
      <c r="F32"/>
      <c r="H32"/>
      <c r="I32"/>
      <c r="K32"/>
      <c r="L32"/>
      <c r="M32"/>
      <c r="O32"/>
      <c r="P32"/>
      <c r="Q32"/>
      <c r="S32"/>
      <c r="T32"/>
      <c r="U32"/>
      <c r="W32"/>
      <c r="X32"/>
      <c r="Y32" s="16"/>
    </row>
    <row r="33" spans="1:25">
      <c r="A33" s="2">
        <f>MAX($A$9:A32)+1</f>
        <v>25</v>
      </c>
      <c r="B33" s="1" t="s">
        <v>141</v>
      </c>
      <c r="C33" s="532">
        <f>'Customer Counts'!O11+'Customer Counts'!O12</f>
        <v>330083</v>
      </c>
      <c r="D33" s="612">
        <f>SUMIFS('Monthly Billed Revenues'!S:S,'Monthly Billed Revenues'!B:B,"*"&amp;$B$31&amp;"*",'Monthly Billed Revenues'!E:E,"*"&amp;B33&amp;"*")+SUMIFS('Monthly Billed Revenues'!S:S,'Monthly Billed Revenues'!B:B,"*"&amp;"04LV"&amp;"*",'Monthly Billed Revenues'!E:E,"*"&amp;B33&amp;"*")+SUMIFS('Monthly Billed Revenues'!S:S,'Monthly Billed Revenues'!B:B,"*"&amp;$B$31&amp;"*",'Monthly Billed Revenues'!D:D,"Service Charge - Revadj")+SUMIFS('Monthly Billed Revenues'!S:S,'Monthly Billed Revenues'!B:B,"*"&amp;"04LV"&amp;"*",'Monthly Billed Revenues'!D:D,"Service Charge - Revadj")+'Unbilled Revenue'!I45</f>
        <v>4467997.34</v>
      </c>
      <c r="E33" s="614"/>
      <c r="F33"/>
      <c r="G33" s="614"/>
      <c r="H33" s="551">
        <v>13</v>
      </c>
      <c r="I33" s="612">
        <f>(C33*H33)-D33</f>
        <v>-176918.33999999985</v>
      </c>
      <c r="J33" s="614"/>
      <c r="K33" s="532"/>
      <c r="L33" s="551"/>
      <c r="M33" s="612"/>
      <c r="N33" s="614"/>
      <c r="O33" s="532">
        <f>'EOP Calculations'!Q56-C33</f>
        <v>1789</v>
      </c>
      <c r="P33" s="551">
        <f>$H$33</f>
        <v>13</v>
      </c>
      <c r="Q33" s="612">
        <f>O33*P33</f>
        <v>23257</v>
      </c>
      <c r="R33" s="614"/>
      <c r="S33" s="532"/>
      <c r="T33" s="551"/>
      <c r="U33" s="612"/>
      <c r="V33" s="614"/>
      <c r="W33" s="532">
        <f>C33+O33</f>
        <v>331872</v>
      </c>
      <c r="X33" s="612">
        <f>D33+F33+I33+M33+Q33+U33</f>
        <v>4314336</v>
      </c>
      <c r="Y33" s="16"/>
    </row>
    <row r="34" spans="1:25">
      <c r="A34" s="2">
        <f>MAX($A$9:A33)+1</f>
        <v>26</v>
      </c>
      <c r="B34" s="623" t="s">
        <v>142</v>
      </c>
      <c r="C34" s="532">
        <f>'Rev Recon Summary'!Q32+'Rev Recon Summary'!Q96+'Unbilled Revenue'!G43</f>
        <v>91384163</v>
      </c>
      <c r="D34" s="532">
        <f>SUMIFS('Monthly Billed Revenues'!S:S,'Monthly Billed Revenues'!B:B,"*"&amp;$B$31&amp;"*",'Monthly Billed Revenues'!E:E,"*"&amp;B34&amp;"*")+SUMIFS('Monthly Billed Revenues'!S:S,'Monthly Billed Revenues'!B:B,"*"&amp;"04LV"&amp;"*",'Monthly Billed Revenues'!E:E,"*"&amp;B34&amp;"*")+SUMIFS('Monthly Billed Revenues'!S:S,'Monthly Billed Revenues'!B:B,"*"&amp;$B$31&amp;"*",'Monthly Billed Revenues'!D:D,"Margin - Revadj")+SUMIFS('Monthly Billed Revenues'!S:S,'Monthly Billed Revenues'!B:B,"*"&amp;"04LV"&amp;"*",'Monthly Billed Revenues'!D:D,"Margin - Revadj")+'Unbilled Revenue'!I46+5.13</f>
        <v>26331956.096616071</v>
      </c>
      <c r="E34" s="614"/>
      <c r="F34"/>
      <c r="G34" s="614"/>
      <c r="H34">
        <v>0.28432000000000002</v>
      </c>
      <c r="I34" s="522">
        <f>(C34*H34)-D34</f>
        <v>-349610.87245607004</v>
      </c>
      <c r="J34" s="614"/>
      <c r="K34" s="532">
        <f>'Weather Normalization'!I23</f>
        <v>228850.287842975</v>
      </c>
      <c r="L34">
        <f>$H$34</f>
        <v>0.28432000000000002</v>
      </c>
      <c r="M34" s="532">
        <f>K34*L34</f>
        <v>65066.713839514654</v>
      </c>
      <c r="N34" s="614"/>
      <c r="O34" s="532">
        <f>'EOP Calculations'!P56-C34-K34</f>
        <v>313460.8399750134</v>
      </c>
      <c r="P34">
        <f>$H$34</f>
        <v>0.28432000000000002</v>
      </c>
      <c r="Q34" s="532">
        <f>O34*P34</f>
        <v>89123.186021695816</v>
      </c>
      <c r="R34" s="614"/>
      <c r="S34" s="532">
        <f>C34+K34+O34</f>
        <v>91926474.127817988</v>
      </c>
      <c r="T34" s="552">
        <v>1.0959999999999999E-2</v>
      </c>
      <c r="U34" s="532">
        <f>S34*T34</f>
        <v>1007514.156440885</v>
      </c>
      <c r="V34" s="614"/>
      <c r="W34" s="532">
        <f>C34+K34+O34</f>
        <v>91926474.127817988</v>
      </c>
      <c r="X34" s="532">
        <f>D34+F34+I34+M34+Q34+U34</f>
        <v>27144049.280462097</v>
      </c>
      <c r="Y34" s="16"/>
    </row>
    <row r="35" spans="1:25">
      <c r="A35" s="2">
        <f>MAX($A$9:A34)+1</f>
        <v>27</v>
      </c>
      <c r="B35" s="623"/>
      <c r="C35" s="532"/>
      <c r="D35" s="532"/>
      <c r="E35" s="614"/>
      <c r="F35"/>
      <c r="G35" s="614"/>
      <c r="H35"/>
      <c r="I35"/>
      <c r="J35" s="614"/>
      <c r="K35"/>
      <c r="L35"/>
      <c r="M35"/>
      <c r="N35" s="614"/>
      <c r="O35"/>
      <c r="P35"/>
      <c r="Q35"/>
      <c r="R35" s="614"/>
      <c r="S35"/>
      <c r="T35"/>
      <c r="U35"/>
      <c r="V35" s="614"/>
      <c r="W35"/>
      <c r="X35"/>
      <c r="Y35" s="16"/>
    </row>
    <row r="36" spans="1:25">
      <c r="A36" s="2">
        <f>MAX($A$9:A35)+1</f>
        <v>28</v>
      </c>
      <c r="B36" s="1" t="s">
        <v>143</v>
      </c>
      <c r="C36" s="532"/>
      <c r="D36" s="532"/>
      <c r="E36" s="614"/>
      <c r="F36"/>
      <c r="G36" s="614"/>
      <c r="H36"/>
      <c r="I36" s="549"/>
      <c r="J36" s="614"/>
      <c r="K36"/>
      <c r="L36"/>
      <c r="M36" s="549"/>
      <c r="N36" s="614"/>
      <c r="O36"/>
      <c r="P36"/>
      <c r="Q36" s="549"/>
      <c r="R36" s="614"/>
      <c r="S36"/>
      <c r="T36"/>
      <c r="U36" s="549"/>
      <c r="V36" s="614"/>
      <c r="W36"/>
      <c r="X36" s="549"/>
      <c r="Y36" s="16"/>
    </row>
    <row r="37" spans="1:25">
      <c r="A37" s="2">
        <f>MAX($A$9:A36)+1</f>
        <v>29</v>
      </c>
      <c r="B37" s="1" t="s">
        <v>144</v>
      </c>
      <c r="C37" s="532"/>
      <c r="D37" s="532">
        <f>SUMIFS('Monthly Billed Revenues'!S:S,'Monthly Billed Revenues'!B:B,"*"&amp;$B$31&amp;"*",'Monthly Billed Revenues'!E:E,"*"&amp;B37&amp;"*")+SUMIFS('Monthly Billed Revenues'!S:S,'Monthly Billed Revenues'!B:B,"*"&amp;"04LV"&amp;"*",'Monthly Billed Revenues'!E:E,"*"&amp;B37&amp;"*")+SUMIFS('Monthly Billed Revenues'!S:S,'Monthly Billed Revenues'!B:B,"*"&amp;$B$31&amp;"*",'Monthly Billed Revenues'!D:D,"Avg Cost of Gas - Revadj")+SUMIFS('Monthly Billed Revenues'!S:S,'Monthly Billed Revenues'!B:B,"*"&amp;"04LV"&amp;"*",'Monthly Billed Revenues'!D:D,"Avg Cost of Gas - Revadj")+'Unbilled Revenue'!I49</f>
        <v>64264826.991710119</v>
      </c>
      <c r="F37" s="522">
        <f>-D37</f>
        <v>-64264826.991710119</v>
      </c>
      <c r="H37"/>
      <c r="I37" s="522"/>
      <c r="K37"/>
      <c r="L37"/>
      <c r="M37" s="522"/>
      <c r="O37"/>
      <c r="P37"/>
      <c r="Q37" s="522"/>
      <c r="S37"/>
      <c r="T37"/>
      <c r="U37" s="522"/>
      <c r="W37"/>
      <c r="X37" s="532">
        <f t="shared" ref="X37:X50" si="2">D37+F37+I37+M37+Q37+U37</f>
        <v>0</v>
      </c>
      <c r="Y37" s="16"/>
    </row>
    <row r="38" spans="1:25">
      <c r="A38" s="2">
        <f>MAX($A$9:A37)+1</f>
        <v>30</v>
      </c>
      <c r="B38" s="1" t="s">
        <v>145</v>
      </c>
      <c r="C38" s="532"/>
      <c r="D38" s="532">
        <f>SUMIFS('Monthly Billed Revenues'!S:S,'Monthly Billed Revenues'!B:B,"*"&amp;$B$31&amp;"*",'Monthly Billed Revenues'!E:E,"*"&amp;B38&amp;"*")+SUMIFS('Monthly Billed Revenues'!S:S,'Monthly Billed Revenues'!B:B,"*"&amp;$B$31&amp;"*",'Monthly Billed Revenues'!E:E,"Temp. Gas Cost Adjustment")+SUMIFS('Monthly Billed Revenues'!S:S,'Monthly Billed Revenues'!B:B,"*"&amp;"04LV"&amp;"*",'Monthly Billed Revenues'!E:E,"*"&amp;B38&amp;"*")+SUMIFS('Monthly Billed Revenues'!S:S,'Monthly Billed Revenues'!B:B,"*"&amp;"04LV"&amp;"*",'Monthly Billed Revenues'!E:E,"Temp. Gas Cost Adjustment")+SUMIFS('Monthly Billed Revenues'!S:S,'Monthly Billed Revenues'!B:B,"*"&amp;$B$31&amp;"*",'Monthly Billed Revenues'!D:D,"Temp Gas Cost Am - Revadj")+SUMIFS('Monthly Billed Revenues'!S:S,'Monthly Billed Revenues'!B:B,"*"&amp;"04LV"&amp;"*",'Monthly Billed Revenues'!D:D,"Temp Gas Cost Am - Revadj")+SUMIFS('Monthly Billed Revenues'!S:S,'Monthly Billed Revenues'!B:B,"*"&amp;$B$31&amp;"*",'Monthly Billed Revenues'!E:E,"WA Deferred Gas Costs")+'Unbilled Revenue'!I50</f>
        <v>17895594.866490003</v>
      </c>
      <c r="F38" s="522">
        <f t="shared" ref="F38:F44" si="3">-D38</f>
        <v>-17895594.866490003</v>
      </c>
      <c r="H38"/>
      <c r="I38"/>
      <c r="K38"/>
      <c r="L38"/>
      <c r="M38"/>
      <c r="O38"/>
      <c r="P38"/>
      <c r="Q38"/>
      <c r="S38"/>
      <c r="T38"/>
      <c r="U38"/>
      <c r="W38"/>
      <c r="X38" s="532">
        <f t="shared" si="2"/>
        <v>0</v>
      </c>
      <c r="Y38" s="16"/>
    </row>
    <row r="39" spans="1:25">
      <c r="A39" s="2">
        <f>MAX($A$9:A38)+1</f>
        <v>31</v>
      </c>
      <c r="B39" s="1" t="s">
        <v>146</v>
      </c>
      <c r="C39" s="532"/>
      <c r="D39" s="532">
        <f>SUMIFS('Monthly Billed Revenues'!S:S,'Monthly Billed Revenues'!B:B,"*"&amp;$B$31&amp;"*",'Monthly Billed Revenues'!E:E,"*"&amp;B39&amp;"*")+SUMIFS('Monthly Billed Revenues'!S:S,'Monthly Billed Revenues'!B:B,"*"&amp;"04LV"&amp;"*",'Monthly Billed Revenues'!E:E,"*"&amp;B39&amp;"*")+SUMIFS('Monthly Billed Revenues'!S:S,'Monthly Billed Revenues'!B:B,"*"&amp;$B$31&amp;"*",'Monthly Billed Revenues'!D:D,"WEAF - Revadj")+SUMIFS('Monthly Billed Revenues'!S:S,'Monthly Billed Revenues'!B:B,"*"&amp;"04LV"&amp;"*",'Monthly Billed Revenues'!D:D,"WEAF - Revadj")+'Unbilled Revenue'!I52</f>
        <v>482109.36307956156</v>
      </c>
      <c r="F39" s="522">
        <f t="shared" si="3"/>
        <v>-482109.36307956156</v>
      </c>
      <c r="H39"/>
      <c r="I39"/>
      <c r="K39"/>
      <c r="L39"/>
      <c r="M39"/>
      <c r="O39"/>
      <c r="P39"/>
      <c r="Q39"/>
      <c r="S39"/>
      <c r="T39"/>
      <c r="U39"/>
      <c r="W39"/>
      <c r="X39" s="532">
        <f t="shared" si="2"/>
        <v>0</v>
      </c>
      <c r="Y39" s="16"/>
    </row>
    <row r="40" spans="1:25">
      <c r="A40" s="2">
        <f>MAX($A$9:A39)+1</f>
        <v>32</v>
      </c>
      <c r="B40" s="1" t="s">
        <v>147</v>
      </c>
      <c r="C40" s="532"/>
      <c r="D40" s="532">
        <f>SUMIFS('Monthly Billed Revenues'!S:S,'Monthly Billed Revenues'!B:B,"*"&amp;$B$31&amp;"*",'Monthly Billed Revenues'!E:E,"*"&amp;B40&amp;"*")+SUMIFS('Monthly Billed Revenues'!S:S,'Monthly Billed Revenues'!B:B,"*"&amp;"04LV"&amp;"*",'Monthly Billed Revenues'!E:E,"*"&amp;B40&amp;"*")+SUMIFS('Monthly Billed Revenues'!S:S,'Monthly Billed Revenues'!B:B,"*"&amp;$B$31&amp;"*",'Monthly Billed Revenues'!D:D,"Repl Pipe Cost - Revadj")+SUMIFS('Monthly Billed Revenues'!S:S,'Monthly Billed Revenues'!B:B,"*"&amp;"04LV"&amp;"*",'Monthly Billed Revenues'!D:D,"Repl Pipe Cost - Revadj")+'Unbilled Revenue'!I54</f>
        <v>649475.84354179015</v>
      </c>
      <c r="E40" s="614"/>
      <c r="G40" s="614"/>
      <c r="H40"/>
      <c r="I40"/>
      <c r="J40" s="614"/>
      <c r="K40"/>
      <c r="L40"/>
      <c r="M40"/>
      <c r="N40" s="614"/>
      <c r="O40"/>
      <c r="P40"/>
      <c r="Q40"/>
      <c r="R40" s="614"/>
      <c r="U40" s="522">
        <f>-D40</f>
        <v>-649475.84354179015</v>
      </c>
      <c r="V40" s="614"/>
      <c r="W40"/>
      <c r="X40" s="532">
        <f t="shared" si="2"/>
        <v>0</v>
      </c>
      <c r="Y40" s="16"/>
    </row>
    <row r="41" spans="1:25">
      <c r="A41" s="2">
        <f>MAX($A$9:A40)+1</f>
        <v>33</v>
      </c>
      <c r="B41" s="1" t="s">
        <v>148</v>
      </c>
      <c r="C41" s="532"/>
      <c r="D41" s="532">
        <f>SUMIFS('Monthly Billed Revenues'!S:S,'Monthly Billed Revenues'!B:B,"*"&amp;$B$31&amp;"*",'Monthly Billed Revenues'!E:E,"*"&amp;B41&amp;"*")+SUMIFS('Monthly Billed Revenues'!S:S,'Monthly Billed Revenues'!B:B,"*"&amp;"04LV"&amp;"*",'Monthly Billed Revenues'!E:E,"*"&amp;B41&amp;"*")+SUMIFS('Monthly Billed Revenues'!S:S,'Monthly Billed Revenues'!B:B,"*"&amp;$B$31&amp;"*",'Monthly Billed Revenues'!D:D,"Decouple Mech - Revadj")+SUMIFS('Monthly Billed Revenues'!S:S,'Monthly Billed Revenues'!B:B,"*"&amp;"04LV"&amp;"*",'Monthly Billed Revenues'!D:D,"Decouple Mech - Revadj")+'Unbilled Revenue'!I53</f>
        <v>2040414.9266304746</v>
      </c>
      <c r="F41" s="522">
        <f t="shared" si="3"/>
        <v>-2040414.9266304746</v>
      </c>
      <c r="H41"/>
      <c r="I41"/>
      <c r="K41"/>
      <c r="L41"/>
      <c r="M41"/>
      <c r="O41"/>
      <c r="P41"/>
      <c r="Q41"/>
      <c r="S41"/>
      <c r="T41"/>
      <c r="U41"/>
      <c r="W41"/>
      <c r="X41" s="532">
        <f t="shared" si="2"/>
        <v>0</v>
      </c>
      <c r="Y41" s="16"/>
    </row>
    <row r="42" spans="1:25">
      <c r="A42" s="2">
        <f>MAX($A$9:A41)+1</f>
        <v>34</v>
      </c>
      <c r="B42" s="1" t="s">
        <v>149</v>
      </c>
      <c r="C42" s="532"/>
      <c r="D42" s="532">
        <f>SUMIFS('Monthly Billed Revenues'!S:S,'Monthly Billed Revenues'!B:B,"*"&amp;$B$31&amp;"*",'Monthly Billed Revenues'!E:E,"*"&amp;B42&amp;"*")+SUMIFS('Monthly Billed Revenues'!S:S,'Monthly Billed Revenues'!B:B,"*"&amp;"04LV"&amp;"*",'Monthly Billed Revenues'!E:E,"*"&amp;B42&amp;"*")+SUMIFS('Monthly Billed Revenues'!S:S,'Monthly Billed Revenues'!B:B,"*"&amp;$B$31&amp;"*",'Monthly Billed Revenues'!D:D,"Con Cost Rec - Revadj")+SUMIFS('Monthly Billed Revenues'!S:S,'Monthly Billed Revenues'!B:B,"*"&amp;"04LV"&amp;"*",'Monthly Billed Revenues'!D:D,"Con Cost Rec - Revadj")+'Unbilled Revenue'!I51</f>
        <v>3149087.4661599998</v>
      </c>
      <c r="F42" s="522">
        <f t="shared" si="3"/>
        <v>-3149087.4661599998</v>
      </c>
      <c r="H42"/>
      <c r="I42"/>
      <c r="K42"/>
      <c r="L42"/>
      <c r="M42"/>
      <c r="O42"/>
      <c r="P42"/>
      <c r="Q42"/>
      <c r="S42"/>
      <c r="T42"/>
      <c r="U42"/>
      <c r="W42"/>
      <c r="X42" s="532">
        <f t="shared" si="2"/>
        <v>0</v>
      </c>
      <c r="Y42" s="16"/>
    </row>
    <row r="43" spans="1:25">
      <c r="A43" s="2">
        <f>MAX($A$9:A42)+1</f>
        <v>35</v>
      </c>
      <c r="B43" s="1" t="s">
        <v>150</v>
      </c>
      <c r="C43" s="532"/>
      <c r="D43" s="532">
        <f>SUMIFS('Monthly Billed Revenues'!S:S,'Monthly Billed Revenues'!B:B,"*"&amp;$B$31&amp;"*",'Monthly Billed Revenues'!E:E,"*"&amp;B43&amp;"*")+SUMIFS('Monthly Billed Revenues'!S:S,'Monthly Billed Revenues'!B:B,"*"&amp;"04LV"&amp;"*",'Monthly Billed Revenues'!E:E,"*"&amp;B43&amp;"*")+SUMIFS('Monthly Billed Revenues'!S:S,'Monthly Billed Revenues'!B:B,"*"&amp;$B$31&amp;"*",'Monthly Billed Revenues'!D:D,"Protected EDIT - Revadj")+SUMIFS('Monthly Billed Revenues'!S:S,'Monthly Billed Revenues'!B:B,"*"&amp;"04LV"&amp;"*",'Monthly Billed Revenues'!D:D,"Protected EDIT - Revadj")+'Unbilled Revenue'!I47</f>
        <v>-152644.94075001043</v>
      </c>
      <c r="F43" s="522">
        <f t="shared" si="3"/>
        <v>152644.94075001043</v>
      </c>
      <c r="H43"/>
      <c r="I43"/>
      <c r="K43"/>
      <c r="L43"/>
      <c r="M43"/>
      <c r="O43"/>
      <c r="P43"/>
      <c r="Q43"/>
      <c r="S43"/>
      <c r="T43"/>
      <c r="U43"/>
      <c r="W43"/>
      <c r="X43" s="532">
        <f t="shared" si="2"/>
        <v>0</v>
      </c>
      <c r="Y43" s="16"/>
    </row>
    <row r="44" spans="1:25">
      <c r="A44" s="2">
        <f>MAX($A$9:A43)+1</f>
        <v>36</v>
      </c>
      <c r="B44" s="1" t="s">
        <v>151</v>
      </c>
      <c r="C44" s="532"/>
      <c r="D44" s="532">
        <f>SUMIFS('Monthly Billed Revenues'!S:S,'Monthly Billed Revenues'!B:B,"*"&amp;$B$31&amp;"*",'Monthly Billed Revenues'!E:E,"*"&amp;B44&amp;"*")+SUMIFS('Monthly Billed Revenues'!S:S,'Monthly Billed Revenues'!B:B,"*"&amp;"04LV"&amp;"*",'Monthly Billed Revenues'!E:E,"*"&amp;B44&amp;"*")+SUMIFS('Monthly Billed Revenues'!S:S,'Monthly Billed Revenues'!B:B,"*"&amp;$B$31&amp;"*",'Monthly Billed Revenues'!D:D,"Unprotected EDIT - Revadj")+SUMIFS('Monthly Billed Revenues'!S:S,'Monthly Billed Revenues'!B:B,"*"&amp;"04LV"&amp;"*",'Monthly Billed Revenues'!D:D,"Unprotected EDIT - Revadj")+SUMIFS('Monthly Billed Revenues'!S:S,'Monthly Billed Revenues'!B:B,"*"&amp;$B$31&amp;"*",'Monthly Billed Revenues'!E:E,"WA Temporary Federal Income Tax Rate Credit")+'Unbilled Revenue'!I48</f>
        <v>-211021.85031622654</v>
      </c>
      <c r="E44" s="614"/>
      <c r="F44" s="522">
        <f t="shared" si="3"/>
        <v>211021.85031622654</v>
      </c>
      <c r="G44" s="614"/>
      <c r="H44"/>
      <c r="I44"/>
      <c r="J44" s="614"/>
      <c r="K44"/>
      <c r="L44"/>
      <c r="M44"/>
      <c r="N44" s="614"/>
      <c r="O44"/>
      <c r="P44"/>
      <c r="Q44"/>
      <c r="R44" s="614"/>
      <c r="S44"/>
      <c r="T44"/>
      <c r="U44"/>
      <c r="V44" s="614"/>
      <c r="W44"/>
      <c r="X44" s="532">
        <f t="shared" si="2"/>
        <v>0</v>
      </c>
      <c r="Y44" s="16"/>
    </row>
    <row r="45" spans="1:25">
      <c r="A45" s="2">
        <f>MAX($A$9:A44)+1</f>
        <v>37</v>
      </c>
      <c r="B45" s="1" t="s">
        <v>152</v>
      </c>
      <c r="C45" s="532"/>
      <c r="D45" s="532">
        <f>SUMIFS('Monthly Billed Revenues'!S:S,'Monthly Billed Revenues'!B:B,"*"&amp;$B$31&amp;"*",'Monthly Billed Revenues'!E:E,"*"&amp;B45&amp;"*")+SUMIFS('Monthly Billed Revenues'!S:S,'Monthly Billed Revenues'!B:B,"*"&amp;"04LV"&amp;"*",'Monthly Billed Revenues'!E:E,"*"&amp;B45&amp;"*")+SUMIFS('Monthly Billed Revenues'!S:S,'Monthly Billed Revenues'!B:B,"*"&amp;$B$31&amp;"*",'Monthly Billed Revenues'!D:D,"City Tax - Revadj")+SUMIFS('Monthly Billed Revenues'!S:S,'Monthly Billed Revenues'!B:B,"*"&amp;"04LV"&amp;"*",'Monthly Billed Revenues'!D:D,"City Tax - Revadj")</f>
        <v>7181758.9399999995</v>
      </c>
      <c r="E45" s="614"/>
      <c r="F45" s="522"/>
      <c r="G45" s="614"/>
      <c r="H45" s="530"/>
      <c r="I45"/>
      <c r="J45" s="614"/>
      <c r="K45"/>
      <c r="L45"/>
      <c r="M45"/>
      <c r="N45" s="614"/>
      <c r="O45"/>
      <c r="P45"/>
      <c r="Q45"/>
      <c r="R45" s="614"/>
      <c r="S45"/>
      <c r="T45"/>
      <c r="U45"/>
      <c r="V45" s="614"/>
      <c r="W45"/>
      <c r="X45" s="532">
        <f t="shared" si="2"/>
        <v>7181758.9399999995</v>
      </c>
      <c r="Y45" s="16"/>
    </row>
    <row r="46" spans="1:25">
      <c r="A46" s="2">
        <f>MAX($A$9:A45)+1</f>
        <v>38</v>
      </c>
      <c r="B46" s="1" t="s">
        <v>153</v>
      </c>
      <c r="C46" s="532"/>
      <c r="D46" s="532">
        <f>SUMIFS('Monthly Billed Revenues'!S:S,'Monthly Billed Revenues'!B:B,"*"&amp;$B$31&amp;"*",'Monthly Billed Revenues'!E:E,"*"&amp;B46&amp;"*")+SUMIFS('Monthly Billed Revenues'!S:S,'Monthly Billed Revenues'!B:B,"*"&amp;"04LV"&amp;"*",'Monthly Billed Revenues'!E:E,"*"&amp;B46&amp;"*")</f>
        <v>-5688.3</v>
      </c>
      <c r="E46" s="614"/>
      <c r="F46" s="522"/>
      <c r="G46" s="614"/>
      <c r="H46"/>
      <c r="I46"/>
      <c r="J46" s="614"/>
      <c r="K46"/>
      <c r="L46"/>
      <c r="M46"/>
      <c r="N46" s="614"/>
      <c r="O46"/>
      <c r="P46"/>
      <c r="Q46"/>
      <c r="R46" s="614"/>
      <c r="S46"/>
      <c r="T46"/>
      <c r="U46"/>
      <c r="V46" s="614"/>
      <c r="W46"/>
      <c r="X46" s="532">
        <f t="shared" si="2"/>
        <v>-5688.3</v>
      </c>
      <c r="Y46" s="16"/>
    </row>
    <row r="47" spans="1:25">
      <c r="A47" s="2">
        <f>MAX($A$9:A46)+1</f>
        <v>39</v>
      </c>
      <c r="B47" s="1" t="s">
        <v>154</v>
      </c>
      <c r="C47" s="548"/>
      <c r="D47" s="548">
        <f>SUMIFS('Monthly Billed Revenues'!S:S,'Monthly Billed Revenues'!B:B,"*"&amp;$B$31&amp;"*",'Monthly Billed Revenues'!E:E,"*"&amp;B47&amp;"*")+SUMIFS('Monthly Billed Revenues'!S:S,'Monthly Billed Revenues'!B:B,"*"&amp;"04LV"&amp;"*",'Monthly Billed Revenues'!E:E,"*"&amp;B47&amp;"*")</f>
        <v>55626.009999999995</v>
      </c>
      <c r="E47" s="614"/>
      <c r="F47" s="522"/>
      <c r="G47" s="614"/>
      <c r="H47"/>
      <c r="I47"/>
      <c r="J47" s="614"/>
      <c r="K47"/>
      <c r="L47"/>
      <c r="M47"/>
      <c r="N47" s="614"/>
      <c r="O47"/>
      <c r="P47"/>
      <c r="Q47"/>
      <c r="R47" s="614"/>
      <c r="S47"/>
      <c r="T47"/>
      <c r="U47"/>
      <c r="V47" s="614"/>
      <c r="W47"/>
      <c r="X47" s="548">
        <f t="shared" si="2"/>
        <v>55626.009999999995</v>
      </c>
      <c r="Y47" s="16"/>
    </row>
    <row r="48" spans="1:25">
      <c r="A48" s="2">
        <f>MAX($A$9:A47)+1</f>
        <v>40</v>
      </c>
      <c r="B48" s="624" t="s">
        <v>155</v>
      </c>
      <c r="C48" s="532"/>
      <c r="D48" s="532">
        <f>'Rev Recon Summary'!Q42+'Rev Recon Summary'!Q102</f>
        <v>-844881.49999999988</v>
      </c>
      <c r="E48" s="614"/>
      <c r="G48" s="614"/>
      <c r="H48"/>
      <c r="I48"/>
      <c r="J48" s="614"/>
      <c r="K48"/>
      <c r="L48"/>
      <c r="M48" s="522">
        <f>-D48</f>
        <v>844881.49999999988</v>
      </c>
      <c r="N48" s="614"/>
      <c r="O48"/>
      <c r="P48"/>
      <c r="Q48"/>
      <c r="R48" s="614"/>
      <c r="S48"/>
      <c r="T48"/>
      <c r="U48"/>
      <c r="V48" s="614"/>
      <c r="W48"/>
      <c r="X48" s="548">
        <f t="shared" si="2"/>
        <v>0</v>
      </c>
      <c r="Y48" s="16"/>
    </row>
    <row r="49" spans="1:25">
      <c r="A49" s="2">
        <f>MAX($A$9:A48)+1</f>
        <v>41</v>
      </c>
      <c r="B49" s="624" t="s">
        <v>156</v>
      </c>
      <c r="C49"/>
      <c r="D49" s="532">
        <f>-('WEAF &amp; Decoupling Rev Adj'!D14+'WEAF &amp; Decoupling Rev Adj'!D15)</f>
        <v>-1929365.78</v>
      </c>
      <c r="E49" s="614"/>
      <c r="F49" s="522">
        <f>-D49</f>
        <v>1929365.78</v>
      </c>
      <c r="G49" s="614"/>
      <c r="H49"/>
      <c r="I49"/>
      <c r="J49" s="614"/>
      <c r="K49"/>
      <c r="L49"/>
      <c r="M49"/>
      <c r="N49" s="614"/>
      <c r="O49"/>
      <c r="P49"/>
      <c r="Q49"/>
      <c r="R49" s="614"/>
      <c r="S49"/>
      <c r="T49"/>
      <c r="U49"/>
      <c r="V49" s="614"/>
      <c r="W49"/>
      <c r="X49" s="548">
        <f t="shared" si="2"/>
        <v>0</v>
      </c>
      <c r="Y49" s="16"/>
    </row>
    <row r="50" spans="1:25">
      <c r="A50" s="2">
        <f>MAX($A$9:A49)+1</f>
        <v>42</v>
      </c>
      <c r="B50" s="624" t="s">
        <v>157</v>
      </c>
      <c r="C50"/>
      <c r="D50" s="615">
        <f>-('WEAF &amp; Decoupling Rev Adj'!D24+'WEAF &amp; Decoupling Rev Adj'!D25)</f>
        <v>-461591.54</v>
      </c>
      <c r="E50" s="614"/>
      <c r="F50" s="616">
        <f>-D50</f>
        <v>461591.54</v>
      </c>
      <c r="G50" s="614"/>
      <c r="H50"/>
      <c r="I50" s="481"/>
      <c r="J50" s="614"/>
      <c r="K50"/>
      <c r="L50"/>
      <c r="M50" s="481"/>
      <c r="N50" s="614"/>
      <c r="O50"/>
      <c r="P50"/>
      <c r="Q50" s="481"/>
      <c r="R50" s="614"/>
      <c r="S50"/>
      <c r="T50"/>
      <c r="U50" s="481"/>
      <c r="V50" s="614"/>
      <c r="W50"/>
      <c r="X50" s="615">
        <f t="shared" si="2"/>
        <v>0</v>
      </c>
      <c r="Y50" s="16"/>
    </row>
    <row r="51" spans="1:25">
      <c r="A51" s="2">
        <f>MAX($A$9:A50)+1</f>
        <v>43</v>
      </c>
      <c r="B51" s="617" t="s">
        <v>159</v>
      </c>
      <c r="C51" s="618">
        <f>D51-('Rev Recon Summary'!Q48+'Rev Recon Summary'!Q108)</f>
        <v>3.1617581844329834E-3</v>
      </c>
      <c r="D51" s="290">
        <f>SUM(D33:D50)</f>
        <v>122913653.93316177</v>
      </c>
      <c r="E51" s="618"/>
      <c r="F51" s="620">
        <f>SUM(F33:F50)</f>
        <v>-85077409.503003895</v>
      </c>
      <c r="G51" s="618"/>
      <c r="H51" s="481"/>
      <c r="I51" s="621">
        <f>SUM(I33:I50)</f>
        <v>-526529.21245606989</v>
      </c>
      <c r="J51" s="618"/>
      <c r="K51" s="481"/>
      <c r="L51" s="481"/>
      <c r="M51" s="621">
        <f>SUM(M33:M50)</f>
        <v>909948.21383951453</v>
      </c>
      <c r="N51" s="618"/>
      <c r="O51" s="481"/>
      <c r="P51" s="481"/>
      <c r="Q51" s="621">
        <f>SUM(Q33:Q50)</f>
        <v>112380.18602169582</v>
      </c>
      <c r="R51" s="618"/>
      <c r="S51" s="481"/>
      <c r="T51" s="481"/>
      <c r="U51" s="621">
        <f>SUM(U33:U50)</f>
        <v>358038.31289909489</v>
      </c>
      <c r="V51" s="618"/>
      <c r="W51" s="481"/>
      <c r="X51" s="621">
        <f>SUM(X33:X50)</f>
        <v>38690081.9304621</v>
      </c>
      <c r="Y51" s="16"/>
    </row>
    <row r="52" spans="1:25">
      <c r="A52" s="2">
        <f>MAX($A$9:A51)+1</f>
        <v>44</v>
      </c>
      <c r="B52" s="10"/>
      <c r="D52" s="43"/>
      <c r="E52" s="45"/>
      <c r="F52"/>
      <c r="G52" s="45"/>
      <c r="H52"/>
      <c r="I52"/>
      <c r="J52" s="45"/>
      <c r="K52"/>
      <c r="L52"/>
      <c r="M52"/>
      <c r="N52" s="45"/>
      <c r="O52"/>
      <c r="P52"/>
      <c r="Q52"/>
      <c r="R52" s="45"/>
      <c r="S52"/>
      <c r="T52"/>
      <c r="U52"/>
      <c r="V52" s="45"/>
      <c r="W52"/>
      <c r="X52"/>
      <c r="Y52" s="16"/>
    </row>
    <row r="53" spans="1:25">
      <c r="A53" s="2">
        <f>MAX($A$9:A52)+1</f>
        <v>45</v>
      </c>
      <c r="B53" s="531">
        <v>505</v>
      </c>
      <c r="D53" s="43"/>
      <c r="F53"/>
      <c r="H53"/>
      <c r="I53"/>
      <c r="K53"/>
      <c r="L53"/>
      <c r="M53"/>
      <c r="O53"/>
      <c r="P53"/>
      <c r="Q53"/>
      <c r="S53"/>
      <c r="T53"/>
      <c r="U53"/>
      <c r="W53"/>
      <c r="X53"/>
      <c r="Y53" s="16"/>
    </row>
    <row r="54" spans="1:25">
      <c r="A54" s="2">
        <f>MAX($A$9:A53)+1</f>
        <v>46</v>
      </c>
      <c r="B54" t="s">
        <v>140</v>
      </c>
      <c r="D54" s="43"/>
      <c r="F54"/>
      <c r="H54"/>
      <c r="I54"/>
      <c r="K54"/>
      <c r="L54"/>
      <c r="M54"/>
      <c r="O54"/>
      <c r="P54"/>
      <c r="Q54"/>
      <c r="S54"/>
      <c r="T54"/>
      <c r="U54"/>
      <c r="W54"/>
      <c r="X54"/>
      <c r="Y54" s="16"/>
    </row>
    <row r="55" spans="1:25">
      <c r="A55" s="2">
        <f>MAX($A$9:A54)+1</f>
        <v>47</v>
      </c>
      <c r="B55" s="520" t="s">
        <v>141</v>
      </c>
      <c r="C55" s="532">
        <f>'Customer Counts'!O13</f>
        <v>5901</v>
      </c>
      <c r="D55" s="612">
        <f>SUMIFS('Monthly Billed Revenues'!S:S,'Monthly Billed Revenues'!B:B,"*"&amp;$B$53&amp;"*",'Monthly Billed Revenues'!E:E,"*"&amp;B55&amp;"*")+SUMIFS('Monthly Billed Revenues'!S:S,'Monthly Billed Revenues'!B:B,"*"&amp;$B$53&amp;"*",'Monthly Billed Revenues'!D:D,"Service Charge - Revadj")+'Unbilled Revenue'!Q45</f>
        <v>368082</v>
      </c>
      <c r="E55" s="614"/>
      <c r="F55"/>
      <c r="G55" s="614"/>
      <c r="H55" s="551">
        <v>60</v>
      </c>
      <c r="I55" s="612">
        <f>(C55*H55)-D55</f>
        <v>-14022</v>
      </c>
      <c r="J55" s="614"/>
      <c r="K55" s="532"/>
      <c r="L55" s="551"/>
      <c r="M55" s="612"/>
      <c r="N55" s="614"/>
      <c r="O55" s="532">
        <f>'EOP Calculations'!Q58-C55</f>
        <v>39</v>
      </c>
      <c r="P55" s="551">
        <f>$H$55</f>
        <v>60</v>
      </c>
      <c r="Q55" s="612">
        <f>O55*P55</f>
        <v>2340</v>
      </c>
      <c r="R55" s="614"/>
      <c r="S55" s="532"/>
      <c r="T55" s="551"/>
      <c r="U55" s="612"/>
      <c r="V55" s="614"/>
      <c r="W55" s="532">
        <f>C55+O55</f>
        <v>5940</v>
      </c>
      <c r="X55" s="612">
        <f>D55+F55+I55+M55+Q55+U55</f>
        <v>356400</v>
      </c>
      <c r="Y55" s="16"/>
    </row>
    <row r="56" spans="1:25">
      <c r="A56" s="2">
        <f>MAX($A$9:A55)+1</f>
        <v>48</v>
      </c>
      <c r="B56" t="s">
        <v>160</v>
      </c>
      <c r="C56" s="532">
        <f>SUM('Block Therms Support'!D10:D21)</f>
        <v>1777957</v>
      </c>
      <c r="D56" s="532">
        <f>SUMIFS('Monthly Billed Revenues'!S:S,'Monthly Billed Revenues'!B:B,"*"&amp;$B$53&amp;"*",'Monthly Billed Revenues'!E:E,"*"&amp;B56&amp;"*")+SUMIFS('Monthly Billed Revenues'!S:S,'Monthly Billed Revenues'!B:B,"*"&amp;$B$53&amp;"*",'Monthly Billed Revenues'!D:D,"Margin - Revadj")</f>
        <v>392282.23</v>
      </c>
      <c r="E56" s="614"/>
      <c r="F56"/>
      <c r="G56" s="614"/>
      <c r="H56">
        <v>0.21929000000000001</v>
      </c>
      <c r="I56" s="522">
        <f>(C56*H56)-D56</f>
        <v>-2394.0394699999597</v>
      </c>
      <c r="J56" s="614"/>
      <c r="K56" s="532"/>
      <c r="L56"/>
      <c r="M56" s="532"/>
      <c r="N56" s="614"/>
      <c r="O56" s="532">
        <f>'EOP Calculations'!P58-C56</f>
        <v>8635.8920551969204</v>
      </c>
      <c r="P56">
        <f>$H$56</f>
        <v>0.21929000000000001</v>
      </c>
      <c r="Q56" s="532">
        <f>O56*P56</f>
        <v>1893.7647687841327</v>
      </c>
      <c r="R56" s="614"/>
      <c r="S56" s="532">
        <f>C56+O56</f>
        <v>1786592.8920551969</v>
      </c>
      <c r="T56" s="552">
        <v>9.1500000000000001E-3</v>
      </c>
      <c r="U56" s="532">
        <f>S56*T56</f>
        <v>16347.324962305052</v>
      </c>
      <c r="V56" s="614"/>
      <c r="W56" s="532">
        <f>C56+O56</f>
        <v>1786592.8920551969</v>
      </c>
      <c r="X56" s="532">
        <f>D56+F56+I56+M56+Q56+U56</f>
        <v>408129.28026108921</v>
      </c>
      <c r="Y56" s="16"/>
    </row>
    <row r="57" spans="1:25">
      <c r="A57" s="2">
        <f>MAX($A$9:A56)+1</f>
        <v>49</v>
      </c>
      <c r="B57" t="s">
        <v>161</v>
      </c>
      <c r="C57" s="532">
        <f>SUM('Block Therms Support'!E10:E21)</f>
        <v>5625345</v>
      </c>
      <c r="D57" s="532">
        <f>SUMIFS('Monthly Billed Revenues'!S:S,'Monthly Billed Revenues'!B:B,"*"&amp;$B$53&amp;"*",'Monthly Billed Revenues'!E:E,"*"&amp;B57&amp;"*")</f>
        <v>1019595.24</v>
      </c>
      <c r="E57" s="614"/>
      <c r="F57"/>
      <c r="G57" s="614"/>
      <c r="H57">
        <v>0.17998</v>
      </c>
      <c r="I57" s="522">
        <f>(C57*H57)-D57</f>
        <v>-7145.6468999999342</v>
      </c>
      <c r="J57" s="614"/>
      <c r="K57" s="532"/>
      <c r="L57"/>
      <c r="M57" s="532"/>
      <c r="N57" s="614"/>
      <c r="O57" s="532">
        <f>'EOP Calculations'!P59-C57</f>
        <v>23568.680563310161</v>
      </c>
      <c r="P57">
        <f>$H$57</f>
        <v>0.17998</v>
      </c>
      <c r="Q57" s="532">
        <f>O57*P57</f>
        <v>4241.8911277845627</v>
      </c>
      <c r="R57" s="614"/>
      <c r="S57" s="532">
        <f>C57+O57</f>
        <v>5648913.6805633102</v>
      </c>
      <c r="T57" s="552">
        <v>9.1500000000000001E-3</v>
      </c>
      <c r="U57" s="532">
        <f>S57*T57</f>
        <v>51687.560177154286</v>
      </c>
      <c r="V57" s="614"/>
      <c r="W57" s="532">
        <f>C57+O57</f>
        <v>5648913.6805633102</v>
      </c>
      <c r="X57" s="532">
        <f>D57+F57+I57+M57+Q57+U57</f>
        <v>1068379.044404939</v>
      </c>
      <c r="Y57" s="16"/>
    </row>
    <row r="58" spans="1:25">
      <c r="A58" s="2">
        <f>MAX($A$9:A57)+1</f>
        <v>50</v>
      </c>
      <c r="B58" t="s">
        <v>162</v>
      </c>
      <c r="C58" s="532">
        <f>SUM('Block Therms Support'!F10:F21)</f>
        <v>4720007</v>
      </c>
      <c r="D58" s="532">
        <f>SUMIFS('Monthly Billed Revenues'!S:S,'Monthly Billed Revenues'!B:B,"*"&amp;$B$53&amp;"*",'Monthly Billed Revenues'!E:E,"*"&amp;B58&amp;"*")</f>
        <v>827599.44</v>
      </c>
      <c r="E58" s="614"/>
      <c r="F58"/>
      <c r="G58" s="614"/>
      <c r="H58">
        <v>0.17404</v>
      </c>
      <c r="I58" s="522">
        <f>(C58*H58)-D58</f>
        <v>-6129.4217199999839</v>
      </c>
      <c r="J58" s="614"/>
      <c r="K58" s="532"/>
      <c r="L58"/>
      <c r="M58" s="532"/>
      <c r="N58" s="614"/>
      <c r="O58" s="532">
        <f>'EOP Calculations'!P60-C58</f>
        <v>18635.288201169111</v>
      </c>
      <c r="P58">
        <f>$H$58</f>
        <v>0.17404</v>
      </c>
      <c r="Q58" s="532">
        <f>O58*P58</f>
        <v>3243.2855585314719</v>
      </c>
      <c r="R58" s="614"/>
      <c r="S58" s="532">
        <f>C58+O58</f>
        <v>4738642.2882011691</v>
      </c>
      <c r="T58" s="552">
        <v>9.1500000000000001E-3</v>
      </c>
      <c r="U58" s="532">
        <f>S58*T58</f>
        <v>43358.5769370407</v>
      </c>
      <c r="V58" s="614"/>
      <c r="W58" s="532">
        <f>C58+O58</f>
        <v>4738642.2882011691</v>
      </c>
      <c r="X58" s="532">
        <f>D58+F58+I58+M58+Q58+U58</f>
        <v>868071.88077557215</v>
      </c>
      <c r="Y58" s="16"/>
    </row>
    <row r="59" spans="1:25">
      <c r="A59" s="2">
        <f>MAX($A$9:A58)+1</f>
        <v>51</v>
      </c>
      <c r="B59"/>
      <c r="C59" s="532"/>
      <c r="D59" s="532"/>
      <c r="E59" s="614"/>
      <c r="F59"/>
      <c r="G59" s="614"/>
      <c r="H59"/>
      <c r="I59"/>
      <c r="J59" s="614"/>
      <c r="K59"/>
      <c r="L59"/>
      <c r="M59"/>
      <c r="N59" s="614"/>
      <c r="O59"/>
      <c r="P59"/>
      <c r="Q59"/>
      <c r="R59" s="614"/>
      <c r="T59"/>
      <c r="U59"/>
      <c r="V59" s="614"/>
      <c r="W59"/>
      <c r="X59"/>
      <c r="Y59" s="16"/>
    </row>
    <row r="60" spans="1:25">
      <c r="A60" s="2">
        <f>MAX($A$9:A59)+1</f>
        <v>52</v>
      </c>
      <c r="B60" t="s">
        <v>143</v>
      </c>
      <c r="C60" s="532"/>
      <c r="D60" s="532"/>
      <c r="E60" s="614"/>
      <c r="F60"/>
      <c r="G60" s="614"/>
      <c r="H60"/>
      <c r="I60" s="549"/>
      <c r="J60" s="614"/>
      <c r="K60"/>
      <c r="L60"/>
      <c r="M60" s="549"/>
      <c r="N60" s="614"/>
      <c r="O60"/>
      <c r="P60"/>
      <c r="Q60" s="549"/>
      <c r="R60" s="614"/>
      <c r="S60"/>
      <c r="T60"/>
      <c r="U60" s="549"/>
      <c r="V60" s="614"/>
      <c r="W60"/>
      <c r="X60" s="549"/>
      <c r="Y60" s="16"/>
    </row>
    <row r="61" spans="1:25">
      <c r="A61" s="2">
        <f>MAX($A$9:A60)+1</f>
        <v>53</v>
      </c>
      <c r="B61" t="s">
        <v>144</v>
      </c>
      <c r="C61" s="532"/>
      <c r="D61" s="532">
        <f>SUMIFS('Monthly Billed Revenues'!S:S,'Monthly Billed Revenues'!B:B,"*"&amp;$B$53&amp;"*",'Monthly Billed Revenues'!E:E,"*"&amp;B61&amp;"*")+SUMIFS('Monthly Billed Revenues'!S:S,'Monthly Billed Revenues'!B:B,"*"&amp;$B$53&amp;"*",'Monthly Billed Revenues'!D:D,"Avg Cost of Gas - Revadj")</f>
        <v>8509023.0500000007</v>
      </c>
      <c r="E61" s="614"/>
      <c r="F61" s="522">
        <f>-D61</f>
        <v>-8509023.0500000007</v>
      </c>
      <c r="G61" s="614"/>
      <c r="H61"/>
      <c r="I61" s="522"/>
      <c r="J61" s="614"/>
      <c r="K61"/>
      <c r="L61"/>
      <c r="M61" s="522"/>
      <c r="N61" s="614"/>
      <c r="O61"/>
      <c r="P61"/>
      <c r="Q61" s="522"/>
      <c r="R61" s="614"/>
      <c r="S61"/>
      <c r="T61"/>
      <c r="U61" s="522"/>
      <c r="V61" s="614"/>
      <c r="W61"/>
      <c r="X61" s="532">
        <f t="shared" ref="X61:X74" si="4">D61+F61+I61+M61+Q61+U61</f>
        <v>0</v>
      </c>
      <c r="Y61" s="16"/>
    </row>
    <row r="62" spans="1:25">
      <c r="A62" s="2">
        <f>MAX($A$9:A61)+1</f>
        <v>54</v>
      </c>
      <c r="B62" t="s">
        <v>145</v>
      </c>
      <c r="C62" s="532"/>
      <c r="D62" s="532">
        <f>SUMIFS('Monthly Billed Revenues'!S:S,'Monthly Billed Revenues'!B:B,"*"&amp;$B$53&amp;"*",'Monthly Billed Revenues'!E:E,"*"&amp;B62&amp;"*")+SUMIFS('Monthly Billed Revenues'!S:S,'Monthly Billed Revenues'!B:B,"*"&amp;$B$53&amp;"*",'Monthly Billed Revenues'!E:E,"Temp. Gas Cost Adjustment")+SUMIFS('Monthly Billed Revenues'!S:S,'Monthly Billed Revenues'!B:B,"*"&amp;$B$53&amp;"*",'Monthly Billed Revenues'!D:D,"Temp Gas Cost Am - Revadj")</f>
        <v>2226367.58</v>
      </c>
      <c r="E62" s="614"/>
      <c r="F62" s="522">
        <f t="shared" ref="F62:F68" si="5">-D62</f>
        <v>-2226367.58</v>
      </c>
      <c r="G62" s="614"/>
      <c r="H62"/>
      <c r="I62"/>
      <c r="J62" s="614"/>
      <c r="K62"/>
      <c r="L62"/>
      <c r="M62"/>
      <c r="N62" s="614"/>
      <c r="O62"/>
      <c r="P62"/>
      <c r="Q62"/>
      <c r="R62" s="614"/>
      <c r="S62"/>
      <c r="T62"/>
      <c r="U62"/>
      <c r="V62" s="614"/>
      <c r="W62"/>
      <c r="X62" s="532">
        <f t="shared" si="4"/>
        <v>0</v>
      </c>
      <c r="Y62" s="16"/>
    </row>
    <row r="63" spans="1:25">
      <c r="A63" s="2">
        <f>MAX($A$9:A62)+1</f>
        <v>55</v>
      </c>
      <c r="B63" t="s">
        <v>146</v>
      </c>
      <c r="C63" s="532"/>
      <c r="D63" s="532">
        <f>SUMIFS('Monthly Billed Revenues'!S:S,'Monthly Billed Revenues'!B:B,"*"&amp;$B$53&amp;"*",'Monthly Billed Revenues'!E:E,"*"&amp;B63&amp;"*")+SUMIFS('Monthly Billed Revenues'!S:S,'Monthly Billed Revenues'!B:B,"*"&amp;$B$53&amp;"*",'Monthly Billed Revenues'!D:D,"WEAF - Revadj")</f>
        <v>32370.739999999998</v>
      </c>
      <c r="E63" s="614"/>
      <c r="F63" s="522">
        <f t="shared" si="5"/>
        <v>-32370.739999999998</v>
      </c>
      <c r="G63" s="614"/>
      <c r="H63"/>
      <c r="I63"/>
      <c r="J63" s="614"/>
      <c r="K63"/>
      <c r="L63"/>
      <c r="M63"/>
      <c r="N63" s="614"/>
      <c r="O63"/>
      <c r="P63"/>
      <c r="Q63"/>
      <c r="R63" s="614"/>
      <c r="S63"/>
      <c r="T63"/>
      <c r="U63"/>
      <c r="V63" s="614"/>
      <c r="W63"/>
      <c r="X63" s="532">
        <f t="shared" si="4"/>
        <v>0</v>
      </c>
      <c r="Y63" s="16"/>
    </row>
    <row r="64" spans="1:25">
      <c r="A64" s="2">
        <f>MAX($A$9:A63)+1</f>
        <v>56</v>
      </c>
      <c r="B64" t="s">
        <v>147</v>
      </c>
      <c r="C64" s="532"/>
      <c r="D64" s="532">
        <f>SUMIFS('Monthly Billed Revenues'!S:S,'Monthly Billed Revenues'!B:B,"*"&amp;$B$53&amp;"*",'Monthly Billed Revenues'!E:E,"*"&amp;B64&amp;"*")+SUMIFS('Monthly Billed Revenues'!S:S,'Monthly Billed Revenues'!B:B,"*"&amp;$B$53&amp;"*",'Monthly Billed Revenues'!D:D,"Repl Pipe Cost - Revadj")</f>
        <v>63981.22</v>
      </c>
      <c r="H64"/>
      <c r="I64"/>
      <c r="K64"/>
      <c r="L64"/>
      <c r="M64"/>
      <c r="O64"/>
      <c r="P64"/>
      <c r="Q64"/>
      <c r="S64" s="532"/>
      <c r="T64" s="552"/>
      <c r="U64" s="522">
        <f>-D64</f>
        <v>-63981.22</v>
      </c>
      <c r="W64"/>
      <c r="X64" s="532">
        <f t="shared" si="4"/>
        <v>0</v>
      </c>
      <c r="Y64" s="16"/>
    </row>
    <row r="65" spans="1:25">
      <c r="A65" s="2">
        <f>MAX($A$9:A64)+1</f>
        <v>57</v>
      </c>
      <c r="B65" t="s">
        <v>148</v>
      </c>
      <c r="C65" s="532"/>
      <c r="D65" s="532">
        <f>SUMIFS('Monthly Billed Revenues'!S:S,'Monthly Billed Revenues'!B:B,"*"&amp;$B$53&amp;"*",'Monthly Billed Revenues'!E:E,"*"&amp;B65&amp;"*")+SUMIFS('Monthly Billed Revenues'!S:S,'Monthly Billed Revenues'!B:B,"*"&amp;$B$53&amp;"*",'Monthly Billed Revenues'!D:D,"Decouple Mech - Revadj")</f>
        <v>162068.24999999997</v>
      </c>
      <c r="F65" s="522">
        <f t="shared" si="5"/>
        <v>-162068.24999999997</v>
      </c>
      <c r="H65"/>
      <c r="I65"/>
      <c r="K65"/>
      <c r="L65"/>
      <c r="M65"/>
      <c r="O65"/>
      <c r="P65"/>
      <c r="Q65"/>
      <c r="S65"/>
      <c r="T65"/>
      <c r="U65"/>
      <c r="W65"/>
      <c r="X65" s="532">
        <f t="shared" si="4"/>
        <v>0</v>
      </c>
      <c r="Y65" s="16"/>
    </row>
    <row r="66" spans="1:25">
      <c r="A66" s="2">
        <f>MAX($A$9:A65)+1</f>
        <v>58</v>
      </c>
      <c r="B66" t="s">
        <v>149</v>
      </c>
      <c r="C66" s="532"/>
      <c r="D66" s="532">
        <f>SUMIFS('Monthly Billed Revenues'!S:S,'Monthly Billed Revenues'!B:B,"*"&amp;$B$53&amp;"*",'Monthly Billed Revenues'!E:E,"*"&amp;B66&amp;"*")+SUMIFS('Monthly Billed Revenues'!S:S,'Monthly Billed Revenues'!B:B,"*"&amp;$B$53&amp;"*",'Monthly Billed Revenues'!D:D,"Con Cost Rec - Revadj")</f>
        <v>393441.58</v>
      </c>
      <c r="F66" s="522">
        <f t="shared" si="5"/>
        <v>-393441.58</v>
      </c>
      <c r="H66"/>
      <c r="I66"/>
      <c r="K66"/>
      <c r="L66"/>
      <c r="M66"/>
      <c r="O66"/>
      <c r="P66"/>
      <c r="Q66"/>
      <c r="S66"/>
      <c r="T66"/>
      <c r="U66"/>
      <c r="W66"/>
      <c r="X66" s="532">
        <f t="shared" si="4"/>
        <v>0</v>
      </c>
      <c r="Y66" s="16"/>
    </row>
    <row r="67" spans="1:25">
      <c r="A67" s="2">
        <f>MAX($A$9:A66)+1</f>
        <v>59</v>
      </c>
      <c r="B67" t="s">
        <v>150</v>
      </c>
      <c r="C67" s="532"/>
      <c r="D67" s="532">
        <f>SUMIFS('Monthly Billed Revenues'!S:S,'Monthly Billed Revenues'!B:B,"*"&amp;$B$53&amp;"*",'Monthly Billed Revenues'!E:E,"*"&amp;B67&amp;"*")+SUMIFS('Monthly Billed Revenues'!S:S,'Monthly Billed Revenues'!B:B,"*"&amp;$B$53&amp;"*",'Monthly Billed Revenues'!D:D,"Protected EDIT - Revadj")</f>
        <v>-15401.609999999999</v>
      </c>
      <c r="E67" s="614"/>
      <c r="F67" s="522">
        <f t="shared" si="5"/>
        <v>15401.609999999999</v>
      </c>
      <c r="G67" s="614"/>
      <c r="H67" s="530"/>
      <c r="I67"/>
      <c r="J67" s="614"/>
      <c r="K67"/>
      <c r="L67"/>
      <c r="M67"/>
      <c r="N67" s="614"/>
      <c r="O67"/>
      <c r="P67"/>
      <c r="Q67"/>
      <c r="R67" s="614"/>
      <c r="S67"/>
      <c r="T67"/>
      <c r="U67"/>
      <c r="V67" s="614"/>
      <c r="W67"/>
      <c r="X67" s="532">
        <f t="shared" si="4"/>
        <v>0</v>
      </c>
      <c r="Y67" s="16"/>
    </row>
    <row r="68" spans="1:25">
      <c r="A68" s="2">
        <f>MAX($A$9:A67)+1</f>
        <v>60</v>
      </c>
      <c r="B68" t="s">
        <v>151</v>
      </c>
      <c r="C68" s="532"/>
      <c r="D68" s="532">
        <f>SUMIFS('Monthly Billed Revenues'!S:S,'Monthly Billed Revenues'!B:B,"*"&amp;$B$53&amp;"*",'Monthly Billed Revenues'!E:E,"*"&amp;B68&amp;"*")+SUMIFS('Monthly Billed Revenues'!S:S,'Monthly Billed Revenues'!B:B,"*"&amp;$B$53&amp;"*",'Monthly Billed Revenues'!D:D,"Unprotected EDIT - Revadj")</f>
        <v>-17794.309999999998</v>
      </c>
      <c r="E68" s="614"/>
      <c r="F68" s="522">
        <f t="shared" si="5"/>
        <v>17794.309999999998</v>
      </c>
      <c r="G68" s="614"/>
      <c r="H68"/>
      <c r="I68"/>
      <c r="J68" s="614"/>
      <c r="K68"/>
      <c r="L68"/>
      <c r="M68"/>
      <c r="N68" s="614"/>
      <c r="O68"/>
      <c r="P68"/>
      <c r="Q68"/>
      <c r="R68" s="614"/>
      <c r="S68"/>
      <c r="T68"/>
      <c r="U68"/>
      <c r="V68" s="614"/>
      <c r="W68"/>
      <c r="X68" s="532">
        <f t="shared" si="4"/>
        <v>0</v>
      </c>
      <c r="Y68" s="16"/>
    </row>
    <row r="69" spans="1:25">
      <c r="A69" s="2">
        <f>MAX($A$9:A68)+1</f>
        <v>61</v>
      </c>
      <c r="B69" t="s">
        <v>152</v>
      </c>
      <c r="C69" s="532"/>
      <c r="D69" s="532">
        <f>SUMIFS('Monthly Billed Revenues'!S:S,'Monthly Billed Revenues'!B:B,"*"&amp;$B$53&amp;"*",'Monthly Billed Revenues'!E:E,"*"&amp;B69&amp;"*")+SUMIFS('Monthly Billed Revenues'!S:S,'Monthly Billed Revenues'!B:B,"*"&amp;$B$53&amp;"*",'Monthly Billed Revenues'!D:D,"City Tax - Revadj")</f>
        <v>593578.71</v>
      </c>
      <c r="E69" s="614"/>
      <c r="F69" s="522"/>
      <c r="G69" s="614"/>
      <c r="H69"/>
      <c r="I69"/>
      <c r="J69" s="614"/>
      <c r="K69"/>
      <c r="L69"/>
      <c r="M69"/>
      <c r="N69" s="614"/>
      <c r="O69"/>
      <c r="P69"/>
      <c r="Q69"/>
      <c r="R69" s="614"/>
      <c r="S69"/>
      <c r="T69"/>
      <c r="U69"/>
      <c r="V69" s="614"/>
      <c r="W69"/>
      <c r="X69" s="532">
        <f t="shared" si="4"/>
        <v>593578.71</v>
      </c>
      <c r="Y69" s="16"/>
    </row>
    <row r="70" spans="1:25">
      <c r="A70" s="2">
        <f>MAX($A$9:A69)+1</f>
        <v>62</v>
      </c>
      <c r="B70" t="s">
        <v>153</v>
      </c>
      <c r="C70" s="532"/>
      <c r="D70" s="532">
        <f>SUMIFS('Monthly Billed Revenues'!S:S,'Monthly Billed Revenues'!B:B,"*"&amp;$B$53&amp;"*",'Monthly Billed Revenues'!E:E,"*"&amp;B70&amp;"*")</f>
        <v>0</v>
      </c>
      <c r="E70" s="614"/>
      <c r="F70" s="522"/>
      <c r="G70" s="614"/>
      <c r="H70"/>
      <c r="I70"/>
      <c r="J70" s="614"/>
      <c r="K70"/>
      <c r="L70"/>
      <c r="M70"/>
      <c r="N70" s="614"/>
      <c r="O70"/>
      <c r="P70"/>
      <c r="Q70"/>
      <c r="R70" s="614"/>
      <c r="S70"/>
      <c r="T70"/>
      <c r="U70"/>
      <c r="V70" s="614"/>
      <c r="W70"/>
      <c r="X70" s="532">
        <f t="shared" si="4"/>
        <v>0</v>
      </c>
      <c r="Y70" s="16"/>
    </row>
    <row r="71" spans="1:25">
      <c r="A71" s="2">
        <f>MAX($A$9:A70)+1</f>
        <v>63</v>
      </c>
      <c r="B71" t="s">
        <v>154</v>
      </c>
      <c r="C71" s="548"/>
      <c r="D71" s="548">
        <f>SUMIFS('Monthly Billed Revenues'!S:S,'Monthly Billed Revenues'!B:B,"*"&amp;$B$53&amp;"*",'Monthly Billed Revenues'!E:E,"*"&amp;B71&amp;"*")</f>
        <v>23860.539999999997</v>
      </c>
      <c r="E71" s="614"/>
      <c r="F71" s="522"/>
      <c r="G71" s="614"/>
      <c r="H71"/>
      <c r="I71"/>
      <c r="J71" s="614"/>
      <c r="K71"/>
      <c r="L71"/>
      <c r="M71"/>
      <c r="N71" s="614"/>
      <c r="O71"/>
      <c r="P71"/>
      <c r="Q71"/>
      <c r="R71" s="614"/>
      <c r="S71"/>
      <c r="T71"/>
      <c r="U71"/>
      <c r="V71" s="614"/>
      <c r="W71"/>
      <c r="X71" s="532">
        <f t="shared" si="4"/>
        <v>23860.539999999997</v>
      </c>
      <c r="Y71" s="16"/>
    </row>
    <row r="72" spans="1:25">
      <c r="A72" s="2">
        <f>MAX($A$9:A71)+1</f>
        <v>64</v>
      </c>
      <c r="B72" t="s">
        <v>155</v>
      </c>
      <c r="C72" s="532"/>
      <c r="D72" s="532">
        <f>'Rev Recon Summary'!Q62</f>
        <v>-67350.22000000003</v>
      </c>
      <c r="E72" s="614"/>
      <c r="G72" s="614"/>
      <c r="H72"/>
      <c r="I72"/>
      <c r="J72" s="614"/>
      <c r="K72"/>
      <c r="L72"/>
      <c r="M72" s="522">
        <f>-D72</f>
        <v>67350.22000000003</v>
      </c>
      <c r="N72" s="614"/>
      <c r="O72"/>
      <c r="P72"/>
      <c r="Q72"/>
      <c r="R72" s="614"/>
      <c r="S72"/>
      <c r="T72"/>
      <c r="U72"/>
      <c r="V72" s="614"/>
      <c r="W72"/>
      <c r="X72" s="532">
        <f t="shared" si="4"/>
        <v>0</v>
      </c>
      <c r="Y72" s="16"/>
    </row>
    <row r="73" spans="1:25">
      <c r="A73" s="2">
        <f>MAX($A$9:A72)+1</f>
        <v>65</v>
      </c>
      <c r="B73" t="s">
        <v>156</v>
      </c>
      <c r="C73"/>
      <c r="D73" s="532">
        <f>-'WEAF &amp; Decoupling Rev Adj'!D12</f>
        <v>-161095.70000000004</v>
      </c>
      <c r="E73" s="614"/>
      <c r="F73" s="522">
        <f>-D73</f>
        <v>161095.70000000004</v>
      </c>
      <c r="G73" s="614"/>
      <c r="H73"/>
      <c r="I73"/>
      <c r="J73" s="614"/>
      <c r="K73"/>
      <c r="L73"/>
      <c r="M73"/>
      <c r="N73" s="614"/>
      <c r="O73"/>
      <c r="P73"/>
      <c r="Q73"/>
      <c r="R73" s="614"/>
      <c r="S73"/>
      <c r="T73"/>
      <c r="U73"/>
      <c r="V73" s="614"/>
      <c r="W73"/>
      <c r="X73" s="532">
        <f t="shared" si="4"/>
        <v>0</v>
      </c>
      <c r="Y73" s="16"/>
    </row>
    <row r="74" spans="1:25">
      <c r="A74" s="2">
        <f>MAX($A$9:A73)+1</f>
        <v>66</v>
      </c>
      <c r="B74" t="s">
        <v>157</v>
      </c>
      <c r="C74"/>
      <c r="D74" s="615">
        <f>-'WEAF &amp; Decoupling Rev Adj'!D22</f>
        <v>-31206.030000000002</v>
      </c>
      <c r="E74" s="614"/>
      <c r="F74" s="616">
        <f>-D74</f>
        <v>31206.030000000002</v>
      </c>
      <c r="G74" s="614"/>
      <c r="H74"/>
      <c r="I74" s="481"/>
      <c r="J74" s="614"/>
      <c r="K74"/>
      <c r="L74"/>
      <c r="M74" s="481"/>
      <c r="N74" s="614"/>
      <c r="O74"/>
      <c r="P74"/>
      <c r="Q74" s="481"/>
      <c r="R74" s="614"/>
      <c r="S74"/>
      <c r="T74"/>
      <c r="U74" s="481"/>
      <c r="V74" s="614"/>
      <c r="W74"/>
      <c r="X74" s="615">
        <f t="shared" si="4"/>
        <v>0</v>
      </c>
      <c r="Y74" s="16"/>
    </row>
    <row r="75" spans="1:25">
      <c r="A75" s="2">
        <f>MAX($A$9:A74)+1</f>
        <v>67</v>
      </c>
      <c r="B75" s="617" t="s">
        <v>163</v>
      </c>
      <c r="C75" s="618">
        <f>D75-'Rev Recon Summary'!Q68</f>
        <v>0</v>
      </c>
      <c r="D75" s="290">
        <f>SUM(D55:D74)</f>
        <v>14319402.710000001</v>
      </c>
      <c r="E75" s="291"/>
      <c r="F75" s="620">
        <f>SUM(F55:F74)</f>
        <v>-11097773.550000003</v>
      </c>
      <c r="G75" s="291"/>
      <c r="H75" s="481"/>
      <c r="I75" s="621">
        <f>SUM(I55:I74)</f>
        <v>-29691.108089999878</v>
      </c>
      <c r="J75" s="291"/>
      <c r="K75" s="481"/>
      <c r="L75" s="481"/>
      <c r="M75" s="621">
        <f>SUM(M55:M74)</f>
        <v>67350.22000000003</v>
      </c>
      <c r="N75" s="291"/>
      <c r="O75" s="481"/>
      <c r="P75" s="481"/>
      <c r="Q75" s="621">
        <f>SUM(Q55:Q74)</f>
        <v>11718.941455100168</v>
      </c>
      <c r="R75" s="291"/>
      <c r="S75" s="481"/>
      <c r="T75" s="481"/>
      <c r="U75" s="621">
        <f>SUM(U55:U74)</f>
        <v>47412.242076500028</v>
      </c>
      <c r="V75" s="291"/>
      <c r="W75" s="481"/>
      <c r="X75" s="621">
        <f>SUM(X55:X74)</f>
        <v>3318419.4554416006</v>
      </c>
      <c r="Y75" s="16"/>
    </row>
    <row r="76" spans="1:25">
      <c r="A76" s="2">
        <f>MAX($A$9:A75)+1</f>
        <v>68</v>
      </c>
      <c r="D76" s="43"/>
      <c r="F76"/>
      <c r="H76"/>
      <c r="I76"/>
      <c r="K76"/>
      <c r="L76"/>
      <c r="M76"/>
      <c r="O76"/>
      <c r="P76"/>
      <c r="Q76"/>
      <c r="S76"/>
      <c r="T76"/>
      <c r="U76"/>
      <c r="W76"/>
      <c r="X76"/>
      <c r="Y76" s="16"/>
    </row>
    <row r="77" spans="1:25">
      <c r="A77" s="2">
        <f>MAX($A$9:A76)+1</f>
        <v>69</v>
      </c>
      <c r="B77" s="531">
        <v>511</v>
      </c>
      <c r="D77" s="43"/>
      <c r="F77"/>
      <c r="H77"/>
      <c r="I77"/>
      <c r="K77"/>
      <c r="L77"/>
      <c r="M77"/>
      <c r="O77"/>
      <c r="P77"/>
      <c r="Q77"/>
      <c r="S77"/>
      <c r="T77"/>
      <c r="U77"/>
      <c r="W77"/>
      <c r="X77"/>
      <c r="Y77" s="16"/>
    </row>
    <row r="78" spans="1:25">
      <c r="A78" s="2">
        <f>MAX($A$9:A77)+1</f>
        <v>70</v>
      </c>
      <c r="B78" t="s">
        <v>140</v>
      </c>
      <c r="D78" s="43"/>
      <c r="F78"/>
      <c r="H78"/>
      <c r="I78"/>
      <c r="K78"/>
      <c r="L78"/>
      <c r="M78"/>
      <c r="O78"/>
      <c r="P78"/>
      <c r="Q78"/>
      <c r="S78"/>
      <c r="T78"/>
      <c r="U78"/>
      <c r="W78"/>
      <c r="X78"/>
      <c r="Y78" s="16"/>
    </row>
    <row r="79" spans="1:25">
      <c r="A79" s="2">
        <f>MAX($A$9:A78)+1</f>
        <v>71</v>
      </c>
      <c r="B79" s="520" t="s">
        <v>141</v>
      </c>
      <c r="C79" s="532">
        <f>'Customer Counts'!O14+'Customer Counts'!O15+'Customer Counts'!O16</f>
        <v>1192</v>
      </c>
      <c r="D79" s="612">
        <f>SUMIFS('Monthly Billed Revenues'!S:S,'Monthly Billed Revenues'!B:B,"*"&amp;$B$77&amp;"*",'Monthly Billed Revenues'!E:E,"*"&amp;B79&amp;"*")+SUMIFS('Monthly Billed Revenues'!S:S,'Monthly Billed Revenues'!B:B,"*"&amp;"CNGW11LV"&amp;"*",'Monthly Billed Revenues'!E:E,"*"&amp;B79&amp;"*")+SUMIFS('Monthly Billed Revenues'!S:S,'Monthly Billed Revenues'!B:B,"*"&amp;$B$77&amp;"*",'Monthly Billed Revenues'!D:D,"Service Charge - Revadj")+SUMIFS('Monthly Billed Revenues'!S:S,'Monthly Billed Revenues'!B:B,"*"&amp;"CNGW11LV"&amp;"*",'Monthly Billed Revenues'!D:D,"Service Charge - Revadj")+'Unbilled Revenue'!M45</f>
        <v>150637.5</v>
      </c>
      <c r="E79" s="46"/>
      <c r="F79"/>
      <c r="G79" s="46"/>
      <c r="H79" s="551">
        <v>125</v>
      </c>
      <c r="I79" s="612">
        <f>(C79*H79)-D79</f>
        <v>-1637.5</v>
      </c>
      <c r="J79" s="46"/>
      <c r="K79" s="532"/>
      <c r="L79" s="551"/>
      <c r="M79" s="612"/>
      <c r="N79" s="46"/>
      <c r="O79" s="532">
        <f>'EOP Calculations'!Q63-C79</f>
        <v>-4</v>
      </c>
      <c r="P79" s="551">
        <f>H79</f>
        <v>125</v>
      </c>
      <c r="Q79" s="612">
        <f>O79*P79</f>
        <v>-500</v>
      </c>
      <c r="R79" s="46"/>
      <c r="S79" s="532"/>
      <c r="T79" s="551"/>
      <c r="U79" s="612"/>
      <c r="W79" s="532">
        <f>C79+O79</f>
        <v>1188</v>
      </c>
      <c r="X79" s="612">
        <f>D79+F79+I79+M79+Q79+U79</f>
        <v>148500</v>
      </c>
      <c r="Y79" s="16"/>
    </row>
    <row r="80" spans="1:25">
      <c r="A80" s="2">
        <f>MAX($A$9:A79)+1</f>
        <v>72</v>
      </c>
      <c r="B80" t="s">
        <v>164</v>
      </c>
      <c r="C80" s="532">
        <f>SUM('Block Therms Support'!D24:D35,'Block Therms Support'!D38:D49)</f>
        <v>9910204</v>
      </c>
      <c r="D80" s="532">
        <f>SUMIFS('Monthly Billed Revenues'!S:S,'Monthly Billed Revenues'!B:B,"*"&amp;$B$77&amp;"*",'Monthly Billed Revenues'!E:E,"*"&amp;B80&amp;"*")+SUMIFS('Monthly Billed Revenues'!S:S,'Monthly Billed Revenues'!B:B,"*"&amp;"CNGW11LV"&amp;"*",'Monthly Billed Revenues'!E:E,"*"&amp;B80&amp;"*")+SUMIFS('Monthly Billed Revenues'!S:S,'Monthly Billed Revenues'!B:B,"*"&amp;$B$77&amp;"*",'Monthly Billed Revenues'!D:D,"Margin - Revadj")+SUMIFS('Monthly Billed Revenues'!S:S,'Monthly Billed Revenues'!B:B,"*"&amp;"CNGW11LV"&amp;"*",'Monthly Billed Revenues'!D:D,"Margin - Revadj")+SUM('Deficiency Billing'!M12:M14,'Deficiency Billing'!M16:M19,'Deficiency Billing'!M21)</f>
        <v>1738570.0600800002</v>
      </c>
      <c r="E80" s="46"/>
      <c r="F80"/>
      <c r="G80" s="46"/>
      <c r="H80">
        <v>0.17424000000000001</v>
      </c>
      <c r="I80" s="522">
        <f>(C80*H80)-D80</f>
        <v>-11816.115120000206</v>
      </c>
      <c r="J80" s="46"/>
      <c r="K80" s="532"/>
      <c r="L80"/>
      <c r="M80" s="532"/>
      <c r="N80" s="46"/>
      <c r="O80" s="532">
        <f>'EOP Calculations'!P63-C80</f>
        <v>-49165.158775512129</v>
      </c>
      <c r="P80">
        <f>H80</f>
        <v>0.17424000000000001</v>
      </c>
      <c r="Q80" s="532">
        <f>O80*P80</f>
        <v>-8566.5372650452337</v>
      </c>
      <c r="R80" s="46"/>
      <c r="S80" s="532">
        <f>C80+O80</f>
        <v>9861038.8412244879</v>
      </c>
      <c r="T80" s="552">
        <v>5.4099999999999999E-3</v>
      </c>
      <c r="U80" s="532">
        <f>S80*T80</f>
        <v>53348.220131024478</v>
      </c>
      <c r="V80" s="46"/>
      <c r="W80" s="532">
        <f>C80+O80</f>
        <v>9861038.8412244879</v>
      </c>
      <c r="X80" s="532">
        <f>D80+F80+I80+M80+Q80+U80</f>
        <v>1771535.6278259791</v>
      </c>
      <c r="Y80" s="16"/>
    </row>
    <row r="81" spans="1:25">
      <c r="A81" s="2">
        <f>MAX($A$9:A80)+1</f>
        <v>73</v>
      </c>
      <c r="B81" t="s">
        <v>165</v>
      </c>
      <c r="C81" s="532">
        <f>SUM('Block Therms Support'!E24:E35,'Block Therms Support'!E38:E49)+'Unbilled Revenue'!L43</f>
        <v>5361730</v>
      </c>
      <c r="D81" s="532">
        <f>SUMIFS('Monthly Billed Revenues'!S:S,'Monthly Billed Revenues'!B:B,"*"&amp;$B$77&amp;"*",'Monthly Billed Revenues'!E:E,"*"&amp;B81&amp;"*")+SUMIFS('Monthly Billed Revenues'!S:S,'Monthly Billed Revenues'!B:B,"*"&amp;"CNGW11LV"&amp;"*",'Monthly Billed Revenues'!E:E,"*"&amp;B81&amp;"*")+'Unbilled Revenue'!M46</f>
        <v>730868.70665999991</v>
      </c>
      <c r="E81" s="46"/>
      <c r="F81"/>
      <c r="G81" s="46"/>
      <c r="H81">
        <v>0.13550999999999999</v>
      </c>
      <c r="I81" s="522">
        <f>(C81*H81)-D81</f>
        <v>-4300.6743599999463</v>
      </c>
      <c r="J81" s="46"/>
      <c r="K81" s="532"/>
      <c r="L81"/>
      <c r="M81" s="532"/>
      <c r="N81" s="46"/>
      <c r="O81" s="532">
        <f>'EOP Calculations'!P64-C81</f>
        <v>-14935.150612245314</v>
      </c>
      <c r="P81">
        <f>H81</f>
        <v>0.13550999999999999</v>
      </c>
      <c r="Q81" s="532">
        <f>O81*P81</f>
        <v>-2023.8622594653623</v>
      </c>
      <c r="R81" s="46"/>
      <c r="S81" s="532">
        <f>C81+O81</f>
        <v>5346794.8493877547</v>
      </c>
      <c r="T81" s="552">
        <v>5.4099999999999999E-3</v>
      </c>
      <c r="U81" s="532">
        <f>S81*T81</f>
        <v>28926.160135187751</v>
      </c>
      <c r="V81" s="46"/>
      <c r="W81" s="532">
        <f>C81+O81</f>
        <v>5346794.8493877547</v>
      </c>
      <c r="X81" s="532">
        <f>D81+F81+I81+M81+Q81+U81</f>
        <v>753470.33017572237</v>
      </c>
      <c r="Y81" s="16"/>
    </row>
    <row r="82" spans="1:25">
      <c r="A82" s="2">
        <f>MAX($A$9:A81)+1</f>
        <v>74</v>
      </c>
      <c r="B82" t="s">
        <v>166</v>
      </c>
      <c r="C82" s="532">
        <f>SUM('Block Therms Support'!F24:F35,'Block Therms Support'!F38:F49)</f>
        <v>1490771</v>
      </c>
      <c r="D82" s="532">
        <f>SUMIFS('Monthly Billed Revenues'!S:S,'Monthly Billed Revenues'!B:B,"*"&amp;$B$77&amp;"*",'Monthly Billed Revenues'!E:E,"*"&amp;B82&amp;"*")+SUMIFS('Monthly Billed Revenues'!S:S,'Monthly Billed Revenues'!B:B,"*"&amp;"CNGW11LV"&amp;"*",'Monthly Billed Revenues'!E:E,"*"&amp;B82&amp;"*")</f>
        <v>59655.990000000005</v>
      </c>
      <c r="E82" s="46"/>
      <c r="F82"/>
      <c r="G82" s="46"/>
      <c r="H82" s="625">
        <v>3.9699999999999999E-2</v>
      </c>
      <c r="I82" s="522">
        <f>(C82*H82)-D82</f>
        <v>-472.3813000000082</v>
      </c>
      <c r="J82" s="46"/>
      <c r="K82" s="532"/>
      <c r="L82"/>
      <c r="M82" s="532"/>
      <c r="N82" s="46"/>
      <c r="O82" s="532">
        <f>'EOP Calculations'!P65-C82</f>
        <v>-9927.2504081632942</v>
      </c>
      <c r="P82" s="625">
        <f>H82</f>
        <v>3.9699999999999999E-2</v>
      </c>
      <c r="Q82" s="532">
        <f>O82*P82</f>
        <v>-394.11184120408279</v>
      </c>
      <c r="R82" s="46"/>
      <c r="S82" s="532">
        <f>C82+O82</f>
        <v>1480843.7495918367</v>
      </c>
      <c r="T82" s="552">
        <v>5.4099999999999999E-3</v>
      </c>
      <c r="U82" s="532">
        <f>S82*T82</f>
        <v>8011.3646852918364</v>
      </c>
      <c r="W82" s="532">
        <f>C82+O82</f>
        <v>1480843.7495918367</v>
      </c>
      <c r="X82" s="532">
        <f>D82+F82+I82+M82+Q82+U82</f>
        <v>66800.861544087747</v>
      </c>
      <c r="Y82" s="16"/>
    </row>
    <row r="83" spans="1:25">
      <c r="A83" s="2">
        <f>MAX($A$9:A82)+1</f>
        <v>75</v>
      </c>
      <c r="B83"/>
      <c r="C83" s="532"/>
      <c r="D83" s="532"/>
      <c r="E83" s="46"/>
      <c r="F83"/>
      <c r="G83" s="46"/>
      <c r="H83"/>
      <c r="I83"/>
      <c r="J83" s="46"/>
      <c r="K83"/>
      <c r="L83"/>
      <c r="M83"/>
      <c r="N83" s="46"/>
      <c r="O83"/>
      <c r="P83"/>
      <c r="Q83"/>
      <c r="R83" s="46"/>
      <c r="T83"/>
      <c r="U83"/>
      <c r="V83" s="46"/>
      <c r="W83"/>
      <c r="X83"/>
      <c r="Y83" s="16"/>
    </row>
    <row r="84" spans="1:25">
      <c r="A84" s="2">
        <f>MAX($A$9:A83)+1</f>
        <v>76</v>
      </c>
      <c r="B84" t="s">
        <v>143</v>
      </c>
      <c r="C84" s="532"/>
      <c r="D84" s="532"/>
      <c r="E84" s="46"/>
      <c r="F84"/>
      <c r="G84" s="46"/>
      <c r="H84"/>
      <c r="I84" s="549"/>
      <c r="J84" s="46"/>
      <c r="K84"/>
      <c r="L84"/>
      <c r="M84" s="549"/>
      <c r="N84" s="46"/>
      <c r="O84"/>
      <c r="P84"/>
      <c r="Q84" s="549"/>
      <c r="R84" s="46"/>
      <c r="S84"/>
      <c r="T84"/>
      <c r="U84" s="549"/>
      <c r="V84" s="46"/>
      <c r="W84"/>
      <c r="X84" s="549"/>
      <c r="Y84" s="16"/>
    </row>
    <row r="85" spans="1:25">
      <c r="A85" s="2">
        <f>MAX($A$9:A84)+1</f>
        <v>77</v>
      </c>
      <c r="B85" t="s">
        <v>144</v>
      </c>
      <c r="C85" s="532"/>
      <c r="D85" s="548">
        <f>SUMIFS('Monthly Billed Revenues'!S:S,'Monthly Billed Revenues'!B:B,"*"&amp;$B$77&amp;"*",'Monthly Billed Revenues'!E:E,"*"&amp;B85&amp;"*")+SUMIFS('Monthly Billed Revenues'!S:S,'Monthly Billed Revenues'!B:B,"*"&amp;"CNGW11LV"&amp;"*",'Monthly Billed Revenues'!E:E,"*"&amp;B85&amp;"*")+SUMIFS('Monthly Billed Revenues'!S:S,'Monthly Billed Revenues'!B:B,"*"&amp;$B$77&amp;"*",'Monthly Billed Revenues'!D:D,"Avg Cost of Gas - Revadj")+SUMIFS('Monthly Billed Revenues'!S:S,'Monthly Billed Revenues'!B:B,"*"&amp;"CNGW11LV"&amp;"*",'Monthly Billed Revenues'!D:D,"Avg Cost of Gas - Revadj")+'Unbilled Revenue'!M49</f>
        <v>11626518.642040001</v>
      </c>
      <c r="E85" s="46"/>
      <c r="F85" s="522">
        <f>-D85</f>
        <v>-11626518.642040001</v>
      </c>
      <c r="G85" s="46"/>
      <c r="H85"/>
      <c r="I85" s="522"/>
      <c r="J85" s="46"/>
      <c r="K85"/>
      <c r="L85"/>
      <c r="M85" s="522"/>
      <c r="N85" s="46"/>
      <c r="O85"/>
      <c r="P85"/>
      <c r="Q85" s="522"/>
      <c r="R85" s="46"/>
      <c r="S85"/>
      <c r="T85"/>
      <c r="U85" s="522"/>
      <c r="V85" s="46"/>
      <c r="W85"/>
      <c r="X85" s="548">
        <f t="shared" ref="X85:X99" si="6">D85+F85+I85+M85+Q85+U85</f>
        <v>0</v>
      </c>
      <c r="Y85" s="16"/>
    </row>
    <row r="86" spans="1:25">
      <c r="A86" s="2">
        <f>MAX($A$9:A85)+1</f>
        <v>78</v>
      </c>
      <c r="B86" t="s">
        <v>145</v>
      </c>
      <c r="C86" s="532"/>
      <c r="D86" s="548">
        <f>SUMIFS('Monthly Billed Revenues'!S:S,'Monthly Billed Revenues'!B:B,"*"&amp;$B$77&amp;"*",'Monthly Billed Revenues'!E:E,"*"&amp;B86&amp;"*")+SUMIFS('Monthly Billed Revenues'!S:S,'Monthly Billed Revenues'!B:B,"*"&amp;$B$77&amp;"*",'Monthly Billed Revenues'!E:E,"Temp. Gas Cost Adjustment")+SUMIFS('Monthly Billed Revenues'!S:S,'Monthly Billed Revenues'!B:B,"*"&amp;"CNGW11LV"&amp;"*",'Monthly Billed Revenues'!E:E,"*"&amp;B86&amp;"*")+SUMIFS('Monthly Billed Revenues'!S:S,'Monthly Billed Revenues'!B:B,"*"&amp;"CNGW11LV"&amp;"*",'Monthly Billed Revenues'!E:E,"Temp. Gas Cost Adjustment")+SUMIFS('Monthly Billed Revenues'!S:S,'Monthly Billed Revenues'!B:B,"*"&amp;$B$77&amp;"*",'Monthly Billed Revenues'!D:D,"Temp Gas Cost Am - Revadj")+SUMIFS('Monthly Billed Revenues'!S:S,'Monthly Billed Revenues'!B:B,"*"&amp;"CNGW11LV"&amp;"*",'Monthly Billed Revenues'!D:D,"Temp Gas Cost Am - Revadj")+'Unbilled Revenue'!M50</f>
        <v>3148052.3191599995</v>
      </c>
      <c r="E86" s="46"/>
      <c r="F86" s="522">
        <f t="shared" ref="F86:F92" si="7">-D86</f>
        <v>-3148052.3191599995</v>
      </c>
      <c r="G86" s="46"/>
      <c r="H86"/>
      <c r="I86"/>
      <c r="J86" s="46"/>
      <c r="K86"/>
      <c r="L86"/>
      <c r="M86"/>
      <c r="N86" s="46"/>
      <c r="O86"/>
      <c r="P86"/>
      <c r="Q86"/>
      <c r="R86" s="46"/>
      <c r="S86"/>
      <c r="T86"/>
      <c r="U86"/>
      <c r="V86" s="46"/>
      <c r="W86"/>
      <c r="X86" s="548">
        <f t="shared" si="6"/>
        <v>0</v>
      </c>
      <c r="Y86" s="16"/>
    </row>
    <row r="87" spans="1:25">
      <c r="A87" s="2">
        <f>MAX($A$9:A86)+1</f>
        <v>79</v>
      </c>
      <c r="B87" t="s">
        <v>146</v>
      </c>
      <c r="C87" s="532"/>
      <c r="D87" s="548">
        <f>SUMIFS('Monthly Billed Revenues'!S:S,'Monthly Billed Revenues'!B:B,"*"&amp;$B$77&amp;"*",'Monthly Billed Revenues'!E:E,"*"&amp;B87&amp;"*")+SUMIFS('Monthly Billed Revenues'!S:S,'Monthly Billed Revenues'!B:B,"*"&amp;"CNGW11LV"&amp;"*",'Monthly Billed Revenues'!E:E,"*"&amp;B87&amp;"*")+SUMIFS('Monthly Billed Revenues'!S:S,'Monthly Billed Revenues'!B:B,"*"&amp;$B$77&amp;"*",'Monthly Billed Revenues'!D:D,"WEAF - Revadj")+SUMIFS('Monthly Billed Revenues'!S:S,'Monthly Billed Revenues'!B:B,"*"&amp;"CNGW11LV"&amp;"*",'Monthly Billed Revenues'!D:D,"WEAF - Revadj")+'Unbilled Revenue'!M52</f>
        <v>41124.533519999997</v>
      </c>
      <c r="E87" s="46"/>
      <c r="F87" s="522">
        <f t="shared" si="7"/>
        <v>-41124.533519999997</v>
      </c>
      <c r="G87" s="46"/>
      <c r="H87"/>
      <c r="I87"/>
      <c r="J87" s="46"/>
      <c r="K87"/>
      <c r="L87"/>
      <c r="M87"/>
      <c r="N87" s="46"/>
      <c r="O87"/>
      <c r="P87"/>
      <c r="Q87"/>
      <c r="R87" s="46"/>
      <c r="S87"/>
      <c r="T87"/>
      <c r="U87"/>
      <c r="V87" s="46"/>
      <c r="W87"/>
      <c r="X87" s="548">
        <f t="shared" si="6"/>
        <v>0</v>
      </c>
      <c r="Y87" s="16"/>
    </row>
    <row r="88" spans="1:25">
      <c r="A88" s="2">
        <f>MAX($A$9:A87)+1</f>
        <v>80</v>
      </c>
      <c r="B88" t="s">
        <v>147</v>
      </c>
      <c r="C88" s="532"/>
      <c r="D88" s="548">
        <f>SUMIFS('Monthly Billed Revenues'!S:S,'Monthly Billed Revenues'!B:B,"*"&amp;$B$77&amp;"*",'Monthly Billed Revenues'!E:E,"*"&amp;B88&amp;"*")+SUMIFS('Monthly Billed Revenues'!S:S,'Monthly Billed Revenues'!B:B,"*"&amp;"CNGW11LV"&amp;"*",'Monthly Billed Revenues'!E:E,"*"&amp;B88&amp;"*")+SUMIFS('Monthly Billed Revenues'!S:S,'Monthly Billed Revenues'!B:B,"*"&amp;$B$77&amp;"*",'Monthly Billed Revenues'!D:D,"Repl Pipe Cost - Revadj")+SUMIFS('Monthly Billed Revenues'!S:S,'Monthly Billed Revenues'!B:B,"*"&amp;"CNGW11LV"&amp;"*",'Monthly Billed Revenues'!D:D,"Repl Pipe Cost - Revadj")+'Unbilled Revenue'!M54</f>
        <v>50618.110060000006</v>
      </c>
      <c r="H88"/>
      <c r="I88"/>
      <c r="K88"/>
      <c r="L88"/>
      <c r="M88"/>
      <c r="O88"/>
      <c r="P88"/>
      <c r="Q88"/>
      <c r="S88" s="532"/>
      <c r="T88" s="552"/>
      <c r="U88" s="522">
        <f>-D88</f>
        <v>-50618.110060000006</v>
      </c>
      <c r="W88"/>
      <c r="X88" s="548">
        <f t="shared" si="6"/>
        <v>0</v>
      </c>
      <c r="Y88" s="16"/>
    </row>
    <row r="89" spans="1:25">
      <c r="A89" s="2">
        <f>MAX($A$9:A88)+1</f>
        <v>81</v>
      </c>
      <c r="B89" t="s">
        <v>148</v>
      </c>
      <c r="C89" s="532"/>
      <c r="D89" s="548">
        <f>SUMIFS('Monthly Billed Revenues'!S:S,'Monthly Billed Revenues'!B:B,"*"&amp;$B$77&amp;"*",'Monthly Billed Revenues'!E:E,"*"&amp;B89&amp;"*")+SUMIFS('Monthly Billed Revenues'!S:S,'Monthly Billed Revenues'!B:B,"*"&amp;"CNGW11LV"&amp;"*",'Monthly Billed Revenues'!E:E,"*"&amp;B89&amp;"*")+SUMIFS('Monthly Billed Revenues'!S:S,'Monthly Billed Revenues'!B:B,"*"&amp;$B$77&amp;"*",'Monthly Billed Revenues'!D:D,"Decouple Mech - Revadj")+SUMIFS('Monthly Billed Revenues'!S:S,'Monthly Billed Revenues'!B:B,"*"&amp;"CNGW11LV"&amp;"*",'Monthly Billed Revenues'!D:D,"Decouple Mech - Revadj")+'Unbilled Revenue'!M53</f>
        <v>-381677.62925999996</v>
      </c>
      <c r="E89" s="613"/>
      <c r="F89" s="522">
        <f t="shared" si="7"/>
        <v>381677.62925999996</v>
      </c>
      <c r="G89" s="613"/>
      <c r="H89"/>
      <c r="I89"/>
      <c r="J89" s="613"/>
      <c r="K89"/>
      <c r="L89"/>
      <c r="M89"/>
      <c r="N89" s="613"/>
      <c r="O89"/>
      <c r="P89"/>
      <c r="Q89"/>
      <c r="R89" s="613"/>
      <c r="S89"/>
      <c r="T89"/>
      <c r="U89"/>
      <c r="V89" s="613"/>
      <c r="W89"/>
      <c r="X89" s="548">
        <f t="shared" si="6"/>
        <v>0</v>
      </c>
      <c r="Y89" s="16"/>
    </row>
    <row r="90" spans="1:25">
      <c r="A90" s="2">
        <f>MAX($A$9:A89)+1</f>
        <v>82</v>
      </c>
      <c r="B90" t="s">
        <v>149</v>
      </c>
      <c r="C90" s="532"/>
      <c r="D90" s="548">
        <f>SUMIFS('Monthly Billed Revenues'!S:S,'Monthly Billed Revenues'!B:B,"*"&amp;$B$77&amp;"*",'Monthly Billed Revenues'!E:E,"*"&amp;B90&amp;"*")+SUMIFS('Monthly Billed Revenues'!S:S,'Monthly Billed Revenues'!B:B,"*"&amp;"CNGW11LV"&amp;"*",'Monthly Billed Revenues'!E:E,"*"&amp;B90&amp;"*")+SUMIFS('Monthly Billed Revenues'!S:S,'Monthly Billed Revenues'!B:B,"*"&amp;$B$77&amp;"*",'Monthly Billed Revenues'!D:D,"Con Cost Rec - Revadj")+SUMIFS('Monthly Billed Revenues'!S:S,'Monthly Billed Revenues'!B:B,"*"&amp;"CNGW11LV"&amp;"*",'Monthly Billed Revenues'!D:D,"Con Cost Rec - Revadj")+'Unbilled Revenue'!M51</f>
        <v>555335.28095999989</v>
      </c>
      <c r="F90" s="522">
        <f t="shared" si="7"/>
        <v>-555335.28095999989</v>
      </c>
      <c r="H90"/>
      <c r="I90"/>
      <c r="K90"/>
      <c r="L90"/>
      <c r="M90"/>
      <c r="O90"/>
      <c r="P90"/>
      <c r="Q90"/>
      <c r="S90"/>
      <c r="T90"/>
      <c r="U90"/>
      <c r="W90"/>
      <c r="X90" s="548">
        <f t="shared" si="6"/>
        <v>0</v>
      </c>
      <c r="Y90" s="16"/>
    </row>
    <row r="91" spans="1:25">
      <c r="A91" s="2">
        <f>MAX($A$9:A90)+1</f>
        <v>83</v>
      </c>
      <c r="B91" t="s">
        <v>150</v>
      </c>
      <c r="C91" s="532"/>
      <c r="D91" s="548">
        <f>SUMIFS('Monthly Billed Revenues'!S:S,'Monthly Billed Revenues'!B:B,"*"&amp;$B$77&amp;"*",'Monthly Billed Revenues'!E:E,"*"&amp;B91&amp;"*")+SUMIFS('Monthly Billed Revenues'!S:S,'Monthly Billed Revenues'!B:B,"*"&amp;"CNGW11LV"&amp;"*",'Monthly Billed Revenues'!E:E,"*"&amp;B91&amp;"*")+SUMIFS('Monthly Billed Revenues'!S:S,'Monthly Billed Revenues'!B:B,"*"&amp;$B$77&amp;"*",'Monthly Billed Revenues'!D:D,"Protected EDIT - Revadj")+SUMIFS('Monthly Billed Revenues'!S:S,'Monthly Billed Revenues'!B:B,"*"&amp;"CNGW11LV"&amp;"*",'Monthly Billed Revenues'!D:D,"Protected EDIT - Revadj")+'Unbilled Revenue'!M47</f>
        <v>-16436.509999999998</v>
      </c>
      <c r="F91" s="522">
        <f t="shared" si="7"/>
        <v>16436.509999999998</v>
      </c>
      <c r="H91"/>
      <c r="I91"/>
      <c r="K91"/>
      <c r="L91"/>
      <c r="M91"/>
      <c r="O91"/>
      <c r="P91"/>
      <c r="Q91"/>
      <c r="S91"/>
      <c r="T91"/>
      <c r="U91"/>
      <c r="W91"/>
      <c r="X91" s="548">
        <f t="shared" si="6"/>
        <v>0</v>
      </c>
      <c r="Y91" s="16"/>
    </row>
    <row r="92" spans="1:25">
      <c r="A92" s="2">
        <f>MAX($A$9:A91)+1</f>
        <v>84</v>
      </c>
      <c r="B92" t="s">
        <v>151</v>
      </c>
      <c r="C92" s="532"/>
      <c r="D92" s="548">
        <f>SUMIFS('Monthly Billed Revenues'!S:S,'Monthly Billed Revenues'!B:B,"*"&amp;$B$77&amp;"*",'Monthly Billed Revenues'!E:E,"*"&amp;B92&amp;"*")+SUMIFS('Monthly Billed Revenues'!S:S,'Monthly Billed Revenues'!B:B,"*"&amp;"CNGW11LV"&amp;"*",'Monthly Billed Revenues'!E:E,"*"&amp;B92&amp;"*")+SUMIFS('Monthly Billed Revenues'!S:S,'Monthly Billed Revenues'!B:B,"*"&amp;$B$77&amp;"*",'Monthly Billed Revenues'!D:D,"Unprotected EDIT - Revadj")+SUMIFS('Monthly Billed Revenues'!S:S,'Monthly Billed Revenues'!B:B,"*"&amp;"CNGW11LV"&amp;"*",'Monthly Billed Revenues'!D:D,"Unprotected EDIT - Revadj")+'Unbilled Revenue'!M48</f>
        <v>-20142.350899999998</v>
      </c>
      <c r="F92" s="522">
        <f t="shared" si="7"/>
        <v>20142.350899999998</v>
      </c>
      <c r="H92"/>
      <c r="I92"/>
      <c r="K92"/>
      <c r="L92"/>
      <c r="M92"/>
      <c r="O92"/>
      <c r="P92"/>
      <c r="Q92"/>
      <c r="S92"/>
      <c r="T92"/>
      <c r="U92"/>
      <c r="W92"/>
      <c r="X92" s="548">
        <f t="shared" si="6"/>
        <v>0</v>
      </c>
      <c r="Y92" s="16"/>
    </row>
    <row r="93" spans="1:25">
      <c r="A93" s="2">
        <f>MAX($A$9:A92)+1</f>
        <v>85</v>
      </c>
      <c r="B93" t="s">
        <v>152</v>
      </c>
      <c r="C93" s="532"/>
      <c r="D93" s="548">
        <f>SUMIFS('Monthly Billed Revenues'!S:S,'Monthly Billed Revenues'!B:B,"*"&amp;$B$77&amp;"*",'Monthly Billed Revenues'!E:E,"*"&amp;B93&amp;"*")+SUMIFS('Monthly Billed Revenues'!S:S,'Monthly Billed Revenues'!B:B,"*"&amp;"CNGW11LV"&amp;"*",'Monthly Billed Revenues'!E:E,"*"&amp;B93&amp;"*")+SUMIFS('Monthly Billed Revenues'!S:S,'Monthly Billed Revenues'!B:B,"*"&amp;$B$77&amp;"*",'Monthly Billed Revenues'!D:D,"City Tax - Revadj")+SUMIFS('Monthly Billed Revenues'!S:S,'Monthly Billed Revenues'!B:B,"*"&amp;"CNGW11LV"&amp;"*",'Monthly Billed Revenues'!D:D,"City Tax - Revadj")</f>
        <v>613500.08000000007</v>
      </c>
      <c r="E93" s="613"/>
      <c r="F93" s="522"/>
      <c r="G93" s="613"/>
      <c r="H93"/>
      <c r="I93"/>
      <c r="J93" s="613"/>
      <c r="K93"/>
      <c r="L93"/>
      <c r="M93"/>
      <c r="N93" s="613"/>
      <c r="O93"/>
      <c r="P93"/>
      <c r="Q93"/>
      <c r="R93" s="613"/>
      <c r="S93"/>
      <c r="T93"/>
      <c r="U93"/>
      <c r="V93" s="613"/>
      <c r="W93"/>
      <c r="X93" s="548">
        <f t="shared" si="6"/>
        <v>613500.08000000007</v>
      </c>
      <c r="Y93" s="16"/>
    </row>
    <row r="94" spans="1:25">
      <c r="A94" s="2">
        <f>MAX($A$9:A93)+1</f>
        <v>86</v>
      </c>
      <c r="B94" t="s">
        <v>153</v>
      </c>
      <c r="C94" s="532"/>
      <c r="D94" s="548">
        <f>SUMIFS('Monthly Billed Revenues'!S:S,'Monthly Billed Revenues'!B:B,"*"&amp;$B$77&amp;"*",'Monthly Billed Revenues'!E:E,"*"&amp;B94&amp;"*")+SUMIFS('Monthly Billed Revenues'!S:S,'Monthly Billed Revenues'!B:B,"*"&amp;"CNGW11LV"&amp;"*",'Monthly Billed Revenues'!E:E,"*"&amp;B94&amp;"*")</f>
        <v>-2778.92</v>
      </c>
      <c r="E94" s="613"/>
      <c r="F94" s="522"/>
      <c r="G94" s="613"/>
      <c r="H94"/>
      <c r="I94"/>
      <c r="J94" s="613"/>
      <c r="K94"/>
      <c r="L94"/>
      <c r="M94"/>
      <c r="N94" s="613"/>
      <c r="O94"/>
      <c r="P94"/>
      <c r="Q94"/>
      <c r="R94" s="613"/>
      <c r="S94"/>
      <c r="T94"/>
      <c r="U94"/>
      <c r="V94" s="613"/>
      <c r="W94"/>
      <c r="X94" s="548">
        <f t="shared" si="6"/>
        <v>-2778.92</v>
      </c>
      <c r="Y94" s="16"/>
    </row>
    <row r="95" spans="1:25">
      <c r="A95" s="2">
        <f>MAX($A$9:A94)+1</f>
        <v>87</v>
      </c>
      <c r="B95" t="s">
        <v>154</v>
      </c>
      <c r="C95" s="548"/>
      <c r="D95" s="548">
        <f>SUMIFS('Monthly Billed Revenues'!S:S,'Monthly Billed Revenues'!B:B,"*"&amp;$B$77&amp;"*",'Monthly Billed Revenues'!E:E,"*"&amp;B95&amp;"*")+SUMIFS('Monthly Billed Revenues'!S:S,'Monthly Billed Revenues'!B:B,"*"&amp;"CNGW11LV"&amp;"*",'Monthly Billed Revenues'!E:E,"*"&amp;B95&amp;"*")</f>
        <v>6384.01</v>
      </c>
      <c r="E95" s="613"/>
      <c r="F95" s="522"/>
      <c r="G95" s="613"/>
      <c r="H95"/>
      <c r="I95"/>
      <c r="J95" s="613"/>
      <c r="K95"/>
      <c r="L95"/>
      <c r="M95"/>
      <c r="N95" s="613"/>
      <c r="O95"/>
      <c r="P95"/>
      <c r="Q95"/>
      <c r="R95" s="613"/>
      <c r="S95"/>
      <c r="T95"/>
      <c r="U95"/>
      <c r="V95" s="613"/>
      <c r="W95"/>
      <c r="X95" s="548">
        <f t="shared" si="6"/>
        <v>6384.01</v>
      </c>
      <c r="Y95" s="16"/>
    </row>
    <row r="96" spans="1:25">
      <c r="A96" s="2">
        <f>MAX($A$9:A95)+1</f>
        <v>88</v>
      </c>
      <c r="B96" t="s">
        <v>167</v>
      </c>
      <c r="C96" s="548"/>
      <c r="D96" s="548">
        <f>SUM('Rev Recon Summary'!Q84+'Rev Recon Summary'!Q365)-SUM('Deficiency Billing'!M12:M14,'Deficiency Billing'!M16:M19,'Deficiency Billing'!M21)</f>
        <v>13049.799920000003</v>
      </c>
      <c r="E96" s="613"/>
      <c r="F96" s="522">
        <f>-D96</f>
        <v>-13049.799920000003</v>
      </c>
      <c r="G96" s="613"/>
      <c r="H96"/>
      <c r="I96"/>
      <c r="J96" s="613"/>
      <c r="K96"/>
      <c r="L96"/>
      <c r="M96"/>
      <c r="N96" s="613"/>
      <c r="O96"/>
      <c r="P96"/>
      <c r="Q96"/>
      <c r="R96" s="613"/>
      <c r="S96"/>
      <c r="T96"/>
      <c r="U96"/>
      <c r="V96" s="613"/>
      <c r="W96"/>
      <c r="X96" s="548">
        <f t="shared" si="6"/>
        <v>0</v>
      </c>
      <c r="Y96" s="16"/>
    </row>
    <row r="97" spans="1:25">
      <c r="A97" s="2">
        <f>MAX($A$9:A96)+1</f>
        <v>89</v>
      </c>
      <c r="B97" t="s">
        <v>155</v>
      </c>
      <c r="C97" s="532"/>
      <c r="D97" s="532">
        <f>'Rev Recon Summary'!Q82+'Rev Recon Summary'!Q363</f>
        <v>459207.1399999999</v>
      </c>
      <c r="E97" s="613"/>
      <c r="G97" s="613"/>
      <c r="H97"/>
      <c r="I97"/>
      <c r="J97" s="613"/>
      <c r="K97"/>
      <c r="L97"/>
      <c r="M97" s="522">
        <f>-D97</f>
        <v>-459207.1399999999</v>
      </c>
      <c r="N97" s="613"/>
      <c r="O97"/>
      <c r="P97"/>
      <c r="Q97"/>
      <c r="R97" s="613"/>
      <c r="S97"/>
      <c r="T97"/>
      <c r="U97"/>
      <c r="V97" s="613"/>
      <c r="W97"/>
      <c r="X97" s="548">
        <f t="shared" si="6"/>
        <v>0</v>
      </c>
      <c r="Y97" s="16"/>
    </row>
    <row r="98" spans="1:25">
      <c r="A98" s="2">
        <f>MAX($A$9:A97)+1</f>
        <v>90</v>
      </c>
      <c r="B98" t="s">
        <v>156</v>
      </c>
      <c r="C98"/>
      <c r="D98" s="532">
        <f>-('WEAF &amp; Decoupling Rev Adj'!D13+'WEAF &amp; Decoupling Rev Adj'!D16+'WEAF &amp; Decoupling Rev Adj'!D17)</f>
        <v>380403.25</v>
      </c>
      <c r="E98" s="613"/>
      <c r="F98" s="522">
        <f>-D98</f>
        <v>-380403.25</v>
      </c>
      <c r="G98" s="613"/>
      <c r="H98"/>
      <c r="I98"/>
      <c r="J98" s="613"/>
      <c r="K98"/>
      <c r="L98"/>
      <c r="M98"/>
      <c r="N98" s="613"/>
      <c r="O98"/>
      <c r="P98"/>
      <c r="Q98"/>
      <c r="R98" s="613"/>
      <c r="S98"/>
      <c r="T98"/>
      <c r="U98"/>
      <c r="V98" s="613"/>
      <c r="W98"/>
      <c r="X98" s="548">
        <f t="shared" si="6"/>
        <v>0</v>
      </c>
      <c r="Y98" s="16"/>
    </row>
    <row r="99" spans="1:25">
      <c r="A99" s="2">
        <f>MAX($A$9:A98)+1</f>
        <v>91</v>
      </c>
      <c r="B99" t="s">
        <v>157</v>
      </c>
      <c r="C99" s="532"/>
      <c r="D99" s="615">
        <f>-('WEAF &amp; Decoupling Rev Adj'!D23+'WEAF &amp; Decoupling Rev Adj'!D26+'WEAF &amp; Decoupling Rev Adj'!D27)</f>
        <v>-39407.5</v>
      </c>
      <c r="E99" s="613"/>
      <c r="F99" s="616">
        <f>-D99</f>
        <v>39407.5</v>
      </c>
      <c r="G99" s="613"/>
      <c r="H99"/>
      <c r="I99" s="481"/>
      <c r="J99" s="613"/>
      <c r="K99"/>
      <c r="L99"/>
      <c r="M99" s="481"/>
      <c r="N99" s="613"/>
      <c r="O99"/>
      <c r="P99"/>
      <c r="Q99" s="481"/>
      <c r="R99" s="613"/>
      <c r="S99"/>
      <c r="T99"/>
      <c r="U99" s="481"/>
      <c r="V99" s="613"/>
      <c r="W99"/>
      <c r="X99" s="615">
        <f t="shared" si="6"/>
        <v>0</v>
      </c>
      <c r="Y99" s="16"/>
    </row>
    <row r="100" spans="1:25">
      <c r="A100" s="2">
        <f>MAX($A$9:A99)+1</f>
        <v>92</v>
      </c>
      <c r="B100" s="617" t="s">
        <v>168</v>
      </c>
      <c r="C100" s="618">
        <f>D100-('Rev Recon Summary'!Q88+'Rev Recon Summary'!Q369)</f>
        <v>2.2399984300136566E-3</v>
      </c>
      <c r="D100" s="290">
        <f>SUM(D79:D99)</f>
        <v>19113482.512239996</v>
      </c>
      <c r="E100" s="619"/>
      <c r="F100" s="620">
        <f>SUM(F79:F99)</f>
        <v>-15306819.835440001</v>
      </c>
      <c r="G100" s="619"/>
      <c r="H100" s="481"/>
      <c r="I100" s="621">
        <f>SUM(I79:I99)</f>
        <v>-18226.67078000016</v>
      </c>
      <c r="J100" s="619"/>
      <c r="K100" s="481"/>
      <c r="L100" s="481"/>
      <c r="M100" s="621">
        <f>SUM(M79:M99)</f>
        <v>-459207.1399999999</v>
      </c>
      <c r="N100" s="619"/>
      <c r="O100" s="481"/>
      <c r="P100" s="481"/>
      <c r="Q100" s="621">
        <f>SUM(Q79:Q99)</f>
        <v>-11484.511365714679</v>
      </c>
      <c r="R100" s="619"/>
      <c r="S100" s="481"/>
      <c r="T100" s="481"/>
      <c r="U100" s="621">
        <f>SUM(U79:U99)</f>
        <v>39667.634891504058</v>
      </c>
      <c r="V100" s="619"/>
      <c r="W100" s="481"/>
      <c r="X100" s="621">
        <f>SUM(X79:X99)</f>
        <v>3357411.9895457891</v>
      </c>
      <c r="Y100" s="16"/>
    </row>
    <row r="101" spans="1:25">
      <c r="A101" s="2">
        <f>MAX($A$9:A100)+1</f>
        <v>93</v>
      </c>
      <c r="B101" s="10"/>
      <c r="C101" s="613"/>
      <c r="D101" s="324"/>
      <c r="E101" s="613"/>
      <c r="F101"/>
      <c r="G101" s="613"/>
      <c r="H101"/>
      <c r="I101"/>
      <c r="J101" s="613"/>
      <c r="K101"/>
      <c r="L101"/>
      <c r="M101"/>
      <c r="N101" s="613"/>
      <c r="O101"/>
      <c r="P101"/>
      <c r="Q101"/>
      <c r="R101" s="613"/>
      <c r="S101"/>
      <c r="T101"/>
      <c r="U101"/>
      <c r="V101" s="613"/>
      <c r="W101"/>
      <c r="X101"/>
      <c r="Y101" s="16"/>
    </row>
    <row r="102" spans="1:25">
      <c r="A102" s="2">
        <f>MAX($A$9:A101)+1</f>
        <v>94</v>
      </c>
      <c r="B102" s="531">
        <v>570</v>
      </c>
      <c r="D102" s="43"/>
      <c r="F102"/>
      <c r="H102"/>
      <c r="I102"/>
      <c r="K102"/>
      <c r="L102"/>
      <c r="M102"/>
      <c r="O102"/>
      <c r="P102"/>
      <c r="Q102"/>
      <c r="S102"/>
      <c r="T102"/>
      <c r="U102"/>
      <c r="W102"/>
      <c r="X102"/>
      <c r="Y102" s="16"/>
    </row>
    <row r="103" spans="1:25">
      <c r="A103" s="2">
        <f>MAX($A$9:A102)+1</f>
        <v>95</v>
      </c>
      <c r="B103" t="s">
        <v>140</v>
      </c>
      <c r="D103" s="43"/>
      <c r="F103"/>
      <c r="H103"/>
      <c r="I103"/>
      <c r="K103"/>
      <c r="L103"/>
      <c r="M103"/>
      <c r="O103"/>
      <c r="P103"/>
      <c r="Q103"/>
      <c r="S103"/>
      <c r="T103"/>
      <c r="U103"/>
      <c r="W103"/>
      <c r="X103"/>
      <c r="Y103" s="16"/>
    </row>
    <row r="104" spans="1:25">
      <c r="A104" s="2">
        <f>MAX($A$9:A103)+1</f>
        <v>96</v>
      </c>
      <c r="B104" s="520" t="s">
        <v>141</v>
      </c>
      <c r="C104" s="532">
        <f>'Customer Counts'!O17</f>
        <v>84</v>
      </c>
      <c r="D104" s="612">
        <f>SUMIFS('Monthly Billed Revenues'!S:S,'Monthly Billed Revenues'!B:B,"*"&amp;$B$102&amp;"*",'Monthly Billed Revenues'!E:E,"*"&amp;B104&amp;"*")+SUMIFS('Monthly Billed Revenues'!S:S,'Monthly Billed Revenues'!B:B,"*"&amp;$B$102&amp;"*",'Monthly Billed Revenues'!D:D,"Service Charge - Revadj")</f>
        <v>13692</v>
      </c>
      <c r="E104" s="614"/>
      <c r="F104"/>
      <c r="G104" s="614"/>
      <c r="H104" s="551">
        <v>163</v>
      </c>
      <c r="I104" s="612">
        <f>(C104*H104)-D104</f>
        <v>0</v>
      </c>
      <c r="J104" s="614"/>
      <c r="K104" s="532"/>
      <c r="L104" s="551"/>
      <c r="M104" s="612"/>
      <c r="N104" s="614"/>
      <c r="O104" s="532">
        <f>'EOP Calculations'!Q68-C104</f>
        <v>0</v>
      </c>
      <c r="P104" s="551">
        <f>H104</f>
        <v>163</v>
      </c>
      <c r="Q104" s="612">
        <f>O104*P104</f>
        <v>0</v>
      </c>
      <c r="R104" s="614"/>
      <c r="S104" s="532"/>
      <c r="T104" s="551"/>
      <c r="U104" s="612"/>
      <c r="V104" s="614"/>
      <c r="W104" s="532">
        <f>C104+O104</f>
        <v>84</v>
      </c>
      <c r="X104" s="612">
        <f>D104+F104+I104+M104+Q104+U104</f>
        <v>13692</v>
      </c>
      <c r="Y104" s="16"/>
    </row>
    <row r="105" spans="1:25">
      <c r="A105" s="2">
        <f>MAX($A$9:A104)+1</f>
        <v>97</v>
      </c>
      <c r="B105" t="s">
        <v>169</v>
      </c>
      <c r="C105" s="532">
        <f>SUM('Block Therms Support'!D52:D63)</f>
        <v>1086598</v>
      </c>
      <c r="D105" s="532">
        <f>SUMIFS('Monthly Billed Revenues'!S:S,'Monthly Billed Revenues'!B:B,"*"&amp;$B$102&amp;"*",'Monthly Billed Revenues'!E:E,"*"&amp;B105&amp;"*")+SUMIFS('Monthly Billed Revenues'!S:S,'Monthly Billed Revenues'!B:B,"*"&amp;$B$102&amp;"*",'Monthly Billed Revenues'!D:D,"Margin - Revadj")</f>
        <v>107317.05</v>
      </c>
      <c r="E105" s="614"/>
      <c r="F105"/>
      <c r="G105" s="614"/>
      <c r="H105">
        <v>9.8379999999999995E-2</v>
      </c>
      <c r="I105" s="522">
        <f>(C105*H105)-D105</f>
        <v>-417.53876000001037</v>
      </c>
      <c r="J105" s="614"/>
      <c r="K105" s="532"/>
      <c r="L105"/>
      <c r="M105" s="532"/>
      <c r="N105" s="614"/>
      <c r="O105" s="532">
        <f>'EOP Calculations'!P68-C105</f>
        <v>0</v>
      </c>
      <c r="P105">
        <f>H105</f>
        <v>9.8379999999999995E-2</v>
      </c>
      <c r="Q105" s="532">
        <f>O105*P105</f>
        <v>0</v>
      </c>
      <c r="R105" s="614"/>
      <c r="S105" s="532">
        <f>C105+O105</f>
        <v>1086598</v>
      </c>
      <c r="T105" s="552">
        <v>6.13E-3</v>
      </c>
      <c r="U105" s="532">
        <f>S105*T105</f>
        <v>6660.8457399999998</v>
      </c>
      <c r="V105" s="614"/>
      <c r="W105" s="532">
        <f>C105+O105</f>
        <v>1086598</v>
      </c>
      <c r="X105" s="532">
        <f>D105+F105+I105+M105+Q105+U105</f>
        <v>113560.35698</v>
      </c>
      <c r="Y105" s="16"/>
    </row>
    <row r="106" spans="1:25">
      <c r="A106" s="2">
        <f>MAX($A$9:A105)+1</f>
        <v>98</v>
      </c>
      <c r="B106" t="s">
        <v>170</v>
      </c>
      <c r="C106" s="532">
        <f>SUM('Block Therms Support'!E52:E63)</f>
        <v>1011000</v>
      </c>
      <c r="D106" s="532">
        <f>SUMIFS('Monthly Billed Revenues'!S:S,'Monthly Billed Revenues'!B:B,"*"&amp;$B$102&amp;"*",'Monthly Billed Revenues'!E:E,"*"&amp;B106&amp;"*")</f>
        <v>33551.170000000006</v>
      </c>
      <c r="E106" s="614"/>
      <c r="F106"/>
      <c r="G106" s="614"/>
      <c r="H106">
        <v>3.3009999999999998E-2</v>
      </c>
      <c r="I106" s="522">
        <f>(C106*H106)-D106</f>
        <v>-178.06000000000495</v>
      </c>
      <c r="J106" s="614"/>
      <c r="K106" s="532"/>
      <c r="L106"/>
      <c r="M106" s="532"/>
      <c r="N106" s="614"/>
      <c r="O106" s="532">
        <f>'EOP Calculations'!P69-C106</f>
        <v>0</v>
      </c>
      <c r="P106">
        <f>H106</f>
        <v>3.3009999999999998E-2</v>
      </c>
      <c r="Q106" s="532">
        <f>O106*P106</f>
        <v>0</v>
      </c>
      <c r="R106" s="614"/>
      <c r="S106" s="532">
        <f>C106+O106</f>
        <v>1011000</v>
      </c>
      <c r="T106" s="552">
        <v>6.13E-3</v>
      </c>
      <c r="U106" s="532">
        <f>S106*T106</f>
        <v>6197.43</v>
      </c>
      <c r="V106" s="614"/>
      <c r="W106" s="532">
        <f>C106+O106</f>
        <v>1011000</v>
      </c>
      <c r="X106" s="532">
        <f>D106+F106+I106+M106+Q106+U106</f>
        <v>39570.54</v>
      </c>
      <c r="Y106" s="16"/>
    </row>
    <row r="107" spans="1:25">
      <c r="A107" s="2">
        <f>MAX($A$9:A106)+1</f>
        <v>99</v>
      </c>
      <c r="B107"/>
      <c r="C107" s="532"/>
      <c r="D107" s="532"/>
      <c r="E107" s="614"/>
      <c r="F107"/>
      <c r="G107" s="614"/>
      <c r="H107"/>
      <c r="I107"/>
      <c r="J107" s="614"/>
      <c r="K107"/>
      <c r="L107"/>
      <c r="M107"/>
      <c r="N107" s="614"/>
      <c r="O107"/>
      <c r="P107"/>
      <c r="Q107"/>
      <c r="R107" s="614"/>
      <c r="T107"/>
      <c r="U107"/>
      <c r="V107" s="614"/>
      <c r="W107"/>
      <c r="X107"/>
      <c r="Y107" s="16"/>
    </row>
    <row r="108" spans="1:25">
      <c r="A108" s="2">
        <f>MAX($A$9:A107)+1</f>
        <v>100</v>
      </c>
      <c r="B108" t="s">
        <v>143</v>
      </c>
      <c r="C108" s="532"/>
      <c r="D108" s="532"/>
      <c r="E108"/>
      <c r="F108"/>
      <c r="G108" s="614"/>
      <c r="H108"/>
      <c r="I108" s="549"/>
      <c r="J108" s="614"/>
      <c r="K108"/>
      <c r="L108"/>
      <c r="M108" s="549"/>
      <c r="N108" s="614"/>
      <c r="O108"/>
      <c r="P108"/>
      <c r="Q108" s="549"/>
      <c r="R108" s="614"/>
      <c r="S108"/>
      <c r="T108"/>
      <c r="U108" s="549"/>
      <c r="V108" s="614"/>
      <c r="W108"/>
      <c r="X108" s="549"/>
      <c r="Y108" s="16"/>
    </row>
    <row r="109" spans="1:25">
      <c r="A109" s="2">
        <f>MAX($A$9:A108)+1</f>
        <v>101</v>
      </c>
      <c r="B109" t="s">
        <v>144</v>
      </c>
      <c r="C109" s="532"/>
      <c r="D109" s="548">
        <f>SUMIFS('Monthly Billed Revenues'!S:S,'Monthly Billed Revenues'!B:B,"*"&amp;$B$102&amp;"*",'Monthly Billed Revenues'!E:E,"*"&amp;B109&amp;"*")+SUMIFS('Monthly Billed Revenues'!S:S,'Monthly Billed Revenues'!B:B,"*"&amp;$B$102&amp;"*",'Monthly Billed Revenues'!D:D,"Avg Cost of Gas - Revadj")</f>
        <v>1423135.07</v>
      </c>
      <c r="E109"/>
      <c r="F109" s="522">
        <f>-D109</f>
        <v>-1423135.07</v>
      </c>
      <c r="G109" s="614"/>
      <c r="H109"/>
      <c r="I109" s="522"/>
      <c r="J109" s="614"/>
      <c r="K109"/>
      <c r="L109"/>
      <c r="M109" s="522"/>
      <c r="N109" s="614"/>
      <c r="O109"/>
      <c r="P109"/>
      <c r="Q109" s="522"/>
      <c r="R109" s="614"/>
      <c r="S109"/>
      <c r="T109"/>
      <c r="U109" s="522"/>
      <c r="V109" s="614"/>
      <c r="W109"/>
      <c r="X109" s="532">
        <f t="shared" ref="X109:X123" si="8">D109+F109+I109+M109+Q109+U109</f>
        <v>0</v>
      </c>
      <c r="Y109" s="16"/>
    </row>
    <row r="110" spans="1:25">
      <c r="A110" s="2">
        <f>MAX($A$9:A109)+1</f>
        <v>102</v>
      </c>
      <c r="B110" t="s">
        <v>145</v>
      </c>
      <c r="C110" s="532"/>
      <c r="D110" s="548">
        <f>SUMIFS('Monthly Billed Revenues'!S:S,'Monthly Billed Revenues'!B:B,"*"&amp;$B$102&amp;"*",'Monthly Billed Revenues'!E:E,"*"&amp;B110&amp;"*")+SUMIFS('Monthly Billed Revenues'!S:S,'Monthly Billed Revenues'!B:B,"*"&amp;$B$102&amp;"*",'Monthly Billed Revenues'!E:E,"Temp. Gas Cost Adjustment")+SUMIFS('Monthly Billed Revenues'!S:S,'Monthly Billed Revenues'!B:B,"*"&amp;$B$102&amp;"*",'Monthly Billed Revenues'!D:D,"Temp Gas Cost Am - Revadj")</f>
        <v>405212.45999999996</v>
      </c>
      <c r="E110"/>
      <c r="F110" s="522">
        <f t="shared" ref="F110:F116" si="9">-D110</f>
        <v>-405212.45999999996</v>
      </c>
      <c r="H110"/>
      <c r="I110"/>
      <c r="K110"/>
      <c r="L110"/>
      <c r="M110"/>
      <c r="O110"/>
      <c r="P110"/>
      <c r="Q110"/>
      <c r="S110"/>
      <c r="T110"/>
      <c r="U110"/>
      <c r="W110"/>
      <c r="X110" s="532">
        <f t="shared" si="8"/>
        <v>0</v>
      </c>
      <c r="Y110" s="16"/>
    </row>
    <row r="111" spans="1:25">
      <c r="A111" s="2">
        <f>MAX($A$9:A110)+1</f>
        <v>103</v>
      </c>
      <c r="B111" t="s">
        <v>146</v>
      </c>
      <c r="C111" s="532"/>
      <c r="D111" s="548">
        <f>SUMIFS('Monthly Billed Revenues'!S:S,'Monthly Billed Revenues'!B:B,"*"&amp;$B$102&amp;"*",'Monthly Billed Revenues'!E:E,"*"&amp;B111&amp;"*")+SUMIFS('Monthly Billed Revenues'!S:S,'Monthly Billed Revenues'!B:B,"*"&amp;$B$102&amp;"*",'Monthly Billed Revenues'!D:D,"WEAF - Revadj")</f>
        <v>1970.27</v>
      </c>
      <c r="E111" s="614"/>
      <c r="F111" s="522">
        <f t="shared" si="9"/>
        <v>-1970.27</v>
      </c>
      <c r="G111" s="614"/>
      <c r="H111"/>
      <c r="I111"/>
      <c r="J111" s="614"/>
      <c r="K111"/>
      <c r="L111"/>
      <c r="M111"/>
      <c r="N111" s="614"/>
      <c r="O111"/>
      <c r="P111"/>
      <c r="Q111"/>
      <c r="R111" s="614"/>
      <c r="S111"/>
      <c r="T111"/>
      <c r="U111"/>
      <c r="V111" s="614"/>
      <c r="W111"/>
      <c r="X111" s="532">
        <f t="shared" si="8"/>
        <v>0</v>
      </c>
      <c r="Y111" s="16"/>
    </row>
    <row r="112" spans="1:25">
      <c r="A112" s="2">
        <f>MAX($A$9:A111)+1</f>
        <v>104</v>
      </c>
      <c r="B112" t="s">
        <v>147</v>
      </c>
      <c r="C112" s="532"/>
      <c r="D112" s="548">
        <f>SUMIFS('Monthly Billed Revenues'!S:S,'Monthly Billed Revenues'!B:B,"*"&amp;$B$102&amp;"*",'Monthly Billed Revenues'!E:E,"*"&amp;B112&amp;"*")+SUMIFS('Monthly Billed Revenues'!S:S,'Monthly Billed Revenues'!B:B,"*"&amp;$B$102&amp;"*",'Monthly Billed Revenues'!D:D,"Repl Pipe Cost - Revadj")</f>
        <v>7525.2700000000013</v>
      </c>
      <c r="H112"/>
      <c r="I112"/>
      <c r="K112"/>
      <c r="L112"/>
      <c r="M112"/>
      <c r="O112"/>
      <c r="P112"/>
      <c r="Q112"/>
      <c r="S112" s="532"/>
      <c r="T112" s="552"/>
      <c r="U112" s="522">
        <f>-D112</f>
        <v>-7525.2700000000013</v>
      </c>
      <c r="W112"/>
      <c r="X112" s="532">
        <f t="shared" si="8"/>
        <v>0</v>
      </c>
      <c r="Y112" s="16"/>
    </row>
    <row r="113" spans="1:25">
      <c r="A113" s="2">
        <f>MAX($A$9:A112)+1</f>
        <v>105</v>
      </c>
      <c r="B113" t="s">
        <v>148</v>
      </c>
      <c r="C113" s="532"/>
      <c r="D113" s="548">
        <f>SUMIFS('Monthly Billed Revenues'!S:S,'Monthly Billed Revenues'!B:B,"*"&amp;$B$102&amp;"*",'Monthly Billed Revenues'!E:E,"*"&amp;B113&amp;"*")+SUMIFS('Monthly Billed Revenues'!S:S,'Monthly Billed Revenues'!B:B,"*"&amp;$B$102&amp;"*",'Monthly Billed Revenues'!D:D,"Decouple Mech - Revadj")</f>
        <v>-11612.75</v>
      </c>
      <c r="F113" s="522">
        <f t="shared" si="9"/>
        <v>11612.75</v>
      </c>
      <c r="H113"/>
      <c r="I113"/>
      <c r="K113"/>
      <c r="L113"/>
      <c r="M113"/>
      <c r="O113"/>
      <c r="P113"/>
      <c r="Q113"/>
      <c r="T113"/>
      <c r="U113"/>
      <c r="W113"/>
      <c r="X113" s="532">
        <f t="shared" si="8"/>
        <v>0</v>
      </c>
      <c r="Y113" s="16"/>
    </row>
    <row r="114" spans="1:25">
      <c r="A114" s="2">
        <f>MAX($A$9:A113)+1</f>
        <v>106</v>
      </c>
      <c r="B114" t="s">
        <v>149</v>
      </c>
      <c r="C114" s="532"/>
      <c r="D114" s="548">
        <f>SUMIFS('Monthly Billed Revenues'!S:S,'Monthly Billed Revenues'!B:B,"*"&amp;$B$102&amp;"*",'Monthly Billed Revenues'!E:E,"*"&amp;B114&amp;"*")+SUMIFS('Monthly Billed Revenues'!S:S,'Monthly Billed Revenues'!B:B,"*"&amp;$B$102&amp;"*",'Monthly Billed Revenues'!D:D,"Con Cost Rec - Revadj")</f>
        <v>71369.81</v>
      </c>
      <c r="F114" s="522">
        <f t="shared" si="9"/>
        <v>-71369.81</v>
      </c>
      <c r="H114"/>
      <c r="I114"/>
      <c r="K114"/>
      <c r="L114"/>
      <c r="M114"/>
      <c r="O114"/>
      <c r="P114"/>
      <c r="Q114"/>
      <c r="S114"/>
      <c r="T114"/>
      <c r="U114"/>
      <c r="W114"/>
      <c r="X114" s="532">
        <f t="shared" si="8"/>
        <v>0</v>
      </c>
      <c r="Y114" s="16"/>
    </row>
    <row r="115" spans="1:25">
      <c r="A115" s="2">
        <f>MAX($A$9:A114)+1</f>
        <v>107</v>
      </c>
      <c r="B115" t="s">
        <v>150</v>
      </c>
      <c r="C115" s="532"/>
      <c r="D115" s="548">
        <f>SUMIFS('Monthly Billed Revenues'!S:S,'Monthly Billed Revenues'!B:B,"*"&amp;$B$102&amp;"*",'Monthly Billed Revenues'!E:E,"*"&amp;B115&amp;"*")+SUMIFS('Monthly Billed Revenues'!S:S,'Monthly Billed Revenues'!B:B,"*"&amp;$B$102&amp;"*",'Monthly Billed Revenues'!D:D,"Protected EDIT - Revadj")</f>
        <v>-527.06000000000006</v>
      </c>
      <c r="E115" s="614"/>
      <c r="F115" s="522">
        <f t="shared" si="9"/>
        <v>527.06000000000006</v>
      </c>
      <c r="G115" s="614"/>
      <c r="H115"/>
      <c r="I115"/>
      <c r="J115" s="614"/>
      <c r="K115"/>
      <c r="L115"/>
      <c r="M115"/>
      <c r="N115" s="614"/>
      <c r="O115"/>
      <c r="P115"/>
      <c r="Q115"/>
      <c r="R115" s="614"/>
      <c r="S115"/>
      <c r="T115"/>
      <c r="U115"/>
      <c r="V115" s="614"/>
      <c r="W115"/>
      <c r="X115" s="532">
        <f t="shared" si="8"/>
        <v>0</v>
      </c>
      <c r="Y115" s="16"/>
    </row>
    <row r="116" spans="1:25">
      <c r="A116" s="2">
        <f>MAX($A$9:A115)+1</f>
        <v>108</v>
      </c>
      <c r="B116" t="s">
        <v>151</v>
      </c>
      <c r="C116" s="532"/>
      <c r="D116" s="548">
        <f>SUMIFS('Monthly Billed Revenues'!S:S,'Monthly Billed Revenues'!B:B,"*"&amp;$B$102&amp;"*",'Monthly Billed Revenues'!E:E,"*"&amp;B116&amp;"*")+SUMIFS('Monthly Billed Revenues'!S:S,'Monthly Billed Revenues'!B:B,"*"&amp;$B$102&amp;"*",'Monthly Billed Revenues'!D:D,"Unprotected EDIT - Revadj")</f>
        <v>-929.34999999999991</v>
      </c>
      <c r="E116" s="614"/>
      <c r="F116" s="522">
        <f t="shared" si="9"/>
        <v>929.34999999999991</v>
      </c>
      <c r="G116" s="614"/>
      <c r="H116"/>
      <c r="I116"/>
      <c r="J116" s="614"/>
      <c r="K116"/>
      <c r="L116"/>
      <c r="M116"/>
      <c r="N116" s="614"/>
      <c r="O116"/>
      <c r="P116"/>
      <c r="Q116"/>
      <c r="R116" s="614"/>
      <c r="S116"/>
      <c r="T116"/>
      <c r="U116"/>
      <c r="V116" s="614"/>
      <c r="W116"/>
      <c r="X116" s="532">
        <f t="shared" si="8"/>
        <v>0</v>
      </c>
      <c r="Y116" s="16"/>
    </row>
    <row r="117" spans="1:25">
      <c r="A117" s="2">
        <f>MAX($A$9:A116)+1</f>
        <v>109</v>
      </c>
      <c r="B117" t="s">
        <v>152</v>
      </c>
      <c r="C117" s="532"/>
      <c r="D117" s="548">
        <f>SUMIFS('Monthly Billed Revenues'!S:S,'Monthly Billed Revenues'!B:B,"*"&amp;$B$102&amp;"*",'Monthly Billed Revenues'!E:E,"*"&amp;B117&amp;"*")+SUMIFS('Monthly Billed Revenues'!S:S,'Monthly Billed Revenues'!B:B,"*"&amp;$B$102&amp;"*",'Monthly Billed Revenues'!D:D,"City Tax - Revadj")</f>
        <v>21144.820000000003</v>
      </c>
      <c r="E117" s="614"/>
      <c r="F117" s="522"/>
      <c r="G117" s="614"/>
      <c r="H117"/>
      <c r="I117"/>
      <c r="J117" s="614"/>
      <c r="K117"/>
      <c r="L117"/>
      <c r="M117"/>
      <c r="N117" s="614"/>
      <c r="O117"/>
      <c r="P117"/>
      <c r="Q117"/>
      <c r="R117" s="614"/>
      <c r="S117"/>
      <c r="T117"/>
      <c r="U117"/>
      <c r="V117" s="614"/>
      <c r="W117"/>
      <c r="X117" s="532">
        <f t="shared" si="8"/>
        <v>21144.820000000003</v>
      </c>
      <c r="Y117" s="16"/>
    </row>
    <row r="118" spans="1:25">
      <c r="A118" s="2">
        <f>MAX($A$9:A117)+1</f>
        <v>110</v>
      </c>
      <c r="B118" t="s">
        <v>153</v>
      </c>
      <c r="C118" s="532"/>
      <c r="D118" s="548">
        <f>SUMIFS('Monthly Billed Revenues'!S:S,'Monthly Billed Revenues'!B:B,"*"&amp;$B$102&amp;"*",'Monthly Billed Revenues'!E:E,"*"&amp;B118&amp;"*")</f>
        <v>0</v>
      </c>
      <c r="E118" s="614"/>
      <c r="F118" s="522"/>
      <c r="G118" s="614"/>
      <c r="H118"/>
      <c r="I118"/>
      <c r="J118" s="614"/>
      <c r="K118"/>
      <c r="L118"/>
      <c r="M118"/>
      <c r="N118" s="614"/>
      <c r="O118"/>
      <c r="P118"/>
      <c r="Q118"/>
      <c r="R118" s="614"/>
      <c r="S118"/>
      <c r="T118"/>
      <c r="U118"/>
      <c r="V118" s="614"/>
      <c r="W118"/>
      <c r="X118" s="532">
        <f t="shared" si="8"/>
        <v>0</v>
      </c>
      <c r="Y118" s="16"/>
    </row>
    <row r="119" spans="1:25">
      <c r="A119" s="2">
        <f>MAX($A$9:A118)+1</f>
        <v>111</v>
      </c>
      <c r="B119" t="s">
        <v>154</v>
      </c>
      <c r="C119" s="548"/>
      <c r="D119" s="548">
        <f>SUMIFS('Monthly Billed Revenues'!S:S,'Monthly Billed Revenues'!B:B,"*"&amp;$B$102&amp;"*",'Monthly Billed Revenues'!E:E,"*"&amp;B119&amp;"*")</f>
        <v>58.68</v>
      </c>
      <c r="E119" s="614"/>
      <c r="F119" s="522"/>
      <c r="G119" s="614"/>
      <c r="H119"/>
      <c r="I119"/>
      <c r="J119" s="614"/>
      <c r="K119"/>
      <c r="L119"/>
      <c r="M119"/>
      <c r="N119" s="614"/>
      <c r="O119"/>
      <c r="P119"/>
      <c r="Q119"/>
      <c r="R119" s="614"/>
      <c r="S119"/>
      <c r="T119"/>
      <c r="U119"/>
      <c r="V119" s="614"/>
      <c r="W119"/>
      <c r="X119" s="532">
        <f t="shared" si="8"/>
        <v>58.68</v>
      </c>
      <c r="Y119" s="16"/>
    </row>
    <row r="120" spans="1:25">
      <c r="A120" s="2">
        <f>MAX($A$9:A119)+1</f>
        <v>112</v>
      </c>
      <c r="B120" t="s">
        <v>167</v>
      </c>
      <c r="C120"/>
      <c r="D120" s="548">
        <f>'Rev Recon Summary'!Q124</f>
        <v>0</v>
      </c>
      <c r="E120" s="614"/>
      <c r="F120" s="522">
        <f>-D120</f>
        <v>0</v>
      </c>
      <c r="G120" s="614"/>
      <c r="H120"/>
      <c r="I120" s="522"/>
      <c r="J120" s="614"/>
      <c r="K120"/>
      <c r="L120"/>
      <c r="M120" s="522"/>
      <c r="N120" s="614"/>
      <c r="O120"/>
      <c r="P120"/>
      <c r="Q120" s="522"/>
      <c r="R120" s="614"/>
      <c r="S120"/>
      <c r="T120"/>
      <c r="U120" s="522"/>
      <c r="V120" s="614"/>
      <c r="W120"/>
      <c r="X120" s="532">
        <f t="shared" si="8"/>
        <v>0</v>
      </c>
      <c r="Y120" s="16"/>
    </row>
    <row r="121" spans="1:25">
      <c r="A121" s="2">
        <f>MAX($A$9:A120)+1</f>
        <v>113</v>
      </c>
      <c r="B121" t="s">
        <v>155</v>
      </c>
      <c r="C121" s="532"/>
      <c r="D121" s="532">
        <f>'Rev Recon Summary'!Q122</f>
        <v>-4698.4100000000008</v>
      </c>
      <c r="E121" s="614"/>
      <c r="G121" s="614"/>
      <c r="H121"/>
      <c r="I121"/>
      <c r="J121" s="614"/>
      <c r="K121"/>
      <c r="L121"/>
      <c r="M121" s="522">
        <f>-D121</f>
        <v>4698.4100000000008</v>
      </c>
      <c r="N121" s="614"/>
      <c r="O121"/>
      <c r="P121"/>
      <c r="Q121"/>
      <c r="R121" s="614"/>
      <c r="S121"/>
      <c r="T121"/>
      <c r="U121"/>
      <c r="V121" s="614"/>
      <c r="W121"/>
      <c r="X121" s="532">
        <f t="shared" si="8"/>
        <v>0</v>
      </c>
      <c r="Y121" s="16"/>
    </row>
    <row r="122" spans="1:25">
      <c r="A122" s="2">
        <f>MAX($A$9:A121)+1</f>
        <v>114</v>
      </c>
      <c r="B122" t="s">
        <v>156</v>
      </c>
      <c r="C122"/>
      <c r="D122" s="532">
        <f>-'WEAF &amp; Decoupling Rev Adj'!D18</f>
        <v>11612.75</v>
      </c>
      <c r="E122" s="614"/>
      <c r="F122" s="522">
        <f>-D122</f>
        <v>-11612.75</v>
      </c>
      <c r="G122" s="614"/>
      <c r="H122"/>
      <c r="I122"/>
      <c r="J122" s="614"/>
      <c r="K122"/>
      <c r="L122"/>
      <c r="M122"/>
      <c r="N122" s="614"/>
      <c r="O122"/>
      <c r="P122"/>
      <c r="Q122"/>
      <c r="R122" s="614"/>
      <c r="S122"/>
      <c r="T122"/>
      <c r="U122"/>
      <c r="V122" s="614"/>
      <c r="W122"/>
      <c r="X122" s="532">
        <f t="shared" si="8"/>
        <v>0</v>
      </c>
      <c r="Y122" s="16"/>
    </row>
    <row r="123" spans="1:25">
      <c r="A123" s="2">
        <f>MAX($A$9:A122)+1</f>
        <v>115</v>
      </c>
      <c r="B123" t="s">
        <v>157</v>
      </c>
      <c r="C123" s="532"/>
      <c r="D123" s="615">
        <f>-'WEAF &amp; Decoupling Rev Adj'!D28</f>
        <v>-1878.16</v>
      </c>
      <c r="E123" s="614"/>
      <c r="F123" s="616">
        <f>-D123</f>
        <v>1878.16</v>
      </c>
      <c r="G123" s="614"/>
      <c r="H123"/>
      <c r="I123" s="481"/>
      <c r="J123" s="614"/>
      <c r="K123"/>
      <c r="L123"/>
      <c r="M123" s="481"/>
      <c r="N123" s="614"/>
      <c r="O123"/>
      <c r="P123"/>
      <c r="Q123" s="481"/>
      <c r="R123" s="614"/>
      <c r="S123"/>
      <c r="T123"/>
      <c r="U123" s="481"/>
      <c r="V123" s="614"/>
      <c r="W123"/>
      <c r="X123" s="615">
        <f t="shared" si="8"/>
        <v>0</v>
      </c>
      <c r="Y123" s="16"/>
    </row>
    <row r="124" spans="1:25">
      <c r="A124" s="2">
        <f>MAX($A$9:A123)+1</f>
        <v>116</v>
      </c>
      <c r="B124" s="617" t="s">
        <v>171</v>
      </c>
      <c r="C124" s="618">
        <f>D124-'Rev Recon Summary'!Q128</f>
        <v>0</v>
      </c>
      <c r="D124" s="290">
        <f>SUM(D104:D123)</f>
        <v>2076943.62</v>
      </c>
      <c r="E124" s="619"/>
      <c r="F124" s="620">
        <f>SUM(F104:F123)</f>
        <v>-1898353.04</v>
      </c>
      <c r="G124" s="619"/>
      <c r="H124" s="481"/>
      <c r="I124" s="621">
        <f>SUM(I104:I123)</f>
        <v>-595.59876000001532</v>
      </c>
      <c r="J124" s="619"/>
      <c r="K124" s="481"/>
      <c r="L124" s="481"/>
      <c r="M124" s="621">
        <f>SUM(M104:M123)</f>
        <v>4698.4100000000008</v>
      </c>
      <c r="N124" s="619"/>
      <c r="O124" s="481"/>
      <c r="P124" s="481"/>
      <c r="Q124" s="621">
        <f>SUM(Q104:Q123)</f>
        <v>0</v>
      </c>
      <c r="R124" s="619"/>
      <c r="S124" s="481"/>
      <c r="T124" s="481"/>
      <c r="U124" s="621">
        <f>SUM(U104:U123)</f>
        <v>5333.0057399999996</v>
      </c>
      <c r="V124" s="619"/>
      <c r="W124" s="481"/>
      <c r="X124" s="621">
        <f>SUM(X104:X123)</f>
        <v>188026.39697999999</v>
      </c>
      <c r="Y124" s="16"/>
    </row>
    <row r="125" spans="1:25">
      <c r="A125" s="2">
        <f>MAX($A$9:A124)+1</f>
        <v>117</v>
      </c>
      <c r="B125" s="10"/>
      <c r="D125" s="43"/>
      <c r="E125" s="45"/>
      <c r="F125"/>
      <c r="G125" s="45"/>
      <c r="H125"/>
      <c r="I125"/>
      <c r="J125" s="45"/>
      <c r="K125"/>
      <c r="L125"/>
      <c r="M125"/>
      <c r="N125" s="45"/>
      <c r="O125"/>
      <c r="P125"/>
      <c r="Q125"/>
      <c r="R125" s="45"/>
      <c r="S125"/>
      <c r="T125"/>
      <c r="U125"/>
      <c r="V125" s="45"/>
      <c r="W125"/>
      <c r="X125"/>
      <c r="Y125" s="16"/>
    </row>
    <row r="126" spans="1:25">
      <c r="A126" s="2">
        <f>MAX($A$9:A125)+1</f>
        <v>118</v>
      </c>
      <c r="B126" s="531">
        <v>663</v>
      </c>
      <c r="C126" s="325"/>
      <c r="D126" s="43"/>
      <c r="F126"/>
      <c r="H126"/>
      <c r="I126"/>
      <c r="K126"/>
      <c r="L126"/>
      <c r="M126"/>
      <c r="O126"/>
      <c r="P126"/>
      <c r="Q126"/>
      <c r="S126"/>
      <c r="T126"/>
      <c r="U126"/>
      <c r="W126"/>
      <c r="X126"/>
      <c r="Y126" s="16"/>
    </row>
    <row r="127" spans="1:25">
      <c r="A127" s="2">
        <f>MAX($A$9:A126)+1</f>
        <v>119</v>
      </c>
      <c r="B127" t="s">
        <v>140</v>
      </c>
      <c r="C127" s="325"/>
      <c r="D127" s="43"/>
      <c r="F127"/>
      <c r="H127"/>
      <c r="I127"/>
      <c r="K127"/>
      <c r="L127"/>
      <c r="M127"/>
      <c r="O127"/>
      <c r="P127"/>
      <c r="Q127"/>
      <c r="S127"/>
      <c r="T127"/>
      <c r="U127"/>
      <c r="W127"/>
      <c r="X127"/>
      <c r="Y127" s="16"/>
    </row>
    <row r="128" spans="1:25">
      <c r="A128" s="2">
        <f>MAX($A$9:A127)+1</f>
        <v>120</v>
      </c>
      <c r="B128" s="520" t="s">
        <v>141</v>
      </c>
      <c r="C128" s="532">
        <f>'Customer Counts'!O18</f>
        <v>2325</v>
      </c>
      <c r="D128" s="612">
        <f>SUMIFS('Monthly Billed Revenues'!S:S,'Monthly Billed Revenues'!B:B,"*"&amp;$B$126&amp;"*",'Monthly Billed Revenues'!E:E,"*"&amp;B128&amp;"*")</f>
        <v>1439375</v>
      </c>
      <c r="E128" s="614"/>
      <c r="F128"/>
      <c r="G128" s="614"/>
      <c r="H128" s="551">
        <v>625</v>
      </c>
      <c r="I128" s="612">
        <f t="shared" ref="I128:I134" si="10">(C128*H128)-D128</f>
        <v>13750</v>
      </c>
      <c r="J128" s="614"/>
      <c r="K128" s="532"/>
      <c r="L128" s="551"/>
      <c r="M128" s="612"/>
      <c r="N128" s="614"/>
      <c r="O128" s="532">
        <f>'EOP Calculations'!Q72-C128</f>
        <v>-9</v>
      </c>
      <c r="P128" s="551">
        <f t="shared" ref="P128:P134" si="11">H128</f>
        <v>625</v>
      </c>
      <c r="Q128" s="612">
        <f t="shared" ref="Q128:Q134" si="12">O128*P128</f>
        <v>-5625</v>
      </c>
      <c r="R128" s="614"/>
      <c r="S128" s="532"/>
      <c r="T128" s="551"/>
      <c r="U128" s="612"/>
      <c r="V128" s="614"/>
      <c r="W128" s="532">
        <f>C128+O128</f>
        <v>2316</v>
      </c>
      <c r="X128" s="612">
        <f t="shared" ref="X128:X134" si="13">D128+F128+I128+M128+Q128+U128</f>
        <v>1447500</v>
      </c>
      <c r="Y128" s="16"/>
    </row>
    <row r="129" spans="1:25">
      <c r="A129" s="2">
        <f>MAX($A$9:A128)+1</f>
        <v>121</v>
      </c>
      <c r="B129" t="s">
        <v>172</v>
      </c>
      <c r="C129" s="532">
        <f>D129/H129</f>
        <v>41949080</v>
      </c>
      <c r="D129" s="532">
        <f>SUMIFS('Monthly Billed Revenues'!S:S,'Monthly Billed Revenues'!B:B,"*"&amp;$B$126&amp;"*",'Monthly Billed Revenues'!E:E,"*"&amp;B129&amp;"*")</f>
        <v>8389816</v>
      </c>
      <c r="E129" s="614"/>
      <c r="F129"/>
      <c r="G129" s="614"/>
      <c r="H129" s="625">
        <v>0.2</v>
      </c>
      <c r="I129" s="522">
        <f t="shared" si="10"/>
        <v>0</v>
      </c>
      <c r="J129" s="614"/>
      <c r="K129" s="532"/>
      <c r="L129" s="551"/>
      <c r="M129" s="612"/>
      <c r="N129" s="614"/>
      <c r="O129" s="532">
        <f>('663 EOP Contract Demand'!C202*12)-C129</f>
        <v>417880</v>
      </c>
      <c r="P129">
        <f t="shared" si="11"/>
        <v>0.2</v>
      </c>
      <c r="Q129" s="532">
        <f t="shared" si="12"/>
        <v>83576</v>
      </c>
      <c r="R129" s="614"/>
      <c r="S129" s="532"/>
      <c r="T129" s="551"/>
      <c r="U129" s="612"/>
      <c r="V129" s="614"/>
      <c r="W129" s="532">
        <f>C129+O129</f>
        <v>42366960</v>
      </c>
      <c r="X129" s="532">
        <f t="shared" si="13"/>
        <v>8473392</v>
      </c>
      <c r="Y129" s="16"/>
    </row>
    <row r="130" spans="1:25">
      <c r="A130" s="2">
        <f>MAX($A$9:A129)+1</f>
        <v>122</v>
      </c>
      <c r="B130" t="s">
        <v>173</v>
      </c>
      <c r="C130" s="532">
        <f>SUM(C131:C134)</f>
        <v>857750139</v>
      </c>
      <c r="D130" s="532">
        <f>SUMIFS('Monthly Billed Revenues'!S:S,'Monthly Billed Revenues'!B:B,"*"&amp;$B$126&amp;"*",'Monthly Billed Revenues'!E:E,"*"&amp;B130&amp;"*")+SUMIFS('Monthly Billed Revenues'!S:S,'Monthly Billed Revenues'!B:B,"*"&amp;$B$126&amp;"*",'Monthly Billed Revenues'!D:D,"Dispatch Charge - Revadj")</f>
        <v>343099.98</v>
      </c>
      <c r="E130" s="614"/>
      <c r="F130"/>
      <c r="G130" s="614"/>
      <c r="H130" s="625">
        <v>4.0000000000000002E-4</v>
      </c>
      <c r="I130" s="522">
        <f t="shared" si="10"/>
        <v>7.5600000040140003E-2</v>
      </c>
      <c r="J130" s="614"/>
      <c r="K130" s="532"/>
      <c r="L130" s="551"/>
      <c r="M130" s="612"/>
      <c r="N130" s="614"/>
      <c r="O130" s="532">
        <f>SUM(O131:O134)</f>
        <v>-2809068.7888737097</v>
      </c>
      <c r="P130">
        <f t="shared" si="11"/>
        <v>4.0000000000000002E-4</v>
      </c>
      <c r="Q130" s="532">
        <f t="shared" si="12"/>
        <v>-1123.6275155494839</v>
      </c>
      <c r="R130" s="614"/>
      <c r="S130" s="532"/>
      <c r="T130" s="551"/>
      <c r="U130" s="612"/>
      <c r="V130" s="614"/>
      <c r="W130" s="532">
        <f>C130+O130</f>
        <v>854941070.21112633</v>
      </c>
      <c r="X130" s="532">
        <f t="shared" si="13"/>
        <v>341976.42808445054</v>
      </c>
      <c r="Y130" s="16"/>
    </row>
    <row r="131" spans="1:25">
      <c r="A131" s="2">
        <f>MAX($A$9:A130)+1</f>
        <v>123</v>
      </c>
      <c r="B131" t="s">
        <v>174</v>
      </c>
      <c r="C131" s="532">
        <f>SUM('Block Therms Support'!D66:D77,'Block Therms Support'!D80:D91)</f>
        <v>101046525</v>
      </c>
      <c r="D131" s="532">
        <f>SUMIFS('Monthly Billed Revenues'!S:S,'Monthly Billed Revenues'!B:B,"*"&amp;$B$126&amp;"*",'Monthly Billed Revenues'!E:E,"*"&amp;B131&amp;"*")+SUMIFS('Monthly Billed Revenues'!S:S,'Monthly Billed Revenues'!B:B,"*"&amp;$B$126&amp;"*",'Monthly Billed Revenues'!D:D,"Margin - Revadj")</f>
        <v>6553164.5099999998</v>
      </c>
      <c r="E131" s="614"/>
      <c r="F131"/>
      <c r="G131" s="614"/>
      <c r="H131">
        <v>6.4630000000000007E-2</v>
      </c>
      <c r="I131" s="522">
        <f t="shared" si="10"/>
        <v>-22527.599249999039</v>
      </c>
      <c r="J131" s="614"/>
      <c r="K131" s="532"/>
      <c r="L131"/>
      <c r="M131" s="532"/>
      <c r="N131" s="614"/>
      <c r="O131" s="532">
        <f>'EOP Calculations'!P72-C131</f>
        <v>-378787.77886088192</v>
      </c>
      <c r="P131">
        <f t="shared" si="11"/>
        <v>6.4630000000000007E-2</v>
      </c>
      <c r="Q131" s="532">
        <f t="shared" si="12"/>
        <v>-24481.054147778803</v>
      </c>
      <c r="R131" s="614"/>
      <c r="S131" s="532">
        <f>C131+O131</f>
        <v>100667737.22113912</v>
      </c>
      <c r="T131" s="552">
        <v>1.39E-3</v>
      </c>
      <c r="U131" s="532">
        <f>S131*T131</f>
        <v>139928.15473738336</v>
      </c>
      <c r="V131" s="614"/>
      <c r="W131" s="532">
        <f>C131+K131+O131</f>
        <v>100667737.22113912</v>
      </c>
      <c r="X131" s="532">
        <f t="shared" si="13"/>
        <v>6646084.0113396049</v>
      </c>
      <c r="Y131" s="16"/>
    </row>
    <row r="132" spans="1:25">
      <c r="A132" s="2">
        <f>MAX($A$9:A131)+1</f>
        <v>124</v>
      </c>
      <c r="B132" t="s">
        <v>175</v>
      </c>
      <c r="C132" s="532">
        <f>SUM('Block Therms Support'!E66:E77,'Block Therms Support'!E80:E91)</f>
        <v>72331672</v>
      </c>
      <c r="D132" s="532">
        <f>SUMIFS('Monthly Billed Revenues'!S:S,'Monthly Billed Revenues'!B:B,"*"&amp;$B$126&amp;"*",'Monthly Billed Revenues'!E:E,"*"&amp;B132&amp;"*",'Monthly Billed Revenues'!C:C,50)+SUMIFS('Monthly Billed Revenues'!S:S,'Monthly Billed Revenues'!B:B,"*"&amp;$B$126&amp;"*",'Monthly Billed Revenues'!E:E,"*"&amp;B132&amp;"*",'Monthly Billed Revenues'!C:C,60)</f>
        <v>1844929.17</v>
      </c>
      <c r="E132" s="614"/>
      <c r="F132"/>
      <c r="G132" s="614"/>
      <c r="H132">
        <v>2.5420000000000002E-2</v>
      </c>
      <c r="I132" s="522">
        <f t="shared" si="10"/>
        <v>-6258.0677599997725</v>
      </c>
      <c r="J132" s="614"/>
      <c r="K132" s="532"/>
      <c r="L132"/>
      <c r="M132" s="532"/>
      <c r="N132" s="614"/>
      <c r="O132" s="532">
        <f>'EOP Calculations'!P73-C132</f>
        <v>-263942.55524758995</v>
      </c>
      <c r="P132">
        <f t="shared" si="11"/>
        <v>2.5420000000000002E-2</v>
      </c>
      <c r="Q132" s="532">
        <f t="shared" si="12"/>
        <v>-6709.4197543937371</v>
      </c>
      <c r="R132" s="614"/>
      <c r="S132" s="532">
        <f>C132+O132</f>
        <v>72067729.44475241</v>
      </c>
      <c r="T132" s="552">
        <v>1.39E-3</v>
      </c>
      <c r="U132" s="532">
        <f>S132*T132</f>
        <v>100174.14392820584</v>
      </c>
      <c r="V132" s="614"/>
      <c r="W132" s="532">
        <f>C132+K132+O132</f>
        <v>72067729.44475241</v>
      </c>
      <c r="X132" s="532">
        <f t="shared" si="13"/>
        <v>1932135.8264138123</v>
      </c>
      <c r="Y132" s="16"/>
    </row>
    <row r="133" spans="1:25">
      <c r="A133" s="2">
        <f>MAX($A$9:A132)+1</f>
        <v>125</v>
      </c>
      <c r="B133" t="s">
        <v>175</v>
      </c>
      <c r="C133" s="532">
        <f>SUM('Block Therms Support'!F66:F77,'Block Therms Support'!F80:F91)</f>
        <v>37333928</v>
      </c>
      <c r="D133" s="532">
        <f>SUMIFS('Monthly Billed Revenues'!S:S,'Monthly Billed Revenues'!B:B,"*"&amp;$B$126&amp;"*",'Monthly Billed Revenues'!E:E,"*"&amp;B133&amp;"*",'Monthly Billed Revenues'!C:C,70)</f>
        <v>621767.77</v>
      </c>
      <c r="E133" s="614"/>
      <c r="F133"/>
      <c r="G133" s="614"/>
      <c r="H133" s="625">
        <v>1.6590000000000001E-2</v>
      </c>
      <c r="I133" s="522">
        <f t="shared" si="10"/>
        <v>-2397.9044800000265</v>
      </c>
      <c r="J133" s="614"/>
      <c r="K133" s="532"/>
      <c r="L133"/>
      <c r="M133" s="532"/>
      <c r="N133" s="614"/>
      <c r="O133" s="532">
        <f>'EOP Calculations'!P74-C133</f>
        <v>-152016.7145146504</v>
      </c>
      <c r="P133" s="625">
        <f t="shared" si="11"/>
        <v>1.6590000000000001E-2</v>
      </c>
      <c r="Q133" s="532">
        <f t="shared" si="12"/>
        <v>-2521.9572937980502</v>
      </c>
      <c r="R133" s="614"/>
      <c r="S133" s="532">
        <f>C133+O133</f>
        <v>37181911.28548535</v>
      </c>
      <c r="T133" s="552">
        <v>1.39E-3</v>
      </c>
      <c r="U133" s="532">
        <f>S133*T133</f>
        <v>51682.856686824634</v>
      </c>
      <c r="V133" s="614"/>
      <c r="W133" s="532">
        <f>C133+K133+O133</f>
        <v>37181911.28548535</v>
      </c>
      <c r="X133" s="532">
        <f t="shared" si="13"/>
        <v>668530.76491302648</v>
      </c>
      <c r="Y133" s="16"/>
    </row>
    <row r="134" spans="1:25">
      <c r="A134" s="2">
        <f>MAX($A$9:A133)+1</f>
        <v>126</v>
      </c>
      <c r="B134" t="s">
        <v>176</v>
      </c>
      <c r="C134" s="532">
        <f>SUM('Block Therms Support'!G66:G77,'Block Therms Support'!G80:G91)</f>
        <v>647038014</v>
      </c>
      <c r="D134" s="532">
        <f>SUMIFS('Monthly Billed Revenues'!S:S,'Monthly Billed Revenues'!B:B,"*"&amp;$B$126&amp;"*",'Monthly Billed Revenues'!E:E,"*"&amp;B134&amp;"*")</f>
        <v>6107225.4399999995</v>
      </c>
      <c r="E134" s="614"/>
      <c r="F134"/>
      <c r="G134" s="614"/>
      <c r="H134" s="625">
        <v>9.41E-3</v>
      </c>
      <c r="I134" s="522">
        <f t="shared" si="10"/>
        <v>-18597.728259999305</v>
      </c>
      <c r="J134" s="614"/>
      <c r="K134" s="532"/>
      <c r="L134"/>
      <c r="M134" s="532"/>
      <c r="N134" s="614"/>
      <c r="O134" s="532">
        <f>'EOP Calculations'!P75-C134</f>
        <v>-2014321.7402505875</v>
      </c>
      <c r="P134" s="625">
        <f t="shared" si="11"/>
        <v>9.41E-3</v>
      </c>
      <c r="Q134" s="532">
        <f t="shared" si="12"/>
        <v>-18954.767575758029</v>
      </c>
      <c r="R134" s="614"/>
      <c r="S134" s="532">
        <f>C134+O134</f>
        <v>645023692.25974941</v>
      </c>
      <c r="T134" s="552">
        <v>1.39E-3</v>
      </c>
      <c r="U134" s="532">
        <f>S134*T134</f>
        <v>896582.93224105169</v>
      </c>
      <c r="V134" s="614"/>
      <c r="W134" s="532">
        <f>C134+K134+O134</f>
        <v>645023692.25974941</v>
      </c>
      <c r="X134" s="532">
        <f t="shared" si="13"/>
        <v>6966255.8764052941</v>
      </c>
      <c r="Y134" s="16"/>
    </row>
    <row r="135" spans="1:25">
      <c r="A135" s="2">
        <f>MAX($A$9:A134)+1</f>
        <v>127</v>
      </c>
      <c r="B135"/>
      <c r="C135" s="532"/>
      <c r="D135" s="532"/>
      <c r="E135" s="614"/>
      <c r="F135"/>
      <c r="G135" s="614"/>
      <c r="H135"/>
      <c r="I135"/>
      <c r="J135" s="614"/>
      <c r="K135"/>
      <c r="L135"/>
      <c r="M135"/>
      <c r="N135" s="614"/>
      <c r="O135"/>
      <c r="P135"/>
      <c r="Q135"/>
      <c r="R135" s="614"/>
      <c r="T135"/>
      <c r="U135"/>
      <c r="V135" s="614"/>
      <c r="W135"/>
      <c r="X135"/>
      <c r="Y135" s="16"/>
    </row>
    <row r="136" spans="1:25">
      <c r="A136" s="2">
        <f>MAX($A$9:A135)+1</f>
        <v>128</v>
      </c>
      <c r="B136" t="s">
        <v>143</v>
      </c>
      <c r="C136" s="532"/>
      <c r="D136" s="532"/>
      <c r="E136" s="614"/>
      <c r="F136"/>
      <c r="G136" s="614"/>
      <c r="H136"/>
      <c r="I136" s="549"/>
      <c r="J136" s="614"/>
      <c r="K136"/>
      <c r="L136"/>
      <c r="M136" s="549"/>
      <c r="N136" s="614"/>
      <c r="O136"/>
      <c r="P136"/>
      <c r="Q136" s="549"/>
      <c r="R136" s="614"/>
      <c r="S136"/>
      <c r="T136"/>
      <c r="U136" s="549"/>
      <c r="V136" s="614"/>
      <c r="W136"/>
      <c r="X136" s="549"/>
      <c r="Y136" s="16"/>
    </row>
    <row r="137" spans="1:25">
      <c r="A137" s="2">
        <f>MAX($A$9:A136)+1</f>
        <v>129</v>
      </c>
      <c r="B137" t="s">
        <v>146</v>
      </c>
      <c r="C137" s="532"/>
      <c r="D137" s="548">
        <f>SUMIFS('Monthly Billed Revenues'!S:S,'Monthly Billed Revenues'!B:B,"*"&amp;$B$126&amp;"*",'Monthly Billed Revenues'!E:E,"*"&amp;B137&amp;"*")+SUMIFS('Monthly Billed Revenues'!S:S,'Monthly Billed Revenues'!B:B,"*"&amp;$B$126&amp;"*",'Monthly Billed Revenues'!D:D,"WEAF - Revadj")</f>
        <v>463945.04</v>
      </c>
      <c r="E137" s="614"/>
      <c r="F137" s="522">
        <f>-D137</f>
        <v>-463945.04</v>
      </c>
      <c r="G137" s="614"/>
      <c r="H137"/>
      <c r="I137"/>
      <c r="J137" s="614"/>
      <c r="K137"/>
      <c r="L137"/>
      <c r="M137"/>
      <c r="N137" s="614"/>
      <c r="O137"/>
      <c r="P137"/>
      <c r="Q137"/>
      <c r="R137" s="614"/>
      <c r="S137"/>
      <c r="T137"/>
      <c r="U137"/>
      <c r="V137" s="614"/>
      <c r="W137"/>
      <c r="X137" s="532">
        <f t="shared" ref="X137:X147" si="14">D137+F137+I137+M137+Q137+U137</f>
        <v>0</v>
      </c>
      <c r="Y137" s="16"/>
    </row>
    <row r="138" spans="1:25">
      <c r="A138" s="2">
        <f>MAX($A$9:A137)+1</f>
        <v>130</v>
      </c>
      <c r="B138" t="s">
        <v>147</v>
      </c>
      <c r="C138" s="532"/>
      <c r="D138" s="548">
        <f>SUMIFS('Monthly Billed Revenues'!S:S,'Monthly Billed Revenues'!B:B,"*"&amp;$B$126&amp;"*",'Monthly Billed Revenues'!E:E,"*"&amp;B138&amp;"*")+SUMIFS('Monthly Billed Revenues'!S:S,'Monthly Billed Revenues'!B:B,"*"&amp;$B$126&amp;"*",'Monthly Billed Revenues'!D:D,"Repl Pipe Cost - Revadj")</f>
        <v>731774.1100000001</v>
      </c>
      <c r="E138" s="614"/>
      <c r="G138" s="614"/>
      <c r="H138"/>
      <c r="I138"/>
      <c r="J138" s="614"/>
      <c r="K138"/>
      <c r="L138"/>
      <c r="M138"/>
      <c r="N138" s="614"/>
      <c r="O138"/>
      <c r="P138"/>
      <c r="Q138"/>
      <c r="R138" s="614"/>
      <c r="S138" s="532"/>
      <c r="T138" s="552"/>
      <c r="U138" s="522">
        <f>-D138</f>
        <v>-731774.1100000001</v>
      </c>
      <c r="V138" s="614"/>
      <c r="W138"/>
      <c r="X138" s="532">
        <f t="shared" si="14"/>
        <v>0</v>
      </c>
      <c r="Y138" s="16"/>
    </row>
    <row r="139" spans="1:25">
      <c r="A139" s="2">
        <f>MAX($A$9:A138)+1</f>
        <v>131</v>
      </c>
      <c r="B139" t="s">
        <v>150</v>
      </c>
      <c r="C139" s="532"/>
      <c r="D139" s="548">
        <f>SUMIFS('Monthly Billed Revenues'!S:S,'Monthly Billed Revenues'!B:B,"*"&amp;$B$126&amp;"*",'Monthly Billed Revenues'!E:E,"*"&amp;B139&amp;"*")+SUMIFS('Monthly Billed Revenues'!S:S,'Monthly Billed Revenues'!B:B,"*"&amp;$B$126&amp;"*",'Monthly Billed Revenues'!D:D,"Protected EDIT - Revadj")</f>
        <v>-86569.42</v>
      </c>
      <c r="E139" s="614"/>
      <c r="F139" s="522">
        <f>-D139</f>
        <v>86569.42</v>
      </c>
      <c r="G139" s="614"/>
      <c r="H139"/>
      <c r="I139"/>
      <c r="J139" s="614"/>
      <c r="K139"/>
      <c r="L139"/>
      <c r="M139"/>
      <c r="N139" s="614"/>
      <c r="O139"/>
      <c r="P139"/>
      <c r="Q139"/>
      <c r="R139" s="614"/>
      <c r="S139"/>
      <c r="T139"/>
      <c r="U139"/>
      <c r="V139" s="614"/>
      <c r="W139"/>
      <c r="X139" s="532">
        <f t="shared" si="14"/>
        <v>0</v>
      </c>
      <c r="Y139" s="16"/>
    </row>
    <row r="140" spans="1:25">
      <c r="A140" s="2">
        <f>MAX($A$9:A139)+1</f>
        <v>132</v>
      </c>
      <c r="B140" t="s">
        <v>151</v>
      </c>
      <c r="C140" s="532"/>
      <c r="D140" s="548">
        <f>SUMIFS('Monthly Billed Revenues'!S:S,'Monthly Billed Revenues'!B:B,"*"&amp;$B$126&amp;"*",'Monthly Billed Revenues'!E:E,"*"&amp;B140&amp;"*")+SUMIFS('Monthly Billed Revenues'!S:S,'Monthly Billed Revenues'!B:B,"*"&amp;$B$126&amp;"*",'Monthly Billed Revenues'!D:D,"Unprotected EDIT - Revadj")</f>
        <v>-219606.21</v>
      </c>
      <c r="E140" s="613"/>
      <c r="F140" s="522">
        <f>-D140</f>
        <v>219606.21</v>
      </c>
      <c r="G140" s="613"/>
      <c r="H140"/>
      <c r="I140"/>
      <c r="J140" s="613"/>
      <c r="K140"/>
      <c r="L140"/>
      <c r="M140"/>
      <c r="N140" s="613"/>
      <c r="O140"/>
      <c r="P140"/>
      <c r="Q140"/>
      <c r="R140" s="613"/>
      <c r="S140"/>
      <c r="T140"/>
      <c r="U140"/>
      <c r="V140" s="613"/>
      <c r="W140"/>
      <c r="X140" s="532">
        <f t="shared" si="14"/>
        <v>0</v>
      </c>
      <c r="Y140" s="16"/>
    </row>
    <row r="141" spans="1:25">
      <c r="A141" s="2">
        <f>MAX($A$9:A140)+1</f>
        <v>133</v>
      </c>
      <c r="B141" t="s">
        <v>177</v>
      </c>
      <c r="C141" s="532"/>
      <c r="D141" s="548">
        <f>SUMIFS('Monthly Billed Revenues'!S:S,'Monthly Billed Revenues'!B:B,"*"&amp;$B$126&amp;"*",'Monthly Billed Revenues'!E:E,"*"&amp;B141&amp;"*")</f>
        <v>22500</v>
      </c>
      <c r="E141" s="613"/>
      <c r="F141" s="522"/>
      <c r="G141" s="613"/>
      <c r="H141"/>
      <c r="I141"/>
      <c r="J141" s="613"/>
      <c r="K141"/>
      <c r="L141"/>
      <c r="M141"/>
      <c r="N141" s="613"/>
      <c r="O141"/>
      <c r="P141"/>
      <c r="Q141"/>
      <c r="R141" s="613"/>
      <c r="S141"/>
      <c r="T141"/>
      <c r="U141"/>
      <c r="V141" s="613"/>
      <c r="W141"/>
      <c r="X141" s="532">
        <f t="shared" si="14"/>
        <v>22500</v>
      </c>
      <c r="Y141" s="16"/>
    </row>
    <row r="142" spans="1:25">
      <c r="A142" s="2">
        <f>MAX($A$9:A141)+1</f>
        <v>134</v>
      </c>
      <c r="B142" t="s">
        <v>152</v>
      </c>
      <c r="C142" s="532"/>
      <c r="D142" s="548">
        <f>SUMIFS('Monthly Billed Revenues'!S:S,'Monthly Billed Revenues'!B:B,"*"&amp;$B$126&amp;"*",'Monthly Billed Revenues'!E:E,"*"&amp;B142&amp;"*")+SUMIFS('Monthly Billed Revenues'!S:S,'Monthly Billed Revenues'!B:B,"*"&amp;$B$126&amp;"*",'Monthly Billed Revenues'!D:D,"City Tax - Revadj")</f>
        <v>508630.55</v>
      </c>
      <c r="F142" s="522"/>
      <c r="H142"/>
      <c r="I142"/>
      <c r="K142"/>
      <c r="L142"/>
      <c r="M142"/>
      <c r="O142"/>
      <c r="P142"/>
      <c r="Q142"/>
      <c r="S142"/>
      <c r="T142"/>
      <c r="U142"/>
      <c r="W142"/>
      <c r="X142" s="532">
        <f t="shared" si="14"/>
        <v>508630.55</v>
      </c>
      <c r="Y142" s="16"/>
    </row>
    <row r="143" spans="1:25">
      <c r="A143" s="2">
        <f>MAX($A$9:A142)+1</f>
        <v>135</v>
      </c>
      <c r="B143" t="s">
        <v>153</v>
      </c>
      <c r="C143" s="532"/>
      <c r="D143" s="548">
        <f>SUMIFS('Monthly Billed Revenues'!S:S,'Monthly Billed Revenues'!B:B,"*"&amp;$B$126&amp;"*",'Monthly Billed Revenues'!E:E,"*"&amp;B143&amp;"*")</f>
        <v>-5833.54</v>
      </c>
      <c r="E143" s="544"/>
      <c r="F143" s="522"/>
      <c r="G143" s="544"/>
      <c r="H143"/>
      <c r="I143"/>
      <c r="J143" s="544"/>
      <c r="K143"/>
      <c r="L143"/>
      <c r="M143"/>
      <c r="N143" s="544"/>
      <c r="O143"/>
      <c r="P143"/>
      <c r="Q143"/>
      <c r="R143" s="544"/>
      <c r="S143"/>
      <c r="T143"/>
      <c r="U143"/>
      <c r="V143" s="544"/>
      <c r="W143"/>
      <c r="X143" s="532">
        <f t="shared" si="14"/>
        <v>-5833.54</v>
      </c>
      <c r="Y143" s="16"/>
    </row>
    <row r="144" spans="1:25">
      <c r="A144" s="2">
        <f>MAX($A$9:A143)+1</f>
        <v>136</v>
      </c>
      <c r="B144" t="s">
        <v>154</v>
      </c>
      <c r="C144" s="532"/>
      <c r="D144" s="548">
        <f>SUMIFS('Monthly Billed Revenues'!S:S,'Monthly Billed Revenues'!B:B,"*"&amp;$B$126&amp;"*",'Monthly Billed Revenues'!E:E,"*"&amp;B144&amp;"*")</f>
        <v>11594.809999999998</v>
      </c>
      <c r="E144" s="544"/>
      <c r="F144" s="522"/>
      <c r="G144" s="544"/>
      <c r="H144"/>
      <c r="I144"/>
      <c r="J144" s="544"/>
      <c r="K144"/>
      <c r="L144"/>
      <c r="M144"/>
      <c r="N144" s="544"/>
      <c r="O144"/>
      <c r="P144"/>
      <c r="Q144"/>
      <c r="R144" s="544"/>
      <c r="S144"/>
      <c r="T144"/>
      <c r="U144"/>
      <c r="V144" s="544"/>
      <c r="W144"/>
      <c r="X144" s="532">
        <f t="shared" si="14"/>
        <v>11594.809999999998</v>
      </c>
      <c r="Y144" s="16"/>
    </row>
    <row r="145" spans="1:25">
      <c r="A145" s="2">
        <f>MAX($A$9:A144)+1</f>
        <v>137</v>
      </c>
      <c r="B145" t="s">
        <v>178</v>
      </c>
      <c r="C145" s="548"/>
      <c r="D145" s="548">
        <f>SUMIFS('Monthly Billed Revenues'!S:S,'Monthly Billed Revenues'!B:B,"*"&amp;$B$126&amp;"*",'Monthly Billed Revenues'!E:E,"*"&amp;B145&amp;"*")</f>
        <v>1131463.4100000001</v>
      </c>
      <c r="E145" s="544"/>
      <c r="F145" s="522"/>
      <c r="G145" s="544"/>
      <c r="H145"/>
      <c r="I145"/>
      <c r="J145" s="544"/>
      <c r="K145"/>
      <c r="L145"/>
      <c r="M145"/>
      <c r="N145" s="544"/>
      <c r="O145"/>
      <c r="P145"/>
      <c r="Q145"/>
      <c r="R145" s="544"/>
      <c r="S145"/>
      <c r="T145"/>
      <c r="U145"/>
      <c r="V145" s="544"/>
      <c r="W145"/>
      <c r="X145" s="532">
        <f t="shared" si="14"/>
        <v>1131463.4100000001</v>
      </c>
      <c r="Y145" s="16"/>
    </row>
    <row r="146" spans="1:25">
      <c r="A146" s="2">
        <f>MAX($A$9:A145)+1</f>
        <v>138</v>
      </c>
      <c r="B146" t="s">
        <v>157</v>
      </c>
      <c r="C146"/>
      <c r="D146" s="548">
        <f>-'WEAF &amp; Decoupling Rev Adj'!D29</f>
        <v>-440300.43000000005</v>
      </c>
      <c r="E146" s="544"/>
      <c r="F146" s="522">
        <f>-D146</f>
        <v>440300.43000000005</v>
      </c>
      <c r="G146" s="544"/>
      <c r="H146"/>
      <c r="I146"/>
      <c r="J146" s="544"/>
      <c r="K146"/>
      <c r="L146"/>
      <c r="M146"/>
      <c r="N146" s="544"/>
      <c r="O146"/>
      <c r="P146"/>
      <c r="Q146"/>
      <c r="R146" s="544"/>
      <c r="S146"/>
      <c r="T146"/>
      <c r="U146"/>
      <c r="V146" s="544"/>
      <c r="W146"/>
      <c r="X146" s="532">
        <f t="shared" si="14"/>
        <v>0</v>
      </c>
      <c r="Y146" s="16"/>
    </row>
    <row r="147" spans="1:25">
      <c r="A147" s="2">
        <f>MAX($A$9:A146)+1</f>
        <v>139</v>
      </c>
      <c r="B147" t="s">
        <v>179</v>
      </c>
      <c r="C147"/>
      <c r="D147" s="615">
        <f>SUMIFS('Monthly Billed Revenues'!S:S,'Monthly Billed Revenues'!B:B,"*"&amp;$B$126&amp;"*",'Monthly Billed Revenues'!D:D,"- Revadj")+78964.88</f>
        <v>78519.02</v>
      </c>
      <c r="E147" s="544"/>
      <c r="F147" s="616"/>
      <c r="G147" s="544"/>
      <c r="H147"/>
      <c r="I147" s="616">
        <f>-D147</f>
        <v>-78519.02</v>
      </c>
      <c r="J147" s="544"/>
      <c r="K147"/>
      <c r="L147"/>
      <c r="M147" s="481"/>
      <c r="N147" s="544"/>
      <c r="O147"/>
      <c r="P147"/>
      <c r="Q147" s="481"/>
      <c r="R147" s="544"/>
      <c r="S147"/>
      <c r="T147"/>
      <c r="U147" s="481"/>
      <c r="V147" s="544"/>
      <c r="W147"/>
      <c r="X147" s="615">
        <f t="shared" si="14"/>
        <v>0</v>
      </c>
      <c r="Y147" s="16"/>
    </row>
    <row r="148" spans="1:25">
      <c r="A148" s="2">
        <f>MAX($A$9:A147)+1</f>
        <v>140</v>
      </c>
      <c r="B148" s="617" t="s">
        <v>180</v>
      </c>
      <c r="C148" s="618">
        <f>D148-('Rev Recon Summary'!Q149+'Rev Recon Summary'!Q269+'Rev Recon Summary'!Q289)</f>
        <v>0</v>
      </c>
      <c r="D148" s="290">
        <f>SUM(D128:D147)</f>
        <v>27495495.209999993</v>
      </c>
      <c r="E148" s="618"/>
      <c r="F148" s="620">
        <f>SUM(F128:F147)</f>
        <v>282531.02</v>
      </c>
      <c r="G148" s="618"/>
      <c r="H148" s="481"/>
      <c r="I148" s="621">
        <f>SUM(I128:I147)</f>
        <v>-114550.24414999811</v>
      </c>
      <c r="J148" s="618"/>
      <c r="K148" s="481"/>
      <c r="L148" s="481"/>
      <c r="M148" s="621">
        <f>SUM(M128:M147)</f>
        <v>0</v>
      </c>
      <c r="N148" s="618"/>
      <c r="O148" s="481"/>
      <c r="P148" s="481"/>
      <c r="Q148" s="621">
        <f>SUM(Q128:Q147)</f>
        <v>24160.173712721902</v>
      </c>
      <c r="R148" s="618"/>
      <c r="S148" s="481"/>
      <c r="T148" s="481"/>
      <c r="U148" s="621">
        <f>SUM(U128:U147)</f>
        <v>456593.97759346548</v>
      </c>
      <c r="V148" s="618"/>
      <c r="W148" s="481"/>
      <c r="X148" s="621">
        <f>SUM(X128:X147)</f>
        <v>28144230.137156188</v>
      </c>
      <c r="Y148" s="16"/>
    </row>
    <row r="149" spans="1:25">
      <c r="A149" s="2">
        <f>MAX($A$9:A148)+1</f>
        <v>141</v>
      </c>
      <c r="B149" s="10"/>
      <c r="C149" s="614"/>
      <c r="D149" s="324"/>
      <c r="E149" s="614"/>
      <c r="F149"/>
      <c r="G149" s="614"/>
      <c r="H149"/>
      <c r="I149"/>
      <c r="J149" s="614"/>
      <c r="K149"/>
      <c r="L149"/>
      <c r="M149"/>
      <c r="N149" s="614"/>
      <c r="O149"/>
      <c r="P149"/>
      <c r="Q149"/>
      <c r="R149" s="614"/>
      <c r="S149"/>
      <c r="T149"/>
      <c r="U149"/>
      <c r="V149" s="614"/>
      <c r="W149"/>
      <c r="X149"/>
      <c r="Y149" s="16"/>
    </row>
    <row r="150" spans="1:25">
      <c r="A150" s="2">
        <f>MAX($A$9:A149)+1</f>
        <v>142</v>
      </c>
      <c r="B150" s="531" t="s">
        <v>19</v>
      </c>
      <c r="C150"/>
      <c r="D150"/>
      <c r="E150" s="614"/>
      <c r="F150"/>
      <c r="G150" s="614"/>
      <c r="H150"/>
      <c r="I150"/>
      <c r="J150" s="614"/>
      <c r="K150"/>
      <c r="L150"/>
      <c r="M150"/>
      <c r="N150" s="614"/>
      <c r="O150"/>
      <c r="P150"/>
      <c r="Q150"/>
      <c r="R150" s="614"/>
      <c r="S150"/>
      <c r="T150"/>
      <c r="U150"/>
      <c r="V150" s="614"/>
      <c r="W150"/>
      <c r="X150"/>
      <c r="Y150" s="16"/>
    </row>
    <row r="151" spans="1:25">
      <c r="A151" s="2">
        <f>MAX($A$9:A150)+1</f>
        <v>143</v>
      </c>
      <c r="B151" t="s">
        <v>140</v>
      </c>
      <c r="C151"/>
      <c r="D151"/>
      <c r="E151" s="614"/>
      <c r="F151"/>
      <c r="G151" s="614"/>
      <c r="H151"/>
      <c r="I151"/>
      <c r="J151" s="614"/>
      <c r="K151"/>
      <c r="L151"/>
      <c r="M151"/>
      <c r="N151" s="614"/>
      <c r="O151"/>
      <c r="P151"/>
      <c r="Q151"/>
      <c r="R151" s="614"/>
      <c r="S151"/>
      <c r="T151"/>
      <c r="U151"/>
      <c r="V151" s="614"/>
      <c r="W151"/>
      <c r="X151"/>
      <c r="Y151" s="16"/>
    </row>
    <row r="152" spans="1:25">
      <c r="A152" s="2">
        <f>MAX($A$9:A151)+1</f>
        <v>144</v>
      </c>
      <c r="B152" t="s">
        <v>181</v>
      </c>
      <c r="C152">
        <f>'Customer Counts'!O19</f>
        <v>84</v>
      </c>
      <c r="D152" s="612">
        <f>SUMIF('Monthly Billed Revenues'!$E$279:$E$326,"*"&amp;B152&amp;"*",'Monthly Billed Revenues'!$S$279:$S$326)</f>
        <v>52500</v>
      </c>
      <c r="E152" s="614"/>
      <c r="F152"/>
      <c r="G152" s="614"/>
      <c r="H152"/>
      <c r="I152"/>
      <c r="J152" s="614"/>
      <c r="K152"/>
      <c r="L152"/>
      <c r="M152"/>
      <c r="N152" s="614"/>
      <c r="O152"/>
      <c r="P152"/>
      <c r="Q152"/>
      <c r="R152" s="614"/>
      <c r="S152"/>
      <c r="T152"/>
      <c r="U152"/>
      <c r="V152" s="614"/>
      <c r="W152">
        <f>C152</f>
        <v>84</v>
      </c>
      <c r="X152" s="612">
        <f t="shared" ref="X152:X162" si="15">D152+F152+I152+M152+Q152+U152</f>
        <v>52500</v>
      </c>
      <c r="Y152" s="16"/>
    </row>
    <row r="153" spans="1:25">
      <c r="A153" s="2">
        <f>MAX($A$9:A152)+1</f>
        <v>145</v>
      </c>
      <c r="B153" t="s">
        <v>172</v>
      </c>
      <c r="C153"/>
      <c r="D153" s="548">
        <f>SUMIF('Monthly Billed Revenues'!$E$279:$E$326,"*"&amp;B153&amp;"*",'Monthly Billed Revenues'!$S$279:$S$326)</f>
        <v>60000</v>
      </c>
      <c r="E153" s="614"/>
      <c r="F153"/>
      <c r="G153" s="614"/>
      <c r="H153"/>
      <c r="I153"/>
      <c r="J153" s="614"/>
      <c r="K153"/>
      <c r="L153"/>
      <c r="M153"/>
      <c r="N153" s="614"/>
      <c r="O153"/>
      <c r="P153"/>
      <c r="Q153"/>
      <c r="R153" s="614"/>
      <c r="S153"/>
      <c r="T153"/>
      <c r="U153"/>
      <c r="V153" s="614"/>
      <c r="W153"/>
      <c r="X153" s="532">
        <f t="shared" si="15"/>
        <v>60000</v>
      </c>
      <c r="Y153" s="16"/>
    </row>
    <row r="154" spans="1:25">
      <c r="A154" s="2">
        <f>MAX($A$9:A153)+1</f>
        <v>146</v>
      </c>
      <c r="B154" t="s">
        <v>182</v>
      </c>
      <c r="C154"/>
      <c r="D154" s="548">
        <f>SUMIF('Monthly Billed Revenues'!$E$279:$E$326,"*"&amp;B154&amp;"*",'Monthly Billed Revenues'!$S$279:$S$326)</f>
        <v>189764.52</v>
      </c>
      <c r="E154" s="614"/>
      <c r="F154"/>
      <c r="G154" s="614"/>
      <c r="H154"/>
      <c r="I154"/>
      <c r="J154" s="614"/>
      <c r="K154"/>
      <c r="L154"/>
      <c r="M154"/>
      <c r="N154" s="614"/>
      <c r="O154"/>
      <c r="P154"/>
      <c r="Q154"/>
      <c r="R154" s="614"/>
      <c r="S154"/>
      <c r="T154"/>
      <c r="U154"/>
      <c r="V154" s="614"/>
      <c r="W154"/>
      <c r="X154" s="532">
        <f t="shared" si="15"/>
        <v>189764.52</v>
      </c>
      <c r="Y154" s="16"/>
    </row>
    <row r="155" spans="1:25">
      <c r="A155" s="2">
        <f>MAX($A$9:A154)+1</f>
        <v>147</v>
      </c>
      <c r="B155" t="s">
        <v>183</v>
      </c>
      <c r="C155"/>
      <c r="D155" s="548">
        <f>SUMIF('Monthly Billed Revenues'!$E$279:$E$326,"*"&amp;B155&amp;"*",'Monthly Billed Revenues'!$S$279:$S$326)</f>
        <v>43112.800000000003</v>
      </c>
      <c r="E155" s="614"/>
      <c r="F155"/>
      <c r="G155" s="614"/>
      <c r="H155"/>
      <c r="I155"/>
      <c r="J155" s="614"/>
      <c r="K155"/>
      <c r="L155"/>
      <c r="M155"/>
      <c r="N155" s="614"/>
      <c r="O155"/>
      <c r="P155"/>
      <c r="Q155"/>
      <c r="R155" s="614"/>
      <c r="S155"/>
      <c r="T155"/>
      <c r="U155"/>
      <c r="V155" s="614"/>
      <c r="W155"/>
      <c r="X155" s="532">
        <f t="shared" si="15"/>
        <v>43112.800000000003</v>
      </c>
      <c r="Y155" s="16"/>
    </row>
    <row r="156" spans="1:25">
      <c r="A156" s="2">
        <f>MAX($A$9:A155)+1</f>
        <v>148</v>
      </c>
      <c r="B156" t="s">
        <v>184</v>
      </c>
      <c r="C156"/>
      <c r="D156" s="548">
        <f>SUMIF('Monthly Billed Revenues'!$E$279:$E$326,"*"&amp;B156&amp;"*",'Monthly Billed Revenues'!$S$279:$S$326)</f>
        <v>179100</v>
      </c>
      <c r="E156" s="614"/>
      <c r="F156"/>
      <c r="G156" s="614"/>
      <c r="H156"/>
      <c r="I156"/>
      <c r="J156" s="614"/>
      <c r="K156"/>
      <c r="L156"/>
      <c r="M156"/>
      <c r="N156" s="614"/>
      <c r="O156"/>
      <c r="P156"/>
      <c r="Q156"/>
      <c r="R156" s="614"/>
      <c r="S156"/>
      <c r="T156"/>
      <c r="U156"/>
      <c r="V156" s="614"/>
      <c r="W156"/>
      <c r="X156" s="532">
        <f t="shared" si="15"/>
        <v>179100</v>
      </c>
      <c r="Y156" s="16"/>
    </row>
    <row r="157" spans="1:25">
      <c r="A157" s="2">
        <f>MAX($A$9:A156)+1</f>
        <v>149</v>
      </c>
      <c r="B157" t="s">
        <v>173</v>
      </c>
      <c r="C157" s="532">
        <f>C158</f>
        <v>182556284</v>
      </c>
      <c r="D157" s="548">
        <f>SUMIF('Monthly Billed Revenues'!$E$279:$E$326,"*"&amp;B157&amp;"*",'Monthly Billed Revenues'!$S$279:$S$326)</f>
        <v>70257.900000000009</v>
      </c>
      <c r="E157" s="614"/>
      <c r="F157"/>
      <c r="G157" s="614"/>
      <c r="H157"/>
      <c r="I157"/>
      <c r="J157" s="614"/>
      <c r="K157"/>
      <c r="L157"/>
      <c r="M157"/>
      <c r="N157" s="614"/>
      <c r="O157"/>
      <c r="P157"/>
      <c r="Q157"/>
      <c r="R157" s="614"/>
      <c r="S157"/>
      <c r="T157"/>
      <c r="U157"/>
      <c r="V157" s="614"/>
      <c r="W157" s="522">
        <f>C157</f>
        <v>182556284</v>
      </c>
      <c r="X157" s="532">
        <f t="shared" si="15"/>
        <v>70257.900000000009</v>
      </c>
      <c r="Y157" s="16"/>
    </row>
    <row r="158" spans="1:25">
      <c r="A158" s="2">
        <f>MAX($A$9:A157)+1</f>
        <v>150</v>
      </c>
      <c r="B158" t="s">
        <v>185</v>
      </c>
      <c r="C158" s="532">
        <f>'Rev Recon Summary'!Q158+'Rev Recon Summary'!Q178+'Rev Recon Summary'!Q198+'Rev Recon Summary'!Q218+'Rev Recon Summary'!Q238+'Rev Recon Summary'!Q318+'Rev Recon Summary'!Q338</f>
        <v>182556284</v>
      </c>
      <c r="D158" s="548">
        <f>SUMIF('Monthly Billed Revenues'!$E$279:$E$326,"*"&amp;B158&amp;"*",'Monthly Billed Revenues'!$S$279:$S$326)</f>
        <v>2553267.1299999994</v>
      </c>
      <c r="E158" s="614"/>
      <c r="F158"/>
      <c r="G158" s="614"/>
      <c r="H158"/>
      <c r="I158"/>
      <c r="J158" s="614"/>
      <c r="K158"/>
      <c r="L158"/>
      <c r="M158"/>
      <c r="N158" s="614"/>
      <c r="O158"/>
      <c r="P158"/>
      <c r="Q158"/>
      <c r="R158" s="614"/>
      <c r="S158"/>
      <c r="T158"/>
      <c r="U158"/>
      <c r="V158" s="614"/>
      <c r="W158" s="522">
        <f>C158</f>
        <v>182556284</v>
      </c>
      <c r="X158" s="532">
        <f t="shared" si="15"/>
        <v>2553267.1299999994</v>
      </c>
      <c r="Y158" s="16"/>
    </row>
    <row r="159" spans="1:25">
      <c r="A159" s="2">
        <f>MAX($A$9:A158)+1</f>
        <v>151</v>
      </c>
      <c r="B159"/>
      <c r="C159"/>
      <c r="D159"/>
      <c r="E159" s="614"/>
      <c r="F159"/>
      <c r="G159" s="614"/>
      <c r="H159"/>
      <c r="I159"/>
      <c r="J159" s="614"/>
      <c r="K159"/>
      <c r="L159"/>
      <c r="M159"/>
      <c r="N159" s="614"/>
      <c r="O159"/>
      <c r="P159"/>
      <c r="Q159"/>
      <c r="R159" s="614"/>
      <c r="S159"/>
      <c r="T159"/>
      <c r="U159"/>
      <c r="V159" s="614"/>
      <c r="W159"/>
      <c r="X159" s="532"/>
      <c r="Y159" s="16"/>
    </row>
    <row r="160" spans="1:25">
      <c r="A160" s="2">
        <f>MAX($A$9:A159)+1</f>
        <v>152</v>
      </c>
      <c r="B160" t="s">
        <v>143</v>
      </c>
      <c r="C160"/>
      <c r="D160"/>
      <c r="E160" s="614"/>
      <c r="F160"/>
      <c r="G160" s="614"/>
      <c r="H160"/>
      <c r="I160"/>
      <c r="J160" s="614"/>
      <c r="K160"/>
      <c r="L160"/>
      <c r="M160"/>
      <c r="N160" s="614"/>
      <c r="O160"/>
      <c r="P160"/>
      <c r="Q160"/>
      <c r="R160" s="614"/>
      <c r="S160"/>
      <c r="T160"/>
      <c r="U160"/>
      <c r="V160" s="614"/>
      <c r="W160"/>
      <c r="X160" s="532"/>
      <c r="Y160" s="16"/>
    </row>
    <row r="161" spans="1:25">
      <c r="A161" s="2">
        <f>MAX($A$9:A160)+1</f>
        <v>153</v>
      </c>
      <c r="B161" t="s">
        <v>178</v>
      </c>
      <c r="C161"/>
      <c r="D161" s="548">
        <f>SUMIF('Monthly Billed Revenues'!$E$279:$E$326,"*"&amp;B161&amp;"*",'Monthly Billed Revenues'!$S$279:$S$326)</f>
        <v>139236.11000000002</v>
      </c>
      <c r="E161" s="614"/>
      <c r="F161"/>
      <c r="G161" s="614"/>
      <c r="H161"/>
      <c r="I161"/>
      <c r="J161" s="614"/>
      <c r="K161"/>
      <c r="L161"/>
      <c r="M161"/>
      <c r="N161" s="614"/>
      <c r="O161"/>
      <c r="P161"/>
      <c r="Q161"/>
      <c r="R161" s="614"/>
      <c r="S161"/>
      <c r="T161"/>
      <c r="U161"/>
      <c r="V161" s="614"/>
      <c r="W161"/>
      <c r="X161" s="532">
        <f t="shared" si="15"/>
        <v>139236.11000000002</v>
      </c>
      <c r="Y161" s="16"/>
    </row>
    <row r="162" spans="1:25">
      <c r="A162" s="2">
        <f>MAX($A$9:A161)+1</f>
        <v>154</v>
      </c>
      <c r="B162" t="s">
        <v>152</v>
      </c>
      <c r="C162"/>
      <c r="D162" s="615">
        <f>SUMIF('Monthly Billed Revenues'!$E$279:$E$326,"*"&amp;B162&amp;"*",'Monthly Billed Revenues'!$S$279:$S$326)</f>
        <v>109452.62</v>
      </c>
      <c r="E162" s="614"/>
      <c r="F162"/>
      <c r="G162" s="614"/>
      <c r="H162"/>
      <c r="I162"/>
      <c r="J162" s="614"/>
      <c r="K162"/>
      <c r="L162"/>
      <c r="M162"/>
      <c r="N162" s="614"/>
      <c r="O162"/>
      <c r="P162"/>
      <c r="Q162"/>
      <c r="R162" s="614"/>
      <c r="S162"/>
      <c r="T162"/>
      <c r="U162"/>
      <c r="V162" s="614"/>
      <c r="W162"/>
      <c r="X162" s="615">
        <f t="shared" si="15"/>
        <v>109452.62</v>
      </c>
      <c r="Y162" s="16"/>
    </row>
    <row r="163" spans="1:25">
      <c r="A163" s="2">
        <f>MAX($A$9:A162)+1</f>
        <v>155</v>
      </c>
      <c r="B163" t="s">
        <v>186</v>
      </c>
      <c r="C163" s="614">
        <f>D163-(SUM('Rev Recon Summary'!Q169,'Rev Recon Summary'!Q189,'Rev Recon Summary'!Q209,'Rev Recon Summary'!Q229,'Rev Recon Summary'!Q249,'Rev Recon Summary'!Q309,'Rev Recon Summary'!Q329,'Rev Recon Summary'!Q349))</f>
        <v>0</v>
      </c>
      <c r="D163" s="612">
        <f>SUM(D152:D162)</f>
        <v>3396691.0799999996</v>
      </c>
      <c r="E163" s="614"/>
      <c r="F163"/>
      <c r="G163" s="614"/>
      <c r="H163"/>
      <c r="I163"/>
      <c r="J163" s="614"/>
      <c r="K163"/>
      <c r="L163"/>
      <c r="M163"/>
      <c r="N163" s="614"/>
      <c r="O163"/>
      <c r="P163"/>
      <c r="Q163"/>
      <c r="R163" s="614"/>
      <c r="S163"/>
      <c r="T163"/>
      <c r="U163"/>
      <c r="V163" s="614"/>
      <c r="W163"/>
      <c r="X163" s="549">
        <f>SUM(X152:X158,X161:X162)</f>
        <v>3396691.0799999996</v>
      </c>
      <c r="Y163" s="16"/>
    </row>
    <row r="164" spans="1:25">
      <c r="A164" s="2">
        <f>MAX($A$9:A163)+1</f>
        <v>156</v>
      </c>
      <c r="D164" s="626"/>
      <c r="F164" s="481"/>
      <c r="H164" s="481"/>
      <c r="I164" s="481"/>
      <c r="K164" s="481"/>
      <c r="L164" s="481"/>
      <c r="M164" s="481"/>
      <c r="O164" s="481"/>
      <c r="P164" s="481"/>
      <c r="Q164" s="481"/>
      <c r="S164" s="481"/>
      <c r="T164" s="481"/>
      <c r="U164" s="481"/>
      <c r="W164" s="481"/>
      <c r="X164" s="481"/>
    </row>
    <row r="165" spans="1:25">
      <c r="A165" s="2">
        <f>MAX($A$9:A164)+1</f>
        <v>157</v>
      </c>
      <c r="B165" s="627" t="s">
        <v>187</v>
      </c>
      <c r="C165" s="628"/>
      <c r="D165" s="629">
        <f>SUM(D11:D12,D33:D34,D55:D58,D79:D82,D104:D106,D128:D134,D152:D158)</f>
        <v>120193921.04705608</v>
      </c>
      <c r="E165" s="630"/>
      <c r="F165" s="629">
        <f>SUM(F11:F12,F33:F34,F55:F58,F79:F82,F104:F106,F128:F134,F152:F158)</f>
        <v>0</v>
      </c>
      <c r="G165" s="630"/>
      <c r="H165" s="628"/>
      <c r="I165" s="629">
        <f>SUM(I11:I12,I33:I34,I55:I58,I79:I82,I104:I106,I128:I134,I152:I158)</f>
        <v>-1407470.3234760787</v>
      </c>
      <c r="J165" s="630"/>
      <c r="K165" s="628"/>
      <c r="L165" s="628"/>
      <c r="M165" s="629">
        <f>SUM(M11:M12,M33:M34,M55:M58,M79:M82,M104:M106,M128:M134,M152:M158)</f>
        <v>1435129.0870973188</v>
      </c>
      <c r="N165" s="630"/>
      <c r="O165" s="628"/>
      <c r="P165" s="628"/>
      <c r="Q165" s="629">
        <f>SUM(Q11:Q12,Q33:Q34,Q55:Q58,Q79:Q82,Q104:Q106,Q128:Q134,Q152:Q158)</f>
        <v>436247.02630265447</v>
      </c>
      <c r="R165" s="630"/>
      <c r="S165" s="628"/>
      <c r="T165" s="628"/>
      <c r="U165" s="629">
        <f>SUM(U11:U12,U33:U34,U55:U58,U79:U82,U104:U106,U128:U134,U152:U158)</f>
        <v>4708588.5892901709</v>
      </c>
      <c r="V165" s="630"/>
      <c r="W165" s="628"/>
      <c r="X165" s="629">
        <f>SUM(X11:X12,X33:X34,X55:X58,X79:X82,X104:X106,X128:X134,X152:X158)</f>
        <v>125366415.42627013</v>
      </c>
    </row>
    <row r="166" spans="1:25">
      <c r="A166" s="2">
        <f>MAX($A$9:A165)+1</f>
        <v>158</v>
      </c>
      <c r="B166" s="10" t="s">
        <v>188</v>
      </c>
      <c r="C166" s="549">
        <f>D166-'Rev Recon Summary'!Q393</f>
        <v>-0.35859829187393188</v>
      </c>
      <c r="D166" s="549">
        <f>SUM(D29,D51,D75,D100,D124,D148,D163)</f>
        <v>374104209.87140167</v>
      </c>
      <c r="E166" s="631"/>
      <c r="F166" s="549">
        <f>SUM(F29,F51,F75,F100,F124,F148,F163)</f>
        <v>-229729905.2536439</v>
      </c>
      <c r="G166" s="631"/>
      <c r="H166"/>
      <c r="I166" s="549">
        <f>SUM(I29,I51,I75,I100,I124,I148,I163)</f>
        <v>-1485989.3434760787</v>
      </c>
      <c r="J166" s="631"/>
      <c r="K166"/>
      <c r="L166"/>
      <c r="M166" s="549">
        <f>SUM(M29,M51,M75,M100,M124,M148,M163)</f>
        <v>-288494.65290268115</v>
      </c>
      <c r="N166" s="631"/>
      <c r="O166"/>
      <c r="P166"/>
      <c r="Q166" s="549">
        <f>SUM(Q29,Q51,Q75,Q100,Q124,Q148,Q163)</f>
        <v>436247.02630265459</v>
      </c>
      <c r="R166" s="631"/>
      <c r="S166"/>
      <c r="T166"/>
      <c r="U166" s="549">
        <f>SUM(U29,U51,U75,U100,U124,U148,U163)</f>
        <v>1831964.8385883817</v>
      </c>
      <c r="V166" s="631"/>
      <c r="W166"/>
      <c r="X166" s="549">
        <f>SUM(X29,X51,X75,X100,X124,X148,X163)+1</f>
        <v>144868033.48627016</v>
      </c>
    </row>
    <row r="167" spans="1:25">
      <c r="A167" s="2">
        <f>MAX($A$9:A166)+1</f>
        <v>159</v>
      </c>
      <c r="B167" s="10"/>
      <c r="C167" s="549"/>
      <c r="D167" s="549"/>
      <c r="E167" s="631"/>
      <c r="F167" s="549"/>
      <c r="G167" s="631"/>
      <c r="H167"/>
      <c r="I167" s="549"/>
      <c r="J167" s="631"/>
      <c r="K167"/>
      <c r="L167"/>
      <c r="M167" s="549"/>
      <c r="N167" s="631"/>
      <c r="O167"/>
      <c r="P167"/>
      <c r="Q167" s="549"/>
      <c r="R167" s="631"/>
      <c r="S167"/>
      <c r="T167"/>
      <c r="U167" s="549"/>
      <c r="V167" s="631"/>
      <c r="W167"/>
      <c r="X167" s="549"/>
    </row>
    <row r="168" spans="1:25">
      <c r="A168" s="2">
        <f>MAX($A$9:A167)+1</f>
        <v>160</v>
      </c>
      <c r="B168" s="1" t="s">
        <v>189</v>
      </c>
      <c r="D168" s="549">
        <f>'Allocation Report 2023'!P18</f>
        <v>363239.84999999992</v>
      </c>
      <c r="E168" s="631"/>
      <c r="F168" s="549"/>
      <c r="G168" s="631"/>
      <c r="H168"/>
      <c r="I168" s="549"/>
      <c r="J168" s="631"/>
      <c r="K168"/>
      <c r="L168"/>
      <c r="M168" s="549"/>
      <c r="N168" s="631"/>
      <c r="O168"/>
      <c r="P168"/>
      <c r="Q168" s="549"/>
      <c r="R168" s="631"/>
      <c r="S168"/>
      <c r="T168"/>
      <c r="U168" s="549"/>
      <c r="V168" s="631"/>
      <c r="W168"/>
      <c r="X168" s="549"/>
    </row>
    <row r="169" spans="1:25">
      <c r="A169" s="2">
        <f>MAX($A$9:A168)+1</f>
        <v>161</v>
      </c>
      <c r="B169" s="1" t="s">
        <v>190</v>
      </c>
      <c r="D169" s="548">
        <f>'Allocation Report 2023'!P20</f>
        <v>330510.09999999998</v>
      </c>
      <c r="E169" s="631"/>
      <c r="F169" s="549"/>
      <c r="G169" s="631"/>
      <c r="H169"/>
      <c r="I169" s="549"/>
      <c r="J169" s="631"/>
      <c r="K169"/>
      <c r="L169"/>
      <c r="M169" s="549"/>
      <c r="N169" s="631"/>
      <c r="O169"/>
      <c r="P169"/>
      <c r="Q169" s="549"/>
      <c r="R169" s="631"/>
      <c r="S169"/>
      <c r="T169"/>
      <c r="U169" s="549"/>
      <c r="V169" s="631"/>
      <c r="W169"/>
      <c r="X169" s="549"/>
    </row>
    <row r="170" spans="1:25">
      <c r="A170" s="2">
        <f>MAX($A$9:A169)+1</f>
        <v>162</v>
      </c>
      <c r="B170" s="1" t="s">
        <v>191</v>
      </c>
      <c r="D170" s="548">
        <f>'Allocation Report 2023'!P21</f>
        <v>96651.099999999991</v>
      </c>
      <c r="E170" s="631"/>
      <c r="F170" s="549"/>
      <c r="G170" s="631"/>
      <c r="H170"/>
      <c r="I170" s="549"/>
      <c r="J170" s="631"/>
      <c r="K170"/>
      <c r="L170"/>
      <c r="M170" s="549"/>
      <c r="N170" s="631"/>
      <c r="O170"/>
      <c r="P170"/>
      <c r="Q170" s="549"/>
      <c r="R170" s="631"/>
      <c r="S170"/>
      <c r="T170"/>
      <c r="U170" s="549"/>
      <c r="V170" s="631"/>
      <c r="W170"/>
      <c r="X170" s="549"/>
    </row>
    <row r="171" spans="1:25">
      <c r="A171" s="2">
        <f>MAX($A$9:A170)+1</f>
        <v>163</v>
      </c>
      <c r="B171" s="1" t="s">
        <v>192</v>
      </c>
      <c r="D171" s="548">
        <f>'Allocation Report 2023'!P22</f>
        <v>140885.45000000001</v>
      </c>
      <c r="E171" s="631"/>
      <c r="F171" s="549"/>
      <c r="G171" s="631"/>
      <c r="H171"/>
      <c r="I171" s="549"/>
      <c r="J171" s="631"/>
      <c r="K171"/>
      <c r="L171"/>
      <c r="M171" s="549"/>
      <c r="N171" s="631"/>
      <c r="O171"/>
      <c r="P171"/>
      <c r="Q171" s="549"/>
      <c r="R171" s="631"/>
      <c r="S171"/>
      <c r="T171"/>
      <c r="U171" s="549"/>
      <c r="V171" s="631"/>
      <c r="W171"/>
      <c r="X171" s="549"/>
    </row>
    <row r="172" spans="1:25">
      <c r="A172" s="2">
        <f>MAX($A$9:A171)+1</f>
        <v>164</v>
      </c>
      <c r="B172" s="1" t="s">
        <v>193</v>
      </c>
      <c r="D172" s="615">
        <f>'Allocation Report 2023'!P24</f>
        <v>1214363.21</v>
      </c>
      <c r="E172" s="631"/>
      <c r="F172" s="549"/>
      <c r="G172" s="631"/>
      <c r="H172"/>
      <c r="I172" s="549"/>
      <c r="J172" s="631"/>
      <c r="K172"/>
      <c r="L172"/>
      <c r="M172" s="549"/>
      <c r="N172" s="631"/>
      <c r="O172"/>
      <c r="P172"/>
      <c r="Q172" s="549"/>
      <c r="R172" s="631"/>
      <c r="S172"/>
      <c r="T172"/>
      <c r="U172" s="549"/>
      <c r="V172" s="631"/>
      <c r="W172"/>
      <c r="X172" s="549"/>
    </row>
    <row r="173" spans="1:25">
      <c r="A173" s="2">
        <f>MAX($A$9:A172)+1</f>
        <v>165</v>
      </c>
      <c r="B173" s="10" t="s">
        <v>194</v>
      </c>
      <c r="C173" s="549">
        <f>D173-'Allocation Report 2023'!P26</f>
        <v>-0.35859829187393188</v>
      </c>
      <c r="D173" s="629">
        <f>SUM(D166,D168:D172)</f>
        <v>376249859.58140171</v>
      </c>
      <c r="E173" s="631"/>
      <c r="F173" s="549"/>
      <c r="G173" s="631"/>
      <c r="H173"/>
      <c r="I173" s="549"/>
      <c r="J173" s="631"/>
      <c r="K173"/>
      <c r="L173"/>
      <c r="M173" s="549"/>
      <c r="N173" s="631"/>
      <c r="O173"/>
      <c r="P173"/>
      <c r="Q173" s="549"/>
      <c r="R173" s="631"/>
      <c r="S173"/>
      <c r="T173"/>
      <c r="U173" s="549"/>
      <c r="V173" s="631"/>
      <c r="W173"/>
      <c r="X173" s="549"/>
    </row>
    <row r="174" spans="1:25">
      <c r="D174" s="626"/>
      <c r="F174" s="632"/>
      <c r="H174"/>
      <c r="I174"/>
      <c r="Q174" s="614"/>
      <c r="U174" s="633"/>
    </row>
    <row r="175" spans="1:25">
      <c r="B175" t="s">
        <v>195</v>
      </c>
      <c r="C175" s="522">
        <f>SUM(C12,C34,C56:C58,C80:C82,C105:C106,C131:C134,C158)</f>
        <v>1287896944</v>
      </c>
      <c r="D175" s="622"/>
      <c r="E175" s="622"/>
      <c r="F175" s="633"/>
      <c r="G175" s="622"/>
      <c r="H175"/>
      <c r="I175"/>
      <c r="J175" s="622"/>
      <c r="K175" s="622"/>
      <c r="L175" s="622"/>
      <c r="M175" s="622"/>
      <c r="N175" s="622"/>
      <c r="O175" s="622"/>
      <c r="P175" s="622"/>
      <c r="Q175" s="614"/>
      <c r="R175" s="622"/>
      <c r="V175" s="622"/>
    </row>
    <row r="176" spans="1:25">
      <c r="B176" t="s">
        <v>196</v>
      </c>
      <c r="C176" s="522"/>
      <c r="D176" s="622"/>
      <c r="E176" s="622"/>
      <c r="F176" s="633"/>
      <c r="G176" s="622"/>
      <c r="H176"/>
      <c r="I176"/>
      <c r="J176" s="622"/>
      <c r="K176" s="622"/>
      <c r="L176" s="622"/>
      <c r="M176" s="622"/>
      <c r="N176" s="622"/>
      <c r="O176" s="622"/>
      <c r="P176" s="622"/>
      <c r="Q176" s="614"/>
      <c r="R176" s="622"/>
      <c r="V176" s="622"/>
    </row>
    <row r="177" spans="2:22">
      <c r="B177" t="s">
        <v>197</v>
      </c>
      <c r="C177" s="522">
        <f>SUM('Rev Recon Summary'!Q17,'Rev Recon Summary'!Q37,'Rev Recon Summary'!Q57,'Rev Recon Summary'!Q77,'Rev Recon Summary'!Q96,'Rev Recon Summary'!Q116,'Rev Recon Summary'!Q137,'Rev Recon Summary'!Q158,'Rev Recon Summary'!Q178,'Rev Recon Summary'!Q198,'Rev Recon Summary'!Q218,'Rev Recon Summary'!Q238,'Rev Recon Summary'!Q257,'Rev Recon Summary'!Q277,'Rev Recon Summary'!Q318,'Rev Recon Summary'!Q338,'Rev Recon Summary'!Q357)</f>
        <v>1287967167</v>
      </c>
      <c r="D177" s="622"/>
      <c r="E177" s="622"/>
      <c r="F177" s="633"/>
      <c r="G177" s="622"/>
      <c r="H177"/>
      <c r="I177"/>
      <c r="J177" s="622"/>
      <c r="K177" s="622"/>
      <c r="L177" s="622"/>
      <c r="M177" s="622"/>
      <c r="N177" s="622"/>
      <c r="O177" s="622"/>
      <c r="P177" s="622"/>
      <c r="Q177" s="614"/>
      <c r="R177" s="622"/>
      <c r="V177" s="622"/>
    </row>
    <row r="178" spans="2:22">
      <c r="B178" t="s">
        <v>198</v>
      </c>
      <c r="C178" s="522">
        <f>('Rev Recon Summary'!G132+'Rev Recon Summary'!G136)+('Rev Recon Summary'!P132+'Rev Recon Summary'!P136)</f>
        <v>-144310</v>
      </c>
      <c r="D178" s="622"/>
      <c r="E178" s="622"/>
      <c r="F178" s="633"/>
      <c r="G178" s="622"/>
      <c r="H178"/>
      <c r="I178"/>
      <c r="J178" s="622"/>
      <c r="K178" s="622"/>
      <c r="L178" s="622"/>
      <c r="M178" s="622"/>
      <c r="N178" s="622"/>
      <c r="O178" s="622"/>
      <c r="P178" s="622"/>
      <c r="Q178" s="614"/>
      <c r="R178" s="622"/>
      <c r="V178" s="622"/>
    </row>
    <row r="179" spans="2:22">
      <c r="B179" s="1" t="s">
        <v>199</v>
      </c>
      <c r="C179" s="616">
        <f>SUM('Deficiency Billing'!D12:D21)</f>
        <v>74087</v>
      </c>
      <c r="D179" s="622"/>
      <c r="E179" s="622"/>
      <c r="F179" s="633"/>
      <c r="G179" s="622"/>
      <c r="H179"/>
      <c r="I179"/>
      <c r="J179" s="622"/>
      <c r="K179" s="622"/>
      <c r="L179" s="622"/>
      <c r="M179" s="622"/>
      <c r="N179" s="622"/>
      <c r="O179" s="622"/>
      <c r="P179" s="622"/>
      <c r="Q179" s="614"/>
      <c r="R179" s="622"/>
      <c r="V179" s="622"/>
    </row>
    <row r="180" spans="2:22">
      <c r="B180" t="s">
        <v>200</v>
      </c>
      <c r="C180" s="532">
        <f>SUM(C177:C179)</f>
        <v>1287896944</v>
      </c>
      <c r="D180" s="622"/>
      <c r="E180" s="622"/>
      <c r="G180" s="622"/>
      <c r="H180"/>
      <c r="I180"/>
      <c r="J180" s="622"/>
      <c r="K180" s="622"/>
      <c r="L180" s="622"/>
      <c r="M180" s="626"/>
      <c r="N180" s="622"/>
      <c r="O180" s="622"/>
      <c r="P180" s="622"/>
      <c r="Q180" s="614"/>
      <c r="R180" s="622"/>
      <c r="V180" s="622"/>
    </row>
    <row r="181" spans="2:22">
      <c r="B181" t="s">
        <v>201</v>
      </c>
      <c r="C181" s="532">
        <f>C175-C180</f>
        <v>0</v>
      </c>
      <c r="D181" s="622"/>
      <c r="E181" s="622"/>
      <c r="G181" s="622"/>
      <c r="H181"/>
      <c r="I181"/>
      <c r="J181" s="622"/>
      <c r="K181" s="622"/>
      <c r="L181" s="622"/>
      <c r="M181" s="626"/>
      <c r="N181" s="622"/>
      <c r="O181" s="622"/>
      <c r="P181" s="622"/>
      <c r="Q181" s="614"/>
      <c r="R181" s="622"/>
      <c r="V181" s="622"/>
    </row>
    <row r="182" spans="2:22">
      <c r="B182"/>
      <c r="C182" s="532"/>
      <c r="D182" s="622"/>
      <c r="E182" s="622"/>
      <c r="G182" s="622"/>
      <c r="H182"/>
      <c r="I182"/>
      <c r="J182" s="622"/>
      <c r="K182" s="622"/>
      <c r="L182" s="622"/>
      <c r="M182" s="626"/>
      <c r="N182" s="622"/>
      <c r="O182" s="622"/>
      <c r="P182" s="622"/>
      <c r="Q182" s="614"/>
      <c r="R182" s="622"/>
      <c r="V182" s="622"/>
    </row>
    <row r="183" spans="2:22">
      <c r="B183" t="s">
        <v>202</v>
      </c>
      <c r="C183" s="522">
        <f>SUM(C11,C33,C55,C79,C104,C128,C152)</f>
        <v>2778462</v>
      </c>
      <c r="D183" s="622"/>
      <c r="E183" s="622"/>
      <c r="G183" s="622"/>
      <c r="H183"/>
      <c r="I183"/>
      <c r="J183" s="622"/>
      <c r="K183" s="622"/>
      <c r="L183" s="622"/>
      <c r="M183" s="622"/>
      <c r="N183" s="622"/>
      <c r="O183" s="622"/>
      <c r="P183" s="622"/>
      <c r="Q183" s="614"/>
      <c r="R183" s="622"/>
      <c r="V183" s="622"/>
    </row>
    <row r="184" spans="2:22">
      <c r="B184" t="s">
        <v>203</v>
      </c>
      <c r="C184" s="522">
        <f>SUM('Customer Counts'!O10:O19)</f>
        <v>2778462</v>
      </c>
      <c r="D184" s="622"/>
      <c r="E184" s="622"/>
      <c r="G184" s="622"/>
      <c r="H184"/>
      <c r="I184"/>
      <c r="J184" s="622"/>
      <c r="K184" s="622"/>
      <c r="L184" s="622"/>
      <c r="M184" s="622"/>
      <c r="N184" s="622"/>
      <c r="O184" s="622"/>
      <c r="P184" s="622"/>
      <c r="Q184" s="614"/>
      <c r="R184" s="622"/>
      <c r="V184" s="622"/>
    </row>
    <row r="185" spans="2:22">
      <c r="B185" t="s">
        <v>201</v>
      </c>
      <c r="C185" s="522">
        <f>C183-C184</f>
        <v>0</v>
      </c>
      <c r="D185" s="622"/>
      <c r="E185" s="622"/>
      <c r="G185" s="622"/>
      <c r="H185"/>
      <c r="I185"/>
      <c r="J185" s="622"/>
      <c r="K185" s="622"/>
      <c r="L185" s="622"/>
      <c r="M185" s="622"/>
      <c r="N185" s="622"/>
      <c r="O185" s="622"/>
      <c r="P185" s="622"/>
      <c r="Q185" s="614"/>
      <c r="R185" s="622"/>
      <c r="V185" s="622"/>
    </row>
    <row r="186" spans="2:22">
      <c r="D186" s="622"/>
      <c r="E186" s="622"/>
      <c r="G186" s="622"/>
      <c r="H186"/>
      <c r="I186"/>
      <c r="J186" s="622"/>
      <c r="K186" s="622"/>
      <c r="L186" s="622"/>
      <c r="M186" s="622"/>
      <c r="N186" s="622"/>
      <c r="O186" s="622"/>
      <c r="P186" s="622"/>
      <c r="Q186" s="614"/>
      <c r="R186" s="622"/>
      <c r="V186" s="622"/>
    </row>
    <row r="187" spans="2:22">
      <c r="B187" s="10"/>
      <c r="D187" s="622"/>
      <c r="E187" s="622"/>
      <c r="G187" s="622"/>
      <c r="H187"/>
      <c r="I187"/>
      <c r="J187" s="622"/>
      <c r="K187" s="622"/>
      <c r="L187" s="622"/>
      <c r="M187" s="622"/>
      <c r="N187" s="622"/>
      <c r="O187" s="622"/>
      <c r="P187" s="622"/>
      <c r="Q187" s="614"/>
      <c r="R187" s="622"/>
      <c r="V187" s="622"/>
    </row>
    <row r="188" spans="2:22">
      <c r="B188" s="10"/>
      <c r="D188" s="626"/>
      <c r="I188" s="634"/>
      <c r="Q188" s="614"/>
    </row>
    <row r="189" spans="2:22">
      <c r="B189" s="10"/>
      <c r="D189" s="632"/>
      <c r="E189" s="631"/>
      <c r="G189" s="631"/>
      <c r="H189" s="631"/>
      <c r="I189" s="631"/>
      <c r="J189" s="631"/>
      <c r="K189" s="631"/>
      <c r="L189" s="631"/>
      <c r="M189" s="631"/>
      <c r="N189" s="631"/>
      <c r="O189" s="631"/>
      <c r="P189" s="631"/>
      <c r="Q189" s="614"/>
      <c r="R189" s="631"/>
      <c r="V189" s="631"/>
    </row>
    <row r="190" spans="2:22" ht="15.75" customHeight="1">
      <c r="D190" s="631"/>
      <c r="I190" s="635"/>
      <c r="Q190" s="614"/>
    </row>
    <row r="191" spans="2:22">
      <c r="E191" s="631"/>
      <c r="F191" s="631"/>
      <c r="G191" s="631"/>
      <c r="H191" s="631"/>
      <c r="I191" s="631"/>
      <c r="J191" s="631"/>
      <c r="K191" s="631"/>
      <c r="L191" s="631"/>
      <c r="M191" s="631"/>
      <c r="N191" s="631"/>
      <c r="O191" s="631"/>
      <c r="P191" s="631"/>
      <c r="Q191" s="631"/>
      <c r="R191" s="631"/>
      <c r="V191" s="631"/>
    </row>
    <row r="192" spans="2:22">
      <c r="B192" s="10"/>
      <c r="E192" s="45"/>
      <c r="F192" s="45"/>
      <c r="G192" s="45"/>
      <c r="H192" s="45"/>
      <c r="I192" s="45"/>
      <c r="J192" s="45"/>
      <c r="K192" s="45"/>
      <c r="L192" s="45"/>
      <c r="M192" s="45"/>
      <c r="N192" s="45"/>
      <c r="O192" s="45"/>
      <c r="P192" s="45"/>
      <c r="Q192" s="45"/>
      <c r="R192" s="45"/>
      <c r="V192" s="45"/>
    </row>
    <row r="193" spans="2:15">
      <c r="C193" s="631"/>
      <c r="D193" s="613"/>
      <c r="I193" s="626"/>
    </row>
    <row r="194" spans="2:15">
      <c r="D194" s="614"/>
    </row>
    <row r="195" spans="2:15">
      <c r="B195" s="10"/>
      <c r="D195" s="614"/>
    </row>
    <row r="196" spans="2:15">
      <c r="D196" s="614"/>
    </row>
    <row r="197" spans="2:15">
      <c r="D197" s="614"/>
      <c r="G197"/>
      <c r="H197"/>
      <c r="I197"/>
      <c r="J197"/>
      <c r="K197"/>
    </row>
    <row r="198" spans="2:15">
      <c r="D198" s="614"/>
      <c r="G198"/>
      <c r="H198"/>
      <c r="I198"/>
      <c r="J198"/>
      <c r="K198"/>
    </row>
    <row r="199" spans="2:15">
      <c r="D199" s="614"/>
      <c r="G199"/>
      <c r="H199"/>
      <c r="I199"/>
      <c r="J199"/>
      <c r="K199"/>
    </row>
    <row r="200" spans="2:15">
      <c r="D200" s="614"/>
      <c r="G200"/>
      <c r="H200"/>
      <c r="I200"/>
      <c r="J200"/>
      <c r="K200"/>
    </row>
    <row r="201" spans="2:15">
      <c r="D201" s="614"/>
      <c r="G201"/>
      <c r="H201"/>
      <c r="I201"/>
      <c r="J201"/>
      <c r="K201"/>
    </row>
    <row r="202" spans="2:15">
      <c r="D202" s="614"/>
      <c r="G202"/>
      <c r="H202"/>
      <c r="I202"/>
      <c r="J202"/>
      <c r="K202"/>
    </row>
    <row r="203" spans="2:15">
      <c r="D203" s="614"/>
      <c r="G203"/>
      <c r="H203"/>
      <c r="I203"/>
      <c r="J203"/>
      <c r="K203"/>
    </row>
    <row r="204" spans="2:15">
      <c r="D204" s="614"/>
      <c r="G204"/>
      <c r="H204"/>
      <c r="I204"/>
      <c r="J204"/>
      <c r="K204"/>
    </row>
    <row r="205" spans="2:15">
      <c r="G205"/>
      <c r="H205"/>
      <c r="I205"/>
      <c r="J205"/>
      <c r="K205"/>
    </row>
    <row r="206" spans="2:15">
      <c r="G206"/>
      <c r="H206"/>
      <c r="I206"/>
      <c r="J206"/>
      <c r="K206"/>
    </row>
    <row r="207" spans="2:15">
      <c r="B207"/>
      <c r="C207"/>
      <c r="D207"/>
      <c r="E207"/>
      <c r="F207"/>
      <c r="G207"/>
      <c r="H207"/>
      <c r="I207"/>
      <c r="J207"/>
      <c r="K207"/>
      <c r="L207"/>
      <c r="M207"/>
      <c r="N207"/>
      <c r="O207"/>
    </row>
    <row r="208" spans="2:15">
      <c r="B208"/>
      <c r="C208"/>
      <c r="D208"/>
      <c r="E208"/>
      <c r="F208"/>
      <c r="G208"/>
      <c r="H208"/>
      <c r="I208"/>
      <c r="J208"/>
      <c r="K208"/>
      <c r="L208"/>
      <c r="M208"/>
      <c r="N208"/>
      <c r="O208"/>
    </row>
    <row r="209" spans="2:15">
      <c r="B209"/>
      <c r="C209"/>
      <c r="D209"/>
      <c r="E209"/>
      <c r="F209"/>
      <c r="G209"/>
      <c r="H209"/>
      <c r="I209"/>
      <c r="J209"/>
      <c r="K209"/>
      <c r="L209"/>
      <c r="M209"/>
      <c r="N209"/>
      <c r="O209"/>
    </row>
    <row r="210" spans="2:15">
      <c r="B210"/>
      <c r="C210"/>
      <c r="D210"/>
      <c r="E210"/>
      <c r="F210"/>
      <c r="G210"/>
      <c r="H210"/>
      <c r="I210"/>
      <c r="J210"/>
      <c r="K210"/>
      <c r="L210"/>
      <c r="M210"/>
      <c r="N210"/>
      <c r="O210"/>
    </row>
    <row r="211" spans="2:15">
      <c r="B211"/>
      <c r="C211"/>
      <c r="D211"/>
      <c r="E211"/>
      <c r="F211"/>
      <c r="G211"/>
      <c r="H211"/>
      <c r="I211"/>
      <c r="J211"/>
      <c r="K211"/>
      <c r="L211"/>
      <c r="M211"/>
      <c r="N211"/>
      <c r="O211"/>
    </row>
    <row r="212" spans="2:15">
      <c r="B212"/>
      <c r="C212"/>
      <c r="D212"/>
      <c r="E212"/>
      <c r="F212"/>
      <c r="G212"/>
      <c r="H212"/>
      <c r="I212"/>
      <c r="J212"/>
      <c r="K212"/>
      <c r="L212"/>
      <c r="M212"/>
      <c r="N212"/>
      <c r="O212"/>
    </row>
    <row r="213" spans="2:15">
      <c r="B213"/>
      <c r="C213"/>
      <c r="D213"/>
      <c r="E213"/>
      <c r="F213"/>
      <c r="G213"/>
      <c r="H213"/>
      <c r="I213"/>
      <c r="J213"/>
      <c r="K213"/>
      <c r="L213"/>
      <c r="M213"/>
      <c r="N213"/>
      <c r="O213"/>
    </row>
    <row r="214" spans="2:15">
      <c r="B214"/>
      <c r="C214"/>
      <c r="D214"/>
      <c r="E214"/>
      <c r="F214"/>
      <c r="G214"/>
      <c r="H214"/>
      <c r="I214"/>
      <c r="J214"/>
      <c r="K214"/>
      <c r="L214"/>
      <c r="M214"/>
      <c r="N214"/>
      <c r="O214"/>
    </row>
    <row r="215" spans="2:15">
      <c r="B215"/>
      <c r="C215"/>
      <c r="D215"/>
      <c r="E215"/>
      <c r="F215"/>
      <c r="G215"/>
      <c r="H215"/>
      <c r="I215"/>
      <c r="J215"/>
      <c r="K215"/>
      <c r="L215"/>
      <c r="M215"/>
      <c r="N215"/>
      <c r="O215"/>
    </row>
    <row r="216" spans="2:15">
      <c r="B216"/>
      <c r="C216"/>
      <c r="D216"/>
      <c r="E216"/>
      <c r="F216"/>
      <c r="G216"/>
      <c r="H216"/>
      <c r="I216"/>
      <c r="J216"/>
      <c r="K216"/>
      <c r="L216"/>
      <c r="M216"/>
      <c r="N216"/>
      <c r="O216"/>
    </row>
    <row r="217" spans="2:15">
      <c r="B217"/>
      <c r="C217"/>
      <c r="D217"/>
      <c r="E217"/>
      <c r="F217"/>
      <c r="G217"/>
      <c r="H217"/>
      <c r="I217"/>
      <c r="J217"/>
      <c r="K217"/>
      <c r="L217"/>
      <c r="M217"/>
      <c r="N217"/>
      <c r="O217"/>
    </row>
    <row r="218" spans="2:15">
      <c r="B218"/>
      <c r="C218"/>
      <c r="D218"/>
      <c r="E218"/>
      <c r="F218"/>
      <c r="G218"/>
      <c r="H218"/>
      <c r="I218"/>
      <c r="J218"/>
      <c r="K218"/>
      <c r="L218"/>
      <c r="M218"/>
      <c r="N218"/>
      <c r="O218"/>
    </row>
    <row r="219" spans="2:15">
      <c r="B219"/>
      <c r="C219"/>
      <c r="D219"/>
      <c r="E219"/>
      <c r="F219"/>
      <c r="G219"/>
      <c r="H219"/>
      <c r="I219"/>
      <c r="J219"/>
      <c r="K219"/>
      <c r="L219"/>
      <c r="M219"/>
      <c r="N219"/>
      <c r="O219"/>
    </row>
    <row r="220" spans="2:15">
      <c r="B220"/>
      <c r="C220"/>
      <c r="D220"/>
      <c r="E220"/>
      <c r="F220"/>
      <c r="G220"/>
      <c r="H220"/>
      <c r="I220"/>
      <c r="J220"/>
      <c r="K220"/>
      <c r="L220"/>
      <c r="M220"/>
      <c r="N220"/>
      <c r="O220"/>
    </row>
    <row r="221" spans="2:15">
      <c r="B221"/>
      <c r="C221"/>
      <c r="D221"/>
      <c r="E221"/>
      <c r="F221"/>
      <c r="G221"/>
      <c r="H221"/>
      <c r="I221"/>
      <c r="J221"/>
      <c r="K221"/>
      <c r="L221"/>
      <c r="M221"/>
      <c r="N221"/>
      <c r="O221"/>
    </row>
    <row r="222" spans="2:15">
      <c r="B222"/>
      <c r="C222"/>
      <c r="D222"/>
      <c r="E222"/>
      <c r="F222"/>
      <c r="G222"/>
      <c r="H222"/>
      <c r="I222"/>
      <c r="J222"/>
      <c r="K222"/>
      <c r="L222"/>
      <c r="M222"/>
      <c r="N222"/>
      <c r="O222"/>
    </row>
    <row r="223" spans="2:15">
      <c r="B223"/>
      <c r="C223"/>
      <c r="D223"/>
      <c r="E223"/>
      <c r="F223"/>
      <c r="G223"/>
      <c r="H223"/>
      <c r="I223"/>
      <c r="J223"/>
      <c r="K223"/>
      <c r="L223"/>
      <c r="M223"/>
      <c r="N223"/>
      <c r="O223"/>
    </row>
    <row r="224" spans="2:15">
      <c r="B224"/>
      <c r="C224"/>
      <c r="D224"/>
      <c r="E224"/>
      <c r="F224"/>
      <c r="G224"/>
      <c r="H224"/>
      <c r="I224"/>
      <c r="J224"/>
      <c r="K224"/>
      <c r="L224"/>
      <c r="M224"/>
      <c r="N224"/>
      <c r="O224"/>
    </row>
    <row r="225" spans="2:15">
      <c r="B225"/>
      <c r="C225"/>
      <c r="D225"/>
      <c r="E225"/>
      <c r="F225"/>
      <c r="G225"/>
      <c r="H225"/>
      <c r="I225"/>
      <c r="J225"/>
      <c r="K225"/>
      <c r="L225"/>
      <c r="M225"/>
      <c r="N225"/>
      <c r="O225"/>
    </row>
    <row r="226" spans="2:15">
      <c r="B226"/>
      <c r="C226"/>
      <c r="D226"/>
      <c r="E226"/>
      <c r="F226"/>
      <c r="G226"/>
      <c r="H226"/>
      <c r="I226"/>
      <c r="J226"/>
      <c r="K226"/>
      <c r="L226"/>
      <c r="M226"/>
      <c r="N226"/>
      <c r="O226"/>
    </row>
    <row r="227" spans="2:15">
      <c r="B227"/>
      <c r="C227"/>
      <c r="D227"/>
      <c r="E227"/>
      <c r="F227"/>
      <c r="G227"/>
      <c r="H227"/>
      <c r="I227"/>
      <c r="J227"/>
      <c r="K227"/>
      <c r="L227"/>
      <c r="M227"/>
      <c r="N227"/>
      <c r="O227"/>
    </row>
    <row r="228" spans="2:15">
      <c r="B228"/>
      <c r="C228"/>
      <c r="D228"/>
      <c r="E228"/>
      <c r="F228"/>
      <c r="G228"/>
      <c r="H228"/>
      <c r="I228"/>
      <c r="J228"/>
      <c r="K228"/>
      <c r="L228"/>
      <c r="M228"/>
      <c r="N228"/>
      <c r="O228"/>
    </row>
    <row r="229" spans="2:15">
      <c r="B229"/>
      <c r="C229"/>
      <c r="D229"/>
      <c r="E229"/>
      <c r="F229"/>
      <c r="G229"/>
      <c r="H229"/>
      <c r="I229"/>
      <c r="J229"/>
      <c r="K229"/>
      <c r="L229"/>
      <c r="M229"/>
      <c r="N229"/>
      <c r="O229"/>
    </row>
    <row r="230" spans="2:15">
      <c r="B230"/>
      <c r="C230"/>
      <c r="D230"/>
      <c r="E230"/>
      <c r="F230"/>
      <c r="G230"/>
      <c r="H230"/>
      <c r="I230"/>
      <c r="J230"/>
      <c r="K230"/>
      <c r="L230"/>
      <c r="M230"/>
      <c r="N230"/>
      <c r="O230"/>
    </row>
    <row r="231" spans="2:15">
      <c r="B231"/>
      <c r="C231"/>
      <c r="D231"/>
      <c r="E231"/>
      <c r="F231"/>
      <c r="G231"/>
      <c r="H231"/>
      <c r="I231"/>
      <c r="J231"/>
      <c r="K231"/>
      <c r="L231"/>
      <c r="M231"/>
      <c r="N231"/>
      <c r="O231"/>
    </row>
    <row r="232" spans="2:15">
      <c r="B232"/>
      <c r="C232"/>
      <c r="D232"/>
      <c r="E232"/>
      <c r="F232"/>
      <c r="G232"/>
      <c r="H232"/>
      <c r="I232"/>
      <c r="J232"/>
      <c r="K232"/>
      <c r="L232"/>
      <c r="M232"/>
      <c r="N232"/>
      <c r="O232"/>
    </row>
    <row r="233" spans="2:15">
      <c r="B233"/>
      <c r="C233"/>
      <c r="D233"/>
      <c r="E233"/>
      <c r="F233"/>
      <c r="G233"/>
      <c r="H233"/>
      <c r="I233"/>
      <c r="J233"/>
      <c r="K233"/>
      <c r="L233"/>
      <c r="M233"/>
      <c r="N233"/>
      <c r="O233"/>
    </row>
    <row r="234" spans="2:15">
      <c r="B234"/>
      <c r="C234"/>
      <c r="D234"/>
      <c r="E234"/>
      <c r="F234"/>
      <c r="G234"/>
      <c r="H234"/>
      <c r="I234"/>
      <c r="J234"/>
      <c r="K234"/>
      <c r="L234"/>
      <c r="M234"/>
      <c r="N234"/>
      <c r="O234"/>
    </row>
    <row r="235" spans="2:15">
      <c r="B235"/>
      <c r="C235"/>
      <c r="D235"/>
      <c r="E235"/>
      <c r="F235"/>
      <c r="G235"/>
      <c r="H235"/>
      <c r="I235"/>
      <c r="J235"/>
      <c r="K235"/>
      <c r="L235"/>
      <c r="M235"/>
      <c r="N235"/>
      <c r="O235"/>
    </row>
    <row r="236" spans="2:15">
      <c r="B236"/>
      <c r="C236"/>
      <c r="D236"/>
      <c r="E236"/>
      <c r="F236"/>
      <c r="G236"/>
      <c r="H236"/>
      <c r="I236"/>
      <c r="J236"/>
      <c r="K236"/>
      <c r="L236"/>
      <c r="M236"/>
      <c r="N236"/>
      <c r="O236"/>
    </row>
    <row r="237" spans="2:15">
      <c r="B237"/>
      <c r="C237"/>
      <c r="D237"/>
      <c r="E237"/>
      <c r="F237"/>
      <c r="G237"/>
      <c r="H237"/>
      <c r="I237"/>
      <c r="J237"/>
      <c r="K237"/>
      <c r="L237"/>
      <c r="M237"/>
      <c r="N237"/>
      <c r="O237"/>
    </row>
    <row r="238" spans="2:15">
      <c r="B238"/>
      <c r="C238"/>
      <c r="D238"/>
      <c r="E238"/>
      <c r="F238"/>
      <c r="G238"/>
      <c r="H238"/>
      <c r="I238"/>
      <c r="J238"/>
      <c r="K238"/>
      <c r="L238"/>
      <c r="M238"/>
      <c r="N238"/>
      <c r="O238"/>
    </row>
  </sheetData>
  <mergeCells count="6">
    <mergeCell ref="C6:D6"/>
    <mergeCell ref="W6:X6"/>
    <mergeCell ref="K6:M6"/>
    <mergeCell ref="O6:Q6"/>
    <mergeCell ref="S6:U6"/>
    <mergeCell ref="H6:I6"/>
  </mergeCells>
  <printOptions horizontalCentered="1"/>
  <pageMargins left="0.5" right="0.5" top="1" bottom="0.75" header="0.5" footer="0.3"/>
  <pageSetup paperSize="3" scale="72" fitToWidth="2" fitToHeight="0" pageOrder="overThenDown" orientation="landscape" useFirstPageNumber="1" horizontalDpi="1200" verticalDpi="1200" r:id="rId1"/>
  <headerFooter scaleWithDoc="0">
    <oddHeader xml:space="preserve">&amp;R&amp;9Docket UG-240008
Exh. JAD-2
Page &amp;P </oddHeader>
  </headerFooter>
  <rowBreaks count="3" manualBreakCount="3">
    <brk id="51" max="23" man="1"/>
    <brk id="100" max="23" man="1"/>
    <brk id="148" max="23" man="1"/>
  </rowBreaks>
  <colBreaks count="1" manualBreakCount="1">
    <brk id="13" max="17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1853-5963-438E-B660-1AF03E40FEF1}">
  <sheetPr codeName="Sheet50">
    <pageSetUpPr fitToPage="1"/>
  </sheetPr>
  <dimension ref="A1:M18"/>
  <sheetViews>
    <sheetView workbookViewId="0">
      <selection activeCell="J25" sqref="J25"/>
    </sheetView>
  </sheetViews>
  <sheetFormatPr defaultColWidth="8.85546875" defaultRowHeight="15"/>
  <cols>
    <col min="1" max="16384" width="8.85546875" style="53"/>
  </cols>
  <sheetData>
    <row r="1" spans="1:13">
      <c r="A1" s="12" t="str">
        <f ca="1">MID(CELL("filename",A1),FIND("]",CELL("filename",A1))+1,255)</f>
        <v>Exh. JAD-2 WPs ---&gt;</v>
      </c>
    </row>
    <row r="2" spans="1:13">
      <c r="B2" s="1414" t="s">
        <v>204</v>
      </c>
      <c r="C2" s="1414"/>
      <c r="D2" s="1414"/>
      <c r="E2" s="1414"/>
      <c r="F2" s="1414"/>
      <c r="G2" s="1414"/>
      <c r="H2" s="1414"/>
      <c r="I2" s="1414"/>
      <c r="J2" s="1414"/>
      <c r="K2" s="1414"/>
      <c r="L2" s="1414"/>
      <c r="M2" s="1414"/>
    </row>
    <row r="3" spans="1:13">
      <c r="B3" s="1414"/>
      <c r="C3" s="1414"/>
      <c r="D3" s="1414"/>
      <c r="E3" s="1414"/>
      <c r="F3" s="1414"/>
      <c r="G3" s="1414"/>
      <c r="H3" s="1414"/>
      <c r="I3" s="1414"/>
      <c r="J3" s="1414"/>
      <c r="K3" s="1414"/>
      <c r="L3" s="1414"/>
      <c r="M3" s="1414"/>
    </row>
    <row r="4" spans="1:13">
      <c r="B4" s="1414"/>
      <c r="C4" s="1414"/>
      <c r="D4" s="1414"/>
      <c r="E4" s="1414"/>
      <c r="F4" s="1414"/>
      <c r="G4" s="1414"/>
      <c r="H4" s="1414"/>
      <c r="I4" s="1414"/>
      <c r="J4" s="1414"/>
      <c r="K4" s="1414"/>
      <c r="L4" s="1414"/>
      <c r="M4" s="1414"/>
    </row>
    <row r="5" spans="1:13">
      <c r="B5" s="1414"/>
      <c r="C5" s="1414"/>
      <c r="D5" s="1414"/>
      <c r="E5" s="1414"/>
      <c r="F5" s="1414"/>
      <c r="G5" s="1414"/>
      <c r="H5" s="1414"/>
      <c r="I5" s="1414"/>
      <c r="J5" s="1414"/>
      <c r="K5" s="1414"/>
      <c r="L5" s="1414"/>
      <c r="M5" s="1414"/>
    </row>
    <row r="6" spans="1:13">
      <c r="B6" s="1414"/>
      <c r="C6" s="1414"/>
      <c r="D6" s="1414"/>
      <c r="E6" s="1414"/>
      <c r="F6" s="1414"/>
      <c r="G6" s="1414"/>
      <c r="H6" s="1414"/>
      <c r="I6" s="1414"/>
      <c r="J6" s="1414"/>
      <c r="K6" s="1414"/>
      <c r="L6" s="1414"/>
      <c r="M6" s="1414"/>
    </row>
    <row r="7" spans="1:13">
      <c r="B7" s="1414"/>
      <c r="C7" s="1414"/>
      <c r="D7" s="1414"/>
      <c r="E7" s="1414"/>
      <c r="F7" s="1414"/>
      <c r="G7" s="1414"/>
      <c r="H7" s="1414"/>
      <c r="I7" s="1414"/>
      <c r="J7" s="1414"/>
      <c r="K7" s="1414"/>
      <c r="L7" s="1414"/>
      <c r="M7" s="1414"/>
    </row>
    <row r="8" spans="1:13">
      <c r="B8" s="1414"/>
      <c r="C8" s="1414"/>
      <c r="D8" s="1414"/>
      <c r="E8" s="1414"/>
      <c r="F8" s="1414"/>
      <c r="G8" s="1414"/>
      <c r="H8" s="1414"/>
      <c r="I8" s="1414"/>
      <c r="J8" s="1414"/>
      <c r="K8" s="1414"/>
      <c r="L8" s="1414"/>
      <c r="M8" s="1414"/>
    </row>
    <row r="9" spans="1:13">
      <c r="B9" s="1414"/>
      <c r="C9" s="1414"/>
      <c r="D9" s="1414"/>
      <c r="E9" s="1414"/>
      <c r="F9" s="1414"/>
      <c r="G9" s="1414"/>
      <c r="H9" s="1414"/>
      <c r="I9" s="1414"/>
      <c r="J9" s="1414"/>
      <c r="K9" s="1414"/>
      <c r="L9" s="1414"/>
      <c r="M9" s="1414"/>
    </row>
    <row r="10" spans="1:13">
      <c r="B10" s="1414"/>
      <c r="C10" s="1414"/>
      <c r="D10" s="1414"/>
      <c r="E10" s="1414"/>
      <c r="F10" s="1414"/>
      <c r="G10" s="1414"/>
      <c r="H10" s="1414"/>
      <c r="I10" s="1414"/>
      <c r="J10" s="1414"/>
      <c r="K10" s="1414"/>
      <c r="L10" s="1414"/>
      <c r="M10" s="1414"/>
    </row>
    <row r="11" spans="1:13">
      <c r="B11" s="1414"/>
      <c r="C11" s="1414"/>
      <c r="D11" s="1414"/>
      <c r="E11" s="1414"/>
      <c r="F11" s="1414"/>
      <c r="G11" s="1414"/>
      <c r="H11" s="1414"/>
      <c r="I11" s="1414"/>
      <c r="J11" s="1414"/>
      <c r="K11" s="1414"/>
      <c r="L11" s="1414"/>
      <c r="M11" s="1414"/>
    </row>
    <row r="12" spans="1:13">
      <c r="B12" s="1414"/>
      <c r="C12" s="1414"/>
      <c r="D12" s="1414"/>
      <c r="E12" s="1414"/>
      <c r="F12" s="1414"/>
      <c r="G12" s="1414"/>
      <c r="H12" s="1414"/>
      <c r="I12" s="1414"/>
      <c r="J12" s="1414"/>
      <c r="K12" s="1414"/>
      <c r="L12" s="1414"/>
      <c r="M12" s="1414"/>
    </row>
    <row r="13" spans="1:13">
      <c r="B13" s="1414"/>
      <c r="C13" s="1414"/>
      <c r="D13" s="1414"/>
      <c r="E13" s="1414"/>
      <c r="F13" s="1414"/>
      <c r="G13" s="1414"/>
      <c r="H13" s="1414"/>
      <c r="I13" s="1414"/>
      <c r="J13" s="1414"/>
      <c r="K13" s="1414"/>
      <c r="L13" s="1414"/>
      <c r="M13" s="1414"/>
    </row>
    <row r="14" spans="1:13">
      <c r="B14" s="1414"/>
      <c r="C14" s="1414"/>
      <c r="D14" s="1414"/>
      <c r="E14" s="1414"/>
      <c r="F14" s="1414"/>
      <c r="G14" s="1414"/>
      <c r="H14" s="1414"/>
      <c r="I14" s="1414"/>
      <c r="J14" s="1414"/>
      <c r="K14" s="1414"/>
      <c r="L14" s="1414"/>
      <c r="M14" s="1414"/>
    </row>
    <row r="15" spans="1:13">
      <c r="B15" s="1414"/>
      <c r="C15" s="1414"/>
      <c r="D15" s="1414"/>
      <c r="E15" s="1414"/>
      <c r="F15" s="1414"/>
      <c r="G15" s="1414"/>
      <c r="H15" s="1414"/>
      <c r="I15" s="1414"/>
      <c r="J15" s="1414"/>
      <c r="K15" s="1414"/>
      <c r="L15" s="1414"/>
      <c r="M15" s="1414"/>
    </row>
    <row r="16" spans="1:13">
      <c r="B16" s="1414"/>
      <c r="C16" s="1414"/>
      <c r="D16" s="1414"/>
      <c r="E16" s="1414"/>
      <c r="F16" s="1414"/>
      <c r="G16" s="1414"/>
      <c r="H16" s="1414"/>
      <c r="I16" s="1414"/>
      <c r="J16" s="1414"/>
      <c r="K16" s="1414"/>
      <c r="L16" s="1414"/>
      <c r="M16" s="1414"/>
    </row>
    <row r="17" spans="2:13">
      <c r="B17" s="1414"/>
      <c r="C17" s="1414"/>
      <c r="D17" s="1414"/>
      <c r="E17" s="1414"/>
      <c r="F17" s="1414"/>
      <c r="G17" s="1414"/>
      <c r="H17" s="1414"/>
      <c r="I17" s="1414"/>
      <c r="J17" s="1414"/>
      <c r="K17" s="1414"/>
      <c r="L17" s="1414"/>
      <c r="M17" s="1414"/>
    </row>
    <row r="18" spans="2:13">
      <c r="B18" s="1414"/>
      <c r="C18" s="1414"/>
      <c r="D18" s="1414"/>
      <c r="E18" s="1414"/>
      <c r="F18" s="1414"/>
      <c r="G18" s="1414"/>
      <c r="H18" s="1414"/>
      <c r="I18" s="1414"/>
      <c r="J18" s="1414"/>
      <c r="K18" s="1414"/>
      <c r="L18" s="1414"/>
      <c r="M18" s="1414"/>
    </row>
  </sheetData>
  <mergeCells count="1">
    <mergeCell ref="B2:M18"/>
  </mergeCells>
  <printOptions horizontalCentered="1"/>
  <pageMargins left="0.5" right="0.5" top="0.75" bottom="0.75" header="0.5" footer="0.3"/>
  <pageSetup fitToHeight="0" orientation="landscape" horizontalDpi="1200" verticalDpi="1200" r:id="rId1"/>
  <headerFooter scaleWithDoc="0">
    <oddHeader>&amp;C&amp;10Cascade Natural Gas Corporation
Revenue Proof&amp;R&amp;9CNGC/401
Myhrum/Page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EDEB-53D6-4301-BEB3-AADF47645BC9}">
  <sheetPr codeName="Sheet3"/>
  <dimension ref="A1:F24"/>
  <sheetViews>
    <sheetView view="pageBreakPreview" zoomScale="60" zoomScaleNormal="100" workbookViewId="0">
      <selection activeCell="K42" sqref="K42"/>
    </sheetView>
  </sheetViews>
  <sheetFormatPr defaultRowHeight="15"/>
  <cols>
    <col min="1" max="1" width="13" bestFit="1" customWidth="1"/>
    <col min="3" max="3" width="27.7109375" customWidth="1"/>
    <col min="4" max="4" width="20.42578125" style="449" customWidth="1"/>
    <col min="5" max="5" width="14.7109375" bestFit="1" customWidth="1"/>
  </cols>
  <sheetData>
    <row r="1" spans="1:6" ht="15.75">
      <c r="A1" s="1419" t="str">
        <f>Company</f>
        <v>Cascade Natural Gas Corp.</v>
      </c>
      <c r="B1" s="1419"/>
      <c r="C1" s="1419"/>
      <c r="D1" s="1419"/>
      <c r="E1" s="1419"/>
      <c r="F1" s="936"/>
    </row>
    <row r="2" spans="1:6" ht="15.75">
      <c r="A2" s="1421" t="str">
        <f>Title1</f>
        <v>Washington Jurisdiction</v>
      </c>
      <c r="B2" s="1421"/>
      <c r="C2" s="1421"/>
      <c r="D2" s="1421"/>
      <c r="E2" s="1421"/>
      <c r="F2" s="385"/>
    </row>
    <row r="3" spans="1:6" ht="14.45" customHeight="1">
      <c r="A3" s="1420" t="str">
        <f>Title2</f>
        <v>Twelve-Months ended December 31, 2023</v>
      </c>
      <c r="B3" s="1420"/>
      <c r="C3" s="1420"/>
      <c r="D3" s="1420"/>
      <c r="E3" s="1420"/>
      <c r="F3" s="385"/>
    </row>
    <row r="4" spans="1:6" ht="15.75">
      <c r="A4" s="1420" t="str">
        <f>Title8</f>
        <v>UG-240008</v>
      </c>
      <c r="B4" s="1420"/>
      <c r="C4" s="1420"/>
      <c r="D4" s="1420"/>
      <c r="E4" s="1420"/>
      <c r="F4" s="385"/>
    </row>
    <row r="5" spans="1:6" ht="15.75">
      <c r="A5" s="1420" t="s">
        <v>205</v>
      </c>
      <c r="B5" s="1420"/>
      <c r="C5" s="1420"/>
      <c r="D5" s="1420"/>
      <c r="E5" s="1420"/>
      <c r="F5" s="385"/>
    </row>
    <row r="6" spans="1:6" ht="15.75">
      <c r="A6" s="1420" t="s">
        <v>206</v>
      </c>
      <c r="B6" s="1420"/>
      <c r="C6" s="1420"/>
      <c r="D6" s="1420"/>
      <c r="E6" s="1420"/>
      <c r="F6" s="385"/>
    </row>
    <row r="7" spans="1:6" ht="15.75">
      <c r="A7" s="385"/>
      <c r="B7" s="385"/>
      <c r="C7" s="385"/>
      <c r="D7" s="385"/>
      <c r="E7" s="385"/>
      <c r="F7" s="385"/>
    </row>
    <row r="8" spans="1:6" ht="15.75">
      <c r="A8" s="379"/>
      <c r="B8" s="385"/>
      <c r="C8" s="385"/>
      <c r="D8" s="368"/>
      <c r="E8" s="385"/>
      <c r="F8" s="385"/>
    </row>
    <row r="9" spans="1:6" ht="15.75">
      <c r="A9" s="379"/>
      <c r="B9" s="1422" t="s">
        <v>207</v>
      </c>
      <c r="C9" s="1422"/>
      <c r="D9" s="938" t="s">
        <v>208</v>
      </c>
      <c r="E9" s="364" t="s">
        <v>209</v>
      </c>
    </row>
    <row r="10" spans="1:6" ht="15.75">
      <c r="A10" s="379"/>
      <c r="B10" s="381"/>
      <c r="C10" s="381"/>
      <c r="D10" s="939"/>
      <c r="E10" s="381"/>
      <c r="F10" s="385"/>
    </row>
    <row r="11" spans="1:6" ht="15.75">
      <c r="A11" s="382" t="s">
        <v>210</v>
      </c>
      <c r="B11" s="382" t="s">
        <v>211</v>
      </c>
      <c r="C11" s="379"/>
      <c r="D11" s="940" t="s">
        <v>212</v>
      </c>
      <c r="E11" s="383" t="s">
        <v>213</v>
      </c>
    </row>
    <row r="12" spans="1:6" ht="15.75">
      <c r="A12" s="382"/>
      <c r="B12" s="379" t="s">
        <v>214</v>
      </c>
      <c r="C12" s="379"/>
      <c r="D12" s="940"/>
      <c r="E12" s="382"/>
      <c r="F12" s="383"/>
    </row>
    <row r="13" spans="1:6" ht="15.75">
      <c r="A13" s="938">
        <v>1</v>
      </c>
      <c r="B13" s="379" t="s">
        <v>206</v>
      </c>
      <c r="C13" s="379"/>
      <c r="D13" s="938" t="s">
        <v>205</v>
      </c>
      <c r="E13" s="364">
        <v>1</v>
      </c>
    </row>
    <row r="14" spans="1:6" ht="15.75">
      <c r="A14" s="938">
        <v>2</v>
      </c>
      <c r="B14" s="379" t="s">
        <v>215</v>
      </c>
      <c r="C14" s="379"/>
      <c r="D14" s="938" t="s">
        <v>216</v>
      </c>
      <c r="E14" s="372" t="s">
        <v>217</v>
      </c>
    </row>
    <row r="15" spans="1:6" ht="15.75">
      <c r="A15" s="938">
        <v>3</v>
      </c>
      <c r="B15" s="379" t="s">
        <v>218</v>
      </c>
      <c r="C15" s="379"/>
      <c r="D15" s="938" t="s">
        <v>219</v>
      </c>
      <c r="E15" s="372" t="s">
        <v>220</v>
      </c>
    </row>
    <row r="16" spans="1:6" ht="15.75">
      <c r="A16" s="938">
        <v>4</v>
      </c>
      <c r="B16" s="379" t="s">
        <v>221</v>
      </c>
      <c r="C16" s="379"/>
      <c r="D16" s="938" t="s">
        <v>222</v>
      </c>
      <c r="E16" s="364">
        <v>7</v>
      </c>
    </row>
    <row r="17" spans="1:5" ht="15.75">
      <c r="A17" s="938">
        <v>5</v>
      </c>
      <c r="B17" s="363" t="s">
        <v>223</v>
      </c>
      <c r="C17" s="380"/>
      <c r="D17" s="938" t="s">
        <v>224</v>
      </c>
      <c r="E17" s="364">
        <v>8</v>
      </c>
    </row>
    <row r="18" spans="1:5" ht="15.75">
      <c r="A18" s="938">
        <v>6</v>
      </c>
      <c r="B18" s="379" t="s">
        <v>225</v>
      </c>
      <c r="C18" s="379"/>
      <c r="D18" s="938" t="s">
        <v>226</v>
      </c>
      <c r="E18" s="364" t="s">
        <v>3789</v>
      </c>
    </row>
    <row r="19" spans="1:5" ht="15.75">
      <c r="A19" s="938">
        <v>7</v>
      </c>
      <c r="B19" s="380" t="s">
        <v>227</v>
      </c>
      <c r="C19" s="379"/>
      <c r="D19" s="938" t="s">
        <v>228</v>
      </c>
      <c r="E19" s="364">
        <v>13</v>
      </c>
    </row>
    <row r="20" spans="1:5" ht="15.75">
      <c r="A20" s="938">
        <v>8</v>
      </c>
      <c r="B20" s="380" t="s">
        <v>229</v>
      </c>
      <c r="C20" s="379"/>
      <c r="D20" s="938" t="s">
        <v>230</v>
      </c>
      <c r="E20" s="364" t="s">
        <v>3790</v>
      </c>
    </row>
    <row r="21" spans="1:5" ht="15.75">
      <c r="A21" s="938">
        <v>9</v>
      </c>
      <c r="B21" s="379" t="s">
        <v>231</v>
      </c>
      <c r="C21" s="379"/>
      <c r="D21" s="938" t="s">
        <v>232</v>
      </c>
      <c r="E21" s="372" t="s">
        <v>3791</v>
      </c>
    </row>
    <row r="22" spans="1:5" ht="15.75">
      <c r="A22" s="938">
        <v>10</v>
      </c>
      <c r="B22" s="379" t="s">
        <v>234</v>
      </c>
      <c r="C22" s="363"/>
      <c r="D22" s="938" t="s">
        <v>235</v>
      </c>
      <c r="E22" s="366" t="s">
        <v>3792</v>
      </c>
    </row>
    <row r="23" spans="1:5" ht="15.75">
      <c r="A23" s="938">
        <v>11</v>
      </c>
      <c r="B23" s="379" t="s">
        <v>236</v>
      </c>
      <c r="C23" s="363"/>
      <c r="D23" s="938" t="s">
        <v>237</v>
      </c>
      <c r="E23" s="366">
        <v>24</v>
      </c>
    </row>
    <row r="24" spans="1:5" ht="15.75">
      <c r="A24" s="938">
        <v>12</v>
      </c>
      <c r="B24" s="379" t="s">
        <v>110</v>
      </c>
      <c r="C24" s="363"/>
      <c r="D24" s="938" t="s">
        <v>238</v>
      </c>
      <c r="E24" s="366">
        <v>25</v>
      </c>
    </row>
  </sheetData>
  <mergeCells count="7">
    <mergeCell ref="A1:E1"/>
    <mergeCell ref="A6:E6"/>
    <mergeCell ref="A2:E2"/>
    <mergeCell ref="A4:E4"/>
    <mergeCell ref="B9:C9"/>
    <mergeCell ref="A5:E5"/>
    <mergeCell ref="A3:E3"/>
  </mergeCells>
  <phoneticPr fontId="122" type="noConversion"/>
  <pageMargins left="0.7" right="0.7" top="0.75" bottom="0.75" header="0.3" footer="0.3"/>
  <pageSetup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33614-A398-4E42-84C8-C275402C0C36}">
  <sheetPr codeName="Sheet11"/>
  <dimension ref="A1:S343"/>
  <sheetViews>
    <sheetView view="pageBreakPreview" topLeftCell="A79" zoomScale="60" zoomScaleNormal="100" workbookViewId="0">
      <selection activeCell="A7" sqref="A7:K8"/>
    </sheetView>
  </sheetViews>
  <sheetFormatPr defaultColWidth="8.7109375" defaultRowHeight="15"/>
  <cols>
    <col min="1" max="1" width="8.7109375" style="1090"/>
    <col min="2" max="2" width="23" style="582" customWidth="1"/>
    <col min="3" max="3" width="15.42578125" style="582" bestFit="1" customWidth="1"/>
    <col min="4" max="4" width="26.28515625" style="582" customWidth="1"/>
    <col min="5" max="5" width="54.5703125" style="582" bestFit="1" customWidth="1"/>
    <col min="6" max="6" width="17" style="582" bestFit="1" customWidth="1"/>
    <col min="7" max="9" width="18" style="582" bestFit="1" customWidth="1"/>
    <col min="10" max="10" width="17" style="582" bestFit="1" customWidth="1"/>
    <col min="11" max="12" width="17.5703125" style="582" bestFit="1" customWidth="1"/>
    <col min="13" max="13" width="15.42578125" style="582" bestFit="1" customWidth="1"/>
    <col min="14" max="14" width="17" style="582" bestFit="1" customWidth="1"/>
    <col min="15" max="15" width="16.5703125" style="582" bestFit="1" customWidth="1"/>
    <col min="16" max="16" width="18" style="582" bestFit="1" customWidth="1"/>
    <col min="17" max="17" width="17.5703125" style="582" bestFit="1" customWidth="1"/>
    <col min="18" max="18" width="16.85546875" style="582" bestFit="1" customWidth="1"/>
    <col min="19" max="19" width="16.5703125" style="582" bestFit="1" customWidth="1"/>
    <col min="20" max="32" width="13" style="582" customWidth="1"/>
    <col min="33" max="33" width="12.42578125" style="582" bestFit="1" customWidth="1"/>
    <col min="34" max="16384" width="8.7109375" style="582"/>
  </cols>
  <sheetData>
    <row r="1" spans="1:19">
      <c r="B1" s="1424" t="str">
        <f>Company</f>
        <v>Cascade Natural Gas Corp.</v>
      </c>
      <c r="C1" s="1424"/>
      <c r="D1" s="1424"/>
      <c r="E1" s="1424"/>
      <c r="F1" s="1424"/>
      <c r="G1" s="1424"/>
      <c r="H1" s="1424"/>
      <c r="I1" s="1424"/>
      <c r="J1" s="1424"/>
      <c r="K1" s="1424"/>
      <c r="L1" s="1424"/>
      <c r="M1" s="1424"/>
      <c r="N1" s="1424"/>
      <c r="O1" s="1424"/>
      <c r="P1" s="1424"/>
      <c r="Q1" s="1424"/>
      <c r="R1" s="1424"/>
      <c r="S1" s="1424"/>
    </row>
    <row r="2" spans="1:19">
      <c r="B2" s="1424" t="str">
        <f>Title1</f>
        <v>Washington Jurisdiction</v>
      </c>
      <c r="C2" s="1424"/>
      <c r="D2" s="1424"/>
      <c r="E2" s="1424"/>
      <c r="F2" s="1424"/>
      <c r="G2" s="1424"/>
      <c r="H2" s="1424"/>
      <c r="I2" s="1424"/>
      <c r="J2" s="1424"/>
      <c r="K2" s="1424"/>
      <c r="L2" s="1424"/>
      <c r="M2" s="1424"/>
      <c r="N2" s="1424"/>
      <c r="O2" s="1424"/>
      <c r="P2" s="1424"/>
      <c r="Q2" s="1424"/>
      <c r="R2" s="1424"/>
      <c r="S2" s="1424"/>
    </row>
    <row r="3" spans="1:19">
      <c r="B3" s="1424" t="str">
        <f>Title2</f>
        <v>Twelve-Months ended December 31, 2023</v>
      </c>
      <c r="C3" s="1424"/>
      <c r="D3" s="1424"/>
      <c r="E3" s="1424"/>
      <c r="F3" s="1424"/>
      <c r="G3" s="1424"/>
      <c r="H3" s="1424"/>
      <c r="I3" s="1424"/>
      <c r="J3" s="1424"/>
      <c r="K3" s="1424"/>
      <c r="L3" s="1424"/>
      <c r="M3" s="1424"/>
      <c r="N3" s="1424"/>
      <c r="O3" s="1424"/>
      <c r="P3" s="1424"/>
      <c r="Q3" s="1424"/>
      <c r="R3" s="1424"/>
      <c r="S3" s="1424"/>
    </row>
    <row r="4" spans="1:19">
      <c r="B4" s="1424" t="str">
        <f>Title8</f>
        <v>UG-240008</v>
      </c>
      <c r="C4" s="1424"/>
      <c r="D4" s="1424"/>
      <c r="E4" s="1424"/>
      <c r="F4" s="1424"/>
      <c r="G4" s="1424"/>
      <c r="H4" s="1424"/>
      <c r="I4" s="1424"/>
      <c r="J4" s="1424"/>
      <c r="K4" s="1424"/>
      <c r="L4" s="1424"/>
      <c r="M4" s="1424"/>
      <c r="N4" s="1424"/>
      <c r="O4" s="1424"/>
      <c r="P4" s="1424"/>
      <c r="Q4" s="1424"/>
      <c r="R4" s="1424"/>
      <c r="S4" s="1424"/>
    </row>
    <row r="5" spans="1:19">
      <c r="B5" s="1424" t="s">
        <v>216</v>
      </c>
      <c r="C5" s="1424"/>
      <c r="D5" s="1424"/>
      <c r="E5" s="1424"/>
      <c r="F5" s="1424"/>
      <c r="G5" s="1424"/>
      <c r="H5" s="1424"/>
      <c r="I5" s="1424"/>
      <c r="J5" s="1424"/>
      <c r="K5" s="1424"/>
      <c r="L5" s="1424"/>
      <c r="M5" s="1424"/>
      <c r="N5" s="1424"/>
      <c r="O5" s="1424"/>
      <c r="P5" s="1424"/>
      <c r="Q5" s="1424"/>
      <c r="R5" s="1424"/>
      <c r="S5" s="1424"/>
    </row>
    <row r="6" spans="1:19">
      <c r="B6" s="1423" t="s">
        <v>215</v>
      </c>
      <c r="C6" s="1423"/>
      <c r="D6" s="1423"/>
      <c r="E6" s="1423"/>
      <c r="F6" s="1423"/>
      <c r="G6" s="1423"/>
      <c r="H6" s="1423"/>
      <c r="I6" s="1423"/>
      <c r="J6" s="1423"/>
      <c r="K6" s="1423"/>
      <c r="L6" s="1423"/>
      <c r="M6" s="1423"/>
      <c r="N6" s="1423"/>
      <c r="O6" s="1423"/>
      <c r="P6" s="1423"/>
      <c r="Q6" s="1423"/>
      <c r="R6" s="1423"/>
      <c r="S6" s="1423"/>
    </row>
    <row r="7" spans="1:19">
      <c r="A7" s="644" t="s">
        <v>536</v>
      </c>
      <c r="B7" s="54"/>
      <c r="C7" s="54"/>
      <c r="D7" s="933"/>
      <c r="E7" s="933"/>
      <c r="F7" s="933"/>
      <c r="G7" s="933"/>
      <c r="H7" s="933"/>
      <c r="I7" s="933"/>
      <c r="J7" s="933"/>
      <c r="K7" s="933"/>
      <c r="L7" s="933"/>
      <c r="M7" s="933"/>
      <c r="N7" s="933"/>
      <c r="O7" s="933"/>
      <c r="P7" s="933"/>
      <c r="Q7" s="933"/>
      <c r="R7" s="933"/>
      <c r="S7" s="933"/>
    </row>
    <row r="8" spans="1:19">
      <c r="A8" s="487"/>
      <c r="B8" s="487" t="s">
        <v>439</v>
      </c>
      <c r="C8" s="487" t="s">
        <v>208</v>
      </c>
      <c r="D8" s="706" t="s">
        <v>209</v>
      </c>
      <c r="E8" s="706" t="s">
        <v>440</v>
      </c>
      <c r="F8" s="706" t="s">
        <v>441</v>
      </c>
      <c r="G8" s="706" t="s">
        <v>442</v>
      </c>
      <c r="H8" s="706" t="s">
        <v>443</v>
      </c>
      <c r="I8" s="706" t="s">
        <v>444</v>
      </c>
      <c r="J8" s="706" t="s">
        <v>445</v>
      </c>
      <c r="K8" s="706" t="s">
        <v>446</v>
      </c>
      <c r="L8" s="706" t="s">
        <v>447</v>
      </c>
      <c r="M8" s="706" t="s">
        <v>448</v>
      </c>
      <c r="N8" s="706" t="s">
        <v>449</v>
      </c>
      <c r="O8" s="706" t="s">
        <v>450</v>
      </c>
      <c r="P8" s="706" t="s">
        <v>451</v>
      </c>
      <c r="Q8" s="706" t="s">
        <v>452</v>
      </c>
      <c r="R8" s="706" t="s">
        <v>1502</v>
      </c>
      <c r="S8" s="706" t="s">
        <v>1503</v>
      </c>
    </row>
    <row r="9" spans="1:19">
      <c r="B9" t="s">
        <v>239</v>
      </c>
      <c r="C9" t="s">
        <v>240</v>
      </c>
      <c r="D9" t="s">
        <v>241</v>
      </c>
      <c r="E9" t="s">
        <v>242</v>
      </c>
      <c r="F9" s="519">
        <v>44957</v>
      </c>
      <c r="G9" s="519">
        <v>44985</v>
      </c>
      <c r="H9" s="519">
        <v>45016</v>
      </c>
      <c r="I9" s="519">
        <v>45046</v>
      </c>
      <c r="J9" s="519">
        <v>45077</v>
      </c>
      <c r="K9" s="519">
        <v>45107</v>
      </c>
      <c r="L9" s="519">
        <v>45138</v>
      </c>
      <c r="M9" s="519">
        <v>45169</v>
      </c>
      <c r="N9" s="519">
        <v>45199</v>
      </c>
      <c r="O9" s="519">
        <v>45230</v>
      </c>
      <c r="P9" s="519">
        <v>45260</v>
      </c>
      <c r="Q9" s="519">
        <v>45291</v>
      </c>
      <c r="R9" s="519">
        <v>45322</v>
      </c>
      <c r="S9" t="s">
        <v>200</v>
      </c>
    </row>
    <row r="10" spans="1:19">
      <c r="A10" s="1090">
        <v>1</v>
      </c>
      <c r="B10" t="s">
        <v>243</v>
      </c>
      <c r="C10" s="11">
        <v>0</v>
      </c>
      <c r="D10" s="11" t="s">
        <v>244</v>
      </c>
      <c r="E10" t="s">
        <v>245</v>
      </c>
      <c r="F10" s="45">
        <v>0</v>
      </c>
      <c r="G10" s="45">
        <v>0</v>
      </c>
      <c r="H10" s="45">
        <v>0</v>
      </c>
      <c r="I10" s="45">
        <v>0</v>
      </c>
      <c r="J10" s="45">
        <v>0</v>
      </c>
      <c r="K10" s="45">
        <v>0</v>
      </c>
      <c r="L10" s="45">
        <v>0</v>
      </c>
      <c r="M10" s="45">
        <v>0</v>
      </c>
      <c r="N10" s="45">
        <v>0</v>
      </c>
      <c r="O10" s="527">
        <v>0</v>
      </c>
      <c r="P10" s="527">
        <v>0</v>
      </c>
      <c r="Q10" s="527">
        <v>0</v>
      </c>
      <c r="R10" s="527"/>
      <c r="S10" s="527">
        <f t="shared" ref="S10:S85" si="0">SUM(F10:Q10)</f>
        <v>0</v>
      </c>
    </row>
    <row r="11" spans="1:19">
      <c r="A11" s="1090">
        <v>2</v>
      </c>
      <c r="B11" t="s">
        <v>243</v>
      </c>
      <c r="C11" s="11">
        <v>10</v>
      </c>
      <c r="D11" s="11" t="s">
        <v>246</v>
      </c>
      <c r="E11" t="s">
        <v>141</v>
      </c>
      <c r="F11" s="45">
        <v>-65</v>
      </c>
      <c r="G11" s="527"/>
      <c r="H11" s="45">
        <v>-360</v>
      </c>
      <c r="I11" s="527"/>
      <c r="J11" s="45">
        <v>-44</v>
      </c>
      <c r="K11" s="527"/>
      <c r="L11" s="527"/>
      <c r="M11" s="527"/>
      <c r="N11" s="527"/>
      <c r="O11" s="527" t="s">
        <v>247</v>
      </c>
      <c r="P11" s="527" t="s">
        <v>247</v>
      </c>
      <c r="Q11" s="527" t="s">
        <v>247</v>
      </c>
      <c r="R11" s="527"/>
      <c r="S11" s="527">
        <f t="shared" si="0"/>
        <v>-469</v>
      </c>
    </row>
    <row r="12" spans="1:19">
      <c r="A12" s="1090">
        <v>3</v>
      </c>
      <c r="B12" t="s">
        <v>243</v>
      </c>
      <c r="C12" s="11">
        <v>20</v>
      </c>
      <c r="D12" s="11" t="s">
        <v>248</v>
      </c>
      <c r="E12" t="s">
        <v>142</v>
      </c>
      <c r="F12" s="45">
        <v>-416.1</v>
      </c>
      <c r="G12" s="45"/>
      <c r="H12" s="45">
        <v>-322.85000000000002</v>
      </c>
      <c r="I12" s="45"/>
      <c r="J12" s="45">
        <v>-165.7</v>
      </c>
      <c r="K12" s="45"/>
      <c r="L12" s="45"/>
      <c r="M12" s="45"/>
      <c r="N12" s="45"/>
      <c r="O12" s="527" t="s">
        <v>247</v>
      </c>
      <c r="P12" s="527" t="s">
        <v>247</v>
      </c>
      <c r="Q12" s="527" t="s">
        <v>247</v>
      </c>
      <c r="R12" s="527"/>
      <c r="S12" s="527">
        <f t="shared" si="0"/>
        <v>-904.65000000000009</v>
      </c>
    </row>
    <row r="13" spans="1:19">
      <c r="A13" s="1090">
        <v>4</v>
      </c>
      <c r="B13" t="s">
        <v>243</v>
      </c>
      <c r="C13" s="11">
        <v>20</v>
      </c>
      <c r="D13" s="11" t="s">
        <v>246</v>
      </c>
      <c r="E13" t="s">
        <v>141</v>
      </c>
      <c r="F13" s="45">
        <v>1020820</v>
      </c>
      <c r="G13" s="527">
        <v>1022605</v>
      </c>
      <c r="H13" s="45">
        <v>1024014</v>
      </c>
      <c r="I13" s="527">
        <v>1024505</v>
      </c>
      <c r="J13" s="45">
        <v>1026228</v>
      </c>
      <c r="K13" s="527">
        <v>1023965</v>
      </c>
      <c r="L13" s="527">
        <v>1024310</v>
      </c>
      <c r="M13" s="527">
        <v>1025080</v>
      </c>
      <c r="N13" s="527">
        <v>1023725</v>
      </c>
      <c r="O13" s="527">
        <v>1024889</v>
      </c>
      <c r="P13" s="527">
        <v>1025329</v>
      </c>
      <c r="Q13" s="527">
        <v>1028898</v>
      </c>
      <c r="R13" s="527"/>
      <c r="S13" s="527">
        <f t="shared" si="0"/>
        <v>12294368</v>
      </c>
    </row>
    <row r="14" spans="1:19">
      <c r="A14" s="1090">
        <v>5</v>
      </c>
      <c r="B14" t="s">
        <v>243</v>
      </c>
      <c r="C14" s="11">
        <v>30</v>
      </c>
      <c r="D14" s="11" t="s">
        <v>249</v>
      </c>
      <c r="E14" t="s">
        <v>144</v>
      </c>
      <c r="F14" s="45">
        <v>-645</v>
      </c>
      <c r="G14" s="527"/>
      <c r="H14" s="45">
        <v>-498.82</v>
      </c>
      <c r="I14" s="527"/>
      <c r="J14" s="45">
        <v>-261.37</v>
      </c>
      <c r="K14" s="527"/>
      <c r="L14" s="527"/>
      <c r="M14" s="527"/>
      <c r="N14" s="527"/>
      <c r="O14" s="527" t="s">
        <v>247</v>
      </c>
      <c r="P14" s="527" t="s">
        <v>247</v>
      </c>
      <c r="Q14" s="527" t="s">
        <v>247</v>
      </c>
      <c r="R14" s="527"/>
      <c r="S14" s="527">
        <f t="shared" si="0"/>
        <v>-1405.19</v>
      </c>
    </row>
    <row r="15" spans="1:19">
      <c r="A15" s="1090">
        <v>6</v>
      </c>
      <c r="B15" t="s">
        <v>243</v>
      </c>
      <c r="C15" s="11">
        <v>30</v>
      </c>
      <c r="D15" s="11" t="s">
        <v>248</v>
      </c>
      <c r="E15" t="s">
        <v>142</v>
      </c>
      <c r="F15" s="45">
        <v>8419323.8100000005</v>
      </c>
      <c r="G15" s="45">
        <v>6244744.7699999996</v>
      </c>
      <c r="H15" s="45">
        <v>7272022.4699999997</v>
      </c>
      <c r="I15" s="45">
        <v>4531356.08</v>
      </c>
      <c r="J15" s="45">
        <v>3059679.51</v>
      </c>
      <c r="K15" s="45">
        <v>1418310.71</v>
      </c>
      <c r="L15" s="45">
        <v>1057706.96</v>
      </c>
      <c r="M15" s="45">
        <v>938528.14</v>
      </c>
      <c r="N15" s="45">
        <v>906430.94</v>
      </c>
      <c r="O15" s="527">
        <v>1524072.22</v>
      </c>
      <c r="P15" s="527">
        <v>3219253.03</v>
      </c>
      <c r="Q15" s="527">
        <v>5815745.7800000003</v>
      </c>
      <c r="R15" s="527"/>
      <c r="S15" s="527">
        <f t="shared" si="0"/>
        <v>44407174.420000002</v>
      </c>
    </row>
    <row r="16" spans="1:19">
      <c r="A16" s="1090">
        <v>7</v>
      </c>
      <c r="B16" t="s">
        <v>243</v>
      </c>
      <c r="C16" s="11">
        <v>60</v>
      </c>
      <c r="D16" s="11" t="s">
        <v>249</v>
      </c>
      <c r="E16" t="s">
        <v>144</v>
      </c>
      <c r="F16" s="45">
        <v>17803323.370000001</v>
      </c>
      <c r="G16" s="45">
        <v>13204723.17</v>
      </c>
      <c r="H16" s="45">
        <v>15481876.369999999</v>
      </c>
      <c r="I16" s="45">
        <v>9771153.1899999995</v>
      </c>
      <c r="J16" s="45">
        <v>6597867.25</v>
      </c>
      <c r="K16" s="45">
        <v>3058370.67</v>
      </c>
      <c r="L16" s="45">
        <v>2280735.4700000002</v>
      </c>
      <c r="M16" s="45">
        <v>2023708.22</v>
      </c>
      <c r="N16" s="45">
        <v>1954462.95</v>
      </c>
      <c r="O16" s="527">
        <v>3285916.4</v>
      </c>
      <c r="P16" s="527">
        <v>6598006.7400000002</v>
      </c>
      <c r="Q16" s="527">
        <v>10840658.550000001</v>
      </c>
      <c r="R16" s="527"/>
      <c r="S16" s="527">
        <f t="shared" si="0"/>
        <v>92900802.349999994</v>
      </c>
    </row>
    <row r="17" spans="1:19">
      <c r="A17" s="1090">
        <v>8</v>
      </c>
      <c r="B17" t="s">
        <v>243</v>
      </c>
      <c r="C17" s="11">
        <v>65</v>
      </c>
      <c r="D17" s="11" t="s">
        <v>250</v>
      </c>
      <c r="E17" t="s">
        <v>145</v>
      </c>
      <c r="F17" s="45">
        <v>-183.45</v>
      </c>
      <c r="G17" s="527"/>
      <c r="H17" s="45">
        <v>-109.57</v>
      </c>
      <c r="I17" s="527"/>
      <c r="J17" s="527"/>
      <c r="K17" s="527"/>
      <c r="L17" s="527"/>
      <c r="M17" s="527"/>
      <c r="N17" s="527"/>
      <c r="O17" s="527" t="s">
        <v>247</v>
      </c>
      <c r="P17" s="527" t="s">
        <v>247</v>
      </c>
      <c r="Q17" s="527" t="s">
        <v>247</v>
      </c>
      <c r="R17" s="527"/>
      <c r="S17" s="527">
        <f t="shared" si="0"/>
        <v>-293.02</v>
      </c>
    </row>
    <row r="18" spans="1:19">
      <c r="A18" s="1090">
        <v>9</v>
      </c>
      <c r="B18" t="s">
        <v>243</v>
      </c>
      <c r="C18" s="11">
        <v>80</v>
      </c>
      <c r="D18" s="11" t="s">
        <v>250</v>
      </c>
      <c r="E18" t="s">
        <v>251</v>
      </c>
      <c r="F18" s="45"/>
      <c r="G18" s="45"/>
      <c r="H18" s="45"/>
      <c r="I18" s="45"/>
      <c r="J18" s="45"/>
      <c r="K18" s="45"/>
      <c r="L18" s="45"/>
      <c r="M18" s="45"/>
      <c r="N18" s="45"/>
      <c r="O18" s="527">
        <v>295564.34000000003</v>
      </c>
      <c r="P18" s="527">
        <v>1937379.18</v>
      </c>
      <c r="Q18" s="527">
        <v>4569054.88</v>
      </c>
      <c r="R18" s="527"/>
      <c r="S18" s="527">
        <f t="shared" si="0"/>
        <v>6801998.4000000004</v>
      </c>
    </row>
    <row r="19" spans="1:19">
      <c r="A19" s="1090">
        <v>10</v>
      </c>
      <c r="B19" t="s">
        <v>243</v>
      </c>
      <c r="C19" s="11">
        <v>80</v>
      </c>
      <c r="D19" s="11" t="s">
        <v>250</v>
      </c>
      <c r="E19" t="s">
        <v>145</v>
      </c>
      <c r="F19" s="45">
        <v>4138832.5</v>
      </c>
      <c r="G19" s="45">
        <v>3069858.23</v>
      </c>
      <c r="H19" s="45">
        <v>3599204.39</v>
      </c>
      <c r="I19" s="45">
        <v>2271600.12</v>
      </c>
      <c r="J19" s="45">
        <v>1533845.57</v>
      </c>
      <c r="K19" s="45">
        <v>710885.57</v>
      </c>
      <c r="L19" s="45">
        <v>530007.81000000006</v>
      </c>
      <c r="M19" s="45">
        <v>470236.76</v>
      </c>
      <c r="N19" s="45">
        <v>454124.93</v>
      </c>
      <c r="O19" s="527">
        <v>467931.3</v>
      </c>
      <c r="P19" s="527">
        <v>10874.6</v>
      </c>
      <c r="Q19" s="527">
        <v>-0.85</v>
      </c>
      <c r="R19" s="527"/>
      <c r="S19" s="527">
        <f t="shared" si="0"/>
        <v>17257400.930000003</v>
      </c>
    </row>
    <row r="20" spans="1:19">
      <c r="A20" s="1090">
        <v>11</v>
      </c>
      <c r="B20" t="s">
        <v>243</v>
      </c>
      <c r="C20" s="11">
        <v>90</v>
      </c>
      <c r="D20" s="11" t="s">
        <v>252</v>
      </c>
      <c r="E20" t="s">
        <v>146</v>
      </c>
      <c r="F20" s="45">
        <v>98724.57</v>
      </c>
      <c r="G20" s="527">
        <v>73221.740000000005</v>
      </c>
      <c r="H20" s="45">
        <v>85817.8</v>
      </c>
      <c r="I20" s="527">
        <v>54172.55</v>
      </c>
      <c r="J20" s="45">
        <v>36563.17</v>
      </c>
      <c r="K20" s="527">
        <v>16911.310000000001</v>
      </c>
      <c r="L20" s="527">
        <v>12591.48</v>
      </c>
      <c r="M20" s="527">
        <v>11168.14</v>
      </c>
      <c r="N20" s="527">
        <v>10777.94</v>
      </c>
      <c r="O20" s="527">
        <v>18060.13</v>
      </c>
      <c r="P20" s="527">
        <v>70312.83</v>
      </c>
      <c r="Q20" s="527">
        <v>227165.18</v>
      </c>
      <c r="R20" s="527"/>
      <c r="S20" s="527">
        <f t="shared" si="0"/>
        <v>715486.84</v>
      </c>
    </row>
    <row r="21" spans="1:19">
      <c r="A21" s="1090">
        <v>12</v>
      </c>
      <c r="B21" t="s">
        <v>243</v>
      </c>
      <c r="C21" s="11">
        <v>95</v>
      </c>
      <c r="D21" s="11" t="s">
        <v>253</v>
      </c>
      <c r="E21" t="s">
        <v>147</v>
      </c>
      <c r="F21" s="45">
        <v>-17.559999999999999</v>
      </c>
      <c r="G21" s="527"/>
      <c r="H21" s="45">
        <v>-12.73</v>
      </c>
      <c r="I21" s="527"/>
      <c r="J21" s="45">
        <v>-6.83</v>
      </c>
      <c r="K21" s="527"/>
      <c r="L21" s="527"/>
      <c r="M21" s="527"/>
      <c r="N21" s="527"/>
      <c r="O21" s="527" t="s">
        <v>247</v>
      </c>
      <c r="P21" s="527" t="s">
        <v>247</v>
      </c>
      <c r="Q21" s="527" t="s">
        <v>247</v>
      </c>
      <c r="R21" s="527"/>
      <c r="S21" s="527">
        <f t="shared" si="0"/>
        <v>-37.119999999999997</v>
      </c>
    </row>
    <row r="22" spans="1:19">
      <c r="A22" s="1090">
        <v>13</v>
      </c>
      <c r="B22" t="s">
        <v>243</v>
      </c>
      <c r="C22" s="11">
        <v>100</v>
      </c>
      <c r="D22" s="11" t="s">
        <v>254</v>
      </c>
      <c r="E22" t="s">
        <v>148</v>
      </c>
      <c r="F22" s="45">
        <v>-9.82</v>
      </c>
      <c r="G22" s="45"/>
      <c r="H22" s="45">
        <v>5.41</v>
      </c>
      <c r="I22" s="45"/>
      <c r="J22" s="45">
        <v>0.68</v>
      </c>
      <c r="K22" s="45"/>
      <c r="L22" s="45"/>
      <c r="M22" s="45"/>
      <c r="N22" s="45"/>
      <c r="O22" s="527" t="s">
        <v>247</v>
      </c>
      <c r="P22" s="527" t="s">
        <v>247</v>
      </c>
      <c r="Q22" s="527" t="s">
        <v>247</v>
      </c>
      <c r="R22" s="527"/>
      <c r="S22" s="527">
        <f t="shared" si="0"/>
        <v>-3.73</v>
      </c>
    </row>
    <row r="23" spans="1:19">
      <c r="A23" s="1090">
        <v>14</v>
      </c>
      <c r="B23" t="s">
        <v>243</v>
      </c>
      <c r="C23" s="11">
        <v>100</v>
      </c>
      <c r="D23" s="11" t="s">
        <v>253</v>
      </c>
      <c r="E23" t="s">
        <v>147</v>
      </c>
      <c r="F23" s="45">
        <v>205244.17</v>
      </c>
      <c r="G23" s="527">
        <v>152236.01999999999</v>
      </c>
      <c r="H23" s="45">
        <v>178509.32</v>
      </c>
      <c r="I23" s="527">
        <v>112675.52</v>
      </c>
      <c r="J23" s="45">
        <v>76086.23</v>
      </c>
      <c r="K23" s="527">
        <v>35310.589999999997</v>
      </c>
      <c r="L23" s="527">
        <v>26347.89</v>
      </c>
      <c r="M23" s="527">
        <v>23386.2</v>
      </c>
      <c r="N23" s="527">
        <v>22583.47</v>
      </c>
      <c r="O23" s="527">
        <v>38010.85</v>
      </c>
      <c r="P23" s="527">
        <v>111372.94</v>
      </c>
      <c r="Q23" s="527">
        <v>299032.28999999998</v>
      </c>
      <c r="R23" s="527"/>
      <c r="S23" s="527">
        <f t="shared" si="0"/>
        <v>1280795.49</v>
      </c>
    </row>
    <row r="24" spans="1:19">
      <c r="A24" s="1090">
        <v>15</v>
      </c>
      <c r="B24" t="s">
        <v>243</v>
      </c>
      <c r="C24" s="11">
        <v>105</v>
      </c>
      <c r="D24" s="11" t="s">
        <v>255</v>
      </c>
      <c r="E24" t="s">
        <v>256</v>
      </c>
      <c r="F24" s="45">
        <v>-2.0699999999999998</v>
      </c>
      <c r="G24" s="527"/>
      <c r="H24" s="45">
        <v>-4.1399999999999997</v>
      </c>
      <c r="I24" s="527"/>
      <c r="J24" s="45">
        <v>-24.35</v>
      </c>
      <c r="K24" s="527"/>
      <c r="L24" s="527"/>
      <c r="M24" s="527"/>
      <c r="N24" s="527"/>
      <c r="O24" s="527" t="s">
        <v>247</v>
      </c>
      <c r="P24" s="527" t="s">
        <v>247</v>
      </c>
      <c r="Q24" s="527" t="s">
        <v>247</v>
      </c>
      <c r="R24" s="527"/>
      <c r="S24" s="527">
        <f t="shared" si="0"/>
        <v>-30.560000000000002</v>
      </c>
    </row>
    <row r="25" spans="1:19">
      <c r="A25" s="1090">
        <v>16</v>
      </c>
      <c r="B25" t="s">
        <v>243</v>
      </c>
      <c r="C25" s="11">
        <v>110</v>
      </c>
      <c r="D25" s="11" t="s">
        <v>257</v>
      </c>
      <c r="E25" t="s">
        <v>149</v>
      </c>
      <c r="F25" s="45">
        <v>-39.07</v>
      </c>
      <c r="G25" s="45"/>
      <c r="H25" s="45">
        <v>-30.65</v>
      </c>
      <c r="I25" s="45"/>
      <c r="J25" s="45">
        <v>-7.71</v>
      </c>
      <c r="K25" s="45"/>
      <c r="L25" s="45"/>
      <c r="M25" s="45"/>
      <c r="N25" s="45"/>
      <c r="O25" s="527" t="s">
        <v>247</v>
      </c>
      <c r="P25" s="527" t="s">
        <v>247</v>
      </c>
      <c r="Q25" s="527" t="s">
        <v>247</v>
      </c>
      <c r="R25" s="527"/>
      <c r="S25" s="527">
        <f t="shared" si="0"/>
        <v>-77.429999999999993</v>
      </c>
    </row>
    <row r="26" spans="1:19">
      <c r="A26" s="1090">
        <v>17</v>
      </c>
      <c r="B26" t="s">
        <v>243</v>
      </c>
      <c r="C26" s="11">
        <v>110</v>
      </c>
      <c r="D26" s="11" t="s">
        <v>254</v>
      </c>
      <c r="E26" t="s">
        <v>148</v>
      </c>
      <c r="F26" s="45">
        <v>463269.42</v>
      </c>
      <c r="G26" s="527">
        <v>343583</v>
      </c>
      <c r="H26" s="45">
        <v>402838.38</v>
      </c>
      <c r="I26" s="527">
        <v>254256.37</v>
      </c>
      <c r="J26" s="527">
        <v>171661.52</v>
      </c>
      <c r="K26" s="527">
        <v>79566.97</v>
      </c>
      <c r="L26" s="527">
        <v>59369.49</v>
      </c>
      <c r="M26" s="527">
        <v>52691.39</v>
      </c>
      <c r="N26" s="527">
        <v>50876.19</v>
      </c>
      <c r="O26" s="527">
        <v>85593.81</v>
      </c>
      <c r="P26" s="527">
        <v>77936.429999999993</v>
      </c>
      <c r="Q26" s="527">
        <v>-181824.95</v>
      </c>
      <c r="R26" s="527"/>
      <c r="S26" s="527">
        <f t="shared" si="0"/>
        <v>1859818.0199999998</v>
      </c>
    </row>
    <row r="27" spans="1:19">
      <c r="A27" s="1090">
        <v>18</v>
      </c>
      <c r="B27" t="s">
        <v>243</v>
      </c>
      <c r="C27" s="11">
        <v>115</v>
      </c>
      <c r="D27" s="11" t="s">
        <v>258</v>
      </c>
      <c r="E27" t="s">
        <v>150</v>
      </c>
      <c r="F27" s="45">
        <v>11.65</v>
      </c>
      <c r="G27" s="45"/>
      <c r="H27" s="45">
        <v>8.74</v>
      </c>
      <c r="I27" s="45"/>
      <c r="J27" s="45"/>
      <c r="K27" s="45"/>
      <c r="L27" s="45"/>
      <c r="M27" s="45"/>
      <c r="N27" s="45"/>
      <c r="O27" s="527" t="s">
        <v>247</v>
      </c>
      <c r="P27" s="527" t="s">
        <v>247</v>
      </c>
      <c r="Q27" s="527" t="s">
        <v>247</v>
      </c>
      <c r="R27" s="527"/>
      <c r="S27" s="527">
        <f t="shared" si="0"/>
        <v>20.39</v>
      </c>
    </row>
    <row r="28" spans="1:19">
      <c r="A28" s="1090">
        <v>19</v>
      </c>
      <c r="B28" t="s">
        <v>243</v>
      </c>
      <c r="C28" s="11">
        <v>120</v>
      </c>
      <c r="D28" s="11" t="s">
        <v>255</v>
      </c>
      <c r="E28" t="s">
        <v>256</v>
      </c>
      <c r="F28" s="45">
        <v>0.86</v>
      </c>
      <c r="G28" s="527">
        <v>0</v>
      </c>
      <c r="H28" s="45">
        <v>2.1800000000000002</v>
      </c>
      <c r="I28" s="527">
        <v>0</v>
      </c>
      <c r="J28" s="527">
        <v>24.39</v>
      </c>
      <c r="K28" s="527">
        <v>0</v>
      </c>
      <c r="L28" s="527">
        <v>0</v>
      </c>
      <c r="M28" s="527">
        <v>0</v>
      </c>
      <c r="N28" s="527">
        <v>0</v>
      </c>
      <c r="O28" s="527">
        <v>0</v>
      </c>
      <c r="P28" s="527">
        <v>0</v>
      </c>
      <c r="Q28" s="527">
        <v>0</v>
      </c>
      <c r="R28" s="527"/>
      <c r="S28" s="527">
        <f t="shared" si="0"/>
        <v>27.43</v>
      </c>
    </row>
    <row r="29" spans="1:19">
      <c r="A29" s="1090">
        <v>20</v>
      </c>
      <c r="B29" t="s">
        <v>243</v>
      </c>
      <c r="C29" s="11">
        <v>120</v>
      </c>
      <c r="D29" s="11" t="s">
        <v>259</v>
      </c>
      <c r="E29" t="s">
        <v>151</v>
      </c>
      <c r="F29" s="45">
        <v>4.51</v>
      </c>
      <c r="G29" s="527"/>
      <c r="H29" s="45">
        <v>3.6</v>
      </c>
      <c r="I29" s="527"/>
      <c r="J29" s="527"/>
      <c r="K29" s="527"/>
      <c r="L29" s="527"/>
      <c r="M29" s="527"/>
      <c r="N29" s="527"/>
      <c r="O29" s="527" t="s">
        <v>247</v>
      </c>
      <c r="P29" s="527" t="s">
        <v>247</v>
      </c>
      <c r="Q29" s="527" t="s">
        <v>247</v>
      </c>
      <c r="R29" s="527"/>
      <c r="S29" s="527">
        <f t="shared" si="0"/>
        <v>8.11</v>
      </c>
    </row>
    <row r="30" spans="1:19">
      <c r="A30" s="1090">
        <v>21</v>
      </c>
      <c r="B30" t="s">
        <v>243</v>
      </c>
      <c r="C30" s="11">
        <v>125</v>
      </c>
      <c r="D30" s="11" t="s">
        <v>260</v>
      </c>
      <c r="E30" t="s">
        <v>261</v>
      </c>
      <c r="F30" s="45">
        <v>1.64</v>
      </c>
      <c r="G30" s="45"/>
      <c r="H30" s="45">
        <v>3.28</v>
      </c>
      <c r="I30" s="45"/>
      <c r="J30" s="45"/>
      <c r="K30" s="45"/>
      <c r="L30" s="45"/>
      <c r="M30" s="45"/>
      <c r="N30" s="45"/>
      <c r="O30" s="527" t="s">
        <v>247</v>
      </c>
      <c r="P30" s="527" t="s">
        <v>247</v>
      </c>
      <c r="Q30" s="527" t="s">
        <v>247</v>
      </c>
      <c r="R30" s="527"/>
      <c r="S30" s="527">
        <f t="shared" si="0"/>
        <v>4.92</v>
      </c>
    </row>
    <row r="31" spans="1:19">
      <c r="A31" s="1090">
        <v>22</v>
      </c>
      <c r="B31" t="s">
        <v>243</v>
      </c>
      <c r="C31" s="11">
        <v>130</v>
      </c>
      <c r="D31" s="11" t="s">
        <v>257</v>
      </c>
      <c r="E31" t="s">
        <v>149</v>
      </c>
      <c r="F31" s="45">
        <v>735317.12</v>
      </c>
      <c r="G31" s="45">
        <v>545390.17000000004</v>
      </c>
      <c r="H31" s="45">
        <v>639427.29</v>
      </c>
      <c r="I31" s="45">
        <v>403554.73</v>
      </c>
      <c r="J31" s="45">
        <v>272505.65999999997</v>
      </c>
      <c r="K31" s="45">
        <v>126228.11</v>
      </c>
      <c r="L31" s="45">
        <v>94024.34</v>
      </c>
      <c r="M31" s="45">
        <v>83381.990000000005</v>
      </c>
      <c r="N31" s="45">
        <v>80498.12</v>
      </c>
      <c r="O31" s="527">
        <v>135308.94</v>
      </c>
      <c r="P31" s="527">
        <v>341830.49</v>
      </c>
      <c r="Q31" s="527">
        <v>790377.13</v>
      </c>
      <c r="R31" s="527"/>
      <c r="S31" s="527">
        <f t="shared" si="0"/>
        <v>4247844.09</v>
      </c>
    </row>
    <row r="32" spans="1:19">
      <c r="A32" s="1090">
        <v>23</v>
      </c>
      <c r="B32" t="s">
        <v>243</v>
      </c>
      <c r="C32" s="11">
        <v>140</v>
      </c>
      <c r="D32" s="11" t="s">
        <v>258</v>
      </c>
      <c r="E32" t="s">
        <v>150</v>
      </c>
      <c r="F32" s="45">
        <v>-178228.42</v>
      </c>
      <c r="G32" s="45">
        <v>-132215.53</v>
      </c>
      <c r="H32" s="45">
        <v>-100958.52</v>
      </c>
      <c r="I32" s="45">
        <v>-220.69</v>
      </c>
      <c r="J32" s="45">
        <v>-1.05</v>
      </c>
      <c r="K32" s="45">
        <v>-4.26</v>
      </c>
      <c r="L32" s="45">
        <v>-0.22</v>
      </c>
      <c r="M32" s="45">
        <v>-0.19</v>
      </c>
      <c r="N32" s="45">
        <v>0</v>
      </c>
      <c r="O32" s="527">
        <v>0</v>
      </c>
      <c r="P32" s="527">
        <v>-0.02</v>
      </c>
      <c r="Q32" s="527">
        <v>0</v>
      </c>
      <c r="R32" s="527"/>
      <c r="S32" s="527">
        <f t="shared" si="0"/>
        <v>-411628.9</v>
      </c>
    </row>
    <row r="33" spans="1:19">
      <c r="A33" s="1090">
        <v>24</v>
      </c>
      <c r="B33" t="s">
        <v>243</v>
      </c>
      <c r="C33" s="11">
        <v>150</v>
      </c>
      <c r="D33" s="11" t="s">
        <v>259</v>
      </c>
      <c r="E33" t="s">
        <v>151</v>
      </c>
      <c r="F33" s="45">
        <v>-74407.679999999993</v>
      </c>
      <c r="G33" s="45">
        <v>-55190.7</v>
      </c>
      <c r="H33" s="45">
        <v>-64730.879999999997</v>
      </c>
      <c r="I33" s="45">
        <v>-40860.959999999999</v>
      </c>
      <c r="J33" s="45">
        <v>-27583.65</v>
      </c>
      <c r="K33" s="45">
        <v>-12804.01</v>
      </c>
      <c r="L33" s="45">
        <v>-9538</v>
      </c>
      <c r="M33" s="45">
        <v>-8458.48</v>
      </c>
      <c r="N33" s="45">
        <v>-8160.96</v>
      </c>
      <c r="O33" s="527">
        <v>-13787.98</v>
      </c>
      <c r="P33" s="527">
        <v>-28361.19</v>
      </c>
      <c r="Q33" s="527">
        <v>-49253.46</v>
      </c>
      <c r="R33" s="527"/>
      <c r="S33" s="527">
        <f t="shared" si="0"/>
        <v>-393137.95</v>
      </c>
    </row>
    <row r="34" spans="1:19">
      <c r="A34" s="1090">
        <v>25</v>
      </c>
      <c r="B34" t="s">
        <v>243</v>
      </c>
      <c r="C34" s="11">
        <v>160</v>
      </c>
      <c r="D34" s="11" t="s">
        <v>260</v>
      </c>
      <c r="E34" t="s">
        <v>261</v>
      </c>
      <c r="F34" s="45">
        <v>-0.69</v>
      </c>
      <c r="G34" s="45">
        <v>0</v>
      </c>
      <c r="H34" s="45">
        <v>-1.64</v>
      </c>
      <c r="I34" s="45">
        <v>0</v>
      </c>
      <c r="J34" s="45">
        <v>0</v>
      </c>
      <c r="K34" s="45">
        <v>0</v>
      </c>
      <c r="L34" s="45">
        <v>0</v>
      </c>
      <c r="M34" s="45">
        <v>0</v>
      </c>
      <c r="N34" s="45">
        <v>0</v>
      </c>
      <c r="O34" s="527">
        <v>0</v>
      </c>
      <c r="P34" s="527">
        <v>0</v>
      </c>
      <c r="Q34" s="527">
        <v>0</v>
      </c>
      <c r="R34" s="527"/>
      <c r="S34" s="527">
        <f t="shared" si="0"/>
        <v>-2.33</v>
      </c>
    </row>
    <row r="35" spans="1:19">
      <c r="A35" s="1090">
        <v>26</v>
      </c>
      <c r="B35" t="s">
        <v>243</v>
      </c>
      <c r="C35" s="11">
        <v>170</v>
      </c>
      <c r="D35" s="11" t="s">
        <v>262</v>
      </c>
      <c r="E35" t="s">
        <v>263</v>
      </c>
      <c r="F35" s="45"/>
      <c r="G35" s="45"/>
      <c r="H35" s="45"/>
      <c r="I35" s="45"/>
      <c r="J35" s="45"/>
      <c r="K35" s="45"/>
      <c r="L35" s="45"/>
      <c r="M35" s="45"/>
      <c r="N35" s="45"/>
      <c r="O35" s="527">
        <v>21533</v>
      </c>
      <c r="P35" s="527">
        <v>116591.64</v>
      </c>
      <c r="Q35" s="527">
        <v>212066.65</v>
      </c>
      <c r="R35" s="527"/>
      <c r="S35" s="527">
        <f t="shared" si="0"/>
        <v>350191.29000000004</v>
      </c>
    </row>
    <row r="36" spans="1:19">
      <c r="A36" s="1090">
        <v>27</v>
      </c>
      <c r="B36" t="s">
        <v>243</v>
      </c>
      <c r="C36" s="11">
        <v>185</v>
      </c>
      <c r="D36" s="11" t="s">
        <v>264</v>
      </c>
      <c r="E36" t="s">
        <v>265</v>
      </c>
      <c r="F36" s="45"/>
      <c r="G36" s="45"/>
      <c r="H36" s="45"/>
      <c r="I36" s="45"/>
      <c r="J36" s="45"/>
      <c r="K36" s="45"/>
      <c r="L36" s="45"/>
      <c r="M36" s="45"/>
      <c r="N36" s="45"/>
      <c r="O36" s="527">
        <v>-5064.83</v>
      </c>
      <c r="P36" s="527">
        <v>-50313.599999999999</v>
      </c>
      <c r="Q36" s="527">
        <v>-105765.47</v>
      </c>
      <c r="R36" s="527"/>
      <c r="S36" s="527">
        <f t="shared" si="0"/>
        <v>-161143.9</v>
      </c>
    </row>
    <row r="37" spans="1:19">
      <c r="A37" s="1090">
        <v>28</v>
      </c>
      <c r="B37" t="s">
        <v>243</v>
      </c>
      <c r="C37" s="11">
        <v>340</v>
      </c>
      <c r="D37" s="11" t="s">
        <v>266</v>
      </c>
      <c r="E37" t="s">
        <v>267</v>
      </c>
      <c r="F37" s="45">
        <v>1680343.31</v>
      </c>
      <c r="G37" s="45">
        <v>1246262.3700000001</v>
      </c>
      <c r="H37" s="45">
        <v>1426349.36</v>
      </c>
      <c r="I37" s="45">
        <v>909297.74</v>
      </c>
      <c r="J37" s="45">
        <v>617947.69999999995</v>
      </c>
      <c r="K37" s="45">
        <v>313166.06</v>
      </c>
      <c r="L37" s="45">
        <v>245688.81</v>
      </c>
      <c r="M37" s="45">
        <v>225952.01</v>
      </c>
      <c r="N37" s="45">
        <v>219276.41</v>
      </c>
      <c r="O37" s="527">
        <v>324428.12</v>
      </c>
      <c r="P37" s="527">
        <v>645078.87</v>
      </c>
      <c r="Q37" s="527">
        <v>1178834.79</v>
      </c>
      <c r="R37" s="527"/>
      <c r="S37" s="527">
        <f t="shared" si="0"/>
        <v>9032625.5500000007</v>
      </c>
    </row>
    <row r="38" spans="1:19">
      <c r="A38" s="1090">
        <v>29</v>
      </c>
      <c r="B38" t="s">
        <v>243</v>
      </c>
      <c r="C38" s="11">
        <v>350</v>
      </c>
      <c r="D38" s="11" t="s">
        <v>268</v>
      </c>
      <c r="E38" t="s">
        <v>269</v>
      </c>
      <c r="F38" s="45">
        <v>0</v>
      </c>
      <c r="G38" s="45">
        <v>0</v>
      </c>
      <c r="H38" s="45">
        <v>0</v>
      </c>
      <c r="I38" s="45">
        <v>0</v>
      </c>
      <c r="J38" s="45">
        <v>0</v>
      </c>
      <c r="K38" s="45">
        <v>0</v>
      </c>
      <c r="L38" s="45">
        <v>0</v>
      </c>
      <c r="M38" s="45">
        <v>0</v>
      </c>
      <c r="N38" s="45">
        <v>0</v>
      </c>
      <c r="O38" s="527">
        <v>0</v>
      </c>
      <c r="P38" s="527">
        <v>0</v>
      </c>
      <c r="Q38" s="527">
        <v>0</v>
      </c>
      <c r="R38" s="527"/>
      <c r="S38" s="527">
        <f t="shared" si="0"/>
        <v>0</v>
      </c>
    </row>
    <row r="39" spans="1:19">
      <c r="A39" s="1090">
        <v>30</v>
      </c>
      <c r="B39" t="s">
        <v>243</v>
      </c>
      <c r="C39" s="11">
        <v>360</v>
      </c>
      <c r="D39" s="11" t="s">
        <v>270</v>
      </c>
      <c r="E39" t="s">
        <v>271</v>
      </c>
      <c r="F39" s="45">
        <v>0</v>
      </c>
      <c r="G39" s="45">
        <v>0</v>
      </c>
      <c r="H39" s="45">
        <v>0</v>
      </c>
      <c r="I39" s="45">
        <v>0</v>
      </c>
      <c r="J39" s="45">
        <v>0</v>
      </c>
      <c r="K39" s="45">
        <v>0</v>
      </c>
      <c r="L39" s="45">
        <v>0</v>
      </c>
      <c r="M39" s="45">
        <v>0</v>
      </c>
      <c r="N39" s="45">
        <v>0</v>
      </c>
      <c r="O39" s="527">
        <v>0</v>
      </c>
      <c r="P39" s="527">
        <v>0</v>
      </c>
      <c r="Q39" s="527">
        <v>0</v>
      </c>
      <c r="R39" s="527"/>
      <c r="S39" s="527">
        <f t="shared" si="0"/>
        <v>0</v>
      </c>
    </row>
    <row r="40" spans="1:19">
      <c r="A40" s="1090">
        <v>31</v>
      </c>
      <c r="B40" t="s">
        <v>243</v>
      </c>
      <c r="C40" s="11">
        <v>365</v>
      </c>
      <c r="D40" s="11" t="s">
        <v>266</v>
      </c>
      <c r="E40" t="s">
        <v>272</v>
      </c>
      <c r="F40" s="45">
        <v>6951.69</v>
      </c>
      <c r="G40" s="45">
        <v>4688.2700000000004</v>
      </c>
      <c r="H40" s="45">
        <v>4722.6499999999996</v>
      </c>
      <c r="I40" s="45">
        <v>3004.08</v>
      </c>
      <c r="J40" s="45">
        <v>1884.11</v>
      </c>
      <c r="K40" s="45">
        <v>861.1</v>
      </c>
      <c r="L40" s="45">
        <v>764.57</v>
      </c>
      <c r="M40" s="45">
        <v>793.15</v>
      </c>
      <c r="N40" s="45">
        <v>714.99</v>
      </c>
      <c r="O40" s="527">
        <v>970.49</v>
      </c>
      <c r="P40" s="527">
        <v>2101.0500000000002</v>
      </c>
      <c r="Q40" s="527">
        <v>4239.34</v>
      </c>
      <c r="R40" s="527"/>
      <c r="S40" s="527">
        <f t="shared" si="0"/>
        <v>31695.49</v>
      </c>
    </row>
    <row r="41" spans="1:19">
      <c r="A41" s="1090">
        <v>32</v>
      </c>
      <c r="B41" t="s">
        <v>243</v>
      </c>
      <c r="C41" s="11">
        <v>390</v>
      </c>
      <c r="D41" s="11" t="s">
        <v>273</v>
      </c>
      <c r="E41" t="s">
        <v>274</v>
      </c>
      <c r="F41" s="45">
        <v>614.44000000000005</v>
      </c>
      <c r="G41" s="45">
        <v>410.53</v>
      </c>
      <c r="H41" s="45">
        <v>527.66</v>
      </c>
      <c r="I41" s="45">
        <v>318.3</v>
      </c>
      <c r="J41" s="45">
        <v>263.61</v>
      </c>
      <c r="K41" s="45">
        <v>132.09</v>
      </c>
      <c r="L41" s="45">
        <v>107.18</v>
      </c>
      <c r="M41" s="45">
        <v>104.87</v>
      </c>
      <c r="N41" s="45">
        <v>92.79</v>
      </c>
      <c r="O41" s="527">
        <v>124.47</v>
      </c>
      <c r="P41" s="527">
        <v>212.78</v>
      </c>
      <c r="Q41" s="527">
        <v>400.34</v>
      </c>
      <c r="R41" s="527"/>
      <c r="S41" s="527">
        <f t="shared" si="0"/>
        <v>3309.06</v>
      </c>
    </row>
    <row r="42" spans="1:19">
      <c r="A42" s="1090">
        <v>33</v>
      </c>
      <c r="B42" t="s">
        <v>243</v>
      </c>
      <c r="C42" s="11">
        <v>400</v>
      </c>
      <c r="D42" s="11" t="s">
        <v>275</v>
      </c>
      <c r="E42" t="s">
        <v>276</v>
      </c>
      <c r="F42" s="527">
        <v>0</v>
      </c>
      <c r="G42" s="45">
        <v>0</v>
      </c>
      <c r="H42" s="45">
        <v>0</v>
      </c>
      <c r="I42" s="45">
        <v>0</v>
      </c>
      <c r="J42" s="45">
        <v>0</v>
      </c>
      <c r="K42" s="45">
        <v>0</v>
      </c>
      <c r="L42" s="527">
        <v>0</v>
      </c>
      <c r="M42" s="45">
        <v>0</v>
      </c>
      <c r="N42" s="527">
        <v>0</v>
      </c>
      <c r="O42" s="527">
        <v>0</v>
      </c>
      <c r="P42" s="527">
        <v>0</v>
      </c>
      <c r="Q42" s="527">
        <v>0</v>
      </c>
      <c r="R42" s="527"/>
      <c r="S42" s="527">
        <f t="shared" si="0"/>
        <v>0</v>
      </c>
    </row>
    <row r="43" spans="1:19">
      <c r="A43" s="1090">
        <v>34</v>
      </c>
      <c r="B43" t="s">
        <v>243</v>
      </c>
      <c r="C43" s="11">
        <v>460</v>
      </c>
      <c r="D43" s="11" t="s">
        <v>277</v>
      </c>
      <c r="E43" t="s">
        <v>153</v>
      </c>
      <c r="F43" s="45">
        <v>-195.87</v>
      </c>
      <c r="G43" s="45">
        <v>-140.22</v>
      </c>
      <c r="H43" s="45">
        <v>-173.86</v>
      </c>
      <c r="I43" s="45">
        <v>-111.37</v>
      </c>
      <c r="J43" s="45">
        <v>-92.7</v>
      </c>
      <c r="K43" s="45">
        <v>-41.72</v>
      </c>
      <c r="L43" s="45">
        <v>-31.32</v>
      </c>
      <c r="M43" s="45">
        <v>-25.2</v>
      </c>
      <c r="N43" s="45">
        <v>-24.31</v>
      </c>
      <c r="O43" s="527">
        <v>-39.58</v>
      </c>
      <c r="P43" s="527">
        <v>-73.61</v>
      </c>
      <c r="Q43" s="527">
        <v>-125.92</v>
      </c>
      <c r="R43" s="527"/>
      <c r="S43" s="527">
        <f t="shared" si="0"/>
        <v>-1075.6800000000003</v>
      </c>
    </row>
    <row r="44" spans="1:19">
      <c r="A44" s="1090">
        <v>35</v>
      </c>
      <c r="B44" t="s">
        <v>243</v>
      </c>
      <c r="C44" s="11">
        <v>470</v>
      </c>
      <c r="D44" s="11" t="s">
        <v>278</v>
      </c>
      <c r="E44" t="s">
        <v>154</v>
      </c>
      <c r="F44" s="45">
        <v>6749.64</v>
      </c>
      <c r="G44" s="45">
        <v>4597.6400000000003</v>
      </c>
      <c r="H44" s="45">
        <v>4697.49</v>
      </c>
      <c r="I44" s="45">
        <v>2771.36</v>
      </c>
      <c r="J44" s="45">
        <v>1501.19</v>
      </c>
      <c r="K44" s="45">
        <v>720.12</v>
      </c>
      <c r="L44" s="45">
        <v>663.04</v>
      </c>
      <c r="M44" s="45">
        <v>680.65</v>
      </c>
      <c r="N44" s="45">
        <v>613.79</v>
      </c>
      <c r="O44" s="527">
        <v>920.94</v>
      </c>
      <c r="P44" s="527">
        <v>2615.9499999999998</v>
      </c>
      <c r="Q44" s="527">
        <v>4115.93</v>
      </c>
      <c r="R44" s="527"/>
      <c r="S44" s="527">
        <f t="shared" si="0"/>
        <v>30647.74</v>
      </c>
    </row>
    <row r="45" spans="1:19">
      <c r="A45" s="1090">
        <v>36</v>
      </c>
      <c r="B45" t="s">
        <v>243</v>
      </c>
      <c r="C45" s="11">
        <v>8060</v>
      </c>
      <c r="D45" s="11" t="s">
        <v>279</v>
      </c>
      <c r="E45" t="s">
        <v>280</v>
      </c>
      <c r="F45" s="45" t="s">
        <v>247</v>
      </c>
      <c r="G45" s="45" t="s">
        <v>247</v>
      </c>
      <c r="H45" s="45" t="s">
        <v>247</v>
      </c>
      <c r="I45" s="45" t="s">
        <v>247</v>
      </c>
      <c r="J45" s="45" t="s">
        <v>247</v>
      </c>
      <c r="K45" s="45" t="s">
        <v>247</v>
      </c>
      <c r="L45" s="45" t="s">
        <v>247</v>
      </c>
      <c r="M45" s="45" t="s">
        <v>247</v>
      </c>
      <c r="N45" s="45" t="s">
        <v>247</v>
      </c>
      <c r="O45" s="527" t="s">
        <v>247</v>
      </c>
      <c r="P45" s="527">
        <v>-2.8</v>
      </c>
      <c r="Q45" s="527" t="s">
        <v>247</v>
      </c>
      <c r="R45" s="527"/>
      <c r="S45" s="527">
        <f t="shared" si="0"/>
        <v>-2.8</v>
      </c>
    </row>
    <row r="46" spans="1:19">
      <c r="A46" s="1090">
        <v>37</v>
      </c>
      <c r="B46" t="s">
        <v>243</v>
      </c>
      <c r="C46" s="11">
        <v>8060</v>
      </c>
      <c r="D46" s="11" t="s">
        <v>281</v>
      </c>
      <c r="E46" t="s">
        <v>280</v>
      </c>
      <c r="F46" s="45"/>
      <c r="G46" s="45"/>
      <c r="H46" s="45"/>
      <c r="I46" s="45">
        <v>-599.17999999999995</v>
      </c>
      <c r="J46" s="45"/>
      <c r="K46" s="45"/>
      <c r="L46" s="45"/>
      <c r="M46" s="45"/>
      <c r="N46" s="45"/>
      <c r="O46" s="527" t="s">
        <v>247</v>
      </c>
      <c r="P46" s="527">
        <v>-451</v>
      </c>
      <c r="Q46" s="527" t="s">
        <v>247</v>
      </c>
      <c r="R46" s="527"/>
      <c r="S46" s="527">
        <f t="shared" si="0"/>
        <v>-1050.1799999999998</v>
      </c>
    </row>
    <row r="47" spans="1:19">
      <c r="A47" s="1090">
        <v>38</v>
      </c>
      <c r="B47" t="s">
        <v>243</v>
      </c>
      <c r="C47" s="11">
        <v>8060</v>
      </c>
      <c r="D47" s="11" t="s">
        <v>282</v>
      </c>
      <c r="E47" t="s">
        <v>280</v>
      </c>
      <c r="F47" s="45"/>
      <c r="G47" s="45">
        <v>-0.61</v>
      </c>
      <c r="H47" s="45">
        <v>-1.77</v>
      </c>
      <c r="I47" s="45">
        <v>-68.349999999999994</v>
      </c>
      <c r="J47" s="45">
        <v>-1.56</v>
      </c>
      <c r="K47" s="45">
        <v>-0.64</v>
      </c>
      <c r="L47" s="45"/>
      <c r="M47" s="45">
        <v>-0.38</v>
      </c>
      <c r="N47" s="45"/>
      <c r="O47" s="527" t="s">
        <v>247</v>
      </c>
      <c r="P47" s="527">
        <v>-0.32</v>
      </c>
      <c r="Q47" s="527" t="s">
        <v>247</v>
      </c>
      <c r="R47" s="527"/>
      <c r="S47" s="527">
        <f t="shared" si="0"/>
        <v>-73.629999999999981</v>
      </c>
    </row>
    <row r="48" spans="1:19">
      <c r="A48" s="1090">
        <v>39</v>
      </c>
      <c r="B48" t="s">
        <v>243</v>
      </c>
      <c r="C48" s="11">
        <v>8060</v>
      </c>
      <c r="D48" s="11" t="s">
        <v>283</v>
      </c>
      <c r="E48" t="s">
        <v>280</v>
      </c>
      <c r="F48" s="45"/>
      <c r="G48" s="45"/>
      <c r="H48" s="45"/>
      <c r="I48" s="45">
        <v>-35.909999999999997</v>
      </c>
      <c r="J48" s="45"/>
      <c r="K48" s="45"/>
      <c r="L48" s="45"/>
      <c r="M48" s="45"/>
      <c r="N48" s="45"/>
      <c r="O48" s="527" t="s">
        <v>247</v>
      </c>
      <c r="P48" s="527">
        <v>-18.63</v>
      </c>
      <c r="Q48" s="527" t="s">
        <v>247</v>
      </c>
      <c r="R48" s="527"/>
      <c r="S48" s="527">
        <f t="shared" si="0"/>
        <v>-54.539999999999992</v>
      </c>
    </row>
    <row r="49" spans="1:19">
      <c r="A49" s="1090">
        <v>40</v>
      </c>
      <c r="B49" t="s">
        <v>243</v>
      </c>
      <c r="C49" s="11">
        <v>8060</v>
      </c>
      <c r="D49" s="11" t="s">
        <v>284</v>
      </c>
      <c r="E49" t="s">
        <v>280</v>
      </c>
      <c r="F49" s="45"/>
      <c r="G49" s="45"/>
      <c r="H49" s="45"/>
      <c r="I49" s="45">
        <v>2.1800000000000002</v>
      </c>
      <c r="J49" s="45"/>
      <c r="K49" s="45"/>
      <c r="L49" s="45"/>
      <c r="M49" s="45"/>
      <c r="N49" s="45"/>
      <c r="O49" s="527" t="s">
        <v>247</v>
      </c>
      <c r="P49" s="527">
        <v>-11.73</v>
      </c>
      <c r="Q49" s="527" t="s">
        <v>247</v>
      </c>
      <c r="R49" s="527"/>
      <c r="S49" s="527">
        <f t="shared" si="0"/>
        <v>-9.5500000000000007</v>
      </c>
    </row>
    <row r="50" spans="1:19">
      <c r="A50" s="1090">
        <v>41</v>
      </c>
      <c r="B50" t="s">
        <v>243</v>
      </c>
      <c r="C50" s="11">
        <v>8060</v>
      </c>
      <c r="D50" s="11" t="s">
        <v>285</v>
      </c>
      <c r="E50" t="s">
        <v>280</v>
      </c>
      <c r="F50" s="45"/>
      <c r="G50" s="45"/>
      <c r="H50" s="45"/>
      <c r="I50" s="45">
        <v>-3.54</v>
      </c>
      <c r="J50" s="45"/>
      <c r="K50" s="45"/>
      <c r="L50" s="45"/>
      <c r="M50" s="45"/>
      <c r="N50" s="45"/>
      <c r="O50" s="527" t="s">
        <v>247</v>
      </c>
      <c r="P50" s="527" t="s">
        <v>247</v>
      </c>
      <c r="Q50" s="527" t="s">
        <v>247</v>
      </c>
      <c r="R50" s="527"/>
      <c r="S50" s="527">
        <f t="shared" si="0"/>
        <v>-3.54</v>
      </c>
    </row>
    <row r="51" spans="1:19">
      <c r="A51" s="1090">
        <v>42</v>
      </c>
      <c r="B51" t="s">
        <v>243</v>
      </c>
      <c r="C51" s="11">
        <v>8060</v>
      </c>
      <c r="D51" s="11" t="s">
        <v>286</v>
      </c>
      <c r="E51" t="s">
        <v>280</v>
      </c>
      <c r="F51" s="45"/>
      <c r="G51" s="45"/>
      <c r="H51" s="45"/>
      <c r="I51" s="45">
        <v>2.2200000000000002</v>
      </c>
      <c r="J51" s="45"/>
      <c r="K51" s="45"/>
      <c r="L51" s="45"/>
      <c r="M51" s="45"/>
      <c r="N51" s="45"/>
      <c r="O51" s="527" t="s">
        <v>247</v>
      </c>
      <c r="P51" s="527" t="s">
        <v>247</v>
      </c>
      <c r="Q51" s="527" t="s">
        <v>247</v>
      </c>
      <c r="R51" s="527"/>
      <c r="S51" s="527">
        <f t="shared" si="0"/>
        <v>2.2200000000000002</v>
      </c>
    </row>
    <row r="52" spans="1:19">
      <c r="A52" s="1090">
        <v>43</v>
      </c>
      <c r="B52" t="s">
        <v>243</v>
      </c>
      <c r="C52" s="11">
        <v>8060</v>
      </c>
      <c r="D52" s="11" t="s">
        <v>287</v>
      </c>
      <c r="E52" t="s">
        <v>280</v>
      </c>
      <c r="F52" s="45"/>
      <c r="G52" s="45"/>
      <c r="H52" s="45"/>
      <c r="I52" s="45">
        <v>-386.57</v>
      </c>
      <c r="J52" s="45"/>
      <c r="K52" s="45"/>
      <c r="L52" s="45"/>
      <c r="M52" s="45"/>
      <c r="N52" s="45"/>
      <c r="O52" s="527" t="s">
        <v>247</v>
      </c>
      <c r="P52" s="527">
        <v>-209.14</v>
      </c>
      <c r="Q52" s="527" t="s">
        <v>247</v>
      </c>
      <c r="R52" s="527"/>
      <c r="S52" s="527">
        <f t="shared" si="0"/>
        <v>-595.71</v>
      </c>
    </row>
    <row r="53" spans="1:19">
      <c r="A53" s="1090">
        <v>44</v>
      </c>
      <c r="B53" t="s">
        <v>243</v>
      </c>
      <c r="C53" s="11">
        <v>8060</v>
      </c>
      <c r="D53" s="11" t="s">
        <v>288</v>
      </c>
      <c r="E53" t="s">
        <v>280</v>
      </c>
      <c r="F53" s="45"/>
      <c r="G53" s="45"/>
      <c r="H53" s="45"/>
      <c r="I53" s="45">
        <v>9.8000000000000007</v>
      </c>
      <c r="J53" s="45"/>
      <c r="K53" s="45"/>
      <c r="L53" s="45"/>
      <c r="M53" s="45"/>
      <c r="N53" s="45"/>
      <c r="O53" s="527" t="s">
        <v>247</v>
      </c>
      <c r="P53" s="527" t="s">
        <v>247</v>
      </c>
      <c r="Q53" s="527" t="s">
        <v>247</v>
      </c>
      <c r="R53" s="527"/>
      <c r="S53" s="527">
        <f t="shared" si="0"/>
        <v>9.8000000000000007</v>
      </c>
    </row>
    <row r="54" spans="1:19">
      <c r="A54" s="1090">
        <v>45</v>
      </c>
      <c r="B54" t="s">
        <v>243</v>
      </c>
      <c r="C54" s="11">
        <v>8060</v>
      </c>
      <c r="D54" s="11" t="s">
        <v>289</v>
      </c>
      <c r="E54" t="s">
        <v>280</v>
      </c>
      <c r="F54" s="45"/>
      <c r="G54" s="45"/>
      <c r="H54" s="45"/>
      <c r="I54" s="45">
        <v>-13.75</v>
      </c>
      <c r="J54" s="45"/>
      <c r="K54" s="45"/>
      <c r="L54" s="45"/>
      <c r="M54" s="45"/>
      <c r="N54" s="45"/>
      <c r="O54" s="527" t="s">
        <v>247</v>
      </c>
      <c r="P54" s="527">
        <v>-5.2</v>
      </c>
      <c r="Q54" s="527" t="s">
        <v>247</v>
      </c>
      <c r="R54" s="527"/>
      <c r="S54" s="527">
        <f t="shared" si="0"/>
        <v>-18.95</v>
      </c>
    </row>
    <row r="55" spans="1:19">
      <c r="A55" s="1090">
        <v>46</v>
      </c>
      <c r="B55" t="s">
        <v>243</v>
      </c>
      <c r="C55" s="11">
        <v>8060</v>
      </c>
      <c r="D55" s="11" t="s">
        <v>290</v>
      </c>
      <c r="E55" t="s">
        <v>280</v>
      </c>
      <c r="F55" s="45"/>
      <c r="G55" s="45">
        <v>-10</v>
      </c>
      <c r="H55" s="45">
        <v>-36.4</v>
      </c>
      <c r="I55" s="45">
        <v>-10</v>
      </c>
      <c r="J55" s="45">
        <v>-25</v>
      </c>
      <c r="K55" s="45">
        <v>-10</v>
      </c>
      <c r="L55" s="45"/>
      <c r="M55" s="45">
        <v>-10</v>
      </c>
      <c r="N55" s="45"/>
      <c r="O55" s="527" t="s">
        <v>247</v>
      </c>
      <c r="P55" s="527">
        <v>-10</v>
      </c>
      <c r="Q55" s="527">
        <v>-5</v>
      </c>
      <c r="R55" s="527"/>
      <c r="S55" s="527">
        <f t="shared" si="0"/>
        <v>-116.4</v>
      </c>
    </row>
    <row r="56" spans="1:19">
      <c r="A56" s="1090">
        <v>47</v>
      </c>
      <c r="B56" t="s">
        <v>243</v>
      </c>
      <c r="C56" s="11">
        <v>8060</v>
      </c>
      <c r="D56" s="11" t="s">
        <v>291</v>
      </c>
      <c r="E56" t="s">
        <v>280</v>
      </c>
      <c r="F56" s="45"/>
      <c r="G56" s="45"/>
      <c r="H56" s="45"/>
      <c r="I56" s="45">
        <v>-158.5</v>
      </c>
      <c r="J56" s="45"/>
      <c r="K56" s="45"/>
      <c r="L56" s="45"/>
      <c r="M56" s="45"/>
      <c r="N56" s="45"/>
      <c r="O56" s="527" t="s">
        <v>247</v>
      </c>
      <c r="P56" s="527">
        <v>-104.85</v>
      </c>
      <c r="Q56" s="527" t="s">
        <v>247</v>
      </c>
      <c r="R56" s="527"/>
      <c r="S56" s="527">
        <f t="shared" si="0"/>
        <v>-263.35000000000002</v>
      </c>
    </row>
    <row r="57" spans="1:19">
      <c r="A57" s="1090">
        <v>48</v>
      </c>
      <c r="B57" t="s">
        <v>243</v>
      </c>
      <c r="C57" s="11">
        <v>8060</v>
      </c>
      <c r="D57" s="11" t="s">
        <v>292</v>
      </c>
      <c r="E57" t="s">
        <v>280</v>
      </c>
      <c r="F57" s="45"/>
      <c r="G57" s="45"/>
      <c r="H57" s="45"/>
      <c r="I57" s="45">
        <v>4.0999999999999996</v>
      </c>
      <c r="J57" s="45"/>
      <c r="K57" s="45"/>
      <c r="L57" s="45"/>
      <c r="M57" s="45"/>
      <c r="N57" s="45"/>
      <c r="O57" s="527" t="s">
        <v>247</v>
      </c>
      <c r="P57" s="527">
        <v>1.88</v>
      </c>
      <c r="Q57" s="527" t="s">
        <v>247</v>
      </c>
      <c r="R57" s="527"/>
      <c r="S57" s="527">
        <f t="shared" si="0"/>
        <v>5.9799999999999995</v>
      </c>
    </row>
    <row r="58" spans="1:19">
      <c r="A58" s="1090">
        <v>49</v>
      </c>
      <c r="B58" t="s">
        <v>243</v>
      </c>
      <c r="C58" s="11">
        <v>8060</v>
      </c>
      <c r="D58" s="11" t="s">
        <v>293</v>
      </c>
      <c r="E58" t="s">
        <v>280</v>
      </c>
      <c r="F58" s="45"/>
      <c r="G58" s="45"/>
      <c r="H58" s="45"/>
      <c r="I58" s="45">
        <v>-4.84</v>
      </c>
      <c r="J58" s="45"/>
      <c r="K58" s="45"/>
      <c r="L58" s="45"/>
      <c r="M58" s="45"/>
      <c r="N58" s="45"/>
      <c r="O58" s="527" t="s">
        <v>247</v>
      </c>
      <c r="P58" s="527">
        <v>-2.5</v>
      </c>
      <c r="Q58" s="527" t="s">
        <v>247</v>
      </c>
      <c r="R58" s="527"/>
      <c r="S58" s="527">
        <f t="shared" si="0"/>
        <v>-7.34</v>
      </c>
    </row>
    <row r="59" spans="1:19">
      <c r="A59" s="1090">
        <v>50</v>
      </c>
      <c r="B59" t="s">
        <v>294</v>
      </c>
      <c r="C59" s="11">
        <v>0</v>
      </c>
      <c r="D59" s="11" t="s">
        <v>244</v>
      </c>
      <c r="E59" t="s">
        <v>245</v>
      </c>
      <c r="F59" s="45">
        <v>0</v>
      </c>
      <c r="G59" s="45">
        <v>0</v>
      </c>
      <c r="H59" s="45">
        <v>0</v>
      </c>
      <c r="I59" s="45">
        <v>0</v>
      </c>
      <c r="J59" s="45">
        <v>0</v>
      </c>
      <c r="K59" s="45">
        <v>0</v>
      </c>
      <c r="L59" s="45">
        <v>0</v>
      </c>
      <c r="M59" s="45">
        <v>0</v>
      </c>
      <c r="N59" s="45">
        <v>0</v>
      </c>
      <c r="O59" s="527">
        <v>0</v>
      </c>
      <c r="P59" s="527">
        <v>0</v>
      </c>
      <c r="Q59" s="527">
        <v>0</v>
      </c>
      <c r="R59" s="527"/>
      <c r="S59" s="527">
        <f t="shared" si="0"/>
        <v>0</v>
      </c>
    </row>
    <row r="60" spans="1:19">
      <c r="A60" s="1090">
        <v>51</v>
      </c>
      <c r="B60" t="s">
        <v>294</v>
      </c>
      <c r="C60" s="11">
        <v>10</v>
      </c>
      <c r="D60" s="11" t="s">
        <v>246</v>
      </c>
      <c r="E60" t="s">
        <v>141</v>
      </c>
      <c r="F60" s="45" t="s">
        <v>247</v>
      </c>
      <c r="G60" s="45" t="s">
        <v>247</v>
      </c>
      <c r="H60" s="45" t="s">
        <v>247</v>
      </c>
      <c r="I60" s="45" t="s">
        <v>247</v>
      </c>
      <c r="J60" s="45" t="s">
        <v>247</v>
      </c>
      <c r="K60" s="45" t="s">
        <v>247</v>
      </c>
      <c r="L60" s="45" t="s">
        <v>247</v>
      </c>
      <c r="M60" s="45" t="s">
        <v>247</v>
      </c>
      <c r="N60" s="45" t="s">
        <v>247</v>
      </c>
      <c r="O60" s="527" t="s">
        <v>247</v>
      </c>
      <c r="P60" s="527" t="s">
        <v>247</v>
      </c>
      <c r="Q60" s="527">
        <v>-430.2</v>
      </c>
      <c r="R60" s="527"/>
      <c r="S60" s="527">
        <f t="shared" si="0"/>
        <v>-430.2</v>
      </c>
    </row>
    <row r="61" spans="1:19">
      <c r="A61" s="1090">
        <v>52</v>
      </c>
      <c r="B61" t="s">
        <v>294</v>
      </c>
      <c r="C61" s="11">
        <v>20</v>
      </c>
      <c r="D61" s="11" t="s">
        <v>248</v>
      </c>
      <c r="E61" t="s">
        <v>142</v>
      </c>
      <c r="F61" s="45" t="s">
        <v>247</v>
      </c>
      <c r="G61" s="45" t="s">
        <v>247</v>
      </c>
      <c r="H61" s="45" t="s">
        <v>247</v>
      </c>
      <c r="I61" s="45" t="s">
        <v>247</v>
      </c>
      <c r="J61" s="45" t="s">
        <v>247</v>
      </c>
      <c r="K61" s="45" t="s">
        <v>247</v>
      </c>
      <c r="L61" s="45" t="s">
        <v>247</v>
      </c>
      <c r="M61" s="45" t="s">
        <v>247</v>
      </c>
      <c r="N61" s="45" t="s">
        <v>247</v>
      </c>
      <c r="O61" s="527" t="s">
        <v>247</v>
      </c>
      <c r="P61" s="527" t="s">
        <v>247</v>
      </c>
      <c r="Q61" s="527">
        <v>-10316.31</v>
      </c>
      <c r="R61" s="527"/>
      <c r="S61" s="527">
        <f t="shared" si="0"/>
        <v>-10316.31</v>
      </c>
    </row>
    <row r="62" spans="1:19">
      <c r="A62" s="1090">
        <v>53</v>
      </c>
      <c r="B62" t="s">
        <v>294</v>
      </c>
      <c r="C62" s="11">
        <v>20</v>
      </c>
      <c r="D62" s="11" t="s">
        <v>246</v>
      </c>
      <c r="E62" t="s">
        <v>141</v>
      </c>
      <c r="F62" s="45">
        <v>360568</v>
      </c>
      <c r="G62" s="45">
        <v>360542</v>
      </c>
      <c r="H62" s="45">
        <v>360659</v>
      </c>
      <c r="I62" s="45">
        <v>360633</v>
      </c>
      <c r="J62" s="45">
        <v>360711</v>
      </c>
      <c r="K62" s="45">
        <v>359125</v>
      </c>
      <c r="L62" s="45">
        <v>358371</v>
      </c>
      <c r="M62" s="45">
        <v>358514</v>
      </c>
      <c r="N62" s="45">
        <v>356746</v>
      </c>
      <c r="O62" s="527">
        <v>356554.9</v>
      </c>
      <c r="P62" s="527">
        <v>359252.4</v>
      </c>
      <c r="Q62" s="527">
        <v>360800.2</v>
      </c>
      <c r="R62" s="527"/>
      <c r="S62" s="527">
        <f t="shared" si="0"/>
        <v>4312476.5</v>
      </c>
    </row>
    <row r="63" spans="1:19">
      <c r="A63" s="1090">
        <v>54</v>
      </c>
      <c r="B63" t="s">
        <v>294</v>
      </c>
      <c r="C63" s="11">
        <v>30</v>
      </c>
      <c r="D63" s="11" t="s">
        <v>249</v>
      </c>
      <c r="E63" t="s">
        <v>144</v>
      </c>
      <c r="F63" s="45" t="s">
        <v>247</v>
      </c>
      <c r="G63" s="45" t="s">
        <v>247</v>
      </c>
      <c r="H63" s="45" t="s">
        <v>247</v>
      </c>
      <c r="I63" s="45" t="s">
        <v>247</v>
      </c>
      <c r="J63" s="45" t="s">
        <v>247</v>
      </c>
      <c r="K63" s="45" t="s">
        <v>247</v>
      </c>
      <c r="L63" s="45" t="s">
        <v>247</v>
      </c>
      <c r="M63" s="45" t="s">
        <v>247</v>
      </c>
      <c r="N63" s="45" t="s">
        <v>247</v>
      </c>
      <c r="O63" s="527" t="s">
        <v>247</v>
      </c>
      <c r="P63" s="527" t="s">
        <v>247</v>
      </c>
      <c r="Q63" s="527">
        <v>-19169.55</v>
      </c>
      <c r="R63" s="527"/>
      <c r="S63" s="527">
        <f t="shared" si="0"/>
        <v>-19169.55</v>
      </c>
    </row>
    <row r="64" spans="1:19">
      <c r="A64" s="1090">
        <v>55</v>
      </c>
      <c r="B64" t="s">
        <v>294</v>
      </c>
      <c r="C64" s="11">
        <v>30</v>
      </c>
      <c r="D64" s="11" t="s">
        <v>248</v>
      </c>
      <c r="E64" t="s">
        <v>142</v>
      </c>
      <c r="F64" s="45">
        <v>5071091.8099999996</v>
      </c>
      <c r="G64" s="45">
        <v>3734925.02</v>
      </c>
      <c r="H64" s="45">
        <v>4268154.51</v>
      </c>
      <c r="I64" s="45">
        <v>2711209.14</v>
      </c>
      <c r="J64" s="45">
        <v>1915626.41</v>
      </c>
      <c r="K64" s="45">
        <v>1014471.01</v>
      </c>
      <c r="L64" s="45">
        <v>795837.08</v>
      </c>
      <c r="M64" s="45">
        <v>770845.68</v>
      </c>
      <c r="N64" s="45">
        <v>732719.92</v>
      </c>
      <c r="O64" s="527">
        <v>1062638.75</v>
      </c>
      <c r="P64" s="527">
        <v>1883614.99</v>
      </c>
      <c r="Q64" s="527">
        <v>3419976.63</v>
      </c>
      <c r="R64" s="527"/>
      <c r="S64" s="527">
        <f t="shared" si="0"/>
        <v>27381110.949999999</v>
      </c>
    </row>
    <row r="65" spans="1:19">
      <c r="A65" s="1090">
        <v>56</v>
      </c>
      <c r="B65" t="s">
        <v>294</v>
      </c>
      <c r="C65" s="11">
        <v>60</v>
      </c>
      <c r="D65" s="11" t="s">
        <v>249</v>
      </c>
      <c r="E65" t="s">
        <v>144</v>
      </c>
      <c r="F65" s="45">
        <v>12755639.01</v>
      </c>
      <c r="G65" s="45">
        <v>9395067.2699999996</v>
      </c>
      <c r="H65" s="45">
        <v>10803565.289999999</v>
      </c>
      <c r="I65" s="45">
        <v>6954424.1699999999</v>
      </c>
      <c r="J65" s="45">
        <v>4914113.42</v>
      </c>
      <c r="K65" s="45">
        <v>2602383.7599999998</v>
      </c>
      <c r="L65" s="45">
        <v>2041564.89</v>
      </c>
      <c r="M65" s="45">
        <v>1977452.58</v>
      </c>
      <c r="N65" s="45">
        <v>1879650.85</v>
      </c>
      <c r="O65" s="527">
        <v>2726013.86</v>
      </c>
      <c r="P65" s="527">
        <v>4612779.8099999996</v>
      </c>
      <c r="Q65" s="527">
        <v>7588363.0300000003</v>
      </c>
      <c r="R65" s="527"/>
      <c r="S65" s="527">
        <f t="shared" si="0"/>
        <v>68251017.939999998</v>
      </c>
    </row>
    <row r="66" spans="1:19">
      <c r="A66" s="1090">
        <v>57</v>
      </c>
      <c r="B66" t="s">
        <v>294</v>
      </c>
      <c r="C66" s="11">
        <v>65</v>
      </c>
      <c r="D66" s="11" t="s">
        <v>250</v>
      </c>
      <c r="E66" t="s">
        <v>145</v>
      </c>
      <c r="F66" s="45" t="s">
        <v>247</v>
      </c>
      <c r="G66" s="45" t="s">
        <v>247</v>
      </c>
      <c r="H66" s="45" t="s">
        <v>247</v>
      </c>
      <c r="I66" s="45" t="s">
        <v>247</v>
      </c>
      <c r="J66" s="45" t="s">
        <v>247</v>
      </c>
      <c r="K66" s="45" t="s">
        <v>247</v>
      </c>
      <c r="L66" s="45" t="s">
        <v>247</v>
      </c>
      <c r="M66" s="45" t="s">
        <v>247</v>
      </c>
      <c r="N66" s="45" t="s">
        <v>247</v>
      </c>
      <c r="O66" s="527" t="s">
        <v>247</v>
      </c>
      <c r="P66" s="527" t="s">
        <v>247</v>
      </c>
      <c r="Q66" s="527">
        <v>-1995.79</v>
      </c>
      <c r="R66" s="527"/>
      <c r="S66" s="527">
        <f t="shared" si="0"/>
        <v>-1995.79</v>
      </c>
    </row>
    <row r="67" spans="1:19">
      <c r="A67" s="1090">
        <v>58</v>
      </c>
      <c r="B67" t="s">
        <v>294</v>
      </c>
      <c r="C67" s="11">
        <v>80</v>
      </c>
      <c r="D67" s="11" t="s">
        <v>250</v>
      </c>
      <c r="E67" t="s">
        <v>251</v>
      </c>
      <c r="F67" s="45"/>
      <c r="G67" s="45"/>
      <c r="H67" s="45"/>
      <c r="I67" s="45"/>
      <c r="J67" s="45"/>
      <c r="K67" s="45"/>
      <c r="L67" s="45"/>
      <c r="M67" s="45"/>
      <c r="N67" s="45"/>
      <c r="O67" s="527">
        <v>219173.1</v>
      </c>
      <c r="P67" s="527">
        <v>1328740.8899999999</v>
      </c>
      <c r="Q67" s="527">
        <v>3188763.89</v>
      </c>
      <c r="R67" s="527"/>
      <c r="S67" s="527">
        <f t="shared" si="0"/>
        <v>4736677.88</v>
      </c>
    </row>
    <row r="68" spans="1:19">
      <c r="A68" s="1090">
        <v>59</v>
      </c>
      <c r="B68" t="s">
        <v>294</v>
      </c>
      <c r="C68" s="11">
        <v>80</v>
      </c>
      <c r="D68" s="11" t="s">
        <v>250</v>
      </c>
      <c r="E68" t="s">
        <v>145</v>
      </c>
      <c r="F68" s="45">
        <v>2976807.24</v>
      </c>
      <c r="G68" s="45">
        <v>2192515.09</v>
      </c>
      <c r="H68" s="45">
        <v>2521193.3199999998</v>
      </c>
      <c r="I68" s="45">
        <v>1622942.65</v>
      </c>
      <c r="J68" s="45">
        <v>1146795.82</v>
      </c>
      <c r="K68" s="45">
        <v>607303.61</v>
      </c>
      <c r="L68" s="45">
        <v>476426.82</v>
      </c>
      <c r="M68" s="45">
        <v>461467.11</v>
      </c>
      <c r="N68" s="45">
        <v>438642.04</v>
      </c>
      <c r="O68" s="527">
        <v>416970.17</v>
      </c>
      <c r="P68" s="527">
        <v>12118.23</v>
      </c>
      <c r="Q68" s="527">
        <v>1295.92</v>
      </c>
      <c r="R68" s="527"/>
      <c r="S68" s="527">
        <f t="shared" si="0"/>
        <v>12874478.02</v>
      </c>
    </row>
    <row r="69" spans="1:19">
      <c r="A69" s="1090">
        <v>60</v>
      </c>
      <c r="B69" t="s">
        <v>294</v>
      </c>
      <c r="C69" s="11">
        <v>90</v>
      </c>
      <c r="D69" s="11" t="s">
        <v>252</v>
      </c>
      <c r="E69" t="s">
        <v>146</v>
      </c>
      <c r="F69" s="45">
        <v>57366.81</v>
      </c>
      <c r="G69" s="45">
        <v>42250.61</v>
      </c>
      <c r="H69" s="45">
        <v>48584.07</v>
      </c>
      <c r="I69" s="45">
        <v>31276.27</v>
      </c>
      <c r="J69" s="45">
        <v>22100.17</v>
      </c>
      <c r="K69" s="45">
        <v>11702.22</v>
      </c>
      <c r="L69" s="45">
        <v>9180.17</v>
      </c>
      <c r="M69" s="45">
        <v>8891.7000000000007</v>
      </c>
      <c r="N69" s="45">
        <v>8452.5499999999993</v>
      </c>
      <c r="O69" s="527">
        <v>12258.15</v>
      </c>
      <c r="P69" s="527">
        <v>38151.32</v>
      </c>
      <c r="Q69" s="527">
        <v>127645.81</v>
      </c>
      <c r="R69" s="527"/>
      <c r="S69" s="527">
        <f t="shared" si="0"/>
        <v>417859.85</v>
      </c>
    </row>
    <row r="70" spans="1:19">
      <c r="A70" s="1090">
        <v>61</v>
      </c>
      <c r="B70" t="s">
        <v>294</v>
      </c>
      <c r="C70" s="11">
        <v>95</v>
      </c>
      <c r="D70" s="11" t="s">
        <v>253</v>
      </c>
      <c r="E70" t="s">
        <v>147</v>
      </c>
      <c r="F70" s="45" t="s">
        <v>247</v>
      </c>
      <c r="G70" s="45" t="s">
        <v>247</v>
      </c>
      <c r="H70" s="45" t="s">
        <v>247</v>
      </c>
      <c r="I70" s="45" t="s">
        <v>247</v>
      </c>
      <c r="J70" s="45" t="s">
        <v>247</v>
      </c>
      <c r="K70" s="45" t="s">
        <v>247</v>
      </c>
      <c r="L70" s="45" t="s">
        <v>247</v>
      </c>
      <c r="M70" s="45" t="s">
        <v>247</v>
      </c>
      <c r="N70" s="45" t="s">
        <v>247</v>
      </c>
      <c r="O70" s="527" t="s">
        <v>247</v>
      </c>
      <c r="P70" s="527" t="s">
        <v>247</v>
      </c>
      <c r="Q70" s="527">
        <v>-372.6</v>
      </c>
      <c r="R70" s="527"/>
      <c r="S70" s="527">
        <f t="shared" si="0"/>
        <v>-372.6</v>
      </c>
    </row>
    <row r="71" spans="1:19">
      <c r="A71" s="1090">
        <v>62</v>
      </c>
      <c r="B71" t="s">
        <v>294</v>
      </c>
      <c r="C71" s="11">
        <v>100</v>
      </c>
      <c r="D71" s="11" t="s">
        <v>254</v>
      </c>
      <c r="E71" t="s">
        <v>148</v>
      </c>
      <c r="F71" s="45" t="s">
        <v>247</v>
      </c>
      <c r="G71" s="45" t="s">
        <v>247</v>
      </c>
      <c r="H71" s="45" t="s">
        <v>247</v>
      </c>
      <c r="I71" s="45" t="s">
        <v>247</v>
      </c>
      <c r="J71" s="45" t="s">
        <v>247</v>
      </c>
      <c r="K71" s="45" t="s">
        <v>247</v>
      </c>
      <c r="L71" s="45" t="s">
        <v>247</v>
      </c>
      <c r="M71" s="45" t="s">
        <v>247</v>
      </c>
      <c r="N71" s="45" t="s">
        <v>247</v>
      </c>
      <c r="O71" s="527" t="s">
        <v>247</v>
      </c>
      <c r="P71" s="527" t="s">
        <v>247</v>
      </c>
      <c r="Q71" s="527">
        <v>395.08</v>
      </c>
      <c r="R71" s="527"/>
      <c r="S71" s="527">
        <f t="shared" si="0"/>
        <v>395.08</v>
      </c>
    </row>
    <row r="72" spans="1:19">
      <c r="A72" s="1090">
        <v>63</v>
      </c>
      <c r="B72" t="s">
        <v>294</v>
      </c>
      <c r="C72" s="11">
        <v>100</v>
      </c>
      <c r="D72" s="11" t="s">
        <v>253</v>
      </c>
      <c r="E72" t="s">
        <v>147</v>
      </c>
      <c r="F72" s="45">
        <v>99686.85</v>
      </c>
      <c r="G72" s="45">
        <v>73425.19</v>
      </c>
      <c r="H72" s="45">
        <v>84433.78</v>
      </c>
      <c r="I72" s="45">
        <v>54354.01</v>
      </c>
      <c r="J72" s="45">
        <v>38409.14</v>
      </c>
      <c r="K72" s="45">
        <v>20344.419999999998</v>
      </c>
      <c r="L72" s="45">
        <v>15962.52</v>
      </c>
      <c r="M72" s="45">
        <v>15460.76</v>
      </c>
      <c r="N72" s="45">
        <v>14696.5</v>
      </c>
      <c r="O72" s="527">
        <v>21319.51</v>
      </c>
      <c r="P72" s="527">
        <v>49088.23</v>
      </c>
      <c r="Q72" s="527">
        <v>129590.89</v>
      </c>
      <c r="R72" s="527"/>
      <c r="S72" s="527">
        <f t="shared" si="0"/>
        <v>616771.80000000005</v>
      </c>
    </row>
    <row r="73" spans="1:19">
      <c r="A73" s="1090">
        <v>64</v>
      </c>
      <c r="B73" t="s">
        <v>294</v>
      </c>
      <c r="C73" s="11">
        <v>105</v>
      </c>
      <c r="D73" s="11" t="s">
        <v>255</v>
      </c>
      <c r="E73" t="s">
        <v>256</v>
      </c>
      <c r="F73" s="45" t="s">
        <v>247</v>
      </c>
      <c r="G73" s="45" t="s">
        <v>247</v>
      </c>
      <c r="H73" s="45" t="s">
        <v>247</v>
      </c>
      <c r="I73" s="45" t="s">
        <v>247</v>
      </c>
      <c r="J73" s="45" t="s">
        <v>247</v>
      </c>
      <c r="K73" s="45" t="s">
        <v>247</v>
      </c>
      <c r="L73" s="45" t="s">
        <v>247</v>
      </c>
      <c r="M73" s="45" t="s">
        <v>247</v>
      </c>
      <c r="N73" s="45" t="s">
        <v>247</v>
      </c>
      <c r="O73" s="527" t="s">
        <v>247</v>
      </c>
      <c r="P73" s="527" t="s">
        <v>247</v>
      </c>
      <c r="Q73" s="527">
        <v>-895.29</v>
      </c>
      <c r="R73" s="527"/>
      <c r="S73" s="527">
        <f t="shared" si="0"/>
        <v>-895.29</v>
      </c>
    </row>
    <row r="74" spans="1:19">
      <c r="A74" s="1090">
        <v>65</v>
      </c>
      <c r="B74" t="s">
        <v>294</v>
      </c>
      <c r="C74" s="11">
        <v>110</v>
      </c>
      <c r="D74" s="11" t="s">
        <v>257</v>
      </c>
      <c r="E74" t="s">
        <v>149</v>
      </c>
      <c r="F74" s="45" t="s">
        <v>247</v>
      </c>
      <c r="G74" s="45" t="s">
        <v>247</v>
      </c>
      <c r="H74" s="45" t="s">
        <v>247</v>
      </c>
      <c r="I74" s="45" t="s">
        <v>247</v>
      </c>
      <c r="J74" s="45" t="s">
        <v>247</v>
      </c>
      <c r="K74" s="45" t="s">
        <v>247</v>
      </c>
      <c r="L74" s="45" t="s">
        <v>247</v>
      </c>
      <c r="M74" s="45" t="s">
        <v>247</v>
      </c>
      <c r="N74" s="45" t="s">
        <v>247</v>
      </c>
      <c r="O74" s="527" t="s">
        <v>247</v>
      </c>
      <c r="P74" s="527" t="s">
        <v>247</v>
      </c>
      <c r="Q74" s="527">
        <v>-945.76</v>
      </c>
      <c r="R74" s="527"/>
      <c r="S74" s="527">
        <f t="shared" si="0"/>
        <v>-945.76</v>
      </c>
    </row>
    <row r="75" spans="1:19">
      <c r="A75" s="1090">
        <v>66</v>
      </c>
      <c r="B75" t="s">
        <v>294</v>
      </c>
      <c r="C75" s="11">
        <v>110</v>
      </c>
      <c r="D75" s="11" t="s">
        <v>254</v>
      </c>
      <c r="E75" t="s">
        <v>148</v>
      </c>
      <c r="F75" s="45">
        <v>638294.21</v>
      </c>
      <c r="G75" s="45">
        <v>470172.59</v>
      </c>
      <c r="H75" s="45">
        <v>540691.56000000006</v>
      </c>
      <c r="I75" s="45">
        <v>348033.73</v>
      </c>
      <c r="J75" s="45">
        <v>245929.92</v>
      </c>
      <c r="K75" s="45">
        <v>130244.72</v>
      </c>
      <c r="L75" s="45">
        <v>102178.25</v>
      </c>
      <c r="M75" s="45">
        <v>98968.28</v>
      </c>
      <c r="N75" s="45">
        <v>94073.82</v>
      </c>
      <c r="O75" s="527">
        <v>136439.67999999999</v>
      </c>
      <c r="P75" s="527">
        <v>115955.1</v>
      </c>
      <c r="Q75" s="527">
        <v>-239129.64</v>
      </c>
      <c r="R75" s="527"/>
      <c r="S75" s="527">
        <f t="shared" si="0"/>
        <v>2681852.2200000002</v>
      </c>
    </row>
    <row r="76" spans="1:19">
      <c r="A76" s="1090">
        <v>67</v>
      </c>
      <c r="B76" t="s">
        <v>294</v>
      </c>
      <c r="C76" s="11">
        <v>115</v>
      </c>
      <c r="D76" s="11" t="s">
        <v>258</v>
      </c>
      <c r="E76" t="s">
        <v>150</v>
      </c>
      <c r="F76" s="45" t="s">
        <v>247</v>
      </c>
      <c r="G76" s="45" t="s">
        <v>247</v>
      </c>
      <c r="H76" s="45" t="s">
        <v>247</v>
      </c>
      <c r="I76" s="45" t="s">
        <v>247</v>
      </c>
      <c r="J76" s="45" t="s">
        <v>247</v>
      </c>
      <c r="K76" s="45" t="s">
        <v>247</v>
      </c>
      <c r="L76" s="45" t="s">
        <v>247</v>
      </c>
      <c r="M76" s="45" t="s">
        <v>247</v>
      </c>
      <c r="N76" s="45" t="s">
        <v>247</v>
      </c>
      <c r="O76" s="527" t="s">
        <v>247</v>
      </c>
      <c r="P76" s="527" t="s">
        <v>247</v>
      </c>
      <c r="Q76" s="527">
        <v>162.38</v>
      </c>
      <c r="R76" s="527"/>
      <c r="S76" s="527">
        <f t="shared" si="0"/>
        <v>162.38</v>
      </c>
    </row>
    <row r="77" spans="1:19">
      <c r="A77" s="1090">
        <v>68</v>
      </c>
      <c r="B77" t="s">
        <v>294</v>
      </c>
      <c r="C77" s="11">
        <v>120</v>
      </c>
      <c r="D77" s="11" t="s">
        <v>255</v>
      </c>
      <c r="E77" t="s">
        <v>256</v>
      </c>
      <c r="F77" s="45">
        <v>0</v>
      </c>
      <c r="G77" s="45">
        <v>0</v>
      </c>
      <c r="H77" s="45">
        <v>0</v>
      </c>
      <c r="I77" s="45">
        <v>0</v>
      </c>
      <c r="J77" s="45">
        <v>0</v>
      </c>
      <c r="K77" s="45">
        <v>0</v>
      </c>
      <c r="L77" s="45">
        <v>0</v>
      </c>
      <c r="M77" s="45">
        <v>0</v>
      </c>
      <c r="N77" s="45">
        <v>0</v>
      </c>
      <c r="O77" s="527">
        <v>0</v>
      </c>
      <c r="P77" s="527">
        <v>0</v>
      </c>
      <c r="Q77" s="527">
        <v>801.21</v>
      </c>
      <c r="R77" s="527"/>
      <c r="S77" s="527">
        <f t="shared" si="0"/>
        <v>801.21</v>
      </c>
    </row>
    <row r="78" spans="1:19">
      <c r="A78" s="1090">
        <v>69</v>
      </c>
      <c r="B78" t="s">
        <v>294</v>
      </c>
      <c r="C78" s="11">
        <v>120</v>
      </c>
      <c r="D78" s="11" t="s">
        <v>259</v>
      </c>
      <c r="E78" t="s">
        <v>151</v>
      </c>
      <c r="F78" s="45" t="s">
        <v>247</v>
      </c>
      <c r="G78" s="45" t="s">
        <v>247</v>
      </c>
      <c r="H78" s="45" t="s">
        <v>247</v>
      </c>
      <c r="I78" s="45" t="s">
        <v>247</v>
      </c>
      <c r="J78" s="45" t="s">
        <v>247</v>
      </c>
      <c r="K78" s="45" t="s">
        <v>247</v>
      </c>
      <c r="L78" s="45" t="s">
        <v>247</v>
      </c>
      <c r="M78" s="45" t="s">
        <v>247</v>
      </c>
      <c r="N78" s="45" t="s">
        <v>247</v>
      </c>
      <c r="O78" s="527" t="s">
        <v>247</v>
      </c>
      <c r="P78" s="527" t="s">
        <v>247</v>
      </c>
      <c r="Q78" s="527">
        <v>68.180000000000007</v>
      </c>
      <c r="R78" s="527"/>
      <c r="S78" s="527">
        <f t="shared" si="0"/>
        <v>68.180000000000007</v>
      </c>
    </row>
    <row r="79" spans="1:19">
      <c r="A79" s="1090">
        <v>70</v>
      </c>
      <c r="B79" t="s">
        <v>294</v>
      </c>
      <c r="C79" s="11">
        <v>125</v>
      </c>
      <c r="D79" s="11" t="s">
        <v>260</v>
      </c>
      <c r="E79" t="s">
        <v>261</v>
      </c>
      <c r="F79" s="45" t="s">
        <v>247</v>
      </c>
      <c r="G79" s="45" t="s">
        <v>247</v>
      </c>
      <c r="H79" s="45" t="s">
        <v>247</v>
      </c>
      <c r="I79" s="45" t="s">
        <v>247</v>
      </c>
      <c r="J79" s="45" t="s">
        <v>247</v>
      </c>
      <c r="K79" s="45" t="s">
        <v>247</v>
      </c>
      <c r="L79" s="45" t="s">
        <v>247</v>
      </c>
      <c r="M79" s="45" t="s">
        <v>247</v>
      </c>
      <c r="N79" s="45" t="s">
        <v>247</v>
      </c>
      <c r="O79" s="527" t="s">
        <v>247</v>
      </c>
      <c r="P79" s="527" t="s">
        <v>247</v>
      </c>
      <c r="Q79" s="527">
        <v>71.17</v>
      </c>
      <c r="R79" s="527"/>
      <c r="S79" s="527">
        <f t="shared" si="0"/>
        <v>71.17</v>
      </c>
    </row>
    <row r="80" spans="1:19">
      <c r="A80" s="1090">
        <v>71</v>
      </c>
      <c r="B80" t="s">
        <v>294</v>
      </c>
      <c r="C80" s="11">
        <v>130</v>
      </c>
      <c r="D80" s="11" t="s">
        <v>257</v>
      </c>
      <c r="E80" t="s">
        <v>149</v>
      </c>
      <c r="F80" s="45">
        <v>528881.34</v>
      </c>
      <c r="G80" s="45">
        <v>389526.62</v>
      </c>
      <c r="H80" s="45">
        <v>447911.15</v>
      </c>
      <c r="I80" s="45">
        <v>288333.5</v>
      </c>
      <c r="J80" s="45">
        <v>203738.53</v>
      </c>
      <c r="K80" s="45">
        <v>107886.56</v>
      </c>
      <c r="L80" s="45">
        <v>84635.24</v>
      </c>
      <c r="M80" s="45">
        <v>81978.14</v>
      </c>
      <c r="N80" s="45">
        <v>77922.87</v>
      </c>
      <c r="O80" s="527">
        <v>113001.03</v>
      </c>
      <c r="P80" s="527">
        <v>235464.86</v>
      </c>
      <c r="Q80" s="527">
        <v>552501.63</v>
      </c>
      <c r="R80" s="527"/>
      <c r="S80" s="527">
        <f t="shared" si="0"/>
        <v>3111781.4699999997</v>
      </c>
    </row>
    <row r="81" spans="1:19">
      <c r="A81" s="1090">
        <v>72</v>
      </c>
      <c r="B81" t="s">
        <v>294</v>
      </c>
      <c r="C81" s="11">
        <v>140</v>
      </c>
      <c r="D81" s="11" t="s">
        <v>258</v>
      </c>
      <c r="E81" t="s">
        <v>150</v>
      </c>
      <c r="F81" s="45">
        <v>-98467.35</v>
      </c>
      <c r="G81" s="45">
        <v>-72522.7</v>
      </c>
      <c r="H81" s="45">
        <v>-56775.22</v>
      </c>
      <c r="I81" s="45">
        <v>-226.81</v>
      </c>
      <c r="J81" s="45">
        <v>-3.13</v>
      </c>
      <c r="K81" s="45">
        <v>-13.58</v>
      </c>
      <c r="L81" s="45">
        <v>0</v>
      </c>
      <c r="M81" s="45">
        <v>-0.33</v>
      </c>
      <c r="N81" s="45">
        <v>0</v>
      </c>
      <c r="O81" s="527">
        <v>0</v>
      </c>
      <c r="P81" s="527">
        <v>-0.04</v>
      </c>
      <c r="Q81" s="527">
        <v>-126.2</v>
      </c>
      <c r="R81" s="527"/>
      <c r="S81" s="527">
        <f t="shared" si="0"/>
        <v>-228135.36</v>
      </c>
    </row>
    <row r="82" spans="1:19">
      <c r="A82" s="1090">
        <v>73</v>
      </c>
      <c r="B82" t="s">
        <v>294</v>
      </c>
      <c r="C82" s="11">
        <v>150</v>
      </c>
      <c r="D82" s="11" t="s">
        <v>259</v>
      </c>
      <c r="E82" t="s">
        <v>151</v>
      </c>
      <c r="F82" s="45">
        <v>-40749.57</v>
      </c>
      <c r="G82" s="45">
        <v>-30012.35</v>
      </c>
      <c r="H82" s="45">
        <v>-34510.370000000003</v>
      </c>
      <c r="I82" s="45">
        <v>-22213.64</v>
      </c>
      <c r="J82" s="45">
        <v>-15696.15</v>
      </c>
      <c r="K82" s="45">
        <v>-8307.44</v>
      </c>
      <c r="L82" s="45">
        <v>-6517.09</v>
      </c>
      <c r="M82" s="45">
        <v>-6313.16</v>
      </c>
      <c r="N82" s="45">
        <v>-6000.52</v>
      </c>
      <c r="O82" s="527">
        <v>-8693.06</v>
      </c>
      <c r="P82" s="527">
        <v>-15124.7</v>
      </c>
      <c r="Q82" s="527">
        <v>-26389.37</v>
      </c>
      <c r="R82" s="527"/>
      <c r="S82" s="527">
        <f t="shared" si="0"/>
        <v>-220527.42</v>
      </c>
    </row>
    <row r="83" spans="1:19">
      <c r="A83" s="1090">
        <v>74</v>
      </c>
      <c r="B83" t="s">
        <v>294</v>
      </c>
      <c r="C83" s="11">
        <v>160</v>
      </c>
      <c r="D83" s="11" t="s">
        <v>260</v>
      </c>
      <c r="E83" t="s">
        <v>261</v>
      </c>
      <c r="F83" s="45">
        <v>0</v>
      </c>
      <c r="G83" s="45">
        <v>0</v>
      </c>
      <c r="H83" s="45">
        <v>0</v>
      </c>
      <c r="I83" s="45">
        <v>0</v>
      </c>
      <c r="J83" s="45">
        <v>0</v>
      </c>
      <c r="K83" s="45">
        <v>0</v>
      </c>
      <c r="L83" s="45">
        <v>0</v>
      </c>
      <c r="M83" s="45">
        <v>0</v>
      </c>
      <c r="N83" s="45">
        <v>0</v>
      </c>
      <c r="O83" s="527">
        <v>0</v>
      </c>
      <c r="P83" s="527">
        <v>0</v>
      </c>
      <c r="Q83" s="527">
        <v>-63.68</v>
      </c>
      <c r="R83" s="527"/>
      <c r="S83" s="527">
        <f t="shared" si="0"/>
        <v>-63.68</v>
      </c>
    </row>
    <row r="84" spans="1:19">
      <c r="A84" s="1090">
        <v>75</v>
      </c>
      <c r="B84" t="s">
        <v>294</v>
      </c>
      <c r="C84" s="11">
        <v>170</v>
      </c>
      <c r="D84" s="11" t="s">
        <v>262</v>
      </c>
      <c r="E84" t="s">
        <v>263</v>
      </c>
      <c r="F84" s="45"/>
      <c r="G84" s="45"/>
      <c r="H84" s="45"/>
      <c r="I84" s="45"/>
      <c r="J84" s="45"/>
      <c r="K84" s="45"/>
      <c r="L84" s="45"/>
      <c r="M84" s="45"/>
      <c r="N84" s="45"/>
      <c r="O84" s="527">
        <v>12252.1</v>
      </c>
      <c r="P84" s="527">
        <v>62270.67</v>
      </c>
      <c r="Q84" s="527">
        <v>113997.7</v>
      </c>
      <c r="R84" s="527"/>
      <c r="S84" s="527">
        <f t="shared" si="0"/>
        <v>188520.47</v>
      </c>
    </row>
    <row r="85" spans="1:19">
      <c r="A85" s="1090">
        <v>76</v>
      </c>
      <c r="B85" t="s">
        <v>294</v>
      </c>
      <c r="C85" s="11">
        <v>340</v>
      </c>
      <c r="D85" s="11" t="s">
        <v>266</v>
      </c>
      <c r="E85" t="s">
        <v>267</v>
      </c>
      <c r="F85" s="45">
        <v>1275280.03</v>
      </c>
      <c r="G85" s="45">
        <v>937973.33</v>
      </c>
      <c r="H85" s="45">
        <v>1071988.8600000001</v>
      </c>
      <c r="I85" s="45">
        <v>695412.36</v>
      </c>
      <c r="J85" s="45">
        <v>495047.49</v>
      </c>
      <c r="K85" s="45">
        <v>275668.96000000002</v>
      </c>
      <c r="L85" s="45">
        <v>220701.84</v>
      </c>
      <c r="M85" s="45">
        <v>214111.58</v>
      </c>
      <c r="N85" s="45">
        <v>204414.48</v>
      </c>
      <c r="O85" s="527">
        <v>277225.34000000003</v>
      </c>
      <c r="P85" s="527">
        <v>476390.9</v>
      </c>
      <c r="Q85" s="527">
        <v>866649.91</v>
      </c>
      <c r="R85" s="527"/>
      <c r="S85" s="527">
        <f t="shared" si="0"/>
        <v>7010865.0800000001</v>
      </c>
    </row>
    <row r="86" spans="1:19">
      <c r="A86" s="1090">
        <v>77</v>
      </c>
      <c r="B86" t="s">
        <v>294</v>
      </c>
      <c r="C86" s="11">
        <v>350</v>
      </c>
      <c r="D86" s="11" t="s">
        <v>268</v>
      </c>
      <c r="E86" t="s">
        <v>269</v>
      </c>
      <c r="F86" s="45">
        <v>4185.3900000000003</v>
      </c>
      <c r="G86" s="45">
        <v>3991.74</v>
      </c>
      <c r="H86" s="45">
        <v>2599.2199999999998</v>
      </c>
      <c r="I86" s="45">
        <v>1310.04</v>
      </c>
      <c r="J86" s="45">
        <v>399.27</v>
      </c>
      <c r="K86" s="45">
        <v>28.88</v>
      </c>
      <c r="L86" s="45">
        <v>0</v>
      </c>
      <c r="M86" s="45">
        <v>0</v>
      </c>
      <c r="N86" s="45">
        <v>0</v>
      </c>
      <c r="O86" s="527">
        <v>5.4</v>
      </c>
      <c r="P86" s="527">
        <v>405.23</v>
      </c>
      <c r="Q86" s="527">
        <v>1034.32</v>
      </c>
      <c r="R86" s="527"/>
      <c r="S86" s="527">
        <f t="shared" ref="S86:S149" si="1">SUM(F86:Q86)</f>
        <v>13959.489999999998</v>
      </c>
    </row>
    <row r="87" spans="1:19">
      <c r="A87" s="1090">
        <v>78</v>
      </c>
      <c r="B87" t="s">
        <v>294</v>
      </c>
      <c r="C87" s="11">
        <v>360</v>
      </c>
      <c r="D87" s="11" t="s">
        <v>270</v>
      </c>
      <c r="E87" t="s">
        <v>271</v>
      </c>
      <c r="F87" s="45">
        <v>0</v>
      </c>
      <c r="G87" s="45">
        <v>0</v>
      </c>
      <c r="H87" s="45">
        <v>0</v>
      </c>
      <c r="I87" s="45">
        <v>0</v>
      </c>
      <c r="J87" s="45">
        <v>0</v>
      </c>
      <c r="K87" s="45">
        <v>0</v>
      </c>
      <c r="L87" s="45">
        <v>0</v>
      </c>
      <c r="M87" s="45">
        <v>0</v>
      </c>
      <c r="N87" s="45">
        <v>0</v>
      </c>
      <c r="O87" s="527">
        <v>0</v>
      </c>
      <c r="P87" s="527">
        <v>0</v>
      </c>
      <c r="Q87" s="527">
        <v>0</v>
      </c>
      <c r="R87" s="527"/>
      <c r="S87" s="527">
        <f t="shared" si="1"/>
        <v>0</v>
      </c>
    </row>
    <row r="88" spans="1:19">
      <c r="A88" s="1090">
        <v>79</v>
      </c>
      <c r="B88" t="s">
        <v>294</v>
      </c>
      <c r="C88" s="11">
        <v>365</v>
      </c>
      <c r="D88" s="11" t="s">
        <v>266</v>
      </c>
      <c r="E88" t="s">
        <v>272</v>
      </c>
      <c r="F88" s="45">
        <v>30734.99</v>
      </c>
      <c r="G88" s="45">
        <v>20701.419999999998</v>
      </c>
      <c r="H88" s="45">
        <v>20499.95</v>
      </c>
      <c r="I88" s="45">
        <v>13417.01</v>
      </c>
      <c r="J88" s="45">
        <v>9479.9</v>
      </c>
      <c r="K88" s="45">
        <v>5851.24</v>
      </c>
      <c r="L88" s="45">
        <v>5288.89</v>
      </c>
      <c r="M88" s="45">
        <v>5795.81</v>
      </c>
      <c r="N88" s="45">
        <v>4390.68</v>
      </c>
      <c r="O88" s="527">
        <v>6135.27</v>
      </c>
      <c r="P88" s="527">
        <v>10357</v>
      </c>
      <c r="Q88" s="527">
        <v>18445.7</v>
      </c>
      <c r="R88" s="527"/>
      <c r="S88" s="527">
        <f t="shared" si="1"/>
        <v>151097.85999999999</v>
      </c>
    </row>
    <row r="89" spans="1:19">
      <c r="A89" s="1090">
        <v>80</v>
      </c>
      <c r="B89" t="s">
        <v>294</v>
      </c>
      <c r="C89" s="11">
        <v>390</v>
      </c>
      <c r="D89" s="11" t="s">
        <v>273</v>
      </c>
      <c r="E89" t="s">
        <v>274</v>
      </c>
      <c r="F89" s="45">
        <v>339.24</v>
      </c>
      <c r="G89" s="45">
        <v>217.59</v>
      </c>
      <c r="H89" s="45">
        <v>279.02</v>
      </c>
      <c r="I89" s="45">
        <v>155.5</v>
      </c>
      <c r="J89" s="45">
        <v>124.3</v>
      </c>
      <c r="K89" s="45">
        <v>50.97</v>
      </c>
      <c r="L89" s="45">
        <v>42.46</v>
      </c>
      <c r="M89" s="45">
        <v>39.159999999999997</v>
      </c>
      <c r="N89" s="45">
        <v>35.01</v>
      </c>
      <c r="O89" s="527">
        <v>51.99</v>
      </c>
      <c r="P89" s="527">
        <v>98.11</v>
      </c>
      <c r="Q89" s="527">
        <v>199.37</v>
      </c>
      <c r="R89" s="527"/>
      <c r="S89" s="527">
        <f t="shared" si="1"/>
        <v>1632.7200000000003</v>
      </c>
    </row>
    <row r="90" spans="1:19">
      <c r="A90" s="1090">
        <v>81</v>
      </c>
      <c r="B90" t="s">
        <v>294</v>
      </c>
      <c r="C90" s="11">
        <v>400</v>
      </c>
      <c r="D90" s="11" t="s">
        <v>275</v>
      </c>
      <c r="E90" t="s">
        <v>276</v>
      </c>
      <c r="F90" s="45">
        <v>0</v>
      </c>
      <c r="G90" s="45">
        <v>0</v>
      </c>
      <c r="H90" s="45">
        <v>0</v>
      </c>
      <c r="I90" s="45">
        <v>0</v>
      </c>
      <c r="J90" s="45">
        <v>0</v>
      </c>
      <c r="K90" s="45">
        <v>0</v>
      </c>
      <c r="L90" s="45">
        <v>0</v>
      </c>
      <c r="M90" s="45">
        <v>0</v>
      </c>
      <c r="N90" s="45">
        <v>0</v>
      </c>
      <c r="O90" s="527">
        <v>0</v>
      </c>
      <c r="P90" s="527">
        <v>0</v>
      </c>
      <c r="Q90" s="527">
        <v>0</v>
      </c>
      <c r="R90" s="527"/>
      <c r="S90" s="527">
        <f t="shared" si="1"/>
        <v>0</v>
      </c>
    </row>
    <row r="91" spans="1:19">
      <c r="A91" s="1090">
        <v>82</v>
      </c>
      <c r="B91" t="s">
        <v>294</v>
      </c>
      <c r="C91" s="11">
        <v>460</v>
      </c>
      <c r="D91" s="11" t="s">
        <v>277</v>
      </c>
      <c r="E91" t="s">
        <v>153</v>
      </c>
      <c r="F91" s="45">
        <v>-970.77</v>
      </c>
      <c r="G91" s="45">
        <v>-661.16</v>
      </c>
      <c r="H91" s="45">
        <v>-693.57</v>
      </c>
      <c r="I91" s="45">
        <v>-464.38</v>
      </c>
      <c r="J91" s="45">
        <v>-399.18</v>
      </c>
      <c r="K91" s="45">
        <v>-301.72000000000003</v>
      </c>
      <c r="L91" s="45">
        <v>-259.81</v>
      </c>
      <c r="M91" s="45">
        <v>-297.58999999999997</v>
      </c>
      <c r="N91" s="45">
        <v>-264.94</v>
      </c>
      <c r="O91" s="527">
        <v>-331.68</v>
      </c>
      <c r="P91" s="527">
        <v>-145.35</v>
      </c>
      <c r="Q91" s="527">
        <v>-898.15</v>
      </c>
      <c r="R91" s="527"/>
      <c r="S91" s="527">
        <f t="shared" si="1"/>
        <v>-5688.3</v>
      </c>
    </row>
    <row r="92" spans="1:19">
      <c r="A92" s="1090">
        <v>83</v>
      </c>
      <c r="B92" t="s">
        <v>294</v>
      </c>
      <c r="C92" s="11">
        <v>470</v>
      </c>
      <c r="D92" s="11" t="s">
        <v>278</v>
      </c>
      <c r="E92" t="s">
        <v>154</v>
      </c>
      <c r="F92" s="45">
        <v>11650.92</v>
      </c>
      <c r="G92" s="45">
        <v>7823.63</v>
      </c>
      <c r="H92" s="45">
        <v>8297.3799999999992</v>
      </c>
      <c r="I92" s="45">
        <v>4884.54</v>
      </c>
      <c r="J92" s="45">
        <v>2962.99</v>
      </c>
      <c r="K92" s="45">
        <v>1684.89</v>
      </c>
      <c r="L92" s="45">
        <v>1560.53</v>
      </c>
      <c r="M92" s="45">
        <v>1458.36</v>
      </c>
      <c r="N92" s="45">
        <v>1535.7</v>
      </c>
      <c r="O92" s="527">
        <v>1948.81</v>
      </c>
      <c r="P92" s="527">
        <v>4552.62</v>
      </c>
      <c r="Q92" s="527">
        <v>7265.64</v>
      </c>
      <c r="R92" s="527"/>
      <c r="S92" s="527">
        <f t="shared" si="1"/>
        <v>55626.009999999995</v>
      </c>
    </row>
    <row r="93" spans="1:19">
      <c r="A93" s="1090">
        <v>84</v>
      </c>
      <c r="B93" t="s">
        <v>294</v>
      </c>
      <c r="C93" s="11">
        <v>8060</v>
      </c>
      <c r="D93" s="11" t="s">
        <v>281</v>
      </c>
      <c r="E93" t="s">
        <v>280</v>
      </c>
      <c r="F93" s="45"/>
      <c r="G93" s="45"/>
      <c r="H93" s="45"/>
      <c r="I93" s="45"/>
      <c r="J93" s="45"/>
      <c r="K93" s="45">
        <v>-34.28</v>
      </c>
      <c r="L93" s="45"/>
      <c r="M93" s="45"/>
      <c r="N93" s="45"/>
      <c r="O93" s="527" t="s">
        <v>247</v>
      </c>
      <c r="P93" s="527" t="s">
        <v>247</v>
      </c>
      <c r="Q93" s="527" t="s">
        <v>247</v>
      </c>
      <c r="R93" s="527"/>
      <c r="S93" s="527">
        <f t="shared" si="1"/>
        <v>-34.28</v>
      </c>
    </row>
    <row r="94" spans="1:19">
      <c r="A94" s="1090">
        <v>85</v>
      </c>
      <c r="B94" t="s">
        <v>294</v>
      </c>
      <c r="C94" s="11">
        <v>8060</v>
      </c>
      <c r="D94" s="11" t="s">
        <v>282</v>
      </c>
      <c r="E94" t="s">
        <v>280</v>
      </c>
      <c r="F94" s="45">
        <v>-2.16</v>
      </c>
      <c r="G94" s="45">
        <v>-3.62</v>
      </c>
      <c r="H94" s="45">
        <v>-3.5</v>
      </c>
      <c r="I94" s="45">
        <v>-1.56</v>
      </c>
      <c r="J94" s="45">
        <v>-5.53</v>
      </c>
      <c r="K94" s="45">
        <v>-0.83</v>
      </c>
      <c r="L94" s="45">
        <v>-2.4300000000000002</v>
      </c>
      <c r="M94" s="45">
        <v>-5.6</v>
      </c>
      <c r="N94" s="45">
        <v>-2.67</v>
      </c>
      <c r="O94" s="527">
        <v>-5.73</v>
      </c>
      <c r="P94" s="527">
        <v>-1.77</v>
      </c>
      <c r="Q94" s="527">
        <v>-1.33</v>
      </c>
      <c r="R94" s="527"/>
      <c r="S94" s="527">
        <f t="shared" si="1"/>
        <v>-36.729999999999997</v>
      </c>
    </row>
    <row r="95" spans="1:19">
      <c r="A95" s="1090">
        <v>86</v>
      </c>
      <c r="B95" t="s">
        <v>294</v>
      </c>
      <c r="C95" s="11">
        <v>8060</v>
      </c>
      <c r="D95" s="11" t="s">
        <v>283</v>
      </c>
      <c r="E95" t="s">
        <v>280</v>
      </c>
      <c r="F95" s="45"/>
      <c r="G95" s="45"/>
      <c r="H95" s="45"/>
      <c r="I95" s="45"/>
      <c r="J95" s="45"/>
      <c r="K95" s="527">
        <v>-1.42</v>
      </c>
      <c r="L95" s="527"/>
      <c r="M95" s="527"/>
      <c r="N95" s="527"/>
      <c r="O95" s="527" t="s">
        <v>247</v>
      </c>
      <c r="P95" s="527" t="s">
        <v>247</v>
      </c>
      <c r="Q95" s="527" t="s">
        <v>247</v>
      </c>
      <c r="R95" s="527"/>
      <c r="S95" s="527">
        <f t="shared" si="1"/>
        <v>-1.42</v>
      </c>
    </row>
    <row r="96" spans="1:19">
      <c r="A96" s="1090">
        <v>87</v>
      </c>
      <c r="B96" t="s">
        <v>294</v>
      </c>
      <c r="C96" s="11">
        <v>8060</v>
      </c>
      <c r="D96" s="11" t="s">
        <v>284</v>
      </c>
      <c r="E96" t="s">
        <v>280</v>
      </c>
      <c r="F96" s="45"/>
      <c r="G96" s="45"/>
      <c r="H96" s="45"/>
      <c r="I96" s="45"/>
      <c r="J96" s="45"/>
      <c r="K96" s="45">
        <v>-1.72</v>
      </c>
      <c r="L96" s="45"/>
      <c r="M96" s="45"/>
      <c r="N96" s="45"/>
      <c r="O96" s="527" t="s">
        <v>247</v>
      </c>
      <c r="P96" s="527" t="s">
        <v>247</v>
      </c>
      <c r="Q96" s="527" t="s">
        <v>247</v>
      </c>
      <c r="R96" s="527"/>
      <c r="S96" s="527">
        <f t="shared" si="1"/>
        <v>-1.72</v>
      </c>
    </row>
    <row r="97" spans="1:19">
      <c r="A97" s="1090">
        <v>88</v>
      </c>
      <c r="B97" t="s">
        <v>294</v>
      </c>
      <c r="C97" s="11">
        <v>8060</v>
      </c>
      <c r="D97" s="11" t="s">
        <v>287</v>
      </c>
      <c r="E97" t="s">
        <v>280</v>
      </c>
      <c r="F97" s="45"/>
      <c r="G97" s="45"/>
      <c r="H97" s="45"/>
      <c r="I97" s="45"/>
      <c r="J97" s="45"/>
      <c r="K97" s="45">
        <v>-13.36</v>
      </c>
      <c r="L97" s="45"/>
      <c r="M97" s="45"/>
      <c r="N97" s="45"/>
      <c r="O97" s="527" t="s">
        <v>247</v>
      </c>
      <c r="P97" s="527" t="s">
        <v>247</v>
      </c>
      <c r="Q97" s="527" t="s">
        <v>247</v>
      </c>
      <c r="R97" s="527"/>
      <c r="S97" s="527">
        <f t="shared" si="1"/>
        <v>-13.36</v>
      </c>
    </row>
    <row r="98" spans="1:19">
      <c r="A98" s="1090">
        <v>89</v>
      </c>
      <c r="B98" t="s">
        <v>294</v>
      </c>
      <c r="C98" s="11">
        <v>8060</v>
      </c>
      <c r="D98" s="11" t="s">
        <v>289</v>
      </c>
      <c r="E98" t="s">
        <v>280</v>
      </c>
      <c r="F98" s="45"/>
      <c r="G98" s="45"/>
      <c r="H98" s="45"/>
      <c r="I98" s="45"/>
      <c r="J98" s="45"/>
      <c r="K98" s="45">
        <v>-0.27</v>
      </c>
      <c r="L98" s="45"/>
      <c r="M98" s="45"/>
      <c r="N98" s="45"/>
      <c r="O98" s="527" t="s">
        <v>247</v>
      </c>
      <c r="P98" s="527" t="s">
        <v>247</v>
      </c>
      <c r="Q98" s="527" t="s">
        <v>247</v>
      </c>
      <c r="R98" s="527"/>
      <c r="S98" s="527">
        <f t="shared" si="1"/>
        <v>-0.27</v>
      </c>
    </row>
    <row r="99" spans="1:19">
      <c r="A99" s="1090">
        <v>90</v>
      </c>
      <c r="B99" t="s">
        <v>294</v>
      </c>
      <c r="C99" s="11">
        <v>8060</v>
      </c>
      <c r="D99" s="11" t="s">
        <v>290</v>
      </c>
      <c r="E99" t="s">
        <v>280</v>
      </c>
      <c r="F99" s="527">
        <v>-52</v>
      </c>
      <c r="G99" s="527">
        <v>-65</v>
      </c>
      <c r="H99" s="527">
        <v>-52</v>
      </c>
      <c r="I99" s="45">
        <v>-39</v>
      </c>
      <c r="J99" s="45">
        <v>-91</v>
      </c>
      <c r="K99" s="45">
        <v>-13</v>
      </c>
      <c r="L99" s="527">
        <v>-39</v>
      </c>
      <c r="M99" s="45">
        <v>-91</v>
      </c>
      <c r="N99" s="527">
        <v>-39</v>
      </c>
      <c r="O99" s="527">
        <v>-91</v>
      </c>
      <c r="P99" s="527">
        <v>-53</v>
      </c>
      <c r="Q99" s="527">
        <v>-62</v>
      </c>
      <c r="R99" s="527"/>
      <c r="S99" s="527">
        <f t="shared" si="1"/>
        <v>-687</v>
      </c>
    </row>
    <row r="100" spans="1:19">
      <c r="A100" s="1090">
        <v>91</v>
      </c>
      <c r="B100" t="s">
        <v>294</v>
      </c>
      <c r="C100" s="11">
        <v>8060</v>
      </c>
      <c r="D100" s="11" t="s">
        <v>291</v>
      </c>
      <c r="E100" t="s">
        <v>280</v>
      </c>
      <c r="F100" s="45"/>
      <c r="G100" s="45"/>
      <c r="H100" s="45"/>
      <c r="I100" s="45"/>
      <c r="J100" s="45"/>
      <c r="K100" s="45">
        <v>-8</v>
      </c>
      <c r="L100" s="45"/>
      <c r="M100" s="45"/>
      <c r="N100" s="45"/>
      <c r="O100" s="527" t="s">
        <v>247</v>
      </c>
      <c r="P100" s="527" t="s">
        <v>247</v>
      </c>
      <c r="Q100" s="527" t="s">
        <v>247</v>
      </c>
      <c r="R100" s="527"/>
      <c r="S100" s="527">
        <f t="shared" si="1"/>
        <v>-8</v>
      </c>
    </row>
    <row r="101" spans="1:19">
      <c r="A101" s="1090">
        <v>92</v>
      </c>
      <c r="B101" t="s">
        <v>294</v>
      </c>
      <c r="C101" s="11">
        <v>8060</v>
      </c>
      <c r="D101" s="11" t="s">
        <v>292</v>
      </c>
      <c r="E101" t="s">
        <v>280</v>
      </c>
      <c r="F101" s="45"/>
      <c r="G101" s="45"/>
      <c r="H101" s="45"/>
      <c r="I101" s="45"/>
      <c r="J101" s="45"/>
      <c r="K101" s="45">
        <v>0.11</v>
      </c>
      <c r="L101" s="45"/>
      <c r="M101" s="45"/>
      <c r="N101" s="45"/>
      <c r="O101" s="527" t="s">
        <v>247</v>
      </c>
      <c r="P101" s="527" t="s">
        <v>247</v>
      </c>
      <c r="Q101" s="527" t="s">
        <v>247</v>
      </c>
      <c r="R101" s="527"/>
      <c r="S101" s="527">
        <f t="shared" si="1"/>
        <v>0.11</v>
      </c>
    </row>
    <row r="102" spans="1:19">
      <c r="A102" s="1090">
        <v>93</v>
      </c>
      <c r="B102" t="s">
        <v>294</v>
      </c>
      <c r="C102" s="11">
        <v>8060</v>
      </c>
      <c r="D102" s="11" t="s">
        <v>293</v>
      </c>
      <c r="E102" t="s">
        <v>280</v>
      </c>
      <c r="F102" s="45"/>
      <c r="G102" s="45"/>
      <c r="H102" s="45"/>
      <c r="I102" s="45"/>
      <c r="J102" s="45"/>
      <c r="K102" s="45">
        <v>-0.15</v>
      </c>
      <c r="L102" s="45"/>
      <c r="M102" s="45"/>
      <c r="N102" s="45"/>
      <c r="O102" s="527" t="s">
        <v>247</v>
      </c>
      <c r="P102" s="527" t="s">
        <v>247</v>
      </c>
      <c r="Q102" s="527" t="s">
        <v>247</v>
      </c>
      <c r="R102" s="527"/>
      <c r="S102" s="527">
        <f t="shared" si="1"/>
        <v>-0.15</v>
      </c>
    </row>
    <row r="103" spans="1:19">
      <c r="A103" s="1090">
        <v>94</v>
      </c>
      <c r="B103" t="s">
        <v>295</v>
      </c>
      <c r="C103" s="11">
        <v>0</v>
      </c>
      <c r="D103" s="11" t="s">
        <v>244</v>
      </c>
      <c r="E103" t="s">
        <v>245</v>
      </c>
      <c r="F103" s="45">
        <v>0</v>
      </c>
      <c r="G103" s="45">
        <v>0</v>
      </c>
      <c r="H103" s="45">
        <v>0</v>
      </c>
      <c r="I103" s="45">
        <v>0</v>
      </c>
      <c r="J103" s="45">
        <v>0</v>
      </c>
      <c r="K103" s="45">
        <v>0</v>
      </c>
      <c r="L103" s="45">
        <v>0</v>
      </c>
      <c r="M103" s="45">
        <v>0</v>
      </c>
      <c r="N103" s="45">
        <v>0</v>
      </c>
      <c r="O103" s="527">
        <v>0</v>
      </c>
      <c r="P103" s="527">
        <v>0</v>
      </c>
      <c r="Q103" s="527">
        <v>0</v>
      </c>
      <c r="R103" s="527"/>
      <c r="S103" s="527">
        <f t="shared" si="1"/>
        <v>0</v>
      </c>
    </row>
    <row r="104" spans="1:19">
      <c r="A104" s="1090">
        <v>95</v>
      </c>
      <c r="B104" t="s">
        <v>295</v>
      </c>
      <c r="C104" s="11">
        <v>20</v>
      </c>
      <c r="D104" s="11" t="s">
        <v>246</v>
      </c>
      <c r="E104" t="s">
        <v>141</v>
      </c>
      <c r="F104" s="45">
        <v>29820</v>
      </c>
      <c r="G104" s="45">
        <v>29520</v>
      </c>
      <c r="H104" s="45">
        <v>29820</v>
      </c>
      <c r="I104" s="45">
        <v>29820</v>
      </c>
      <c r="J104" s="45">
        <v>29760</v>
      </c>
      <c r="K104" s="45">
        <v>29580</v>
      </c>
      <c r="L104" s="45">
        <v>29400</v>
      </c>
      <c r="M104" s="45">
        <v>29460</v>
      </c>
      <c r="N104" s="45">
        <v>29400</v>
      </c>
      <c r="O104" s="527">
        <v>29346</v>
      </c>
      <c r="P104" s="527">
        <v>29760</v>
      </c>
      <c r="Q104" s="527">
        <v>29580</v>
      </c>
      <c r="R104" s="527"/>
      <c r="S104" s="527">
        <f t="shared" si="1"/>
        <v>355266</v>
      </c>
    </row>
    <row r="105" spans="1:19">
      <c r="A105" s="1090">
        <v>96</v>
      </c>
      <c r="B105" t="s">
        <v>295</v>
      </c>
      <c r="C105" s="11">
        <v>30</v>
      </c>
      <c r="D105" s="11" t="s">
        <v>248</v>
      </c>
      <c r="E105" t="s">
        <v>160</v>
      </c>
      <c r="F105" s="45">
        <v>47038.8</v>
      </c>
      <c r="G105" s="45">
        <v>43869.85</v>
      </c>
      <c r="H105" s="45">
        <v>45576.39</v>
      </c>
      <c r="I105" s="45">
        <v>41136.94</v>
      </c>
      <c r="J105" s="45">
        <v>34769.050000000003</v>
      </c>
      <c r="K105" s="45">
        <v>22284.560000000001</v>
      </c>
      <c r="L105" s="45">
        <v>19034.98</v>
      </c>
      <c r="M105" s="45">
        <v>18178.150000000001</v>
      </c>
      <c r="N105" s="45">
        <v>19222.650000000001</v>
      </c>
      <c r="O105" s="527">
        <v>23927.71</v>
      </c>
      <c r="P105" s="527">
        <v>35063.43</v>
      </c>
      <c r="Q105" s="527">
        <v>42196.17</v>
      </c>
      <c r="R105" s="527"/>
      <c r="S105" s="527">
        <f t="shared" si="1"/>
        <v>392298.68</v>
      </c>
    </row>
    <row r="106" spans="1:19">
      <c r="A106" s="1090">
        <v>97</v>
      </c>
      <c r="B106" t="s">
        <v>295</v>
      </c>
      <c r="C106" s="11">
        <v>40</v>
      </c>
      <c r="D106" s="11" t="s">
        <v>248</v>
      </c>
      <c r="E106" t="s">
        <v>161</v>
      </c>
      <c r="F106" s="45">
        <v>150373.01</v>
      </c>
      <c r="G106" s="45">
        <v>124402.68</v>
      </c>
      <c r="H106" s="45">
        <v>134946.5</v>
      </c>
      <c r="I106" s="45">
        <v>102389.75999999999</v>
      </c>
      <c r="J106" s="45">
        <v>80783.490000000005</v>
      </c>
      <c r="K106" s="45">
        <v>49807.9</v>
      </c>
      <c r="L106" s="45">
        <v>39990.129999999997</v>
      </c>
      <c r="M106" s="45">
        <v>41769.21</v>
      </c>
      <c r="N106" s="45">
        <v>43571.21</v>
      </c>
      <c r="O106" s="527">
        <v>56793.7</v>
      </c>
      <c r="P106" s="527">
        <v>79895.78</v>
      </c>
      <c r="Q106" s="527">
        <v>114871.87</v>
      </c>
      <c r="R106" s="527"/>
      <c r="S106" s="527">
        <f t="shared" si="1"/>
        <v>1019595.24</v>
      </c>
    </row>
    <row r="107" spans="1:19">
      <c r="A107" s="1090">
        <v>98</v>
      </c>
      <c r="B107" t="s">
        <v>295</v>
      </c>
      <c r="C107" s="11">
        <v>50</v>
      </c>
      <c r="D107" s="11" t="s">
        <v>248</v>
      </c>
      <c r="E107" t="s">
        <v>162</v>
      </c>
      <c r="F107" s="45">
        <v>145242.72</v>
      </c>
      <c r="G107" s="45">
        <v>81823.83</v>
      </c>
      <c r="H107" s="45">
        <v>124291.53</v>
      </c>
      <c r="I107" s="45">
        <v>66366.37</v>
      </c>
      <c r="J107" s="45">
        <v>48788.65</v>
      </c>
      <c r="K107" s="45">
        <v>28048.63</v>
      </c>
      <c r="L107" s="45">
        <v>22744.42</v>
      </c>
      <c r="M107" s="45">
        <v>29658.17</v>
      </c>
      <c r="N107" s="45">
        <v>35686.06</v>
      </c>
      <c r="O107" s="527">
        <v>86129.74</v>
      </c>
      <c r="P107" s="527">
        <v>67109.81</v>
      </c>
      <c r="Q107" s="527">
        <v>91709.51</v>
      </c>
      <c r="R107" s="527"/>
      <c r="S107" s="527">
        <f t="shared" si="1"/>
        <v>827599.44</v>
      </c>
    </row>
    <row r="108" spans="1:19">
      <c r="A108" s="1090">
        <v>99</v>
      </c>
      <c r="B108" t="s">
        <v>295</v>
      </c>
      <c r="C108" s="11">
        <v>70</v>
      </c>
      <c r="D108" s="11" t="s">
        <v>249</v>
      </c>
      <c r="E108" t="s">
        <v>144</v>
      </c>
      <c r="F108" s="45">
        <v>1322482.32</v>
      </c>
      <c r="G108" s="45">
        <v>955365.77</v>
      </c>
      <c r="H108" s="45">
        <v>1180283.6499999999</v>
      </c>
      <c r="I108" s="45">
        <v>814224.92</v>
      </c>
      <c r="J108" s="45">
        <v>635317.57999999996</v>
      </c>
      <c r="K108" s="45">
        <v>386118.35</v>
      </c>
      <c r="L108" s="45">
        <v>314662.95</v>
      </c>
      <c r="M108" s="45">
        <v>347371.27</v>
      </c>
      <c r="N108" s="45">
        <v>382732.57</v>
      </c>
      <c r="O108" s="527">
        <v>658097.42000000004</v>
      </c>
      <c r="P108" s="527">
        <v>672808.95</v>
      </c>
      <c r="Q108" s="527">
        <v>839610.98</v>
      </c>
      <c r="R108" s="527"/>
      <c r="S108" s="527">
        <f t="shared" si="1"/>
        <v>8509076.7300000004</v>
      </c>
    </row>
    <row r="109" spans="1:19">
      <c r="A109" s="1090">
        <v>100</v>
      </c>
      <c r="B109" t="s">
        <v>295</v>
      </c>
      <c r="C109" s="11">
        <v>75</v>
      </c>
      <c r="D109" s="11" t="s">
        <v>250</v>
      </c>
      <c r="E109" t="s">
        <v>251</v>
      </c>
      <c r="F109" s="45"/>
      <c r="G109" s="45"/>
      <c r="H109" s="45"/>
      <c r="I109" s="45"/>
      <c r="J109" s="45"/>
      <c r="K109" s="45"/>
      <c r="L109" s="45"/>
      <c r="M109" s="45"/>
      <c r="N109" s="45"/>
      <c r="O109" s="527">
        <v>40166.99</v>
      </c>
      <c r="P109" s="527">
        <v>199834.64</v>
      </c>
      <c r="Q109" s="527">
        <v>359588.85</v>
      </c>
      <c r="R109" s="527"/>
      <c r="S109" s="527">
        <f t="shared" si="1"/>
        <v>599590.48</v>
      </c>
    </row>
    <row r="110" spans="1:19">
      <c r="A110" s="1090">
        <v>101</v>
      </c>
      <c r="B110" t="s">
        <v>295</v>
      </c>
      <c r="C110" s="11">
        <v>75</v>
      </c>
      <c r="D110" s="11" t="s">
        <v>250</v>
      </c>
      <c r="E110" t="s">
        <v>145</v>
      </c>
      <c r="F110" s="45">
        <v>314529.94</v>
      </c>
      <c r="G110" s="45">
        <v>227217.69</v>
      </c>
      <c r="H110" s="45">
        <v>280710.48</v>
      </c>
      <c r="I110" s="45">
        <v>193649.46</v>
      </c>
      <c r="J110" s="45">
        <v>151099.48000000001</v>
      </c>
      <c r="K110" s="45">
        <v>91831.52</v>
      </c>
      <c r="L110" s="45">
        <v>74837.070000000007</v>
      </c>
      <c r="M110" s="45">
        <v>82616.33</v>
      </c>
      <c r="N110" s="45">
        <v>91026.34</v>
      </c>
      <c r="O110" s="527">
        <v>116350.16</v>
      </c>
      <c r="P110" s="527">
        <v>2921.4</v>
      </c>
      <c r="Q110" s="527" t="s">
        <v>247</v>
      </c>
      <c r="R110" s="527"/>
      <c r="S110" s="527">
        <f t="shared" si="1"/>
        <v>1626789.87</v>
      </c>
    </row>
    <row r="111" spans="1:19">
      <c r="A111" s="1090">
        <v>102</v>
      </c>
      <c r="B111" t="s">
        <v>295</v>
      </c>
      <c r="C111" s="11">
        <v>90</v>
      </c>
      <c r="D111" s="11" t="s">
        <v>252</v>
      </c>
      <c r="E111" t="s">
        <v>146</v>
      </c>
      <c r="F111" s="45">
        <v>3751.24</v>
      </c>
      <c r="G111" s="45">
        <v>2709.84</v>
      </c>
      <c r="H111" s="45">
        <v>3347.91</v>
      </c>
      <c r="I111" s="45">
        <v>2309.5100000000002</v>
      </c>
      <c r="J111" s="45">
        <v>1802.04</v>
      </c>
      <c r="K111" s="45">
        <v>1095.0999999999999</v>
      </c>
      <c r="L111" s="45">
        <v>892.53</v>
      </c>
      <c r="M111" s="45">
        <v>985.26</v>
      </c>
      <c r="N111" s="45">
        <v>1085.57</v>
      </c>
      <c r="O111" s="527">
        <v>1866.63</v>
      </c>
      <c r="P111" s="527">
        <v>3645.36</v>
      </c>
      <c r="Q111" s="527">
        <v>8879.9</v>
      </c>
      <c r="R111" s="527"/>
      <c r="S111" s="527">
        <f t="shared" si="1"/>
        <v>32370.89</v>
      </c>
    </row>
    <row r="112" spans="1:19">
      <c r="A112" s="1090">
        <v>103</v>
      </c>
      <c r="B112" t="s">
        <v>295</v>
      </c>
      <c r="C112" s="11">
        <v>95</v>
      </c>
      <c r="D112" s="11" t="s">
        <v>253</v>
      </c>
      <c r="E112" t="s">
        <v>147</v>
      </c>
      <c r="F112" s="45">
        <v>8629.6299999999992</v>
      </c>
      <c r="G112" s="45">
        <v>6234.01</v>
      </c>
      <c r="H112" s="45">
        <v>7701.59</v>
      </c>
      <c r="I112" s="45">
        <v>5313.11</v>
      </c>
      <c r="J112" s="45">
        <v>4145.71</v>
      </c>
      <c r="K112" s="45">
        <v>2519.5700000000002</v>
      </c>
      <c r="L112" s="45">
        <v>2053.14</v>
      </c>
      <c r="M112" s="45">
        <v>2266.58</v>
      </c>
      <c r="N112" s="45">
        <v>2497.4</v>
      </c>
      <c r="O112" s="527">
        <v>4294.24</v>
      </c>
      <c r="P112" s="527">
        <v>6174.03</v>
      </c>
      <c r="Q112" s="527">
        <v>12152.56</v>
      </c>
      <c r="R112" s="527"/>
      <c r="S112" s="527">
        <f t="shared" si="1"/>
        <v>63981.57</v>
      </c>
    </row>
    <row r="113" spans="1:19">
      <c r="A113" s="1090">
        <v>104</v>
      </c>
      <c r="B113" t="s">
        <v>295</v>
      </c>
      <c r="C113" s="11">
        <v>100</v>
      </c>
      <c r="D113" s="11" t="s">
        <v>254</v>
      </c>
      <c r="E113" t="s">
        <v>148</v>
      </c>
      <c r="F113" s="45">
        <v>28753.3</v>
      </c>
      <c r="G113" s="45">
        <v>20771.400000000001</v>
      </c>
      <c r="H113" s="45">
        <v>25661.42</v>
      </c>
      <c r="I113" s="45">
        <v>17702.650000000001</v>
      </c>
      <c r="J113" s="45">
        <v>13812.97</v>
      </c>
      <c r="K113" s="45">
        <v>8395.0300000000007</v>
      </c>
      <c r="L113" s="45">
        <v>6841.35</v>
      </c>
      <c r="M113" s="45">
        <v>7552.57</v>
      </c>
      <c r="N113" s="45">
        <v>8321.43</v>
      </c>
      <c r="O113" s="527">
        <v>14308.39</v>
      </c>
      <c r="P113" s="527">
        <v>9791.0499999999993</v>
      </c>
      <c r="Q113" s="527">
        <v>157.86000000000001</v>
      </c>
      <c r="R113" s="527"/>
      <c r="S113" s="527">
        <f t="shared" si="1"/>
        <v>162069.41999999998</v>
      </c>
    </row>
    <row r="114" spans="1:19">
      <c r="A114" s="1090">
        <v>105</v>
      </c>
      <c r="B114" t="s">
        <v>295</v>
      </c>
      <c r="C114" s="11">
        <v>105</v>
      </c>
      <c r="D114" s="11" t="s">
        <v>255</v>
      </c>
      <c r="E114" t="s">
        <v>256</v>
      </c>
      <c r="F114" s="45">
        <v>0</v>
      </c>
      <c r="G114" s="45">
        <v>0</v>
      </c>
      <c r="H114" s="45">
        <v>0</v>
      </c>
      <c r="I114" s="45">
        <v>0</v>
      </c>
      <c r="J114" s="45">
        <v>0</v>
      </c>
      <c r="K114" s="45">
        <v>0</v>
      </c>
      <c r="L114" s="45">
        <v>0</v>
      </c>
      <c r="M114" s="45">
        <v>0</v>
      </c>
      <c r="N114" s="45">
        <v>0</v>
      </c>
      <c r="O114" s="527">
        <v>0</v>
      </c>
      <c r="P114" s="527">
        <v>0</v>
      </c>
      <c r="Q114" s="527">
        <v>0</v>
      </c>
      <c r="R114" s="527"/>
      <c r="S114" s="527">
        <f t="shared" si="1"/>
        <v>0</v>
      </c>
    </row>
    <row r="115" spans="1:19">
      <c r="A115" s="1090">
        <v>106</v>
      </c>
      <c r="B115" t="s">
        <v>295</v>
      </c>
      <c r="C115" s="11">
        <v>110</v>
      </c>
      <c r="D115" s="11" t="s">
        <v>257</v>
      </c>
      <c r="E115" t="s">
        <v>149</v>
      </c>
      <c r="F115" s="45">
        <v>55880.38</v>
      </c>
      <c r="G115" s="45">
        <v>40368.120000000003</v>
      </c>
      <c r="H115" s="45">
        <v>49871.82</v>
      </c>
      <c r="I115" s="45">
        <v>34404.410000000003</v>
      </c>
      <c r="J115" s="45">
        <v>26844.62</v>
      </c>
      <c r="K115" s="45">
        <v>16314.95</v>
      </c>
      <c r="L115" s="45">
        <v>13295.68</v>
      </c>
      <c r="M115" s="45">
        <v>14677.75</v>
      </c>
      <c r="N115" s="45">
        <v>16171.88</v>
      </c>
      <c r="O115" s="527">
        <v>27807.09</v>
      </c>
      <c r="P115" s="527">
        <v>35579</v>
      </c>
      <c r="Q115" s="527">
        <v>62228.15</v>
      </c>
      <c r="R115" s="527"/>
      <c r="S115" s="527">
        <f t="shared" si="1"/>
        <v>393443.85000000003</v>
      </c>
    </row>
    <row r="116" spans="1:19">
      <c r="A116" s="1090">
        <v>107</v>
      </c>
      <c r="B116" t="s">
        <v>295</v>
      </c>
      <c r="C116" s="11">
        <v>115</v>
      </c>
      <c r="D116" s="11" t="s">
        <v>258</v>
      </c>
      <c r="E116" t="s">
        <v>150</v>
      </c>
      <c r="F116" s="45">
        <v>-6578.44</v>
      </c>
      <c r="G116" s="45">
        <v>-4752.34</v>
      </c>
      <c r="H116" s="45">
        <v>-4053.33</v>
      </c>
      <c r="I116" s="45">
        <v>-17.5</v>
      </c>
      <c r="J116" s="45">
        <v>0</v>
      </c>
      <c r="K116" s="45">
        <v>0</v>
      </c>
      <c r="L116" s="45">
        <v>0</v>
      </c>
      <c r="M116" s="45">
        <v>0</v>
      </c>
      <c r="N116" s="45">
        <v>0</v>
      </c>
      <c r="O116" s="527">
        <v>0</v>
      </c>
      <c r="P116" s="527">
        <v>0</v>
      </c>
      <c r="Q116" s="527">
        <v>0</v>
      </c>
      <c r="R116" s="527"/>
      <c r="S116" s="527">
        <f t="shared" si="1"/>
        <v>-15401.609999999999</v>
      </c>
    </row>
    <row r="117" spans="1:19">
      <c r="A117" s="1090">
        <v>108</v>
      </c>
      <c r="B117" t="s">
        <v>295</v>
      </c>
      <c r="C117" s="11">
        <v>120</v>
      </c>
      <c r="D117" s="11" t="s">
        <v>259</v>
      </c>
      <c r="E117" t="s">
        <v>151</v>
      </c>
      <c r="F117" s="45">
        <v>-2734.91</v>
      </c>
      <c r="G117" s="45">
        <v>-1975.68</v>
      </c>
      <c r="H117" s="45">
        <v>-2440.88</v>
      </c>
      <c r="I117" s="45">
        <v>-1683.81</v>
      </c>
      <c r="J117" s="45">
        <v>-1313.8</v>
      </c>
      <c r="K117" s="45">
        <v>-798.35</v>
      </c>
      <c r="L117" s="45">
        <v>-650.69000000000005</v>
      </c>
      <c r="M117" s="45">
        <v>-718.29</v>
      </c>
      <c r="N117" s="45">
        <v>-791.47</v>
      </c>
      <c r="O117" s="527">
        <v>-1360.9</v>
      </c>
      <c r="P117" s="527">
        <v>-1433.07</v>
      </c>
      <c r="Q117" s="527">
        <v>-1892.57</v>
      </c>
      <c r="R117" s="527"/>
      <c r="S117" s="527">
        <f t="shared" si="1"/>
        <v>-17794.419999999998</v>
      </c>
    </row>
    <row r="118" spans="1:19">
      <c r="A118" s="1090">
        <v>109</v>
      </c>
      <c r="B118" t="s">
        <v>295</v>
      </c>
      <c r="C118" s="11">
        <v>125</v>
      </c>
      <c r="D118" s="11" t="s">
        <v>260</v>
      </c>
      <c r="E118" t="s">
        <v>261</v>
      </c>
      <c r="F118" s="45">
        <v>0</v>
      </c>
      <c r="G118" s="45">
        <v>0</v>
      </c>
      <c r="H118" s="45">
        <v>0</v>
      </c>
      <c r="I118" s="45">
        <v>0</v>
      </c>
      <c r="J118" s="45">
        <v>0</v>
      </c>
      <c r="K118" s="45">
        <v>0</v>
      </c>
      <c r="L118" s="45">
        <v>0</v>
      </c>
      <c r="M118" s="45">
        <v>0</v>
      </c>
      <c r="N118" s="45">
        <v>0</v>
      </c>
      <c r="O118" s="527">
        <v>0</v>
      </c>
      <c r="P118" s="527">
        <v>0</v>
      </c>
      <c r="Q118" s="527">
        <v>0</v>
      </c>
      <c r="R118" s="527"/>
      <c r="S118" s="527">
        <f t="shared" si="1"/>
        <v>0</v>
      </c>
    </row>
    <row r="119" spans="1:19">
      <c r="A119" s="1090">
        <v>110</v>
      </c>
      <c r="B119" t="s">
        <v>295</v>
      </c>
      <c r="C119" s="11">
        <v>130</v>
      </c>
      <c r="D119" s="11" t="s">
        <v>262</v>
      </c>
      <c r="E119" t="s">
        <v>263</v>
      </c>
      <c r="F119" s="45"/>
      <c r="G119" s="45"/>
      <c r="H119" s="45"/>
      <c r="I119" s="45"/>
      <c r="J119" s="45"/>
      <c r="K119" s="45"/>
      <c r="L119" s="45"/>
      <c r="M119" s="45"/>
      <c r="N119" s="45"/>
      <c r="O119" s="527">
        <v>1416.04</v>
      </c>
      <c r="P119" s="527">
        <v>5833.47</v>
      </c>
      <c r="Q119" s="527">
        <v>8145.67</v>
      </c>
      <c r="R119" s="527"/>
      <c r="S119" s="527">
        <f t="shared" si="1"/>
        <v>15395.18</v>
      </c>
    </row>
    <row r="120" spans="1:19">
      <c r="A120" s="1090">
        <v>111</v>
      </c>
      <c r="B120" t="s">
        <v>295</v>
      </c>
      <c r="C120" s="11">
        <v>340</v>
      </c>
      <c r="D120" s="11" t="s">
        <v>266</v>
      </c>
      <c r="E120" t="s">
        <v>267</v>
      </c>
      <c r="F120" s="45">
        <v>92198.33</v>
      </c>
      <c r="G120" s="45">
        <v>69495.839999999997</v>
      </c>
      <c r="H120" s="45">
        <v>86041.12</v>
      </c>
      <c r="I120" s="45">
        <v>59039.360000000001</v>
      </c>
      <c r="J120" s="45">
        <v>44995.16</v>
      </c>
      <c r="K120" s="45">
        <v>26905.97</v>
      </c>
      <c r="L120" s="45">
        <v>21381.040000000001</v>
      </c>
      <c r="M120" s="45">
        <v>22913.57</v>
      </c>
      <c r="N120" s="45">
        <v>20782.099999999999</v>
      </c>
      <c r="O120" s="527">
        <v>27348.27</v>
      </c>
      <c r="P120" s="527">
        <v>42412.78</v>
      </c>
      <c r="Q120" s="527">
        <v>67931.649999999994</v>
      </c>
      <c r="R120" s="527"/>
      <c r="S120" s="527">
        <f t="shared" si="1"/>
        <v>581445.18999999994</v>
      </c>
    </row>
    <row r="121" spans="1:19">
      <c r="A121" s="1090">
        <v>112</v>
      </c>
      <c r="B121" t="s">
        <v>295</v>
      </c>
      <c r="C121" s="11">
        <v>350</v>
      </c>
      <c r="D121" s="11" t="s">
        <v>268</v>
      </c>
      <c r="E121" t="s">
        <v>269</v>
      </c>
      <c r="F121" s="45">
        <v>1266.5</v>
      </c>
      <c r="G121" s="45">
        <v>233.86</v>
      </c>
      <c r="H121" s="45">
        <v>861.81</v>
      </c>
      <c r="I121" s="45">
        <v>533.87</v>
      </c>
      <c r="J121" s="45">
        <v>654.42999999999995</v>
      </c>
      <c r="K121" s="45">
        <v>470.13</v>
      </c>
      <c r="L121" s="45">
        <v>586.49</v>
      </c>
      <c r="M121" s="45">
        <v>656.17</v>
      </c>
      <c r="N121" s="45">
        <v>431.15</v>
      </c>
      <c r="O121" s="527">
        <v>470.33</v>
      </c>
      <c r="P121" s="527">
        <v>1878.2</v>
      </c>
      <c r="Q121" s="527">
        <v>330.2</v>
      </c>
      <c r="R121" s="527"/>
      <c r="S121" s="527">
        <f t="shared" si="1"/>
        <v>8373.14</v>
      </c>
    </row>
    <row r="122" spans="1:19">
      <c r="A122" s="1090">
        <v>113</v>
      </c>
      <c r="B122" t="s">
        <v>295</v>
      </c>
      <c r="C122" s="11">
        <v>360</v>
      </c>
      <c r="D122" s="11" t="s">
        <v>270</v>
      </c>
      <c r="E122" t="s">
        <v>271</v>
      </c>
      <c r="F122" s="45">
        <v>0</v>
      </c>
      <c r="G122" s="45">
        <v>0</v>
      </c>
      <c r="H122" s="45">
        <v>0</v>
      </c>
      <c r="I122" s="45">
        <v>0</v>
      </c>
      <c r="J122" s="45">
        <v>0</v>
      </c>
      <c r="K122" s="45">
        <v>0</v>
      </c>
      <c r="L122" s="45">
        <v>0</v>
      </c>
      <c r="M122" s="45">
        <v>0</v>
      </c>
      <c r="N122" s="45">
        <v>0</v>
      </c>
      <c r="O122" s="527">
        <v>0</v>
      </c>
      <c r="P122" s="527">
        <v>0</v>
      </c>
      <c r="Q122" s="527">
        <v>0</v>
      </c>
      <c r="R122" s="527"/>
      <c r="S122" s="527">
        <f t="shared" si="1"/>
        <v>0</v>
      </c>
    </row>
    <row r="123" spans="1:19">
      <c r="A123" s="1090">
        <v>114</v>
      </c>
      <c r="B123" t="s">
        <v>295</v>
      </c>
      <c r="C123" s="11">
        <v>365</v>
      </c>
      <c r="D123" s="11" t="s">
        <v>266</v>
      </c>
      <c r="E123" t="s">
        <v>296</v>
      </c>
      <c r="F123" s="45">
        <v>240</v>
      </c>
      <c r="G123" s="45">
        <v>240</v>
      </c>
      <c r="H123" s="45">
        <v>360</v>
      </c>
      <c r="I123" s="45">
        <v>240</v>
      </c>
      <c r="J123" s="45">
        <v>240</v>
      </c>
      <c r="K123" s="45"/>
      <c r="L123" s="45"/>
      <c r="M123" s="45"/>
      <c r="N123" s="45"/>
      <c r="O123" s="527" t="s">
        <v>247</v>
      </c>
      <c r="P123" s="527">
        <v>60</v>
      </c>
      <c r="Q123" s="527">
        <v>240</v>
      </c>
      <c r="R123" s="527"/>
      <c r="S123" s="527">
        <f t="shared" si="1"/>
        <v>1620</v>
      </c>
    </row>
    <row r="124" spans="1:19">
      <c r="A124" s="1090">
        <v>115</v>
      </c>
      <c r="B124" t="s">
        <v>295</v>
      </c>
      <c r="C124" s="11">
        <v>370</v>
      </c>
      <c r="D124" s="11" t="s">
        <v>266</v>
      </c>
      <c r="E124" t="s">
        <v>272</v>
      </c>
      <c r="F124" s="45">
        <v>180.8</v>
      </c>
      <c r="G124" s="45">
        <v>161.93</v>
      </c>
      <c r="H124" s="45">
        <v>179.11</v>
      </c>
      <c r="I124" s="45">
        <v>157.85</v>
      </c>
      <c r="J124" s="45">
        <v>144.41999999999999</v>
      </c>
      <c r="K124" s="45">
        <v>76.3</v>
      </c>
      <c r="L124" s="45">
        <v>54.5</v>
      </c>
      <c r="M124" s="45">
        <v>91.31</v>
      </c>
      <c r="N124" s="45">
        <v>28.31</v>
      </c>
      <c r="O124" s="527">
        <v>354.99</v>
      </c>
      <c r="P124" s="527">
        <v>296.04000000000002</v>
      </c>
      <c r="Q124" s="527">
        <v>446.63</v>
      </c>
      <c r="R124" s="527"/>
      <c r="S124" s="527">
        <f t="shared" si="1"/>
        <v>2172.19</v>
      </c>
    </row>
    <row r="125" spans="1:19">
      <c r="A125" s="1090">
        <v>116</v>
      </c>
      <c r="B125" t="s">
        <v>295</v>
      </c>
      <c r="C125" s="11">
        <v>390</v>
      </c>
      <c r="D125" s="11" t="s">
        <v>273</v>
      </c>
      <c r="E125" t="s">
        <v>274</v>
      </c>
      <c r="F125" s="45">
        <v>139.35</v>
      </c>
      <c r="G125" s="45">
        <v>0.6</v>
      </c>
      <c r="H125" s="45">
        <v>0.6</v>
      </c>
      <c r="I125" s="45">
        <v>0.6</v>
      </c>
      <c r="J125" s="45">
        <v>0.66</v>
      </c>
      <c r="K125" s="45">
        <v>0.6</v>
      </c>
      <c r="L125" s="45">
        <v>0.6</v>
      </c>
      <c r="M125" s="45">
        <v>0.6</v>
      </c>
      <c r="N125" s="45">
        <v>0.63</v>
      </c>
      <c r="O125" s="527">
        <v>2.7</v>
      </c>
      <c r="P125" s="527">
        <v>0.6</v>
      </c>
      <c r="Q125" s="527">
        <v>0.6</v>
      </c>
      <c r="R125" s="527"/>
      <c r="S125" s="527">
        <f t="shared" si="1"/>
        <v>148.13999999999993</v>
      </c>
    </row>
    <row r="126" spans="1:19">
      <c r="A126" s="1090">
        <v>117</v>
      </c>
      <c r="B126" t="s">
        <v>295</v>
      </c>
      <c r="C126" s="11">
        <v>470</v>
      </c>
      <c r="D126" s="11" t="s">
        <v>278</v>
      </c>
      <c r="E126" t="s">
        <v>154</v>
      </c>
      <c r="F126" s="45">
        <v>4777.3900000000003</v>
      </c>
      <c r="G126" s="45">
        <v>2367.5100000000002</v>
      </c>
      <c r="H126" s="45">
        <v>3475.61</v>
      </c>
      <c r="I126" s="45">
        <v>1878.86</v>
      </c>
      <c r="J126" s="45">
        <v>1199.55</v>
      </c>
      <c r="K126" s="45">
        <v>647.33000000000004</v>
      </c>
      <c r="L126" s="45">
        <v>494.73</v>
      </c>
      <c r="M126" s="45">
        <v>1063.6600000000001</v>
      </c>
      <c r="N126" s="45">
        <v>1330.35</v>
      </c>
      <c r="O126" s="527">
        <v>1569.84</v>
      </c>
      <c r="P126" s="527">
        <v>2129</v>
      </c>
      <c r="Q126" s="527">
        <v>2926.71</v>
      </c>
      <c r="R126" s="527"/>
      <c r="S126" s="527">
        <f t="shared" si="1"/>
        <v>23860.539999999997</v>
      </c>
    </row>
    <row r="127" spans="1:19">
      <c r="A127" s="1090">
        <v>118</v>
      </c>
      <c r="B127" t="s">
        <v>295</v>
      </c>
      <c r="C127" s="11">
        <v>8060</v>
      </c>
      <c r="D127" s="11" t="s">
        <v>281</v>
      </c>
      <c r="E127" t="s">
        <v>280</v>
      </c>
      <c r="F127" s="45"/>
      <c r="G127" s="45"/>
      <c r="H127" s="45"/>
      <c r="I127" s="45"/>
      <c r="J127" s="45"/>
      <c r="K127" s="45">
        <v>-53.68</v>
      </c>
      <c r="L127" s="45"/>
      <c r="M127" s="45"/>
      <c r="N127" s="45"/>
      <c r="O127" s="527" t="s">
        <v>247</v>
      </c>
      <c r="P127" s="527" t="s">
        <v>247</v>
      </c>
      <c r="Q127" s="527" t="s">
        <v>247</v>
      </c>
      <c r="R127" s="527"/>
      <c r="S127" s="527">
        <f t="shared" si="1"/>
        <v>-53.68</v>
      </c>
    </row>
    <row r="128" spans="1:19">
      <c r="A128" s="1090">
        <v>119</v>
      </c>
      <c r="B128" t="s">
        <v>295</v>
      </c>
      <c r="C128" s="11">
        <v>8060</v>
      </c>
      <c r="D128" s="11" t="s">
        <v>282</v>
      </c>
      <c r="E128" t="s">
        <v>280</v>
      </c>
      <c r="F128" s="45"/>
      <c r="G128" s="45"/>
      <c r="H128" s="45"/>
      <c r="I128" s="45">
        <v>-176.35</v>
      </c>
      <c r="J128" s="45"/>
      <c r="K128" s="45"/>
      <c r="L128" s="45"/>
      <c r="M128" s="45">
        <v>-3.6</v>
      </c>
      <c r="N128" s="45"/>
      <c r="O128" s="527" t="s">
        <v>247</v>
      </c>
      <c r="P128" s="527" t="s">
        <v>247</v>
      </c>
      <c r="Q128" s="527" t="s">
        <v>247</v>
      </c>
      <c r="R128" s="527"/>
      <c r="S128" s="527">
        <f t="shared" si="1"/>
        <v>-179.95</v>
      </c>
    </row>
    <row r="129" spans="1:19">
      <c r="A129" s="1090">
        <v>120</v>
      </c>
      <c r="B129" t="s">
        <v>295</v>
      </c>
      <c r="C129" s="11">
        <v>8060</v>
      </c>
      <c r="D129" s="11" t="s">
        <v>283</v>
      </c>
      <c r="E129" t="s">
        <v>280</v>
      </c>
      <c r="F129" s="45"/>
      <c r="G129" s="45"/>
      <c r="H129" s="45"/>
      <c r="I129" s="45"/>
      <c r="J129" s="45"/>
      <c r="K129" s="45">
        <v>-2.27</v>
      </c>
      <c r="L129" s="45"/>
      <c r="M129" s="45"/>
      <c r="N129" s="45"/>
      <c r="O129" s="527" t="s">
        <v>247</v>
      </c>
      <c r="P129" s="527" t="s">
        <v>247</v>
      </c>
      <c r="Q129" s="527" t="s">
        <v>247</v>
      </c>
      <c r="R129" s="527"/>
      <c r="S129" s="527">
        <f t="shared" si="1"/>
        <v>-2.27</v>
      </c>
    </row>
    <row r="130" spans="1:19">
      <c r="A130" s="1090">
        <v>121</v>
      </c>
      <c r="B130" t="s">
        <v>295</v>
      </c>
      <c r="C130" s="11">
        <v>8060</v>
      </c>
      <c r="D130" s="11" t="s">
        <v>284</v>
      </c>
      <c r="E130" t="s">
        <v>280</v>
      </c>
      <c r="F130" s="45"/>
      <c r="G130" s="45"/>
      <c r="H130" s="45"/>
      <c r="I130" s="45"/>
      <c r="J130" s="45"/>
      <c r="K130" s="45">
        <v>-1.17</v>
      </c>
      <c r="L130" s="45"/>
      <c r="M130" s="45"/>
      <c r="N130" s="45"/>
      <c r="O130" s="527" t="s">
        <v>247</v>
      </c>
      <c r="P130" s="527" t="s">
        <v>247</v>
      </c>
      <c r="Q130" s="527" t="s">
        <v>247</v>
      </c>
      <c r="R130" s="527"/>
      <c r="S130" s="527">
        <f t="shared" si="1"/>
        <v>-1.17</v>
      </c>
    </row>
    <row r="131" spans="1:19">
      <c r="A131" s="1090">
        <v>122</v>
      </c>
      <c r="B131" t="s">
        <v>295</v>
      </c>
      <c r="C131" s="11">
        <v>8060</v>
      </c>
      <c r="D131" s="11" t="s">
        <v>287</v>
      </c>
      <c r="E131" t="s">
        <v>280</v>
      </c>
      <c r="F131" s="45"/>
      <c r="G131" s="45"/>
      <c r="H131" s="45"/>
      <c r="I131" s="45"/>
      <c r="J131" s="45"/>
      <c r="K131" s="45">
        <v>-16.45</v>
      </c>
      <c r="L131" s="45"/>
      <c r="M131" s="45"/>
      <c r="N131" s="45"/>
      <c r="O131" s="527" t="s">
        <v>247</v>
      </c>
      <c r="P131" s="527" t="s">
        <v>247</v>
      </c>
      <c r="Q131" s="527" t="s">
        <v>247</v>
      </c>
      <c r="R131" s="527"/>
      <c r="S131" s="527">
        <f t="shared" si="1"/>
        <v>-16.45</v>
      </c>
    </row>
    <row r="132" spans="1:19">
      <c r="A132" s="1090">
        <v>123</v>
      </c>
      <c r="B132" t="s">
        <v>295</v>
      </c>
      <c r="C132" s="11">
        <v>8060</v>
      </c>
      <c r="D132" s="11" t="s">
        <v>289</v>
      </c>
      <c r="E132" t="s">
        <v>280</v>
      </c>
      <c r="F132" s="45"/>
      <c r="G132" s="45"/>
      <c r="H132" s="45"/>
      <c r="I132" s="45"/>
      <c r="J132" s="45"/>
      <c r="K132" s="45">
        <v>-0.35</v>
      </c>
      <c r="L132" s="45"/>
      <c r="M132" s="45"/>
      <c r="N132" s="45"/>
      <c r="O132" s="527" t="s">
        <v>247</v>
      </c>
      <c r="P132" s="527" t="s">
        <v>247</v>
      </c>
      <c r="Q132" s="527" t="s">
        <v>247</v>
      </c>
      <c r="R132" s="527"/>
      <c r="S132" s="527">
        <f t="shared" si="1"/>
        <v>-0.35</v>
      </c>
    </row>
    <row r="133" spans="1:19">
      <c r="A133" s="1090">
        <v>124</v>
      </c>
      <c r="B133" t="s">
        <v>295</v>
      </c>
      <c r="C133" s="11">
        <v>8060</v>
      </c>
      <c r="D133" s="11" t="s">
        <v>290</v>
      </c>
      <c r="E133" t="s">
        <v>280</v>
      </c>
      <c r="F133" s="45"/>
      <c r="G133" s="45"/>
      <c r="H133" s="45"/>
      <c r="I133" s="45"/>
      <c r="J133" s="45">
        <v>-60</v>
      </c>
      <c r="K133" s="45"/>
      <c r="L133" s="45"/>
      <c r="M133" s="45">
        <v>-60</v>
      </c>
      <c r="N133" s="45"/>
      <c r="O133" s="527" t="s">
        <v>247</v>
      </c>
      <c r="P133" s="527" t="s">
        <v>247</v>
      </c>
      <c r="Q133" s="527" t="s">
        <v>247</v>
      </c>
      <c r="R133" s="527"/>
      <c r="S133" s="527">
        <f t="shared" si="1"/>
        <v>-120</v>
      </c>
    </row>
    <row r="134" spans="1:19">
      <c r="A134" s="1090">
        <v>125</v>
      </c>
      <c r="B134" t="s">
        <v>295</v>
      </c>
      <c r="C134" s="11">
        <v>8060</v>
      </c>
      <c r="D134" s="11" t="s">
        <v>291</v>
      </c>
      <c r="E134" t="s">
        <v>280</v>
      </c>
      <c r="F134" s="45"/>
      <c r="G134" s="45"/>
      <c r="H134" s="45"/>
      <c r="I134" s="45"/>
      <c r="J134" s="45"/>
      <c r="K134" s="45">
        <v>-12.77</v>
      </c>
      <c r="L134" s="45"/>
      <c r="M134" s="45"/>
      <c r="N134" s="45"/>
      <c r="O134" s="527" t="s">
        <v>247</v>
      </c>
      <c r="P134" s="527" t="s">
        <v>247</v>
      </c>
      <c r="Q134" s="527" t="s">
        <v>247</v>
      </c>
      <c r="R134" s="527"/>
      <c r="S134" s="527">
        <f t="shared" si="1"/>
        <v>-12.77</v>
      </c>
    </row>
    <row r="135" spans="1:19">
      <c r="A135" s="1090">
        <v>126</v>
      </c>
      <c r="B135" t="s">
        <v>295</v>
      </c>
      <c r="C135" s="11">
        <v>8060</v>
      </c>
      <c r="D135" s="11" t="s">
        <v>292</v>
      </c>
      <c r="E135" t="s">
        <v>280</v>
      </c>
      <c r="F135" s="45"/>
      <c r="G135" s="45"/>
      <c r="H135" s="45"/>
      <c r="I135" s="45"/>
      <c r="J135" s="45"/>
      <c r="K135" s="45">
        <v>0.11</v>
      </c>
      <c r="L135" s="45"/>
      <c r="M135" s="45"/>
      <c r="N135" s="45"/>
      <c r="O135" s="527" t="s">
        <v>247</v>
      </c>
      <c r="P135" s="527" t="s">
        <v>247</v>
      </c>
      <c r="Q135" s="527" t="s">
        <v>247</v>
      </c>
      <c r="R135" s="527"/>
      <c r="S135" s="527">
        <f t="shared" si="1"/>
        <v>0.11</v>
      </c>
    </row>
    <row r="136" spans="1:19">
      <c r="A136" s="1090">
        <v>127</v>
      </c>
      <c r="B136" t="s">
        <v>295</v>
      </c>
      <c r="C136" s="11">
        <v>8060</v>
      </c>
      <c r="D136" s="11" t="s">
        <v>293</v>
      </c>
      <c r="E136" t="s">
        <v>280</v>
      </c>
      <c r="F136" s="45"/>
      <c r="G136" s="45"/>
      <c r="H136" s="45"/>
      <c r="I136" s="45"/>
      <c r="J136" s="45"/>
      <c r="K136" s="45">
        <v>-0.15</v>
      </c>
      <c r="L136" s="45"/>
      <c r="M136" s="45"/>
      <c r="N136" s="45"/>
      <c r="O136" s="527" t="s">
        <v>247</v>
      </c>
      <c r="P136" s="527" t="s">
        <v>247</v>
      </c>
      <c r="Q136" s="527" t="s">
        <v>247</v>
      </c>
      <c r="R136" s="527"/>
      <c r="S136" s="527">
        <f t="shared" si="1"/>
        <v>-0.15</v>
      </c>
    </row>
    <row r="137" spans="1:19">
      <c r="A137" s="1090">
        <v>128</v>
      </c>
      <c r="B137" t="s">
        <v>297</v>
      </c>
      <c r="C137" s="11">
        <v>0</v>
      </c>
      <c r="D137" s="11" t="s">
        <v>244</v>
      </c>
      <c r="E137" t="s">
        <v>245</v>
      </c>
      <c r="F137" s="45">
        <v>0</v>
      </c>
      <c r="G137" s="45">
        <v>0</v>
      </c>
      <c r="H137" s="45">
        <v>0</v>
      </c>
      <c r="I137" s="45">
        <v>0</v>
      </c>
      <c r="J137" s="45">
        <v>0</v>
      </c>
      <c r="K137" s="45">
        <v>0</v>
      </c>
      <c r="L137" s="45">
        <v>0</v>
      </c>
      <c r="M137" s="45">
        <v>0</v>
      </c>
      <c r="N137" s="45">
        <v>0</v>
      </c>
      <c r="O137" s="527">
        <v>0</v>
      </c>
      <c r="P137" s="527">
        <v>0</v>
      </c>
      <c r="Q137" s="527">
        <v>0</v>
      </c>
      <c r="R137" s="527"/>
      <c r="S137" s="527">
        <f t="shared" si="1"/>
        <v>0</v>
      </c>
    </row>
    <row r="138" spans="1:19">
      <c r="A138" s="1090">
        <v>129</v>
      </c>
      <c r="B138" t="s">
        <v>297</v>
      </c>
      <c r="C138" s="11">
        <v>20</v>
      </c>
      <c r="D138" s="11" t="s">
        <v>246</v>
      </c>
      <c r="E138" t="s">
        <v>141</v>
      </c>
      <c r="F138" s="45">
        <v>12000</v>
      </c>
      <c r="G138" s="45">
        <v>12250</v>
      </c>
      <c r="H138" s="45">
        <v>12125</v>
      </c>
      <c r="I138" s="45">
        <v>12125</v>
      </c>
      <c r="J138" s="45">
        <v>12125</v>
      </c>
      <c r="K138" s="45">
        <v>12125</v>
      </c>
      <c r="L138" s="45">
        <v>12125</v>
      </c>
      <c r="M138" s="45">
        <v>12250</v>
      </c>
      <c r="N138" s="45">
        <v>12000</v>
      </c>
      <c r="O138" s="527">
        <v>11762.5</v>
      </c>
      <c r="P138" s="527">
        <v>11875</v>
      </c>
      <c r="Q138" s="527">
        <v>12000</v>
      </c>
      <c r="R138" s="527"/>
      <c r="S138" s="527">
        <f t="shared" si="1"/>
        <v>144762.5</v>
      </c>
    </row>
    <row r="139" spans="1:19">
      <c r="A139" s="1090">
        <v>130</v>
      </c>
      <c r="B139" t="s">
        <v>297</v>
      </c>
      <c r="C139" s="11">
        <v>30</v>
      </c>
      <c r="D139" s="11" t="s">
        <v>248</v>
      </c>
      <c r="E139" t="s">
        <v>164</v>
      </c>
      <c r="F139" s="45">
        <v>238563.97</v>
      </c>
      <c r="G139" s="45">
        <v>203299.20000000001</v>
      </c>
      <c r="H139" s="45">
        <v>214134.63</v>
      </c>
      <c r="I139" s="45">
        <v>157821.60999999999</v>
      </c>
      <c r="J139" s="45">
        <v>141415.48000000001</v>
      </c>
      <c r="K139" s="45">
        <v>84887.09</v>
      </c>
      <c r="L139" s="45">
        <v>73202.27</v>
      </c>
      <c r="M139" s="45">
        <v>68471.62</v>
      </c>
      <c r="N139" s="45">
        <v>59856.51</v>
      </c>
      <c r="O139" s="527">
        <v>86123</v>
      </c>
      <c r="P139" s="527">
        <v>128362.43</v>
      </c>
      <c r="Q139" s="527">
        <v>191216.5</v>
      </c>
      <c r="R139" s="527"/>
      <c r="S139" s="527">
        <f t="shared" si="1"/>
        <v>1647354.31</v>
      </c>
    </row>
    <row r="140" spans="1:19">
      <c r="A140" s="1090">
        <v>131</v>
      </c>
      <c r="B140" t="s">
        <v>297</v>
      </c>
      <c r="C140" s="11">
        <v>40</v>
      </c>
      <c r="D140" s="11" t="s">
        <v>248</v>
      </c>
      <c r="E140" t="s">
        <v>165</v>
      </c>
      <c r="F140" s="45">
        <v>90975.33</v>
      </c>
      <c r="G140" s="527">
        <v>66794.149999999994</v>
      </c>
      <c r="H140" s="527">
        <v>72141.98</v>
      </c>
      <c r="I140" s="527">
        <v>42803.68</v>
      </c>
      <c r="J140" s="527">
        <v>40082.32</v>
      </c>
      <c r="K140" s="527">
        <v>28301</v>
      </c>
      <c r="L140" s="527">
        <v>33935.35</v>
      </c>
      <c r="M140" s="527">
        <v>35922.76</v>
      </c>
      <c r="N140" s="527">
        <v>18382.599999999999</v>
      </c>
      <c r="O140" s="527">
        <v>38936.370000000003</v>
      </c>
      <c r="P140" s="527">
        <v>32386.33</v>
      </c>
      <c r="Q140" s="527">
        <v>50365.14</v>
      </c>
      <c r="R140" s="527"/>
      <c r="S140" s="527">
        <f t="shared" si="1"/>
        <v>551027.00999999989</v>
      </c>
    </row>
    <row r="141" spans="1:19">
      <c r="A141" s="1090">
        <v>132</v>
      </c>
      <c r="B141" t="s">
        <v>297</v>
      </c>
      <c r="C141" s="11">
        <v>50</v>
      </c>
      <c r="D141" s="11" t="s">
        <v>248</v>
      </c>
      <c r="E141" t="s">
        <v>166</v>
      </c>
      <c r="F141" s="45">
        <v>8791.92</v>
      </c>
      <c r="G141" s="527">
        <v>12046.62</v>
      </c>
      <c r="H141" s="527">
        <v>6134.23</v>
      </c>
      <c r="I141" s="527">
        <v>2228.16</v>
      </c>
      <c r="J141" s="527">
        <v>913.26</v>
      </c>
      <c r="K141" s="527">
        <v>920.05</v>
      </c>
      <c r="L141" s="527">
        <v>11268.96</v>
      </c>
      <c r="M141" s="527">
        <v>12153.08</v>
      </c>
      <c r="N141" s="527">
        <v>872.33</v>
      </c>
      <c r="O141" s="527" t="s">
        <v>247</v>
      </c>
      <c r="P141" s="527">
        <v>1498.91</v>
      </c>
      <c r="Q141" s="527">
        <v>2828.47</v>
      </c>
      <c r="R141" s="527"/>
      <c r="S141" s="527">
        <f t="shared" si="1"/>
        <v>59655.990000000005</v>
      </c>
    </row>
    <row r="142" spans="1:19">
      <c r="A142" s="1090">
        <v>133</v>
      </c>
      <c r="B142" t="s">
        <v>297</v>
      </c>
      <c r="C142" s="11">
        <v>60</v>
      </c>
      <c r="D142" s="11" t="s">
        <v>249</v>
      </c>
      <c r="E142" t="s">
        <v>144</v>
      </c>
      <c r="F142" s="45">
        <v>1587041.23</v>
      </c>
      <c r="G142" s="527">
        <v>1377660.44</v>
      </c>
      <c r="H142" s="527">
        <v>1354431.96</v>
      </c>
      <c r="I142" s="527">
        <v>914421.58</v>
      </c>
      <c r="J142" s="527">
        <v>808931.11</v>
      </c>
      <c r="K142" s="527">
        <v>514715.6</v>
      </c>
      <c r="L142" s="527">
        <v>683037.67</v>
      </c>
      <c r="M142" s="527">
        <v>690041.17</v>
      </c>
      <c r="N142" s="527">
        <v>358663.08</v>
      </c>
      <c r="O142" s="527">
        <v>559374.82999999996</v>
      </c>
      <c r="P142" s="527">
        <v>685682.73</v>
      </c>
      <c r="Q142" s="527">
        <v>949570.75</v>
      </c>
      <c r="R142" s="527"/>
      <c r="S142" s="527">
        <f t="shared" si="1"/>
        <v>10483572.15</v>
      </c>
    </row>
    <row r="143" spans="1:19">
      <c r="A143" s="1090">
        <v>134</v>
      </c>
      <c r="B143" t="s">
        <v>297</v>
      </c>
      <c r="C143" s="11">
        <v>80</v>
      </c>
      <c r="D143" s="11" t="s">
        <v>250</v>
      </c>
      <c r="E143" t="s">
        <v>251</v>
      </c>
      <c r="F143" s="45"/>
      <c r="G143" s="527"/>
      <c r="H143" s="527"/>
      <c r="I143" s="527"/>
      <c r="J143" s="527"/>
      <c r="K143" s="527"/>
      <c r="L143" s="527"/>
      <c r="M143" s="527"/>
      <c r="N143" s="527"/>
      <c r="O143" s="527">
        <v>55325.23</v>
      </c>
      <c r="P143" s="527">
        <v>210145.37</v>
      </c>
      <c r="Q143" s="527">
        <v>410967.88</v>
      </c>
      <c r="R143" s="527"/>
      <c r="S143" s="527">
        <f t="shared" si="1"/>
        <v>676438.48</v>
      </c>
    </row>
    <row r="144" spans="1:19">
      <c r="A144" s="1090">
        <v>135</v>
      </c>
      <c r="B144" t="s">
        <v>297</v>
      </c>
      <c r="C144" s="11">
        <v>80</v>
      </c>
      <c r="D144" s="11" t="s">
        <v>250</v>
      </c>
      <c r="E144" t="s">
        <v>145</v>
      </c>
      <c r="F144" s="45">
        <v>377478.45</v>
      </c>
      <c r="G144" s="527">
        <v>327653.21999999997</v>
      </c>
      <c r="H144" s="527">
        <v>322128.75</v>
      </c>
      <c r="I144" s="527">
        <v>217479.77</v>
      </c>
      <c r="J144" s="527">
        <v>192390.54</v>
      </c>
      <c r="K144" s="527">
        <v>122416.41</v>
      </c>
      <c r="L144" s="527">
        <v>162448.94</v>
      </c>
      <c r="M144" s="527">
        <v>164114.63</v>
      </c>
      <c r="N144" s="527">
        <v>85301.98</v>
      </c>
      <c r="O144" s="527">
        <v>77712.600000000006</v>
      </c>
      <c r="P144" s="527">
        <v>924.25</v>
      </c>
      <c r="Q144" s="527" t="s">
        <v>247</v>
      </c>
      <c r="R144" s="527"/>
      <c r="S144" s="527">
        <f t="shared" si="1"/>
        <v>2050049.54</v>
      </c>
    </row>
    <row r="145" spans="1:19">
      <c r="A145" s="1090">
        <v>136</v>
      </c>
      <c r="B145" t="s">
        <v>297</v>
      </c>
      <c r="C145" s="11">
        <v>90</v>
      </c>
      <c r="D145" s="11" t="s">
        <v>252</v>
      </c>
      <c r="E145" t="s">
        <v>146</v>
      </c>
      <c r="F145" s="45">
        <v>3815.54</v>
      </c>
      <c r="G145" s="45">
        <v>3311</v>
      </c>
      <c r="H145" s="45">
        <v>3255.21</v>
      </c>
      <c r="I145" s="45">
        <v>2197.67</v>
      </c>
      <c r="J145" s="45">
        <v>1944.15</v>
      </c>
      <c r="K145" s="45">
        <v>1237.0999999999999</v>
      </c>
      <c r="L145" s="45">
        <v>1641.62</v>
      </c>
      <c r="M145" s="45">
        <v>1658.42</v>
      </c>
      <c r="N145" s="45">
        <v>861.96</v>
      </c>
      <c r="O145" s="527">
        <v>1344.31</v>
      </c>
      <c r="P145" s="527">
        <v>3300.69</v>
      </c>
      <c r="Q145" s="527">
        <v>8657.8799999999992</v>
      </c>
      <c r="R145" s="527"/>
      <c r="S145" s="527">
        <f t="shared" si="1"/>
        <v>33225.549999999996</v>
      </c>
    </row>
    <row r="146" spans="1:19">
      <c r="A146" s="1090">
        <v>137</v>
      </c>
      <c r="B146" t="s">
        <v>297</v>
      </c>
      <c r="C146" s="11">
        <v>100</v>
      </c>
      <c r="D146" s="11" t="s">
        <v>253</v>
      </c>
      <c r="E146" t="s">
        <v>147</v>
      </c>
      <c r="F146" s="45">
        <v>5520.09</v>
      </c>
      <c r="G146" s="45">
        <v>4793.24</v>
      </c>
      <c r="H146" s="45">
        <v>4712.3900000000003</v>
      </c>
      <c r="I146" s="45">
        <v>3181.54</v>
      </c>
      <c r="J146" s="45">
        <v>2814.5</v>
      </c>
      <c r="K146" s="45">
        <v>1790.85</v>
      </c>
      <c r="L146" s="45">
        <v>2376.4499999999998</v>
      </c>
      <c r="M146" s="45">
        <v>2400.85</v>
      </c>
      <c r="N146" s="45">
        <v>1247.8900000000001</v>
      </c>
      <c r="O146" s="527">
        <v>1946.17</v>
      </c>
      <c r="P146" s="527">
        <v>3660.56</v>
      </c>
      <c r="Q146" s="527">
        <v>8221.66</v>
      </c>
      <c r="R146" s="527"/>
      <c r="S146" s="527">
        <f t="shared" si="1"/>
        <v>42666.19</v>
      </c>
    </row>
    <row r="147" spans="1:19">
      <c r="A147" s="1090">
        <v>138</v>
      </c>
      <c r="B147" t="s">
        <v>297</v>
      </c>
      <c r="C147" s="11">
        <v>110</v>
      </c>
      <c r="D147" s="11" t="s">
        <v>254</v>
      </c>
      <c r="E147" t="s">
        <v>148</v>
      </c>
      <c r="F147" s="45">
        <v>-64076.46</v>
      </c>
      <c r="G147" s="45">
        <v>-55574.57</v>
      </c>
      <c r="H147" s="45">
        <v>-54637.53</v>
      </c>
      <c r="I147" s="45">
        <v>-36887.58</v>
      </c>
      <c r="J147" s="45">
        <v>-32632.19</v>
      </c>
      <c r="K147" s="45">
        <v>-20763.54</v>
      </c>
      <c r="L147" s="45">
        <v>-27553.61</v>
      </c>
      <c r="M147" s="45">
        <v>-27836.16</v>
      </c>
      <c r="N147" s="45">
        <v>-14468.39</v>
      </c>
      <c r="O147" s="527">
        <v>-22565.06</v>
      </c>
      <c r="P147" s="527">
        <v>-16696.25</v>
      </c>
      <c r="Q147" s="527">
        <v>3988.56</v>
      </c>
      <c r="R147" s="527"/>
      <c r="S147" s="527">
        <f t="shared" si="1"/>
        <v>-369702.77999999997</v>
      </c>
    </row>
    <row r="148" spans="1:19">
      <c r="A148" s="1090">
        <v>139</v>
      </c>
      <c r="B148" t="s">
        <v>297</v>
      </c>
      <c r="C148" s="11">
        <v>120</v>
      </c>
      <c r="D148" s="11" t="s">
        <v>255</v>
      </c>
      <c r="E148" t="s">
        <v>256</v>
      </c>
      <c r="F148" s="45">
        <v>0</v>
      </c>
      <c r="G148" s="45">
        <v>0</v>
      </c>
      <c r="H148" s="45">
        <v>0</v>
      </c>
      <c r="I148" s="45">
        <v>0</v>
      </c>
      <c r="J148" s="45">
        <v>0</v>
      </c>
      <c r="K148" s="45">
        <v>0</v>
      </c>
      <c r="L148" s="45">
        <v>0</v>
      </c>
      <c r="M148" s="45">
        <v>0</v>
      </c>
      <c r="N148" s="45">
        <v>0</v>
      </c>
      <c r="O148" s="527">
        <v>0</v>
      </c>
      <c r="P148" s="527">
        <v>0</v>
      </c>
      <c r="Q148" s="527">
        <v>0</v>
      </c>
      <c r="R148" s="527"/>
      <c r="S148" s="527">
        <f t="shared" si="1"/>
        <v>0</v>
      </c>
    </row>
    <row r="149" spans="1:19">
      <c r="A149" s="1090">
        <v>140</v>
      </c>
      <c r="B149" t="s">
        <v>297</v>
      </c>
      <c r="C149" s="11">
        <v>130</v>
      </c>
      <c r="D149" s="11" t="s">
        <v>257</v>
      </c>
      <c r="E149" t="s">
        <v>149</v>
      </c>
      <c r="F149" s="45">
        <v>67073.7</v>
      </c>
      <c r="G149" s="45">
        <v>58211.81</v>
      </c>
      <c r="H149" s="45">
        <v>57230.32</v>
      </c>
      <c r="I149" s="45">
        <v>38638.080000000002</v>
      </c>
      <c r="J149" s="45">
        <v>34180.730000000003</v>
      </c>
      <c r="K149" s="45">
        <v>21748.86</v>
      </c>
      <c r="L149" s="45">
        <v>28861.16</v>
      </c>
      <c r="M149" s="45">
        <v>29157.03</v>
      </c>
      <c r="N149" s="45">
        <v>15154.98</v>
      </c>
      <c r="O149" s="527">
        <v>23635.89</v>
      </c>
      <c r="P149" s="527">
        <v>37001.74</v>
      </c>
      <c r="Q149" s="527">
        <v>71094.740000000005</v>
      </c>
      <c r="R149" s="527"/>
      <c r="S149" s="527">
        <f t="shared" si="1"/>
        <v>481989.03999999992</v>
      </c>
    </row>
    <row r="150" spans="1:19">
      <c r="A150" s="1090">
        <v>141</v>
      </c>
      <c r="B150" t="s">
        <v>297</v>
      </c>
      <c r="C150" s="11">
        <v>140</v>
      </c>
      <c r="D150" s="11" t="s">
        <v>258</v>
      </c>
      <c r="E150" t="s">
        <v>150</v>
      </c>
      <c r="F150" s="45">
        <v>-6498.96</v>
      </c>
      <c r="G150" s="45">
        <v>-5640.2</v>
      </c>
      <c r="H150" s="45">
        <v>-3449.86</v>
      </c>
      <c r="I150" s="45">
        <v>-7.9</v>
      </c>
      <c r="J150" s="45">
        <v>-13.75</v>
      </c>
      <c r="K150" s="45">
        <v>0</v>
      </c>
      <c r="L150" s="45">
        <v>0</v>
      </c>
      <c r="M150" s="45">
        <v>0</v>
      </c>
      <c r="N150" s="45">
        <v>0</v>
      </c>
      <c r="O150" s="527">
        <v>0</v>
      </c>
      <c r="P150" s="527">
        <v>0</v>
      </c>
      <c r="Q150" s="527">
        <v>0</v>
      </c>
      <c r="R150" s="527"/>
      <c r="S150" s="527">
        <f t="shared" ref="S150:S160" si="2">SUM(F150:Q150)</f>
        <v>-15610.67</v>
      </c>
    </row>
    <row r="151" spans="1:19">
      <c r="A151" s="1090">
        <v>142</v>
      </c>
      <c r="B151" t="s">
        <v>297</v>
      </c>
      <c r="C151" s="11">
        <v>150</v>
      </c>
      <c r="D151" s="11" t="s">
        <v>259</v>
      </c>
      <c r="E151" t="s">
        <v>151</v>
      </c>
      <c r="F151" s="45">
        <v>-2705.82</v>
      </c>
      <c r="G151" s="45">
        <v>-2348.48</v>
      </c>
      <c r="H151" s="45">
        <v>-2308.89</v>
      </c>
      <c r="I151" s="45">
        <v>-1558.84</v>
      </c>
      <c r="J151" s="45">
        <v>-1378.98</v>
      </c>
      <c r="K151" s="45">
        <v>-877.42</v>
      </c>
      <c r="L151" s="45">
        <v>-1164.31</v>
      </c>
      <c r="M151" s="45">
        <v>-1176.27</v>
      </c>
      <c r="N151" s="45">
        <v>-611.39</v>
      </c>
      <c r="O151" s="527">
        <v>-953.52</v>
      </c>
      <c r="P151" s="527">
        <v>-1209.1400000000001</v>
      </c>
      <c r="Q151" s="527">
        <v>-1774.05</v>
      </c>
      <c r="R151" s="527"/>
      <c r="S151" s="527">
        <f t="shared" si="2"/>
        <v>-18067.11</v>
      </c>
    </row>
    <row r="152" spans="1:19">
      <c r="A152" s="1090">
        <v>143</v>
      </c>
      <c r="B152" t="s">
        <v>297</v>
      </c>
      <c r="C152" s="11">
        <v>160</v>
      </c>
      <c r="D152" s="11" t="s">
        <v>260</v>
      </c>
      <c r="E152" t="s">
        <v>261</v>
      </c>
      <c r="F152" s="45">
        <v>0</v>
      </c>
      <c r="G152" s="45">
        <v>0</v>
      </c>
      <c r="H152" s="45">
        <v>0</v>
      </c>
      <c r="I152" s="45">
        <v>0</v>
      </c>
      <c r="J152" s="45">
        <v>0</v>
      </c>
      <c r="K152" s="45">
        <v>0</v>
      </c>
      <c r="L152" s="45">
        <v>0</v>
      </c>
      <c r="M152" s="45">
        <v>0</v>
      </c>
      <c r="N152" s="45">
        <v>0</v>
      </c>
      <c r="O152" s="527">
        <v>0</v>
      </c>
      <c r="P152" s="527">
        <v>0</v>
      </c>
      <c r="Q152" s="527">
        <v>0</v>
      </c>
      <c r="R152" s="527"/>
      <c r="S152" s="527">
        <f t="shared" si="2"/>
        <v>0</v>
      </c>
    </row>
    <row r="153" spans="1:19">
      <c r="A153" s="1090">
        <v>144</v>
      </c>
      <c r="B153" t="s">
        <v>297</v>
      </c>
      <c r="C153" s="11">
        <v>170</v>
      </c>
      <c r="D153" s="11" t="s">
        <v>262</v>
      </c>
      <c r="E153" t="s">
        <v>263</v>
      </c>
      <c r="F153" s="45"/>
      <c r="G153" s="45"/>
      <c r="H153" s="45"/>
      <c r="I153" s="45"/>
      <c r="J153" s="45"/>
      <c r="K153" s="45"/>
      <c r="L153" s="45"/>
      <c r="M153" s="45"/>
      <c r="N153" s="45"/>
      <c r="O153" s="527">
        <v>1677.22</v>
      </c>
      <c r="P153" s="527">
        <v>5201.3599999999997</v>
      </c>
      <c r="Q153" s="527">
        <v>7948.22</v>
      </c>
      <c r="R153" s="527"/>
      <c r="S153" s="527">
        <f t="shared" si="2"/>
        <v>14826.8</v>
      </c>
    </row>
    <row r="154" spans="1:19">
      <c r="A154" s="1090">
        <v>145</v>
      </c>
      <c r="B154" t="s">
        <v>297</v>
      </c>
      <c r="C154" s="11">
        <v>340</v>
      </c>
      <c r="D154" s="11" t="s">
        <v>266</v>
      </c>
      <c r="E154" t="s">
        <v>267</v>
      </c>
      <c r="F154" s="45">
        <v>80471.45</v>
      </c>
      <c r="G154" s="45">
        <v>65313.54</v>
      </c>
      <c r="H154" s="45">
        <v>75574.080000000002</v>
      </c>
      <c r="I154" s="45">
        <v>52344.44</v>
      </c>
      <c r="J154" s="45">
        <v>41005.29</v>
      </c>
      <c r="K154" s="45">
        <v>24702.23</v>
      </c>
      <c r="L154" s="45">
        <v>20538.12</v>
      </c>
      <c r="M154" s="45">
        <v>20972.78</v>
      </c>
      <c r="N154" s="45">
        <v>15669.93</v>
      </c>
      <c r="O154" s="527">
        <v>23690.32</v>
      </c>
      <c r="P154" s="527">
        <v>38873.9</v>
      </c>
      <c r="Q154" s="527">
        <v>62098.720000000001</v>
      </c>
      <c r="R154" s="527"/>
      <c r="S154" s="527">
        <f t="shared" si="2"/>
        <v>521254.79999999993</v>
      </c>
    </row>
    <row r="155" spans="1:19">
      <c r="A155" s="1090">
        <v>146</v>
      </c>
      <c r="B155" t="s">
        <v>297</v>
      </c>
      <c r="C155" s="11">
        <v>350</v>
      </c>
      <c r="D155" s="11" t="s">
        <v>268</v>
      </c>
      <c r="E155" t="s">
        <v>269</v>
      </c>
      <c r="F155" s="45">
        <v>4810.67</v>
      </c>
      <c r="G155" s="45">
        <v>3062.69</v>
      </c>
      <c r="H155" s="45">
        <v>3118.34</v>
      </c>
      <c r="I155" s="45">
        <v>2134.88</v>
      </c>
      <c r="J155" s="45">
        <v>1536.57</v>
      </c>
      <c r="K155" s="45">
        <v>322.87</v>
      </c>
      <c r="L155" s="45">
        <v>126.73</v>
      </c>
      <c r="M155" s="45">
        <v>28.64</v>
      </c>
      <c r="N155" s="45">
        <v>59.01</v>
      </c>
      <c r="O155" s="527">
        <v>42.82</v>
      </c>
      <c r="P155" s="527">
        <v>1122.94</v>
      </c>
      <c r="Q155" s="527">
        <v>4354.2299999999996</v>
      </c>
      <c r="R155" s="527"/>
      <c r="S155" s="527">
        <f t="shared" si="2"/>
        <v>20720.39</v>
      </c>
    </row>
    <row r="156" spans="1:19">
      <c r="A156" s="1090">
        <v>147</v>
      </c>
      <c r="B156" t="s">
        <v>297</v>
      </c>
      <c r="C156" s="11">
        <v>360</v>
      </c>
      <c r="D156" s="11" t="s">
        <v>270</v>
      </c>
      <c r="E156" t="s">
        <v>271</v>
      </c>
      <c r="F156" s="45">
        <v>0</v>
      </c>
      <c r="G156" s="45">
        <v>0</v>
      </c>
      <c r="H156" s="45">
        <v>0</v>
      </c>
      <c r="I156" s="45">
        <v>0</v>
      </c>
      <c r="J156" s="45">
        <v>0</v>
      </c>
      <c r="K156" s="45">
        <v>0</v>
      </c>
      <c r="L156" s="45">
        <v>0</v>
      </c>
      <c r="M156" s="45">
        <v>0</v>
      </c>
      <c r="N156" s="45">
        <v>0</v>
      </c>
      <c r="O156" s="527">
        <v>0</v>
      </c>
      <c r="P156" s="527">
        <v>0</v>
      </c>
      <c r="Q156" s="527">
        <v>0</v>
      </c>
      <c r="R156" s="527"/>
      <c r="S156" s="527">
        <f t="shared" si="2"/>
        <v>0</v>
      </c>
    </row>
    <row r="157" spans="1:19">
      <c r="A157" s="1090">
        <v>148</v>
      </c>
      <c r="B157" t="s">
        <v>297</v>
      </c>
      <c r="C157" s="11">
        <v>370</v>
      </c>
      <c r="D157" s="11" t="s">
        <v>266</v>
      </c>
      <c r="E157" t="s">
        <v>272</v>
      </c>
      <c r="F157" s="45">
        <v>4305.99</v>
      </c>
      <c r="G157" s="45">
        <v>4816.76</v>
      </c>
      <c r="H157" s="45">
        <v>3316.2</v>
      </c>
      <c r="I157" s="45">
        <v>3186.36</v>
      </c>
      <c r="J157" s="45">
        <v>2919.95</v>
      </c>
      <c r="K157" s="45">
        <v>2486.5100000000002</v>
      </c>
      <c r="L157" s="45">
        <v>1760.86</v>
      </c>
      <c r="M157" s="45">
        <v>2422.25</v>
      </c>
      <c r="N157" s="45">
        <v>2095.16</v>
      </c>
      <c r="O157" s="527">
        <v>2755.41</v>
      </c>
      <c r="P157" s="527">
        <v>3190.23</v>
      </c>
      <c r="Q157" s="527">
        <v>4576.4799999999996</v>
      </c>
      <c r="R157" s="527"/>
      <c r="S157" s="527">
        <f t="shared" si="2"/>
        <v>37832.160000000003</v>
      </c>
    </row>
    <row r="158" spans="1:19">
      <c r="A158" s="1090">
        <v>149</v>
      </c>
      <c r="B158" t="s">
        <v>297</v>
      </c>
      <c r="C158" s="11">
        <v>390</v>
      </c>
      <c r="D158" s="11" t="s">
        <v>273</v>
      </c>
      <c r="E158" t="s">
        <v>274</v>
      </c>
      <c r="F158" s="45">
        <v>1.25</v>
      </c>
      <c r="G158" s="45">
        <v>22.7</v>
      </c>
      <c r="H158" s="45">
        <v>7.12</v>
      </c>
      <c r="I158" s="45">
        <v>1.25</v>
      </c>
      <c r="J158" s="45">
        <v>1.25</v>
      </c>
      <c r="K158" s="45">
        <v>1.61</v>
      </c>
      <c r="L158" s="45">
        <v>1.25</v>
      </c>
      <c r="M158" s="45">
        <v>1.25</v>
      </c>
      <c r="N158" s="45">
        <v>1.25</v>
      </c>
      <c r="O158" s="527">
        <v>1.25</v>
      </c>
      <c r="P158" s="527">
        <v>1.25</v>
      </c>
      <c r="Q158" s="527">
        <v>1.25</v>
      </c>
      <c r="R158" s="527"/>
      <c r="S158" s="527">
        <f t="shared" si="2"/>
        <v>42.68</v>
      </c>
    </row>
    <row r="159" spans="1:19">
      <c r="A159" s="1090">
        <v>150</v>
      </c>
      <c r="B159" t="s">
        <v>297</v>
      </c>
      <c r="C159" s="11">
        <v>460</v>
      </c>
      <c r="D159" s="11" t="s">
        <v>277</v>
      </c>
      <c r="E159" t="s">
        <v>153</v>
      </c>
      <c r="F159" s="45">
        <v>-335.84</v>
      </c>
      <c r="G159" s="45">
        <v>-287.88</v>
      </c>
      <c r="H159" s="45">
        <v>-301.92</v>
      </c>
      <c r="I159" s="527">
        <v>-225.42</v>
      </c>
      <c r="J159" s="527">
        <v>-167.89</v>
      </c>
      <c r="K159" s="45">
        <v>-146.07</v>
      </c>
      <c r="L159" s="527">
        <v>-127.58</v>
      </c>
      <c r="M159" s="527">
        <v>-136.68</v>
      </c>
      <c r="N159" s="527">
        <v>-137.91</v>
      </c>
      <c r="O159" s="527">
        <v>-186.15</v>
      </c>
      <c r="P159" s="527">
        <v>-345.44</v>
      </c>
      <c r="Q159" s="527">
        <v>-380.14</v>
      </c>
      <c r="R159" s="527"/>
      <c r="S159" s="527">
        <f t="shared" si="2"/>
        <v>-2778.92</v>
      </c>
    </row>
    <row r="160" spans="1:19">
      <c r="A160" s="1090">
        <v>151</v>
      </c>
      <c r="B160" t="s">
        <v>297</v>
      </c>
      <c r="C160" s="11">
        <v>470</v>
      </c>
      <c r="D160" s="11" t="s">
        <v>278</v>
      </c>
      <c r="E160" t="s">
        <v>154</v>
      </c>
      <c r="F160" s="45">
        <v>1211.8399999999999</v>
      </c>
      <c r="G160" s="45">
        <v>853.77</v>
      </c>
      <c r="H160" s="45">
        <v>860.83</v>
      </c>
      <c r="I160" s="45">
        <v>523.77</v>
      </c>
      <c r="J160" s="45">
        <v>348.64</v>
      </c>
      <c r="K160" s="45">
        <v>183.8</v>
      </c>
      <c r="L160" s="45">
        <v>175.68</v>
      </c>
      <c r="M160" s="45">
        <v>194.49</v>
      </c>
      <c r="N160" s="45">
        <v>169.04</v>
      </c>
      <c r="O160" s="527">
        <v>255.01</v>
      </c>
      <c r="P160" s="527">
        <v>713.17</v>
      </c>
      <c r="Q160" s="527">
        <v>893.97</v>
      </c>
      <c r="R160" s="527"/>
      <c r="S160" s="527">
        <f t="shared" si="2"/>
        <v>6384.01</v>
      </c>
    </row>
    <row r="161" spans="1:19">
      <c r="A161" s="1090">
        <v>152</v>
      </c>
      <c r="B161" t="s">
        <v>298</v>
      </c>
      <c r="C161" s="11"/>
      <c r="D161" s="11"/>
      <c r="E161"/>
      <c r="F161" s="45"/>
      <c r="G161" s="45"/>
      <c r="H161" s="45"/>
      <c r="I161" s="45"/>
      <c r="J161" s="45"/>
      <c r="K161" s="45"/>
      <c r="L161" s="45"/>
      <c r="M161" s="45"/>
      <c r="N161" s="45"/>
      <c r="O161" s="527"/>
      <c r="P161" s="581"/>
      <c r="Q161" s="581"/>
      <c r="R161" s="527"/>
      <c r="S161" s="527"/>
    </row>
    <row r="162" spans="1:19">
      <c r="A162" s="1090">
        <v>153</v>
      </c>
      <c r="B162" t="s">
        <v>299</v>
      </c>
      <c r="C162" s="11">
        <v>20</v>
      </c>
      <c r="D162" s="11" t="s">
        <v>246</v>
      </c>
      <c r="E162" t="s">
        <v>141</v>
      </c>
      <c r="F162" s="45">
        <v>13</v>
      </c>
      <c r="G162" s="45">
        <v>13</v>
      </c>
      <c r="H162" s="45">
        <v>13</v>
      </c>
      <c r="I162" s="45">
        <v>13</v>
      </c>
      <c r="J162" s="45">
        <v>13</v>
      </c>
      <c r="K162" s="45">
        <v>13</v>
      </c>
      <c r="L162" s="45">
        <v>13</v>
      </c>
      <c r="M162" s="45">
        <v>13</v>
      </c>
      <c r="N162" s="45">
        <v>13</v>
      </c>
      <c r="O162" s="527">
        <v>13</v>
      </c>
      <c r="P162" s="527">
        <v>13</v>
      </c>
      <c r="Q162" s="527">
        <v>13</v>
      </c>
      <c r="R162" s="527">
        <v>13</v>
      </c>
      <c r="S162" s="527">
        <f>SUM(G162:R162)</f>
        <v>156</v>
      </c>
    </row>
    <row r="163" spans="1:19">
      <c r="A163" s="1090">
        <v>154</v>
      </c>
      <c r="B163" t="s">
        <v>299</v>
      </c>
      <c r="C163" s="11">
        <v>40</v>
      </c>
      <c r="D163" s="11" t="s">
        <v>248</v>
      </c>
      <c r="E163" t="s">
        <v>142</v>
      </c>
      <c r="F163" s="45">
        <v>2659.13</v>
      </c>
      <c r="G163" s="45">
        <v>2273.21</v>
      </c>
      <c r="H163" s="45">
        <v>2287.71</v>
      </c>
      <c r="I163" s="45">
        <v>2427.2399999999998</v>
      </c>
      <c r="J163" s="45">
        <v>1290.53</v>
      </c>
      <c r="K163" s="45">
        <v>686.35</v>
      </c>
      <c r="L163" s="45">
        <v>269.82</v>
      </c>
      <c r="M163" s="45">
        <v>481.07</v>
      </c>
      <c r="N163" s="45">
        <v>379.57</v>
      </c>
      <c r="O163" s="527">
        <v>414.54</v>
      </c>
      <c r="P163" s="527">
        <v>1710.18</v>
      </c>
      <c r="Q163" s="527">
        <v>1887.03</v>
      </c>
      <c r="R163" s="527">
        <v>1984.55</v>
      </c>
      <c r="S163" s="527">
        <f t="shared" ref="S163:S226" si="3">SUM(G163:R163)</f>
        <v>16091.800000000001</v>
      </c>
    </row>
    <row r="164" spans="1:19">
      <c r="A164" s="1090">
        <v>155</v>
      </c>
      <c r="B164" t="s">
        <v>299</v>
      </c>
      <c r="C164" s="11">
        <v>60</v>
      </c>
      <c r="D164" s="11" t="s">
        <v>249</v>
      </c>
      <c r="E164" t="s">
        <v>144</v>
      </c>
      <c r="F164" s="45">
        <v>6688.96</v>
      </c>
      <c r="G164" s="45">
        <v>5718.18</v>
      </c>
      <c r="H164" s="45">
        <v>5754.65</v>
      </c>
      <c r="I164" s="45">
        <v>6226.55</v>
      </c>
      <c r="J164" s="45">
        <v>3310.57</v>
      </c>
      <c r="K164" s="45">
        <v>1760.68</v>
      </c>
      <c r="L164" s="45">
        <v>692.16</v>
      </c>
      <c r="M164" s="45">
        <v>1234.08</v>
      </c>
      <c r="N164" s="45">
        <v>973.7</v>
      </c>
      <c r="O164" s="527">
        <v>1063.4100000000001</v>
      </c>
      <c r="P164" s="527">
        <v>4387.1000000000004</v>
      </c>
      <c r="Q164" s="527">
        <v>4164.78</v>
      </c>
      <c r="R164" s="527">
        <v>4380.0200000000004</v>
      </c>
      <c r="S164" s="527">
        <f t="shared" si="3"/>
        <v>39665.880000000005</v>
      </c>
    </row>
    <row r="165" spans="1:19">
      <c r="A165" s="1090">
        <v>156</v>
      </c>
      <c r="B165" t="s">
        <v>299</v>
      </c>
      <c r="C165" s="11">
        <v>65</v>
      </c>
      <c r="D165" s="11" t="s">
        <v>250</v>
      </c>
      <c r="E165" t="s">
        <v>251</v>
      </c>
      <c r="F165" s="45"/>
      <c r="G165" s="45"/>
      <c r="H165" s="45"/>
      <c r="I165" s="45"/>
      <c r="J165" s="45"/>
      <c r="K165" s="45"/>
      <c r="L165" s="45"/>
      <c r="M165" s="45"/>
      <c r="N165" s="45"/>
      <c r="O165" s="527"/>
      <c r="P165" s="527">
        <v>1023.81</v>
      </c>
      <c r="Q165" s="527">
        <v>1787.08</v>
      </c>
      <c r="R165" s="527">
        <v>1879.43</v>
      </c>
      <c r="S165" s="527">
        <f t="shared" si="3"/>
        <v>4690.32</v>
      </c>
    </row>
    <row r="166" spans="1:19">
      <c r="A166" s="1090">
        <v>157</v>
      </c>
      <c r="B166" t="s">
        <v>299</v>
      </c>
      <c r="C166" s="11">
        <v>65</v>
      </c>
      <c r="D166" s="11" t="s">
        <v>250</v>
      </c>
      <c r="E166" t="s">
        <v>145</v>
      </c>
      <c r="F166" s="45">
        <v>1561</v>
      </c>
      <c r="G166" s="45">
        <v>1334.45</v>
      </c>
      <c r="H166" s="45">
        <v>1342.96</v>
      </c>
      <c r="I166" s="45">
        <v>1453.08</v>
      </c>
      <c r="J166" s="45">
        <v>772.58</v>
      </c>
      <c r="K166" s="45">
        <v>410.89</v>
      </c>
      <c r="L166" s="45">
        <v>161.53</v>
      </c>
      <c r="M166" s="45">
        <v>288</v>
      </c>
      <c r="N166" s="45">
        <v>227.23</v>
      </c>
      <c r="O166" s="527">
        <v>248.17</v>
      </c>
      <c r="P166" s="527" t="s">
        <v>247</v>
      </c>
      <c r="Q166" s="527" t="s">
        <v>247</v>
      </c>
      <c r="R166" s="527"/>
      <c r="S166" s="527">
        <f t="shared" si="3"/>
        <v>6238.8899999999994</v>
      </c>
    </row>
    <row r="167" spans="1:19">
      <c r="A167" s="1090">
        <v>158</v>
      </c>
      <c r="B167" t="s">
        <v>299</v>
      </c>
      <c r="C167" s="11">
        <v>90</v>
      </c>
      <c r="D167" s="11" t="s">
        <v>252</v>
      </c>
      <c r="E167" t="s">
        <v>146</v>
      </c>
      <c r="F167" s="45">
        <v>30.08</v>
      </c>
      <c r="G167" s="45">
        <v>25.72</v>
      </c>
      <c r="H167" s="45">
        <v>25.88</v>
      </c>
      <c r="I167" s="45">
        <v>28</v>
      </c>
      <c r="J167" s="45">
        <v>14.89</v>
      </c>
      <c r="K167" s="45">
        <v>7.92</v>
      </c>
      <c r="L167" s="45">
        <v>3.11</v>
      </c>
      <c r="M167" s="45">
        <v>5.55</v>
      </c>
      <c r="N167" s="45">
        <v>4.38</v>
      </c>
      <c r="O167" s="527">
        <v>4.78</v>
      </c>
      <c r="P167" s="527">
        <v>19.73</v>
      </c>
      <c r="Q167" s="527">
        <v>72.41</v>
      </c>
      <c r="R167" s="527">
        <v>76.150000000000006</v>
      </c>
      <c r="S167" s="527">
        <f t="shared" si="3"/>
        <v>288.52</v>
      </c>
    </row>
    <row r="168" spans="1:19">
      <c r="A168" s="1090">
        <v>159</v>
      </c>
      <c r="B168" t="s">
        <v>299</v>
      </c>
      <c r="C168" s="11">
        <v>95</v>
      </c>
      <c r="D168" s="11" t="s">
        <v>253</v>
      </c>
      <c r="E168" t="s">
        <v>147</v>
      </c>
      <c r="F168" s="45">
        <v>52.27</v>
      </c>
      <c r="G168" s="45">
        <v>44.69</v>
      </c>
      <c r="H168" s="45">
        <v>44.97</v>
      </c>
      <c r="I168" s="45">
        <v>48.66</v>
      </c>
      <c r="J168" s="45">
        <v>25.87</v>
      </c>
      <c r="K168" s="45">
        <v>13.76</v>
      </c>
      <c r="L168" s="45">
        <v>5.41</v>
      </c>
      <c r="M168" s="45">
        <v>9.64</v>
      </c>
      <c r="N168" s="45">
        <v>7.61</v>
      </c>
      <c r="O168" s="527">
        <v>8.31</v>
      </c>
      <c r="P168" s="527">
        <v>34.29</v>
      </c>
      <c r="Q168" s="527">
        <v>72.739999999999995</v>
      </c>
      <c r="R168" s="527">
        <v>76.5</v>
      </c>
      <c r="S168" s="527">
        <f t="shared" si="3"/>
        <v>392.45</v>
      </c>
    </row>
    <row r="169" spans="1:19">
      <c r="A169" s="1090">
        <v>160</v>
      </c>
      <c r="B169" t="s">
        <v>299</v>
      </c>
      <c r="C169" s="11">
        <v>100</v>
      </c>
      <c r="D169" s="11" t="s">
        <v>254</v>
      </c>
      <c r="E169" t="s">
        <v>148</v>
      </c>
      <c r="F169" s="45">
        <v>334.74</v>
      </c>
      <c r="G169" s="45">
        <v>286.16000000000003</v>
      </c>
      <c r="H169" s="45">
        <v>287.99</v>
      </c>
      <c r="I169" s="45">
        <v>311.60000000000002</v>
      </c>
      <c r="J169" s="45">
        <v>165.67</v>
      </c>
      <c r="K169" s="45">
        <v>88.11</v>
      </c>
      <c r="L169" s="45">
        <v>34.64</v>
      </c>
      <c r="M169" s="45">
        <v>61.76</v>
      </c>
      <c r="N169" s="45">
        <v>48.73</v>
      </c>
      <c r="O169" s="527">
        <v>53.22</v>
      </c>
      <c r="P169" s="527">
        <v>219.55</v>
      </c>
      <c r="Q169" s="527">
        <v>-145.81</v>
      </c>
      <c r="R169" s="527">
        <v>-153.35</v>
      </c>
      <c r="S169" s="527">
        <f t="shared" si="3"/>
        <v>1258.2700000000002</v>
      </c>
    </row>
    <row r="170" spans="1:19">
      <c r="A170" s="1090">
        <v>161</v>
      </c>
      <c r="B170" t="s">
        <v>299</v>
      </c>
      <c r="C170" s="11">
        <v>105</v>
      </c>
      <c r="D170" s="11" t="s">
        <v>255</v>
      </c>
      <c r="E170" t="s">
        <v>256</v>
      </c>
      <c r="F170" s="45">
        <v>0</v>
      </c>
      <c r="G170" s="45">
        <v>0</v>
      </c>
      <c r="H170" s="45">
        <v>0</v>
      </c>
      <c r="I170" s="45">
        <v>0</v>
      </c>
      <c r="J170" s="45">
        <v>0</v>
      </c>
      <c r="K170" s="45">
        <v>0</v>
      </c>
      <c r="L170" s="45">
        <v>0</v>
      </c>
      <c r="M170" s="45">
        <v>0</v>
      </c>
      <c r="N170" s="45">
        <v>0</v>
      </c>
      <c r="O170" s="527">
        <v>0</v>
      </c>
      <c r="P170" s="527">
        <v>0</v>
      </c>
      <c r="Q170" s="527">
        <v>0</v>
      </c>
      <c r="R170" s="527">
        <v>0</v>
      </c>
      <c r="S170" s="527">
        <f t="shared" si="3"/>
        <v>0</v>
      </c>
    </row>
    <row r="171" spans="1:19">
      <c r="A171" s="1090">
        <v>162</v>
      </c>
      <c r="B171" t="s">
        <v>299</v>
      </c>
      <c r="C171" s="11">
        <v>110</v>
      </c>
      <c r="D171" s="11" t="s">
        <v>257</v>
      </c>
      <c r="E171" t="s">
        <v>149</v>
      </c>
      <c r="F171" s="45">
        <v>277.33</v>
      </c>
      <c r="G171" s="45">
        <v>237.08</v>
      </c>
      <c r="H171" s="45">
        <v>238.59</v>
      </c>
      <c r="I171" s="45">
        <v>258.16000000000003</v>
      </c>
      <c r="J171" s="45">
        <v>137.26</v>
      </c>
      <c r="K171" s="45">
        <v>73</v>
      </c>
      <c r="L171" s="45">
        <v>28.7</v>
      </c>
      <c r="M171" s="45">
        <v>51.17</v>
      </c>
      <c r="N171" s="45">
        <v>40.369999999999997</v>
      </c>
      <c r="O171" s="527">
        <v>44.09</v>
      </c>
      <c r="P171" s="527">
        <v>181.89</v>
      </c>
      <c r="Q171" s="527">
        <v>309.02</v>
      </c>
      <c r="R171" s="527">
        <v>324.99</v>
      </c>
      <c r="S171" s="527">
        <f t="shared" si="3"/>
        <v>1924.32</v>
      </c>
    </row>
    <row r="172" spans="1:19">
      <c r="A172" s="1090">
        <v>163</v>
      </c>
      <c r="B172" t="s">
        <v>299</v>
      </c>
      <c r="C172" s="11">
        <v>115</v>
      </c>
      <c r="D172" s="11" t="s">
        <v>258</v>
      </c>
      <c r="E172" t="s">
        <v>150</v>
      </c>
      <c r="F172" s="45">
        <v>-51.63</v>
      </c>
      <c r="G172" s="45">
        <v>-44.14</v>
      </c>
      <c r="H172" s="45">
        <v>-44.42</v>
      </c>
      <c r="I172" s="45">
        <v>0</v>
      </c>
      <c r="J172" s="45">
        <v>0</v>
      </c>
      <c r="K172" s="45">
        <v>0</v>
      </c>
      <c r="L172" s="45">
        <v>0</v>
      </c>
      <c r="M172" s="45">
        <v>0</v>
      </c>
      <c r="N172" s="45">
        <v>0</v>
      </c>
      <c r="O172" s="527">
        <v>0</v>
      </c>
      <c r="P172" s="527">
        <v>0</v>
      </c>
      <c r="Q172" s="527">
        <v>0</v>
      </c>
      <c r="R172" s="527">
        <v>0</v>
      </c>
      <c r="S172" s="527">
        <f t="shared" si="3"/>
        <v>-88.56</v>
      </c>
    </row>
    <row r="173" spans="1:19">
      <c r="A173" s="1090">
        <v>164</v>
      </c>
      <c r="B173" t="s">
        <v>299</v>
      </c>
      <c r="C173" s="11">
        <v>120</v>
      </c>
      <c r="D173" s="11" t="s">
        <v>259</v>
      </c>
      <c r="E173" t="s">
        <v>151</v>
      </c>
      <c r="F173" s="45">
        <v>-21.37</v>
      </c>
      <c r="G173" s="45">
        <v>-18.27</v>
      </c>
      <c r="H173" s="45">
        <v>-18.38</v>
      </c>
      <c r="I173" s="45">
        <v>-19.89</v>
      </c>
      <c r="J173" s="45">
        <v>-10.58</v>
      </c>
      <c r="K173" s="45">
        <v>-5.62</v>
      </c>
      <c r="L173" s="45">
        <v>-2.21</v>
      </c>
      <c r="M173" s="45">
        <v>-3.94</v>
      </c>
      <c r="N173" s="45">
        <v>-3.11</v>
      </c>
      <c r="O173" s="527">
        <v>-3.4</v>
      </c>
      <c r="P173" s="527">
        <v>-14.01</v>
      </c>
      <c r="Q173" s="527">
        <v>-14.54</v>
      </c>
      <c r="R173" s="527">
        <v>-15.29</v>
      </c>
      <c r="S173" s="527">
        <f t="shared" si="3"/>
        <v>-129.24</v>
      </c>
    </row>
    <row r="174" spans="1:19">
      <c r="A174" s="1090">
        <v>165</v>
      </c>
      <c r="B174" t="s">
        <v>299</v>
      </c>
      <c r="C174" s="11">
        <v>125</v>
      </c>
      <c r="D174" s="11" t="s">
        <v>260</v>
      </c>
      <c r="E174" t="s">
        <v>261</v>
      </c>
      <c r="F174" s="45">
        <v>0</v>
      </c>
      <c r="G174" s="45">
        <v>0</v>
      </c>
      <c r="H174" s="45">
        <v>0</v>
      </c>
      <c r="I174" s="45">
        <v>0</v>
      </c>
      <c r="J174" s="45">
        <v>0</v>
      </c>
      <c r="K174" s="45">
        <v>0</v>
      </c>
      <c r="L174" s="45">
        <v>0</v>
      </c>
      <c r="M174" s="45">
        <v>0</v>
      </c>
      <c r="N174" s="45">
        <v>0</v>
      </c>
      <c r="O174" s="527">
        <v>0</v>
      </c>
      <c r="P174" s="527">
        <v>0</v>
      </c>
      <c r="Q174" s="527">
        <v>0</v>
      </c>
      <c r="R174" s="527">
        <v>0</v>
      </c>
      <c r="S174" s="527">
        <f t="shared" si="3"/>
        <v>0</v>
      </c>
    </row>
    <row r="175" spans="1:19">
      <c r="A175" s="1090">
        <v>166</v>
      </c>
      <c r="B175" t="s">
        <v>299</v>
      </c>
      <c r="C175" s="11">
        <v>130</v>
      </c>
      <c r="D175" s="11" t="s">
        <v>262</v>
      </c>
      <c r="E175" t="s">
        <v>263</v>
      </c>
      <c r="F175" s="45"/>
      <c r="G175" s="45"/>
      <c r="H175" s="45"/>
      <c r="I175" s="45"/>
      <c r="J175" s="45"/>
      <c r="K175" s="45"/>
      <c r="L175" s="45"/>
      <c r="M175" s="45"/>
      <c r="N175" s="45"/>
      <c r="O175" s="527"/>
      <c r="P175" s="527">
        <v>57.14</v>
      </c>
      <c r="Q175" s="527">
        <v>63.05</v>
      </c>
      <c r="R175" s="527">
        <v>66.31</v>
      </c>
      <c r="S175" s="527">
        <f t="shared" si="3"/>
        <v>186.5</v>
      </c>
    </row>
    <row r="176" spans="1:19">
      <c r="A176" s="1090">
        <v>167</v>
      </c>
      <c r="B176" t="s">
        <v>299</v>
      </c>
      <c r="C176" s="11">
        <v>340</v>
      </c>
      <c r="D176" s="11" t="s">
        <v>266</v>
      </c>
      <c r="E176" t="s">
        <v>267</v>
      </c>
      <c r="F176" s="45">
        <v>692.61</v>
      </c>
      <c r="G176" s="45">
        <v>592.20000000000005</v>
      </c>
      <c r="H176" s="45">
        <v>595.98</v>
      </c>
      <c r="I176" s="45">
        <v>644.78</v>
      </c>
      <c r="J176" s="45">
        <v>343.19</v>
      </c>
      <c r="K176" s="45">
        <v>182.89</v>
      </c>
      <c r="L176" s="45">
        <v>72.37</v>
      </c>
      <c r="M176" s="45">
        <v>128.41999999999999</v>
      </c>
      <c r="N176" s="45">
        <v>101.49</v>
      </c>
      <c r="O176" s="527">
        <v>110.77</v>
      </c>
      <c r="P176" s="527">
        <v>457.96</v>
      </c>
      <c r="Q176" s="527">
        <v>492.53</v>
      </c>
      <c r="R176" s="527">
        <v>517.94000000000005</v>
      </c>
      <c r="S176" s="527">
        <f t="shared" si="3"/>
        <v>4240.5200000000004</v>
      </c>
    </row>
    <row r="177" spans="1:19">
      <c r="A177" s="1090">
        <v>168</v>
      </c>
      <c r="B177" t="s">
        <v>299</v>
      </c>
      <c r="C177" s="11">
        <v>350</v>
      </c>
      <c r="D177" s="11" t="s">
        <v>268</v>
      </c>
      <c r="E177" t="s">
        <v>269</v>
      </c>
      <c r="F177" s="45">
        <v>0</v>
      </c>
      <c r="G177" s="45">
        <v>0</v>
      </c>
      <c r="H177" s="45">
        <v>0</v>
      </c>
      <c r="I177" s="45">
        <v>0</v>
      </c>
      <c r="J177" s="45">
        <v>0</v>
      </c>
      <c r="K177" s="45">
        <v>0</v>
      </c>
      <c r="L177" s="45">
        <v>0</v>
      </c>
      <c r="M177" s="45">
        <v>0</v>
      </c>
      <c r="N177" s="45">
        <v>0</v>
      </c>
      <c r="O177" s="527">
        <v>0</v>
      </c>
      <c r="P177" s="527">
        <v>0</v>
      </c>
      <c r="Q177" s="527">
        <v>0</v>
      </c>
      <c r="R177" s="527">
        <v>0</v>
      </c>
      <c r="S177" s="527">
        <f t="shared" si="3"/>
        <v>0</v>
      </c>
    </row>
    <row r="178" spans="1:19">
      <c r="A178" s="1090">
        <v>169</v>
      </c>
      <c r="B178" t="s">
        <v>299</v>
      </c>
      <c r="C178" s="11">
        <v>360</v>
      </c>
      <c r="D178" s="11" t="s">
        <v>270</v>
      </c>
      <c r="E178" t="s">
        <v>271</v>
      </c>
      <c r="F178" s="45">
        <v>0</v>
      </c>
      <c r="G178" s="45">
        <v>0</v>
      </c>
      <c r="H178" s="45">
        <v>0</v>
      </c>
      <c r="I178" s="45">
        <v>0</v>
      </c>
      <c r="J178" s="45">
        <v>0</v>
      </c>
      <c r="K178" s="45">
        <v>0</v>
      </c>
      <c r="L178" s="45">
        <v>0</v>
      </c>
      <c r="M178" s="45">
        <v>0</v>
      </c>
      <c r="N178" s="45">
        <v>0</v>
      </c>
      <c r="O178" s="527">
        <v>0</v>
      </c>
      <c r="P178" s="527">
        <v>0</v>
      </c>
      <c r="Q178" s="527">
        <v>0</v>
      </c>
      <c r="R178" s="527">
        <v>0</v>
      </c>
      <c r="S178" s="527">
        <f t="shared" si="3"/>
        <v>0</v>
      </c>
    </row>
    <row r="179" spans="1:19">
      <c r="A179" s="1090">
        <v>170</v>
      </c>
      <c r="B179" t="s">
        <v>300</v>
      </c>
      <c r="C179" s="11">
        <v>0</v>
      </c>
      <c r="D179" s="11" t="s">
        <v>244</v>
      </c>
      <c r="E179" t="s">
        <v>245</v>
      </c>
      <c r="F179" s="45">
        <v>0</v>
      </c>
      <c r="G179" s="45">
        <v>0</v>
      </c>
      <c r="H179" s="45">
        <v>0</v>
      </c>
      <c r="I179" s="45">
        <v>0</v>
      </c>
      <c r="J179" s="45">
        <v>0</v>
      </c>
      <c r="K179" s="45">
        <v>0</v>
      </c>
      <c r="L179" s="45">
        <v>0</v>
      </c>
      <c r="M179" s="45">
        <v>0</v>
      </c>
      <c r="N179" s="45">
        <v>0</v>
      </c>
      <c r="O179" s="527">
        <v>0</v>
      </c>
      <c r="P179" s="527">
        <v>0</v>
      </c>
      <c r="Q179" s="527">
        <v>0</v>
      </c>
      <c r="R179" s="527">
        <v>0</v>
      </c>
      <c r="S179" s="527">
        <f t="shared" si="3"/>
        <v>0</v>
      </c>
    </row>
    <row r="180" spans="1:19">
      <c r="A180" s="1090">
        <v>171</v>
      </c>
      <c r="B180" t="s">
        <v>300</v>
      </c>
      <c r="C180" s="11">
        <v>20</v>
      </c>
      <c r="D180" s="11" t="s">
        <v>246</v>
      </c>
      <c r="E180" t="s">
        <v>141</v>
      </c>
      <c r="F180" s="45">
        <v>375</v>
      </c>
      <c r="G180" s="45">
        <v>375</v>
      </c>
      <c r="H180" s="45">
        <v>375</v>
      </c>
      <c r="I180" s="45">
        <v>375</v>
      </c>
      <c r="J180" s="45">
        <v>375</v>
      </c>
      <c r="K180" s="45">
        <v>375</v>
      </c>
      <c r="L180" s="45">
        <v>375</v>
      </c>
      <c r="M180" s="45">
        <v>375</v>
      </c>
      <c r="N180" s="45">
        <v>375</v>
      </c>
      <c r="O180" s="527">
        <v>375</v>
      </c>
      <c r="P180" s="527">
        <v>375</v>
      </c>
      <c r="Q180" s="527">
        <v>375</v>
      </c>
      <c r="R180" s="527">
        <v>375</v>
      </c>
      <c r="S180" s="527">
        <f t="shared" si="3"/>
        <v>4500</v>
      </c>
    </row>
    <row r="181" spans="1:19">
      <c r="A181" s="1090">
        <v>172</v>
      </c>
      <c r="B181" t="s">
        <v>300</v>
      </c>
      <c r="C181" s="11">
        <v>30</v>
      </c>
      <c r="D181" s="11" t="s">
        <v>248</v>
      </c>
      <c r="E181" t="s">
        <v>164</v>
      </c>
      <c r="F181" s="45">
        <v>10661.4</v>
      </c>
      <c r="G181" s="45">
        <v>10661.4</v>
      </c>
      <c r="H181" s="45">
        <v>10320.24</v>
      </c>
      <c r="I181" s="45">
        <v>9525.7000000000007</v>
      </c>
      <c r="J181" s="45">
        <v>8670.8799999999992</v>
      </c>
      <c r="K181" s="45">
        <v>3935.2</v>
      </c>
      <c r="L181" s="45">
        <v>1678.63</v>
      </c>
      <c r="M181" s="45">
        <v>1260.6300000000001</v>
      </c>
      <c r="N181" s="45">
        <v>1061.1300000000001</v>
      </c>
      <c r="O181" s="527">
        <v>1730.55</v>
      </c>
      <c r="P181" s="527">
        <v>8843.5499999999993</v>
      </c>
      <c r="Q181" s="527">
        <v>10102.780000000001</v>
      </c>
      <c r="R181" s="527">
        <v>10454.4</v>
      </c>
      <c r="S181" s="527">
        <f t="shared" si="3"/>
        <v>78245.089999999982</v>
      </c>
    </row>
    <row r="182" spans="1:19">
      <c r="A182" s="1090">
        <v>173</v>
      </c>
      <c r="B182" t="s">
        <v>300</v>
      </c>
      <c r="C182" s="11">
        <v>40</v>
      </c>
      <c r="D182" s="11" t="s">
        <v>248</v>
      </c>
      <c r="E182" t="s">
        <v>165</v>
      </c>
      <c r="F182" s="45">
        <v>20560.05</v>
      </c>
      <c r="G182" s="45">
        <v>13143.67</v>
      </c>
      <c r="H182" s="45">
        <v>9488.9500000000007</v>
      </c>
      <c r="I182" s="45">
        <v>6552.45</v>
      </c>
      <c r="J182" s="45">
        <v>2017.2</v>
      </c>
      <c r="K182" s="527"/>
      <c r="L182" s="527"/>
      <c r="M182" s="527"/>
      <c r="N182" s="527"/>
      <c r="O182" s="527"/>
      <c r="P182" s="527">
        <v>203.13</v>
      </c>
      <c r="Q182" s="527">
        <v>8444.0400000000009</v>
      </c>
      <c r="R182" s="527">
        <v>9717.5499999999993</v>
      </c>
      <c r="S182" s="527">
        <f t="shared" si="3"/>
        <v>49566.990000000005</v>
      </c>
    </row>
    <row r="183" spans="1:19">
      <c r="A183" s="1090">
        <v>174</v>
      </c>
      <c r="B183" t="s">
        <v>300</v>
      </c>
      <c r="C183" s="11">
        <v>60</v>
      </c>
      <c r="D183" s="11" t="s">
        <v>249</v>
      </c>
      <c r="E183" t="s">
        <v>144</v>
      </c>
      <c r="F183" s="45">
        <v>149418.31</v>
      </c>
      <c r="G183" s="45">
        <v>111009.71</v>
      </c>
      <c r="H183" s="45">
        <v>90708.31</v>
      </c>
      <c r="I183" s="45">
        <v>73731.19</v>
      </c>
      <c r="J183" s="45">
        <v>46268.06</v>
      </c>
      <c r="K183" s="45">
        <v>16163.41</v>
      </c>
      <c r="L183" s="45">
        <v>6894.77</v>
      </c>
      <c r="M183" s="45">
        <v>5177.88</v>
      </c>
      <c r="N183" s="45">
        <v>4358.4399999999996</v>
      </c>
      <c r="O183" s="527">
        <v>7108.04</v>
      </c>
      <c r="P183" s="527">
        <v>37396.620000000003</v>
      </c>
      <c r="Q183" s="527">
        <v>73853.91</v>
      </c>
      <c r="R183" s="527">
        <v>80862.66</v>
      </c>
      <c r="S183" s="527">
        <f t="shared" si="3"/>
        <v>553533</v>
      </c>
    </row>
    <row r="184" spans="1:19">
      <c r="A184" s="1090">
        <v>175</v>
      </c>
      <c r="B184" t="s">
        <v>300</v>
      </c>
      <c r="C184" s="11">
        <v>80</v>
      </c>
      <c r="D184" s="11" t="s">
        <v>250</v>
      </c>
      <c r="E184" t="s">
        <v>251</v>
      </c>
      <c r="F184" s="45"/>
      <c r="G184" s="45"/>
      <c r="H184" s="45"/>
      <c r="I184" s="45"/>
      <c r="J184" s="45"/>
      <c r="K184" s="45"/>
      <c r="L184" s="45"/>
      <c r="M184" s="45"/>
      <c r="N184" s="45"/>
      <c r="O184" s="527"/>
      <c r="P184" s="527">
        <v>8894.16</v>
      </c>
      <c r="Q184" s="527">
        <v>32390.63</v>
      </c>
      <c r="R184" s="527">
        <v>35464.51</v>
      </c>
      <c r="S184" s="527">
        <f t="shared" si="3"/>
        <v>76749.3</v>
      </c>
    </row>
    <row r="185" spans="1:19">
      <c r="A185" s="1090">
        <v>176</v>
      </c>
      <c r="B185" t="s">
        <v>300</v>
      </c>
      <c r="C185" s="11">
        <v>80</v>
      </c>
      <c r="D185" s="11" t="s">
        <v>250</v>
      </c>
      <c r="E185" t="s">
        <v>145</v>
      </c>
      <c r="F185" s="45">
        <v>35536.620000000003</v>
      </c>
      <c r="G185" s="45">
        <v>26401.79</v>
      </c>
      <c r="H185" s="45">
        <v>21573.439999999999</v>
      </c>
      <c r="I185" s="45">
        <v>17535.72</v>
      </c>
      <c r="J185" s="45">
        <v>11004.07</v>
      </c>
      <c r="K185" s="45">
        <v>3844.19</v>
      </c>
      <c r="L185" s="45">
        <v>1639.8</v>
      </c>
      <c r="M185" s="45">
        <v>1231.47</v>
      </c>
      <c r="N185" s="45">
        <v>1036.58</v>
      </c>
      <c r="O185" s="527">
        <v>1690.53</v>
      </c>
      <c r="P185" s="527" t="s">
        <v>247</v>
      </c>
      <c r="Q185" s="527" t="s">
        <v>247</v>
      </c>
      <c r="R185" s="527"/>
      <c r="S185" s="527">
        <f t="shared" si="3"/>
        <v>85957.59</v>
      </c>
    </row>
    <row r="186" spans="1:19">
      <c r="A186" s="1090">
        <v>177</v>
      </c>
      <c r="B186" t="s">
        <v>300</v>
      </c>
      <c r="C186" s="11">
        <v>90</v>
      </c>
      <c r="D186" s="11" t="s">
        <v>252</v>
      </c>
      <c r="E186" t="s">
        <v>146</v>
      </c>
      <c r="F186" s="45">
        <v>359.1</v>
      </c>
      <c r="G186" s="45">
        <v>266.79000000000002</v>
      </c>
      <c r="H186" s="45">
        <v>218</v>
      </c>
      <c r="I186" s="45">
        <v>177.2</v>
      </c>
      <c r="J186" s="45">
        <v>111.19</v>
      </c>
      <c r="K186" s="45">
        <v>38.85</v>
      </c>
      <c r="L186" s="45">
        <v>16.579999999999998</v>
      </c>
      <c r="M186" s="45">
        <v>12.45</v>
      </c>
      <c r="N186" s="45">
        <v>10.47</v>
      </c>
      <c r="O186" s="527">
        <v>17.09</v>
      </c>
      <c r="P186" s="527">
        <v>89.87</v>
      </c>
      <c r="Q186" s="527">
        <v>688.09</v>
      </c>
      <c r="R186" s="527">
        <v>753.39</v>
      </c>
      <c r="S186" s="527">
        <f t="shared" si="3"/>
        <v>2399.9700000000003</v>
      </c>
    </row>
    <row r="187" spans="1:19">
      <c r="A187" s="1090">
        <v>178</v>
      </c>
      <c r="B187" t="s">
        <v>300</v>
      </c>
      <c r="C187" s="11">
        <v>100</v>
      </c>
      <c r="D187" s="11" t="s">
        <v>253</v>
      </c>
      <c r="E187" t="s">
        <v>147</v>
      </c>
      <c r="F187" s="45">
        <v>519.86</v>
      </c>
      <c r="G187" s="45">
        <v>386.24</v>
      </c>
      <c r="H187" s="45">
        <v>315.60000000000002</v>
      </c>
      <c r="I187" s="45">
        <v>256.52999999999997</v>
      </c>
      <c r="J187" s="45">
        <v>160.97</v>
      </c>
      <c r="K187" s="45">
        <v>56.24</v>
      </c>
      <c r="L187" s="45">
        <v>23.99</v>
      </c>
      <c r="M187" s="45">
        <v>18.010000000000002</v>
      </c>
      <c r="N187" s="45">
        <v>15.16</v>
      </c>
      <c r="O187" s="527">
        <v>24.73</v>
      </c>
      <c r="P187" s="527">
        <v>130.11000000000001</v>
      </c>
      <c r="Q187" s="527">
        <v>650.79</v>
      </c>
      <c r="R187" s="527">
        <v>712.56</v>
      </c>
      <c r="S187" s="527">
        <f t="shared" si="3"/>
        <v>2750.93</v>
      </c>
    </row>
    <row r="188" spans="1:19">
      <c r="A188" s="1090">
        <v>179</v>
      </c>
      <c r="B188" t="s">
        <v>300</v>
      </c>
      <c r="C188" s="11">
        <v>110</v>
      </c>
      <c r="D188" s="11" t="s">
        <v>254</v>
      </c>
      <c r="E188" t="s">
        <v>148</v>
      </c>
      <c r="F188" s="45">
        <v>-6027.51</v>
      </c>
      <c r="G188" s="45">
        <v>-4478.1099999999997</v>
      </c>
      <c r="H188" s="45">
        <v>-3659.15</v>
      </c>
      <c r="I188" s="45">
        <v>-2974.3</v>
      </c>
      <c r="J188" s="45">
        <v>-1866.44</v>
      </c>
      <c r="K188" s="45">
        <v>-652.03</v>
      </c>
      <c r="L188" s="45">
        <v>-278.13</v>
      </c>
      <c r="M188" s="45">
        <v>-208.87</v>
      </c>
      <c r="N188" s="45">
        <v>-175.81</v>
      </c>
      <c r="O188" s="527">
        <v>-286.75</v>
      </c>
      <c r="P188" s="527">
        <v>-1508.58</v>
      </c>
      <c r="Q188" s="527">
        <v>407.8</v>
      </c>
      <c r="R188" s="527">
        <v>446.49</v>
      </c>
      <c r="S188" s="527">
        <f t="shared" si="3"/>
        <v>-15233.880000000003</v>
      </c>
    </row>
    <row r="189" spans="1:19">
      <c r="A189" s="1090">
        <v>180</v>
      </c>
      <c r="B189" t="s">
        <v>300</v>
      </c>
      <c r="C189" s="11">
        <v>120</v>
      </c>
      <c r="D189" s="11" t="s">
        <v>255</v>
      </c>
      <c r="E189" t="s">
        <v>256</v>
      </c>
      <c r="F189" s="45">
        <v>0</v>
      </c>
      <c r="G189" s="45">
        <v>0</v>
      </c>
      <c r="H189" s="45">
        <v>0</v>
      </c>
      <c r="I189" s="45">
        <v>0</v>
      </c>
      <c r="J189" s="45">
        <v>0</v>
      </c>
      <c r="K189" s="45">
        <v>0</v>
      </c>
      <c r="L189" s="45">
        <v>0</v>
      </c>
      <c r="M189" s="45">
        <v>0</v>
      </c>
      <c r="N189" s="45">
        <v>0</v>
      </c>
      <c r="O189" s="527">
        <v>0</v>
      </c>
      <c r="P189" s="527">
        <v>0</v>
      </c>
      <c r="Q189" s="527">
        <v>0</v>
      </c>
      <c r="R189" s="527">
        <v>0</v>
      </c>
      <c r="S189" s="527">
        <f t="shared" si="3"/>
        <v>0</v>
      </c>
    </row>
    <row r="190" spans="1:19">
      <c r="A190" s="1090">
        <v>181</v>
      </c>
      <c r="B190" t="s">
        <v>300</v>
      </c>
      <c r="C190" s="11">
        <v>130</v>
      </c>
      <c r="D190" s="11" t="s">
        <v>257</v>
      </c>
      <c r="E190" t="s">
        <v>149</v>
      </c>
      <c r="F190" s="45">
        <v>6313.54</v>
      </c>
      <c r="G190" s="45">
        <v>4690.62</v>
      </c>
      <c r="H190" s="45">
        <v>3832.8</v>
      </c>
      <c r="I190" s="45">
        <v>3115.44</v>
      </c>
      <c r="J190" s="45">
        <v>1955.01</v>
      </c>
      <c r="K190" s="45">
        <v>682.97</v>
      </c>
      <c r="L190" s="45">
        <v>291.33</v>
      </c>
      <c r="M190" s="45">
        <v>218.78</v>
      </c>
      <c r="N190" s="45">
        <v>184.17</v>
      </c>
      <c r="O190" s="527">
        <v>300.35000000000002</v>
      </c>
      <c r="P190" s="527">
        <v>1580.16</v>
      </c>
      <c r="Q190" s="527">
        <v>5600.94</v>
      </c>
      <c r="R190" s="527">
        <v>6132.47</v>
      </c>
      <c r="S190" s="527">
        <f t="shared" si="3"/>
        <v>28585.040000000001</v>
      </c>
    </row>
    <row r="191" spans="1:19">
      <c r="A191" s="1090">
        <v>182</v>
      </c>
      <c r="B191" t="s">
        <v>300</v>
      </c>
      <c r="C191" s="11">
        <v>140</v>
      </c>
      <c r="D191" s="11" t="s">
        <v>258</v>
      </c>
      <c r="E191" t="s">
        <v>150</v>
      </c>
      <c r="F191" s="45">
        <v>-611.73</v>
      </c>
      <c r="G191" s="45">
        <v>-454.48</v>
      </c>
      <c r="H191" s="45">
        <v>-371.36</v>
      </c>
      <c r="I191" s="45">
        <v>0</v>
      </c>
      <c r="J191" s="45">
        <v>0</v>
      </c>
      <c r="K191" s="45">
        <v>0</v>
      </c>
      <c r="L191" s="45">
        <v>0</v>
      </c>
      <c r="M191" s="45">
        <v>0</v>
      </c>
      <c r="N191" s="45">
        <v>0</v>
      </c>
      <c r="O191" s="527">
        <v>0</v>
      </c>
      <c r="P191" s="527">
        <v>0</v>
      </c>
      <c r="Q191" s="527">
        <v>0</v>
      </c>
      <c r="R191" s="527">
        <v>0</v>
      </c>
      <c r="S191" s="527">
        <f t="shared" si="3"/>
        <v>-825.84</v>
      </c>
    </row>
    <row r="192" spans="1:19">
      <c r="A192" s="1090">
        <v>183</v>
      </c>
      <c r="B192" t="s">
        <v>300</v>
      </c>
      <c r="C192" s="11">
        <v>150</v>
      </c>
      <c r="D192" s="11" t="s">
        <v>259</v>
      </c>
      <c r="E192" t="s">
        <v>151</v>
      </c>
      <c r="F192" s="45">
        <v>-254.71</v>
      </c>
      <c r="G192" s="45">
        <v>-189.24</v>
      </c>
      <c r="H192" s="45">
        <v>-154.63</v>
      </c>
      <c r="I192" s="45">
        <v>-125.69</v>
      </c>
      <c r="J192" s="45">
        <v>-78.87</v>
      </c>
      <c r="K192" s="45">
        <v>-27.55</v>
      </c>
      <c r="L192" s="45">
        <v>-11.76</v>
      </c>
      <c r="M192" s="45">
        <v>-8.83</v>
      </c>
      <c r="N192" s="45">
        <v>-7.43</v>
      </c>
      <c r="O192" s="527">
        <v>-12.11</v>
      </c>
      <c r="P192" s="527">
        <v>-63.75</v>
      </c>
      <c r="Q192" s="527">
        <v>-138.34</v>
      </c>
      <c r="R192" s="527">
        <v>-151.47</v>
      </c>
      <c r="S192" s="527">
        <f t="shared" si="3"/>
        <v>-969.67000000000007</v>
      </c>
    </row>
    <row r="193" spans="1:19">
      <c r="A193" s="1090">
        <v>184</v>
      </c>
      <c r="B193" t="s">
        <v>300</v>
      </c>
      <c r="C193" s="11">
        <v>160</v>
      </c>
      <c r="D193" s="11" t="s">
        <v>260</v>
      </c>
      <c r="E193" t="s">
        <v>261</v>
      </c>
      <c r="F193" s="45">
        <v>0</v>
      </c>
      <c r="G193" s="45">
        <v>0</v>
      </c>
      <c r="H193" s="45">
        <v>0</v>
      </c>
      <c r="I193" s="45">
        <v>0</v>
      </c>
      <c r="J193" s="45">
        <v>0</v>
      </c>
      <c r="K193" s="45">
        <v>0</v>
      </c>
      <c r="L193" s="45">
        <v>0</v>
      </c>
      <c r="M193" s="45">
        <v>0</v>
      </c>
      <c r="N193" s="45">
        <v>0</v>
      </c>
      <c r="O193" s="527">
        <v>0</v>
      </c>
      <c r="P193" s="527">
        <v>0</v>
      </c>
      <c r="Q193" s="527">
        <v>0</v>
      </c>
      <c r="R193" s="527">
        <v>0</v>
      </c>
      <c r="S193" s="527">
        <f t="shared" si="3"/>
        <v>0</v>
      </c>
    </row>
    <row r="194" spans="1:19">
      <c r="A194" s="1090">
        <v>185</v>
      </c>
      <c r="B194" t="s">
        <v>300</v>
      </c>
      <c r="C194" s="11">
        <v>170</v>
      </c>
      <c r="D194" s="11" t="s">
        <v>262</v>
      </c>
      <c r="E194" t="s">
        <v>263</v>
      </c>
      <c r="F194" s="45"/>
      <c r="G194" s="45"/>
      <c r="H194" s="45"/>
      <c r="I194" s="45"/>
      <c r="J194" s="45"/>
      <c r="K194" s="45"/>
      <c r="L194" s="45"/>
      <c r="M194" s="45"/>
      <c r="N194" s="45"/>
      <c r="O194" s="527"/>
      <c r="P194" s="527">
        <v>269.63</v>
      </c>
      <c r="Q194" s="527">
        <v>620.72</v>
      </c>
      <c r="R194" s="527">
        <v>679.63</v>
      </c>
      <c r="S194" s="527">
        <f t="shared" si="3"/>
        <v>1569.98</v>
      </c>
    </row>
    <row r="195" spans="1:19">
      <c r="A195" s="1090">
        <v>186</v>
      </c>
      <c r="B195" t="s">
        <v>300</v>
      </c>
      <c r="C195" s="11">
        <v>340</v>
      </c>
      <c r="D195" s="11" t="s">
        <v>266</v>
      </c>
      <c r="E195" t="s">
        <v>267</v>
      </c>
      <c r="F195" s="45">
        <v>5857.3</v>
      </c>
      <c r="G195" s="45">
        <v>4896.1099999999997</v>
      </c>
      <c r="H195" s="45">
        <v>4622.32</v>
      </c>
      <c r="I195" s="45">
        <v>4312.9799999999996</v>
      </c>
      <c r="J195" s="45">
        <v>3571.21</v>
      </c>
      <c r="K195" s="45">
        <v>961.62</v>
      </c>
      <c r="L195" s="45">
        <v>395.93</v>
      </c>
      <c r="M195" s="45">
        <v>279.85000000000002</v>
      </c>
      <c r="N195" s="45">
        <v>306</v>
      </c>
      <c r="O195" s="527">
        <v>412.67</v>
      </c>
      <c r="P195" s="527">
        <v>2829.39</v>
      </c>
      <c r="Q195" s="527">
        <v>4701.38</v>
      </c>
      <c r="R195" s="527">
        <v>4896.97</v>
      </c>
      <c r="S195" s="527">
        <f t="shared" si="3"/>
        <v>32186.429999999997</v>
      </c>
    </row>
    <row r="196" spans="1:19">
      <c r="A196" s="1090">
        <v>187</v>
      </c>
      <c r="B196" t="s">
        <v>300</v>
      </c>
      <c r="C196" s="11">
        <v>350</v>
      </c>
      <c r="D196" s="11" t="s">
        <v>268</v>
      </c>
      <c r="E196" t="s">
        <v>269</v>
      </c>
      <c r="F196" s="45">
        <v>598.57000000000005</v>
      </c>
      <c r="G196" s="45">
        <v>394.87</v>
      </c>
      <c r="H196" s="45">
        <v>248.82</v>
      </c>
      <c r="I196" s="45">
        <v>162.9</v>
      </c>
      <c r="J196" s="45">
        <v>0</v>
      </c>
      <c r="K196" s="45">
        <v>0</v>
      </c>
      <c r="L196" s="45">
        <v>0</v>
      </c>
      <c r="M196" s="45">
        <v>0</v>
      </c>
      <c r="N196" s="45">
        <v>0</v>
      </c>
      <c r="O196" s="527">
        <v>0</v>
      </c>
      <c r="P196" s="527">
        <v>0</v>
      </c>
      <c r="Q196" s="527">
        <v>299.24</v>
      </c>
      <c r="R196" s="527">
        <v>357.79</v>
      </c>
      <c r="S196" s="527">
        <f t="shared" si="3"/>
        <v>1463.62</v>
      </c>
    </row>
    <row r="197" spans="1:19">
      <c r="A197" s="1090">
        <v>188</v>
      </c>
      <c r="B197" t="s">
        <v>300</v>
      </c>
      <c r="C197" s="11">
        <v>360</v>
      </c>
      <c r="D197" s="11" t="s">
        <v>270</v>
      </c>
      <c r="E197" t="s">
        <v>271</v>
      </c>
      <c r="F197" s="45">
        <v>0</v>
      </c>
      <c r="G197" s="45">
        <v>0</v>
      </c>
      <c r="H197" s="45">
        <v>0</v>
      </c>
      <c r="I197" s="45">
        <v>0</v>
      </c>
      <c r="J197" s="45">
        <v>0</v>
      </c>
      <c r="K197" s="45">
        <v>0</v>
      </c>
      <c r="L197" s="45">
        <v>0</v>
      </c>
      <c r="M197" s="45">
        <v>0</v>
      </c>
      <c r="N197" s="45">
        <v>0</v>
      </c>
      <c r="O197" s="527">
        <v>0</v>
      </c>
      <c r="P197" s="527">
        <v>0</v>
      </c>
      <c r="Q197" s="527">
        <v>0</v>
      </c>
      <c r="R197" s="527">
        <v>0</v>
      </c>
      <c r="S197" s="527">
        <f t="shared" si="3"/>
        <v>0</v>
      </c>
    </row>
    <row r="198" spans="1:19">
      <c r="A198" s="1090">
        <v>189</v>
      </c>
      <c r="B198" t="s">
        <v>301</v>
      </c>
      <c r="C198" s="11">
        <v>0</v>
      </c>
      <c r="D198" s="11" t="s">
        <v>244</v>
      </c>
      <c r="E198" t="s">
        <v>245</v>
      </c>
      <c r="F198" s="45">
        <v>0</v>
      </c>
      <c r="G198" s="45">
        <v>0</v>
      </c>
      <c r="H198" s="45">
        <v>0</v>
      </c>
      <c r="I198" s="45">
        <v>0</v>
      </c>
      <c r="J198" s="45">
        <v>0</v>
      </c>
      <c r="K198" s="45">
        <v>0</v>
      </c>
      <c r="L198" s="45">
        <v>0</v>
      </c>
      <c r="M198" s="45">
        <v>0</v>
      </c>
      <c r="N198" s="45">
        <v>0</v>
      </c>
      <c r="O198" s="527">
        <v>0</v>
      </c>
      <c r="P198" s="527">
        <v>0</v>
      </c>
      <c r="Q198" s="527">
        <v>0</v>
      </c>
      <c r="R198" s="527">
        <v>0</v>
      </c>
      <c r="S198" s="527">
        <f t="shared" si="3"/>
        <v>0</v>
      </c>
    </row>
    <row r="199" spans="1:19">
      <c r="A199" s="1090">
        <v>190</v>
      </c>
      <c r="B199" t="s">
        <v>301</v>
      </c>
      <c r="C199" s="11">
        <v>10</v>
      </c>
      <c r="D199" s="11" t="s">
        <v>302</v>
      </c>
      <c r="E199" t="s">
        <v>141</v>
      </c>
      <c r="F199" s="45">
        <v>-123125</v>
      </c>
      <c r="G199" s="527"/>
      <c r="H199" s="527"/>
      <c r="I199" s="527"/>
      <c r="J199" s="527"/>
      <c r="K199" s="527"/>
      <c r="L199" s="527"/>
      <c r="M199" s="527"/>
      <c r="N199" s="527"/>
      <c r="O199" s="527"/>
      <c r="P199" s="527" t="s">
        <v>247</v>
      </c>
      <c r="Q199" s="527" t="s">
        <v>247</v>
      </c>
      <c r="R199" s="527"/>
      <c r="S199" s="527">
        <f t="shared" si="3"/>
        <v>0</v>
      </c>
    </row>
    <row r="200" spans="1:19">
      <c r="A200" s="1090">
        <v>191</v>
      </c>
      <c r="B200" t="s">
        <v>301</v>
      </c>
      <c r="C200" s="11">
        <v>20</v>
      </c>
      <c r="D200" s="11" t="s">
        <v>303</v>
      </c>
      <c r="E200" t="s">
        <v>172</v>
      </c>
      <c r="F200" s="45">
        <v>-66095</v>
      </c>
      <c r="G200" s="45"/>
      <c r="H200" s="45"/>
      <c r="I200" s="45"/>
      <c r="J200" s="45"/>
      <c r="K200" s="45"/>
      <c r="L200" s="45"/>
      <c r="M200" s="45"/>
      <c r="N200" s="45"/>
      <c r="O200" s="527"/>
      <c r="P200" s="527" t="s">
        <v>247</v>
      </c>
      <c r="Q200" s="527" t="s">
        <v>247</v>
      </c>
      <c r="R200" s="527"/>
      <c r="S200" s="527">
        <f t="shared" si="3"/>
        <v>0</v>
      </c>
    </row>
    <row r="201" spans="1:19">
      <c r="A201" s="1090">
        <v>192</v>
      </c>
      <c r="B201" t="s">
        <v>301</v>
      </c>
      <c r="C201" s="11">
        <v>20</v>
      </c>
      <c r="D201" s="11" t="s">
        <v>246</v>
      </c>
      <c r="E201" t="s">
        <v>141</v>
      </c>
      <c r="F201" s="45">
        <v>243125</v>
      </c>
      <c r="G201" s="527">
        <v>120000</v>
      </c>
      <c r="H201" s="527">
        <v>120000</v>
      </c>
      <c r="I201" s="527">
        <v>120000</v>
      </c>
      <c r="J201" s="527">
        <v>120000</v>
      </c>
      <c r="K201" s="527">
        <v>119375</v>
      </c>
      <c r="L201" s="527">
        <v>118125</v>
      </c>
      <c r="M201" s="527">
        <v>118125</v>
      </c>
      <c r="N201" s="527">
        <v>118125</v>
      </c>
      <c r="O201" s="527">
        <v>118125</v>
      </c>
      <c r="P201" s="527">
        <v>117500</v>
      </c>
      <c r="Q201" s="527">
        <v>117500</v>
      </c>
      <c r="R201" s="527">
        <v>117500</v>
      </c>
      <c r="S201" s="527">
        <f t="shared" si="3"/>
        <v>1424375</v>
      </c>
    </row>
    <row r="202" spans="1:19">
      <c r="A202" s="1090">
        <v>193</v>
      </c>
      <c r="B202" t="s">
        <v>301</v>
      </c>
      <c r="C202" s="11">
        <v>30</v>
      </c>
      <c r="D202" s="11" t="s">
        <v>303</v>
      </c>
      <c r="E202" t="s">
        <v>172</v>
      </c>
      <c r="F202" s="45">
        <v>576505</v>
      </c>
      <c r="G202" s="45">
        <v>510410</v>
      </c>
      <c r="H202" s="45">
        <v>510410</v>
      </c>
      <c r="I202" s="45">
        <v>510410</v>
      </c>
      <c r="J202" s="45">
        <v>510410</v>
      </c>
      <c r="K202" s="45">
        <v>513610</v>
      </c>
      <c r="L202" s="45">
        <v>512710</v>
      </c>
      <c r="M202" s="45">
        <v>513420</v>
      </c>
      <c r="N202" s="45">
        <v>517420</v>
      </c>
      <c r="O202" s="527">
        <v>521220</v>
      </c>
      <c r="P202" s="527">
        <v>520390</v>
      </c>
      <c r="Q202" s="527">
        <v>519290</v>
      </c>
      <c r="R202" s="527">
        <v>522116</v>
      </c>
      <c r="S202" s="527">
        <f t="shared" si="3"/>
        <v>6181816</v>
      </c>
    </row>
    <row r="203" spans="1:19">
      <c r="A203" s="1090">
        <v>194</v>
      </c>
      <c r="B203" t="s">
        <v>301</v>
      </c>
      <c r="C203" s="11">
        <v>30</v>
      </c>
      <c r="D203" s="11" t="s">
        <v>302</v>
      </c>
      <c r="E203" t="s">
        <v>173</v>
      </c>
      <c r="F203" s="45">
        <v>-3112.88</v>
      </c>
      <c r="G203" s="527"/>
      <c r="H203" s="527"/>
      <c r="I203" s="527"/>
      <c r="J203" s="527"/>
      <c r="K203" s="527"/>
      <c r="L203" s="527"/>
      <c r="M203" s="527"/>
      <c r="N203" s="527"/>
      <c r="O203" s="527"/>
      <c r="P203" s="527" t="s">
        <v>247</v>
      </c>
      <c r="Q203" s="527" t="s">
        <v>247</v>
      </c>
      <c r="R203" s="527"/>
      <c r="S203" s="527">
        <f t="shared" si="3"/>
        <v>0</v>
      </c>
    </row>
    <row r="204" spans="1:19">
      <c r="A204" s="1090">
        <v>195</v>
      </c>
      <c r="B204" t="s">
        <v>301</v>
      </c>
      <c r="C204" s="11">
        <v>40</v>
      </c>
      <c r="D204" s="11" t="s">
        <v>302</v>
      </c>
      <c r="E204" t="s">
        <v>173</v>
      </c>
      <c r="F204" s="45">
        <v>21842.41</v>
      </c>
      <c r="G204" s="527">
        <v>19879.84</v>
      </c>
      <c r="H204" s="527">
        <v>18229.349999999999</v>
      </c>
      <c r="I204" s="527">
        <v>23171.15</v>
      </c>
      <c r="J204" s="527">
        <v>22773.57</v>
      </c>
      <c r="K204" s="527">
        <v>12285.3</v>
      </c>
      <c r="L204" s="527">
        <v>13300.27</v>
      </c>
      <c r="M204" s="527">
        <v>20467.91</v>
      </c>
      <c r="N204" s="527">
        <v>23474.49</v>
      </c>
      <c r="O204" s="527">
        <v>25144.47</v>
      </c>
      <c r="P204" s="527">
        <v>25637.3</v>
      </c>
      <c r="Q204" s="527">
        <v>24413.38</v>
      </c>
      <c r="R204" s="527">
        <v>25752.43</v>
      </c>
      <c r="S204" s="527">
        <f t="shared" si="3"/>
        <v>254529.46</v>
      </c>
    </row>
    <row r="205" spans="1:19">
      <c r="A205" s="1090">
        <v>196</v>
      </c>
      <c r="B205" t="s">
        <v>301</v>
      </c>
      <c r="C205" s="11">
        <v>40</v>
      </c>
      <c r="D205" s="11" t="s">
        <v>248</v>
      </c>
      <c r="E205" t="s">
        <v>174</v>
      </c>
      <c r="F205" s="45">
        <v>-344492.75</v>
      </c>
      <c r="G205" s="45"/>
      <c r="H205" s="45"/>
      <c r="I205" s="45"/>
      <c r="J205" s="45"/>
      <c r="K205" s="45"/>
      <c r="L205" s="45"/>
      <c r="M205" s="45"/>
      <c r="N205" s="45"/>
      <c r="O205" s="527"/>
      <c r="P205" s="527" t="s">
        <v>247</v>
      </c>
      <c r="Q205" s="527" t="s">
        <v>247</v>
      </c>
      <c r="R205" s="527"/>
      <c r="S205" s="527">
        <f t="shared" si="3"/>
        <v>0</v>
      </c>
    </row>
    <row r="206" spans="1:19">
      <c r="A206" s="1090">
        <v>197</v>
      </c>
      <c r="B206" t="s">
        <v>301</v>
      </c>
      <c r="C206" s="11">
        <v>50</v>
      </c>
      <c r="D206" s="11" t="s">
        <v>248</v>
      </c>
      <c r="E206" t="s">
        <v>174</v>
      </c>
      <c r="F206" s="45">
        <v>806219.36</v>
      </c>
      <c r="G206" s="45">
        <v>569618.78</v>
      </c>
      <c r="H206" s="45">
        <v>564005.09</v>
      </c>
      <c r="I206" s="45">
        <v>560436.1</v>
      </c>
      <c r="J206" s="45">
        <v>512873.24</v>
      </c>
      <c r="K206" s="45">
        <v>491897.29</v>
      </c>
      <c r="L206" s="45">
        <v>484524.39</v>
      </c>
      <c r="M206" s="45">
        <v>465151.06</v>
      </c>
      <c r="N206" s="45">
        <v>495751.47</v>
      </c>
      <c r="O206" s="527">
        <v>554294.76</v>
      </c>
      <c r="P206" s="527">
        <v>592083.41</v>
      </c>
      <c r="Q206" s="527">
        <v>577298.69999999995</v>
      </c>
      <c r="R206" s="527">
        <v>542532.22</v>
      </c>
      <c r="S206" s="527">
        <f t="shared" si="3"/>
        <v>6410466.5099999998</v>
      </c>
    </row>
    <row r="207" spans="1:19">
      <c r="A207" s="1090">
        <v>198</v>
      </c>
      <c r="B207" t="s">
        <v>301</v>
      </c>
      <c r="C207" s="11">
        <v>50</v>
      </c>
      <c r="D207" s="11" t="s">
        <v>248</v>
      </c>
      <c r="E207" t="s">
        <v>175</v>
      </c>
      <c r="F207" s="45">
        <v>-28170.55</v>
      </c>
      <c r="G207" s="527"/>
      <c r="H207" s="527"/>
      <c r="I207" s="527"/>
      <c r="J207" s="527"/>
      <c r="K207" s="527"/>
      <c r="L207" s="527"/>
      <c r="M207" s="527"/>
      <c r="N207" s="527"/>
      <c r="O207" s="527"/>
      <c r="P207" s="527" t="s">
        <v>247</v>
      </c>
      <c r="Q207" s="527" t="s">
        <v>247</v>
      </c>
      <c r="R207" s="527"/>
      <c r="S207" s="527">
        <f t="shared" si="3"/>
        <v>0</v>
      </c>
    </row>
    <row r="208" spans="1:19">
      <c r="A208" s="1090">
        <v>199</v>
      </c>
      <c r="B208" t="s">
        <v>301</v>
      </c>
      <c r="C208" s="11">
        <v>60</v>
      </c>
      <c r="D208" s="11" t="s">
        <v>248</v>
      </c>
      <c r="E208" t="s">
        <v>175</v>
      </c>
      <c r="F208" s="45">
        <v>163029.07999999999</v>
      </c>
      <c r="G208" s="45">
        <v>158852.62</v>
      </c>
      <c r="H208" s="45">
        <v>144830.57</v>
      </c>
      <c r="I208" s="45">
        <v>153006.88</v>
      </c>
      <c r="J208" s="45">
        <v>135900.51999999999</v>
      </c>
      <c r="K208" s="45">
        <v>129199.66</v>
      </c>
      <c r="L208" s="45">
        <v>122107.54</v>
      </c>
      <c r="M208" s="45">
        <v>115881.60000000001</v>
      </c>
      <c r="N208" s="45">
        <v>140513.57999999999</v>
      </c>
      <c r="O208" s="527">
        <v>149377.13</v>
      </c>
      <c r="P208" s="527">
        <v>173667.53</v>
      </c>
      <c r="Q208" s="527">
        <v>159347.67000000001</v>
      </c>
      <c r="R208" s="527">
        <v>149995.87</v>
      </c>
      <c r="S208" s="527">
        <f t="shared" si="3"/>
        <v>1732681.17</v>
      </c>
    </row>
    <row r="209" spans="1:19">
      <c r="A209" s="1090">
        <v>200</v>
      </c>
      <c r="B209" t="s">
        <v>301</v>
      </c>
      <c r="C209" s="11">
        <v>70</v>
      </c>
      <c r="D209" s="11" t="s">
        <v>248</v>
      </c>
      <c r="E209" t="s">
        <v>175</v>
      </c>
      <c r="F209" s="45">
        <v>44184.57</v>
      </c>
      <c r="G209" s="45">
        <v>58790.85</v>
      </c>
      <c r="H209" s="45">
        <v>50757.5</v>
      </c>
      <c r="I209" s="45">
        <v>50328.9</v>
      </c>
      <c r="J209" s="45">
        <v>48055.88</v>
      </c>
      <c r="K209" s="45">
        <v>41004.35</v>
      </c>
      <c r="L209" s="45">
        <v>34064.269999999997</v>
      </c>
      <c r="M209" s="45">
        <v>32185.74</v>
      </c>
      <c r="N209" s="45">
        <v>43150.05</v>
      </c>
      <c r="O209" s="527">
        <v>42300.11</v>
      </c>
      <c r="P209" s="527">
        <v>52262.9</v>
      </c>
      <c r="Q209" s="527">
        <v>48093.919999999998</v>
      </c>
      <c r="R209" s="527">
        <v>47513.3</v>
      </c>
      <c r="S209" s="527">
        <f t="shared" si="3"/>
        <v>548507.77</v>
      </c>
    </row>
    <row r="210" spans="1:19">
      <c r="A210" s="1090">
        <v>201</v>
      </c>
      <c r="B210" t="s">
        <v>301</v>
      </c>
      <c r="C210" s="11">
        <v>75</v>
      </c>
      <c r="D210" s="11" t="s">
        <v>258</v>
      </c>
      <c r="E210" t="s">
        <v>150</v>
      </c>
      <c r="F210" s="45">
        <v>5213.7700000000004</v>
      </c>
      <c r="G210" s="527"/>
      <c r="H210" s="527"/>
      <c r="I210" s="527"/>
      <c r="J210" s="527"/>
      <c r="K210" s="527"/>
      <c r="L210" s="527"/>
      <c r="M210" s="527"/>
      <c r="N210" s="527"/>
      <c r="O210" s="527"/>
      <c r="P210" s="527" t="s">
        <v>247</v>
      </c>
      <c r="Q210" s="527" t="s">
        <v>247</v>
      </c>
      <c r="R210" s="527"/>
      <c r="S210" s="527">
        <f t="shared" si="3"/>
        <v>0</v>
      </c>
    </row>
    <row r="211" spans="1:19">
      <c r="A211" s="1090">
        <v>202</v>
      </c>
      <c r="B211" t="s">
        <v>301</v>
      </c>
      <c r="C211" s="11">
        <v>80</v>
      </c>
      <c r="D211" s="11" t="s">
        <v>248</v>
      </c>
      <c r="E211" t="s">
        <v>176</v>
      </c>
      <c r="F211" s="45">
        <v>311874.67</v>
      </c>
      <c r="G211" s="45">
        <v>301957.65000000002</v>
      </c>
      <c r="H211" s="45">
        <v>272914.44</v>
      </c>
      <c r="I211" s="45">
        <v>378316.29</v>
      </c>
      <c r="J211" s="45">
        <v>383509.29</v>
      </c>
      <c r="K211" s="45">
        <v>146306.26999999999</v>
      </c>
      <c r="L211" s="45">
        <v>177821.56</v>
      </c>
      <c r="M211" s="45">
        <v>352629.28</v>
      </c>
      <c r="N211" s="45">
        <v>403566.59</v>
      </c>
      <c r="O211" s="527">
        <v>431529.65</v>
      </c>
      <c r="P211" s="527">
        <v>422978.44</v>
      </c>
      <c r="Q211" s="527">
        <v>404005.67</v>
      </c>
      <c r="R211" s="527">
        <v>444358.31</v>
      </c>
      <c r="S211" s="527">
        <f t="shared" si="3"/>
        <v>4119893.44</v>
      </c>
    </row>
    <row r="212" spans="1:19">
      <c r="A212" s="1090">
        <v>203</v>
      </c>
      <c r="B212" t="s">
        <v>301</v>
      </c>
      <c r="C212" s="11">
        <v>80</v>
      </c>
      <c r="D212" s="11" t="s">
        <v>259</v>
      </c>
      <c r="E212" t="s">
        <v>151</v>
      </c>
      <c r="F212" s="45">
        <v>2143.63</v>
      </c>
      <c r="G212" s="527"/>
      <c r="H212" s="527"/>
      <c r="I212" s="527"/>
      <c r="J212" s="527"/>
      <c r="K212" s="527"/>
      <c r="L212" s="527"/>
      <c r="M212" s="527"/>
      <c r="N212" s="527"/>
      <c r="O212" s="527"/>
      <c r="P212" s="527" t="s">
        <v>247</v>
      </c>
      <c r="Q212" s="527" t="s">
        <v>247</v>
      </c>
      <c r="R212" s="527"/>
      <c r="S212" s="527">
        <f t="shared" si="3"/>
        <v>0</v>
      </c>
    </row>
    <row r="213" spans="1:19">
      <c r="A213" s="1090">
        <v>204</v>
      </c>
      <c r="B213" t="s">
        <v>301</v>
      </c>
      <c r="C213" s="11">
        <v>85</v>
      </c>
      <c r="D213" s="11" t="s">
        <v>260</v>
      </c>
      <c r="E213" t="s">
        <v>261</v>
      </c>
      <c r="F213" s="45">
        <v>2098.77</v>
      </c>
      <c r="G213" s="527"/>
      <c r="H213" s="527"/>
      <c r="I213" s="527"/>
      <c r="J213" s="527"/>
      <c r="K213" s="527"/>
      <c r="L213" s="527"/>
      <c r="M213" s="527"/>
      <c r="N213" s="527"/>
      <c r="O213" s="527"/>
      <c r="P213" s="527" t="s">
        <v>247</v>
      </c>
      <c r="Q213" s="527" t="s">
        <v>247</v>
      </c>
      <c r="R213" s="527"/>
      <c r="S213" s="527">
        <f t="shared" si="3"/>
        <v>0</v>
      </c>
    </row>
    <row r="214" spans="1:19">
      <c r="A214" s="1090">
        <v>205</v>
      </c>
      <c r="B214" t="s">
        <v>301</v>
      </c>
      <c r="C214" s="11">
        <v>90</v>
      </c>
      <c r="D214" s="11" t="s">
        <v>258</v>
      </c>
      <c r="E214" t="s">
        <v>150</v>
      </c>
      <c r="F214" s="45">
        <v>-35135.33</v>
      </c>
      <c r="G214" s="527">
        <v>-31807.759999999998</v>
      </c>
      <c r="H214" s="527">
        <v>-29166.89</v>
      </c>
      <c r="I214" s="527">
        <v>0</v>
      </c>
      <c r="J214" s="527">
        <v>0</v>
      </c>
      <c r="K214" s="527">
        <v>5.24</v>
      </c>
      <c r="L214" s="527">
        <v>0</v>
      </c>
      <c r="M214" s="527">
        <v>0</v>
      </c>
      <c r="N214" s="527">
        <v>0</v>
      </c>
      <c r="O214" s="527">
        <v>0</v>
      </c>
      <c r="P214" s="527">
        <v>0</v>
      </c>
      <c r="Q214" s="527">
        <v>0</v>
      </c>
      <c r="R214" s="527">
        <v>0</v>
      </c>
      <c r="S214" s="527">
        <f t="shared" si="3"/>
        <v>-60969.409999999996</v>
      </c>
    </row>
    <row r="215" spans="1:19">
      <c r="A215" s="1090">
        <v>206</v>
      </c>
      <c r="B215" t="s">
        <v>301</v>
      </c>
      <c r="C215" s="11">
        <v>90</v>
      </c>
      <c r="D215" s="11" t="s">
        <v>252</v>
      </c>
      <c r="E215" t="s">
        <v>146</v>
      </c>
      <c r="F215" s="45">
        <v>-2369.15</v>
      </c>
      <c r="G215" s="45"/>
      <c r="H215" s="45"/>
      <c r="I215" s="45"/>
      <c r="J215" s="45"/>
      <c r="K215" s="45"/>
      <c r="L215" s="45"/>
      <c r="M215" s="45"/>
      <c r="N215" s="45"/>
      <c r="O215" s="527"/>
      <c r="P215" s="527" t="s">
        <v>247</v>
      </c>
      <c r="Q215" s="527" t="s">
        <v>247</v>
      </c>
      <c r="R215" s="527"/>
      <c r="S215" s="527">
        <f t="shared" si="3"/>
        <v>0</v>
      </c>
    </row>
    <row r="216" spans="1:19">
      <c r="A216" s="1090">
        <v>207</v>
      </c>
      <c r="B216" t="s">
        <v>301</v>
      </c>
      <c r="C216" s="11">
        <v>95</v>
      </c>
      <c r="D216" s="11" t="s">
        <v>253</v>
      </c>
      <c r="E216" t="s">
        <v>147</v>
      </c>
      <c r="F216" s="45">
        <v>-11225.3</v>
      </c>
      <c r="G216" s="527"/>
      <c r="H216" s="527"/>
      <c r="I216" s="527"/>
      <c r="J216" s="527"/>
      <c r="K216" s="527"/>
      <c r="L216" s="527"/>
      <c r="M216" s="527"/>
      <c r="N216" s="527"/>
      <c r="O216" s="527"/>
      <c r="P216" s="527" t="s">
        <v>247</v>
      </c>
      <c r="Q216" s="527" t="s">
        <v>247</v>
      </c>
      <c r="R216" s="527"/>
      <c r="S216" s="527">
        <f t="shared" si="3"/>
        <v>0</v>
      </c>
    </row>
    <row r="217" spans="1:19">
      <c r="A217" s="1090">
        <v>208</v>
      </c>
      <c r="B217" t="s">
        <v>301</v>
      </c>
      <c r="C217" s="11">
        <v>97</v>
      </c>
      <c r="D217" s="11" t="s">
        <v>255</v>
      </c>
      <c r="E217" t="s">
        <v>256</v>
      </c>
      <c r="F217" s="45">
        <v>0</v>
      </c>
      <c r="G217" s="527"/>
      <c r="H217" s="527"/>
      <c r="I217" s="527"/>
      <c r="J217" s="527"/>
      <c r="K217" s="527"/>
      <c r="L217" s="527"/>
      <c r="M217" s="527"/>
      <c r="N217" s="527"/>
      <c r="O217" s="527"/>
      <c r="P217" s="527" t="s">
        <v>247</v>
      </c>
      <c r="Q217" s="527" t="s">
        <v>247</v>
      </c>
      <c r="R217" s="527"/>
      <c r="S217" s="527">
        <f t="shared" si="3"/>
        <v>0</v>
      </c>
    </row>
    <row r="218" spans="1:19">
      <c r="A218" s="1090">
        <v>209</v>
      </c>
      <c r="B218" t="s">
        <v>301</v>
      </c>
      <c r="C218" s="11">
        <v>100</v>
      </c>
      <c r="D218" s="11" t="s">
        <v>304</v>
      </c>
      <c r="E218" t="s">
        <v>305</v>
      </c>
      <c r="F218" s="45">
        <v>0</v>
      </c>
      <c r="G218" s="527"/>
      <c r="H218" s="527"/>
      <c r="I218" s="527"/>
      <c r="J218" s="527"/>
      <c r="K218" s="527"/>
      <c r="L218" s="527"/>
      <c r="M218" s="527"/>
      <c r="N218" s="527"/>
      <c r="O218" s="527"/>
      <c r="P218" s="527" t="s">
        <v>247</v>
      </c>
      <c r="Q218" s="527" t="s">
        <v>247</v>
      </c>
      <c r="R218" s="527"/>
      <c r="S218" s="527">
        <f t="shared" si="3"/>
        <v>0</v>
      </c>
    </row>
    <row r="219" spans="1:19">
      <c r="A219" s="1090">
        <v>210</v>
      </c>
      <c r="B219" t="s">
        <v>301</v>
      </c>
      <c r="C219" s="11">
        <v>100</v>
      </c>
      <c r="D219" s="11" t="s">
        <v>259</v>
      </c>
      <c r="E219" t="s">
        <v>151</v>
      </c>
      <c r="F219" s="45">
        <v>-14261.16</v>
      </c>
      <c r="G219" s="45">
        <v>-12921.82</v>
      </c>
      <c r="H219" s="45">
        <v>-11849.04</v>
      </c>
      <c r="I219" s="45">
        <v>-15061.28</v>
      </c>
      <c r="J219" s="45">
        <v>-14802.89</v>
      </c>
      <c r="K219" s="45">
        <v>-7985.47</v>
      </c>
      <c r="L219" s="45">
        <v>-8645.19</v>
      </c>
      <c r="M219" s="45">
        <v>-13304.17</v>
      </c>
      <c r="N219" s="45">
        <v>-15258.34</v>
      </c>
      <c r="O219" s="527">
        <v>-16343.93</v>
      </c>
      <c r="P219" s="527">
        <v>-16664.2</v>
      </c>
      <c r="Q219" s="527">
        <v>-14648.02</v>
      </c>
      <c r="R219" s="527">
        <v>-15451.65</v>
      </c>
      <c r="S219" s="527">
        <f t="shared" si="3"/>
        <v>-162936</v>
      </c>
    </row>
    <row r="220" spans="1:19">
      <c r="A220" s="1090">
        <v>211</v>
      </c>
      <c r="B220" t="s">
        <v>301</v>
      </c>
      <c r="C220" s="11">
        <v>110</v>
      </c>
      <c r="D220" s="11" t="s">
        <v>304</v>
      </c>
      <c r="E220" t="s">
        <v>305</v>
      </c>
      <c r="F220" s="45">
        <v>0</v>
      </c>
      <c r="G220" s="527"/>
      <c r="H220" s="527"/>
      <c r="I220" s="527"/>
      <c r="J220" s="527"/>
      <c r="K220" s="527"/>
      <c r="L220" s="527"/>
      <c r="M220" s="527"/>
      <c r="N220" s="527"/>
      <c r="O220" s="527"/>
      <c r="P220" s="527" t="s">
        <v>247</v>
      </c>
      <c r="Q220" s="527" t="s">
        <v>247</v>
      </c>
      <c r="R220" s="527"/>
      <c r="S220" s="527">
        <f t="shared" si="3"/>
        <v>0</v>
      </c>
    </row>
    <row r="221" spans="1:19">
      <c r="A221" s="1090">
        <v>212</v>
      </c>
      <c r="B221" t="s">
        <v>301</v>
      </c>
      <c r="C221" s="11">
        <v>110</v>
      </c>
      <c r="D221" s="11" t="s">
        <v>260</v>
      </c>
      <c r="E221" t="s">
        <v>261</v>
      </c>
      <c r="F221" s="45">
        <v>-1820.12</v>
      </c>
      <c r="G221" s="45">
        <v>0</v>
      </c>
      <c r="H221" s="45">
        <v>0</v>
      </c>
      <c r="I221" s="45">
        <v>0</v>
      </c>
      <c r="J221" s="45">
        <v>0</v>
      </c>
      <c r="K221" s="45">
        <v>0</v>
      </c>
      <c r="L221" s="45">
        <v>0</v>
      </c>
      <c r="M221" s="45">
        <v>0</v>
      </c>
      <c r="N221" s="45">
        <v>0</v>
      </c>
      <c r="O221" s="527">
        <v>0</v>
      </c>
      <c r="P221" s="527">
        <v>0</v>
      </c>
      <c r="Q221" s="527">
        <v>0</v>
      </c>
      <c r="R221" s="527">
        <v>0</v>
      </c>
      <c r="S221" s="527">
        <f t="shared" si="3"/>
        <v>0</v>
      </c>
    </row>
    <row r="222" spans="1:19">
      <c r="A222" s="1090">
        <v>213</v>
      </c>
      <c r="B222" t="s">
        <v>301</v>
      </c>
      <c r="C222" s="11">
        <v>120</v>
      </c>
      <c r="D222" s="11" t="s">
        <v>252</v>
      </c>
      <c r="E222" t="s">
        <v>146</v>
      </c>
      <c r="F222" s="45">
        <v>19807.22</v>
      </c>
      <c r="G222" s="45">
        <v>18388.86</v>
      </c>
      <c r="H222" s="45">
        <v>16862.060000000001</v>
      </c>
      <c r="I222" s="45">
        <v>21433.279999999999</v>
      </c>
      <c r="J222" s="45">
        <v>21065.61</v>
      </c>
      <c r="K222" s="45">
        <v>11363.93</v>
      </c>
      <c r="L222" s="45">
        <v>12302.8</v>
      </c>
      <c r="M222" s="45">
        <v>18932.759999999998</v>
      </c>
      <c r="N222" s="45">
        <v>21713.93</v>
      </c>
      <c r="O222" s="527">
        <v>23258.66</v>
      </c>
      <c r="P222" s="527">
        <v>23714.46</v>
      </c>
      <c r="Q222" s="527">
        <v>75071.31</v>
      </c>
      <c r="R222" s="527">
        <v>79181.89</v>
      </c>
      <c r="S222" s="527">
        <f t="shared" si="3"/>
        <v>343289.55</v>
      </c>
    </row>
    <row r="223" spans="1:19">
      <c r="A223" s="1090">
        <v>214</v>
      </c>
      <c r="B223" t="s">
        <v>301</v>
      </c>
      <c r="C223" s="11">
        <v>130</v>
      </c>
      <c r="D223" s="11" t="s">
        <v>253</v>
      </c>
      <c r="E223" t="s">
        <v>147</v>
      </c>
      <c r="F223" s="45">
        <v>44028.78</v>
      </c>
      <c r="G223" s="45">
        <v>35783.589999999997</v>
      </c>
      <c r="H223" s="45">
        <v>32812.769999999997</v>
      </c>
      <c r="I223" s="45">
        <v>41708.129999999997</v>
      </c>
      <c r="J223" s="45">
        <v>40992.43</v>
      </c>
      <c r="K223" s="45">
        <v>22113.53</v>
      </c>
      <c r="L223" s="45">
        <v>23940.67</v>
      </c>
      <c r="M223" s="45">
        <v>36842.22</v>
      </c>
      <c r="N223" s="45">
        <v>42254.1</v>
      </c>
      <c r="O223" s="527">
        <v>45260.04</v>
      </c>
      <c r="P223" s="527">
        <v>46147.12</v>
      </c>
      <c r="Q223" s="527">
        <v>84836.58</v>
      </c>
      <c r="R223" s="527">
        <v>89484.33</v>
      </c>
      <c r="S223" s="527">
        <f t="shared" si="3"/>
        <v>542175.51</v>
      </c>
    </row>
    <row r="224" spans="1:19">
      <c r="A224" s="1090">
        <v>215</v>
      </c>
      <c r="B224" t="s">
        <v>301</v>
      </c>
      <c r="C224" s="11">
        <v>140</v>
      </c>
      <c r="D224" s="11" t="s">
        <v>255</v>
      </c>
      <c r="E224" t="s">
        <v>256</v>
      </c>
      <c r="F224" s="45">
        <v>0</v>
      </c>
      <c r="G224" s="527">
        <v>0</v>
      </c>
      <c r="H224" s="527">
        <v>0</v>
      </c>
      <c r="I224" s="527">
        <v>0</v>
      </c>
      <c r="J224" s="527">
        <v>0</v>
      </c>
      <c r="K224" s="527">
        <v>0</v>
      </c>
      <c r="L224" s="527">
        <v>0</v>
      </c>
      <c r="M224" s="527">
        <v>0</v>
      </c>
      <c r="N224" s="527">
        <v>0</v>
      </c>
      <c r="O224" s="527">
        <v>0</v>
      </c>
      <c r="P224" s="527">
        <v>0</v>
      </c>
      <c r="Q224" s="527">
        <v>0</v>
      </c>
      <c r="R224" s="527">
        <v>0</v>
      </c>
      <c r="S224" s="527">
        <f t="shared" si="3"/>
        <v>0</v>
      </c>
    </row>
    <row r="225" spans="1:19">
      <c r="A225" s="1090">
        <v>216</v>
      </c>
      <c r="B225" t="s">
        <v>301</v>
      </c>
      <c r="C225" s="11">
        <v>140</v>
      </c>
      <c r="D225" s="11" t="s">
        <v>244</v>
      </c>
      <c r="E225" t="s">
        <v>306</v>
      </c>
      <c r="F225" s="45">
        <v>0</v>
      </c>
      <c r="G225" s="45"/>
      <c r="H225" s="45"/>
      <c r="I225" s="45"/>
      <c r="J225" s="45"/>
      <c r="K225" s="45"/>
      <c r="L225" s="45"/>
      <c r="M225" s="45"/>
      <c r="N225" s="45"/>
      <c r="O225" s="527"/>
      <c r="P225" s="527" t="s">
        <v>247</v>
      </c>
      <c r="Q225" s="527" t="s">
        <v>247</v>
      </c>
      <c r="R225" s="527"/>
      <c r="S225" s="527">
        <f t="shared" si="3"/>
        <v>0</v>
      </c>
    </row>
    <row r="226" spans="1:19">
      <c r="A226" s="1090">
        <v>217</v>
      </c>
      <c r="B226" t="s">
        <v>301</v>
      </c>
      <c r="C226" s="11">
        <v>150</v>
      </c>
      <c r="D226" s="11" t="s">
        <v>304</v>
      </c>
      <c r="E226" t="s">
        <v>305</v>
      </c>
      <c r="F226" s="45">
        <v>1375</v>
      </c>
      <c r="G226" s="45">
        <v>1375</v>
      </c>
      <c r="H226" s="45">
        <v>1375</v>
      </c>
      <c r="I226" s="45">
        <v>1375</v>
      </c>
      <c r="J226" s="45">
        <v>1375</v>
      </c>
      <c r="K226" s="45">
        <v>1375</v>
      </c>
      <c r="L226" s="45">
        <v>1375</v>
      </c>
      <c r="M226" s="45">
        <v>1375</v>
      </c>
      <c r="N226" s="45">
        <v>1375</v>
      </c>
      <c r="O226" s="527">
        <v>1375</v>
      </c>
      <c r="P226" s="527">
        <v>1375</v>
      </c>
      <c r="Q226" s="527">
        <v>1375</v>
      </c>
      <c r="R226" s="527">
        <v>1375</v>
      </c>
      <c r="S226" s="527">
        <f t="shared" si="3"/>
        <v>16500</v>
      </c>
    </row>
    <row r="227" spans="1:19">
      <c r="A227" s="1090">
        <v>218</v>
      </c>
      <c r="B227" t="s">
        <v>301</v>
      </c>
      <c r="C227" s="11">
        <v>160</v>
      </c>
      <c r="D227" s="11" t="s">
        <v>304</v>
      </c>
      <c r="E227" t="s">
        <v>305</v>
      </c>
      <c r="F227" s="45">
        <v>500</v>
      </c>
      <c r="G227" s="45">
        <v>500</v>
      </c>
      <c r="H227" s="45">
        <v>500</v>
      </c>
      <c r="I227" s="45">
        <v>500</v>
      </c>
      <c r="J227" s="45">
        <v>500</v>
      </c>
      <c r="K227" s="45">
        <v>500</v>
      </c>
      <c r="L227" s="45">
        <v>500</v>
      </c>
      <c r="M227" s="45">
        <v>500</v>
      </c>
      <c r="N227" s="45">
        <v>500</v>
      </c>
      <c r="O227" s="527">
        <v>500</v>
      </c>
      <c r="P227" s="527">
        <v>500</v>
      </c>
      <c r="Q227" s="527">
        <v>500</v>
      </c>
      <c r="R227" s="527">
        <v>500</v>
      </c>
      <c r="S227" s="527">
        <f t="shared" ref="S227:S290" si="4">SUM(G227:R227)</f>
        <v>6000</v>
      </c>
    </row>
    <row r="228" spans="1:19">
      <c r="A228" s="1090">
        <v>219</v>
      </c>
      <c r="B228" t="s">
        <v>301</v>
      </c>
      <c r="C228" s="11">
        <v>170</v>
      </c>
      <c r="D228" s="11" t="s">
        <v>262</v>
      </c>
      <c r="E228" t="s">
        <v>263</v>
      </c>
      <c r="F228" s="45"/>
      <c r="G228" s="45"/>
      <c r="H228" s="45"/>
      <c r="I228" s="45"/>
      <c r="J228" s="45"/>
      <c r="K228" s="45"/>
      <c r="L228" s="45"/>
      <c r="M228" s="45"/>
      <c r="N228" s="45"/>
      <c r="O228" s="527"/>
      <c r="P228" s="527">
        <v>65375.01</v>
      </c>
      <c r="Q228" s="527">
        <v>62254.23</v>
      </c>
      <c r="R228" s="527">
        <v>65665.52</v>
      </c>
      <c r="S228" s="527">
        <f t="shared" si="4"/>
        <v>193294.76</v>
      </c>
    </row>
    <row r="229" spans="1:19">
      <c r="A229" s="1090">
        <v>220</v>
      </c>
      <c r="B229" t="s">
        <v>301</v>
      </c>
      <c r="C229" s="11">
        <v>225</v>
      </c>
      <c r="D229" s="11" t="s">
        <v>307</v>
      </c>
      <c r="E229" t="s">
        <v>178</v>
      </c>
      <c r="F229" s="45">
        <v>-24984.07</v>
      </c>
      <c r="G229" s="527"/>
      <c r="H229" s="527"/>
      <c r="I229" s="527"/>
      <c r="J229" s="527"/>
      <c r="K229" s="527"/>
      <c r="L229" s="527"/>
      <c r="M229" s="527"/>
      <c r="N229" s="527"/>
      <c r="O229" s="527"/>
      <c r="P229" s="527" t="s">
        <v>247</v>
      </c>
      <c r="Q229" s="527" t="s">
        <v>247</v>
      </c>
      <c r="R229" s="527"/>
      <c r="S229" s="527">
        <f t="shared" si="4"/>
        <v>0</v>
      </c>
    </row>
    <row r="230" spans="1:19">
      <c r="A230" s="1090">
        <v>221</v>
      </c>
      <c r="B230" t="s">
        <v>301</v>
      </c>
      <c r="C230" s="11">
        <v>240</v>
      </c>
      <c r="D230" s="11" t="s">
        <v>307</v>
      </c>
      <c r="E230" t="s">
        <v>178</v>
      </c>
      <c r="F230" s="45">
        <v>95929.94</v>
      </c>
      <c r="G230" s="45">
        <v>77021.45</v>
      </c>
      <c r="H230" s="45">
        <v>74440.09</v>
      </c>
      <c r="I230" s="45">
        <v>79505.39</v>
      </c>
      <c r="J230" s="45">
        <v>76756.639999999999</v>
      </c>
      <c r="K230" s="45">
        <v>64379.05</v>
      </c>
      <c r="L230" s="45">
        <v>64776.08</v>
      </c>
      <c r="M230" s="45">
        <v>71640.89</v>
      </c>
      <c r="N230" s="45">
        <v>77131.58</v>
      </c>
      <c r="O230" s="527">
        <v>81554.259999999995</v>
      </c>
      <c r="P230" s="527">
        <v>87211.37</v>
      </c>
      <c r="Q230" s="527">
        <v>84659.72</v>
      </c>
      <c r="R230" s="527">
        <v>84802.57</v>
      </c>
      <c r="S230" s="527">
        <f t="shared" si="4"/>
        <v>923879.09000000008</v>
      </c>
    </row>
    <row r="231" spans="1:19">
      <c r="A231" s="1090">
        <v>222</v>
      </c>
      <c r="B231" t="s">
        <v>301</v>
      </c>
      <c r="C231" s="11">
        <v>340</v>
      </c>
      <c r="D231" s="11" t="s">
        <v>266</v>
      </c>
      <c r="E231" t="s">
        <v>267</v>
      </c>
      <c r="F231" s="45">
        <v>36260.339999999997</v>
      </c>
      <c r="G231" s="45">
        <v>42820.32</v>
      </c>
      <c r="H231" s="45">
        <v>40777.75</v>
      </c>
      <c r="I231" s="45">
        <v>41190.11</v>
      </c>
      <c r="J231" s="45">
        <v>38106.839999999997</v>
      </c>
      <c r="K231" s="45">
        <v>36644.400000000001</v>
      </c>
      <c r="L231" s="45">
        <v>37109.74</v>
      </c>
      <c r="M231" s="45">
        <v>34565.300000000003</v>
      </c>
      <c r="N231" s="45">
        <v>38797.980000000003</v>
      </c>
      <c r="O231" s="527">
        <v>41064.33</v>
      </c>
      <c r="P231" s="527">
        <v>44566.57</v>
      </c>
      <c r="Q231" s="527">
        <v>42650.12</v>
      </c>
      <c r="R231" s="527">
        <v>41448.239999999998</v>
      </c>
      <c r="S231" s="527">
        <f t="shared" si="4"/>
        <v>479741.7</v>
      </c>
    </row>
    <row r="232" spans="1:19">
      <c r="A232" s="1090">
        <v>223</v>
      </c>
      <c r="B232" t="s">
        <v>301</v>
      </c>
      <c r="C232" s="11">
        <v>350</v>
      </c>
      <c r="D232" s="11" t="s">
        <v>268</v>
      </c>
      <c r="E232" t="s">
        <v>269</v>
      </c>
      <c r="F232" s="45">
        <v>-604.53</v>
      </c>
      <c r="G232" s="45">
        <v>212.91</v>
      </c>
      <c r="H232" s="45">
        <v>174.73</v>
      </c>
      <c r="I232" s="45">
        <v>196.41</v>
      </c>
      <c r="J232" s="45">
        <v>152.31</v>
      </c>
      <c r="K232" s="45">
        <v>170.27</v>
      </c>
      <c r="L232" s="45">
        <v>160.91999999999999</v>
      </c>
      <c r="M232" s="45">
        <v>162.56</v>
      </c>
      <c r="N232" s="45">
        <v>146.44999999999999</v>
      </c>
      <c r="O232" s="527">
        <v>193.44</v>
      </c>
      <c r="P232" s="527">
        <v>242.64</v>
      </c>
      <c r="Q232" s="527">
        <v>237.92</v>
      </c>
      <c r="R232" s="527">
        <v>244.85</v>
      </c>
      <c r="S232" s="527">
        <f t="shared" si="4"/>
        <v>2295.41</v>
      </c>
    </row>
    <row r="233" spans="1:19">
      <c r="A233" s="1090">
        <v>224</v>
      </c>
      <c r="B233" t="s">
        <v>301</v>
      </c>
      <c r="C233" s="11">
        <v>360</v>
      </c>
      <c r="D233" s="11" t="s">
        <v>270</v>
      </c>
      <c r="E233" t="s">
        <v>271</v>
      </c>
      <c r="F233" s="45">
        <v>0</v>
      </c>
      <c r="G233" s="45">
        <v>0</v>
      </c>
      <c r="H233" s="45">
        <v>0</v>
      </c>
      <c r="I233" s="45">
        <v>0</v>
      </c>
      <c r="J233" s="45">
        <v>0</v>
      </c>
      <c r="K233" s="45">
        <v>0</v>
      </c>
      <c r="L233" s="45">
        <v>0</v>
      </c>
      <c r="M233" s="45">
        <v>0</v>
      </c>
      <c r="N233" s="45">
        <v>0</v>
      </c>
      <c r="O233" s="527">
        <v>0</v>
      </c>
      <c r="P233" s="527">
        <v>0</v>
      </c>
      <c r="Q233" s="527">
        <v>0</v>
      </c>
      <c r="R233" s="527">
        <v>0</v>
      </c>
      <c r="S233" s="527">
        <f t="shared" si="4"/>
        <v>0</v>
      </c>
    </row>
    <row r="234" spans="1:19">
      <c r="A234" s="1090">
        <v>225</v>
      </c>
      <c r="B234" t="s">
        <v>301</v>
      </c>
      <c r="C234" s="11">
        <v>365</v>
      </c>
      <c r="D234" s="11" t="s">
        <v>266</v>
      </c>
      <c r="E234" t="s">
        <v>308</v>
      </c>
      <c r="F234" s="45">
        <v>120</v>
      </c>
      <c r="G234" s="45">
        <v>60</v>
      </c>
      <c r="H234" s="45">
        <v>60</v>
      </c>
      <c r="I234" s="45">
        <v>120</v>
      </c>
      <c r="J234" s="45">
        <v>120</v>
      </c>
      <c r="K234" s="45">
        <v>120</v>
      </c>
      <c r="L234" s="45">
        <v>120</v>
      </c>
      <c r="M234" s="45">
        <v>120</v>
      </c>
      <c r="N234" s="45">
        <v>120</v>
      </c>
      <c r="O234" s="527">
        <v>120</v>
      </c>
      <c r="P234" s="527">
        <v>120</v>
      </c>
      <c r="Q234" s="527">
        <v>120</v>
      </c>
      <c r="R234" s="527">
        <v>120</v>
      </c>
      <c r="S234" s="527">
        <f t="shared" si="4"/>
        <v>1320</v>
      </c>
    </row>
    <row r="235" spans="1:19">
      <c r="A235" s="1090">
        <v>226</v>
      </c>
      <c r="B235" t="s">
        <v>301</v>
      </c>
      <c r="C235" s="11">
        <v>370</v>
      </c>
      <c r="D235" s="11" t="s">
        <v>266</v>
      </c>
      <c r="E235" t="s">
        <v>272</v>
      </c>
      <c r="F235" s="45">
        <v>2532.94</v>
      </c>
      <c r="G235" s="45">
        <v>2403.39</v>
      </c>
      <c r="H235" s="45">
        <v>2368.2199999999998</v>
      </c>
      <c r="I235" s="45">
        <v>2350.15</v>
      </c>
      <c r="J235" s="45">
        <v>2280.4699999999998</v>
      </c>
      <c r="K235" s="45">
        <v>2125.52</v>
      </c>
      <c r="L235" s="45">
        <v>2512.46</v>
      </c>
      <c r="M235" s="45">
        <v>2479.2199999999998</v>
      </c>
      <c r="N235" s="45">
        <v>2582.77</v>
      </c>
      <c r="O235" s="527">
        <v>2633.41</v>
      </c>
      <c r="P235" s="527">
        <v>3233.61</v>
      </c>
      <c r="Q235" s="527">
        <v>4198.24</v>
      </c>
      <c r="R235" s="527">
        <v>3905.54</v>
      </c>
      <c r="S235" s="527">
        <f t="shared" si="4"/>
        <v>33073</v>
      </c>
    </row>
    <row r="236" spans="1:19">
      <c r="A236" s="1090">
        <v>227</v>
      </c>
      <c r="B236" t="s">
        <v>301</v>
      </c>
      <c r="C236" s="11">
        <v>390</v>
      </c>
      <c r="D236" s="11" t="s">
        <v>273</v>
      </c>
      <c r="E236" t="s">
        <v>274</v>
      </c>
      <c r="F236" s="45">
        <v>129.09</v>
      </c>
      <c r="G236" s="45">
        <v>157.43</v>
      </c>
      <c r="H236" s="45">
        <v>200.3</v>
      </c>
      <c r="I236" s="45">
        <v>197.36</v>
      </c>
      <c r="J236" s="45">
        <v>177.01</v>
      </c>
      <c r="K236" s="45">
        <v>190.07</v>
      </c>
      <c r="L236" s="45">
        <v>181.79</v>
      </c>
      <c r="M236" s="45">
        <v>176.79</v>
      </c>
      <c r="N236" s="45">
        <v>173.34</v>
      </c>
      <c r="O236" s="527">
        <v>177.91</v>
      </c>
      <c r="P236" s="527">
        <v>188.96</v>
      </c>
      <c r="Q236" s="527">
        <v>191.63</v>
      </c>
      <c r="R236" s="527">
        <v>181.53</v>
      </c>
      <c r="S236" s="527">
        <f t="shared" si="4"/>
        <v>2194.1200000000003</v>
      </c>
    </row>
    <row r="237" spans="1:19">
      <c r="A237" s="1090">
        <v>228</v>
      </c>
      <c r="B237" t="s">
        <v>301</v>
      </c>
      <c r="C237" s="11">
        <v>460</v>
      </c>
      <c r="D237" s="11" t="s">
        <v>277</v>
      </c>
      <c r="E237" t="s">
        <v>153</v>
      </c>
      <c r="F237" s="45">
        <v>-154.11000000000001</v>
      </c>
      <c r="G237" s="45">
        <v>-483.26</v>
      </c>
      <c r="H237" s="45">
        <v>-437.86</v>
      </c>
      <c r="I237" s="45">
        <v>-491.95</v>
      </c>
      <c r="J237" s="45">
        <v>-454.59</v>
      </c>
      <c r="K237" s="45">
        <v>-508.3</v>
      </c>
      <c r="L237" s="45">
        <v>-494.11</v>
      </c>
      <c r="M237" s="45">
        <v>-478.56</v>
      </c>
      <c r="N237" s="45">
        <v>-508.59</v>
      </c>
      <c r="O237" s="527">
        <v>-471.42</v>
      </c>
      <c r="P237" s="527">
        <v>-501.95</v>
      </c>
      <c r="Q237" s="527">
        <v>-516.33000000000004</v>
      </c>
      <c r="R237" s="527">
        <v>-486.62</v>
      </c>
      <c r="S237" s="527">
        <f t="shared" si="4"/>
        <v>-5833.54</v>
      </c>
    </row>
    <row r="238" spans="1:19">
      <c r="A238" s="1090">
        <v>229</v>
      </c>
      <c r="B238" t="s">
        <v>301</v>
      </c>
      <c r="C238" s="11">
        <v>470</v>
      </c>
      <c r="D238" s="11" t="s">
        <v>278</v>
      </c>
      <c r="E238" t="s">
        <v>154</v>
      </c>
      <c r="F238" s="45">
        <v>856.44</v>
      </c>
      <c r="G238" s="45">
        <v>932.87</v>
      </c>
      <c r="H238" s="45">
        <v>876.07</v>
      </c>
      <c r="I238" s="45">
        <v>875.72</v>
      </c>
      <c r="J238" s="45">
        <v>797.44</v>
      </c>
      <c r="K238" s="45">
        <v>790.05</v>
      </c>
      <c r="L238" s="45">
        <v>1082.8499999999999</v>
      </c>
      <c r="M238" s="45">
        <v>1011.77</v>
      </c>
      <c r="N238" s="45">
        <v>1132.58</v>
      </c>
      <c r="O238" s="527">
        <v>1143.23</v>
      </c>
      <c r="P238" s="527">
        <v>1129.55</v>
      </c>
      <c r="Q238" s="527">
        <v>917.79</v>
      </c>
      <c r="R238" s="527">
        <v>904.89</v>
      </c>
      <c r="S238" s="527">
        <f t="shared" si="4"/>
        <v>11594.809999999998</v>
      </c>
    </row>
    <row r="239" spans="1:19">
      <c r="A239" s="1090">
        <v>230</v>
      </c>
      <c r="B239" t="s">
        <v>301</v>
      </c>
      <c r="C239" s="11">
        <v>8060</v>
      </c>
      <c r="D239" s="11" t="s">
        <v>279</v>
      </c>
      <c r="E239" t="s">
        <v>280</v>
      </c>
      <c r="F239" s="45"/>
      <c r="G239" s="45"/>
      <c r="H239" s="45"/>
      <c r="I239" s="45"/>
      <c r="J239" s="45"/>
      <c r="K239" s="45"/>
      <c r="L239" s="45"/>
      <c r="M239" s="45"/>
      <c r="N239" s="45"/>
      <c r="O239" s="527"/>
      <c r="P239" s="527">
        <v>-445.86</v>
      </c>
      <c r="Q239" s="527" t="s">
        <v>247</v>
      </c>
      <c r="R239" s="527"/>
      <c r="S239" s="527">
        <f t="shared" si="4"/>
        <v>-445.86</v>
      </c>
    </row>
    <row r="240" spans="1:19">
      <c r="A240" s="1090">
        <v>231</v>
      </c>
      <c r="B240" t="s">
        <v>301</v>
      </c>
      <c r="C240" s="11">
        <v>8060</v>
      </c>
      <c r="D240" s="11" t="s">
        <v>282</v>
      </c>
      <c r="E240" t="s">
        <v>280</v>
      </c>
      <c r="F240" s="45">
        <v>-1994.54</v>
      </c>
      <c r="G240" s="527"/>
      <c r="H240" s="527"/>
      <c r="I240" s="527"/>
      <c r="J240" s="527"/>
      <c r="K240" s="527"/>
      <c r="L240" s="45">
        <v>-1065.5</v>
      </c>
      <c r="M240" s="45">
        <v>-1241.42</v>
      </c>
      <c r="N240" s="45">
        <v>-1364.05</v>
      </c>
      <c r="O240" s="527">
        <v>-1356.06</v>
      </c>
      <c r="P240" s="527">
        <v>-1703.61</v>
      </c>
      <c r="Q240" s="527">
        <v>-3263.04</v>
      </c>
      <c r="R240" s="527"/>
      <c r="S240" s="527">
        <f t="shared" si="4"/>
        <v>-9993.68</v>
      </c>
    </row>
    <row r="241" spans="1:19">
      <c r="A241" s="1090">
        <v>232</v>
      </c>
      <c r="B241" t="s">
        <v>309</v>
      </c>
      <c r="C241" s="11">
        <v>0</v>
      </c>
      <c r="D241" s="11" t="s">
        <v>244</v>
      </c>
      <c r="E241" t="s">
        <v>245</v>
      </c>
      <c r="F241" s="45">
        <v>0</v>
      </c>
      <c r="G241" s="45">
        <v>0</v>
      </c>
      <c r="H241" s="45">
        <v>0</v>
      </c>
      <c r="I241" s="45">
        <v>0</v>
      </c>
      <c r="J241" s="45">
        <v>0</v>
      </c>
      <c r="K241" s="45">
        <v>0</v>
      </c>
      <c r="L241" s="45">
        <v>0</v>
      </c>
      <c r="M241" s="45">
        <v>0</v>
      </c>
      <c r="N241" s="45">
        <v>0</v>
      </c>
      <c r="O241" s="527">
        <v>0</v>
      </c>
      <c r="P241" s="527">
        <v>0</v>
      </c>
      <c r="Q241" s="527">
        <v>0</v>
      </c>
      <c r="R241" s="527">
        <v>0</v>
      </c>
      <c r="S241" s="527">
        <f t="shared" si="4"/>
        <v>0</v>
      </c>
    </row>
    <row r="242" spans="1:19">
      <c r="A242" s="1090">
        <v>233</v>
      </c>
      <c r="B242" t="s">
        <v>309</v>
      </c>
      <c r="C242" s="11">
        <v>20</v>
      </c>
      <c r="D242" s="11" t="s">
        <v>246</v>
      </c>
      <c r="E242" t="s">
        <v>141</v>
      </c>
      <c r="F242" s="45">
        <v>625</v>
      </c>
      <c r="G242" s="45">
        <v>1250</v>
      </c>
      <c r="H242" s="45">
        <v>1250</v>
      </c>
      <c r="I242" s="45">
        <v>1250</v>
      </c>
      <c r="J242" s="45">
        <v>1250</v>
      </c>
      <c r="K242" s="45">
        <v>1250</v>
      </c>
      <c r="L242" s="45">
        <v>1250</v>
      </c>
      <c r="M242" s="45">
        <v>1250</v>
      </c>
      <c r="N242" s="45">
        <v>1250</v>
      </c>
      <c r="O242" s="527">
        <v>1250</v>
      </c>
      <c r="P242" s="527">
        <v>1250</v>
      </c>
      <c r="Q242" s="527">
        <v>1250</v>
      </c>
      <c r="R242" s="527">
        <v>1250</v>
      </c>
      <c r="S242" s="527">
        <f t="shared" si="4"/>
        <v>15000</v>
      </c>
    </row>
    <row r="243" spans="1:19">
      <c r="A243" s="1090">
        <v>234</v>
      </c>
      <c r="B243" t="s">
        <v>309</v>
      </c>
      <c r="C243" s="11">
        <v>30</v>
      </c>
      <c r="D243" s="11" t="s">
        <v>303</v>
      </c>
      <c r="E243" t="s">
        <v>172</v>
      </c>
      <c r="F243" s="45">
        <v>104000</v>
      </c>
      <c r="G243" s="45">
        <v>184000</v>
      </c>
      <c r="H243" s="45">
        <v>184000</v>
      </c>
      <c r="I243" s="45">
        <v>184000</v>
      </c>
      <c r="J243" s="45">
        <v>184000</v>
      </c>
      <c r="K243" s="45">
        <v>184000</v>
      </c>
      <c r="L243" s="45">
        <v>184000</v>
      </c>
      <c r="M243" s="45">
        <v>184000</v>
      </c>
      <c r="N243" s="45">
        <v>184000</v>
      </c>
      <c r="O243" s="527">
        <v>184000</v>
      </c>
      <c r="P243" s="527">
        <v>184000</v>
      </c>
      <c r="Q243" s="527">
        <v>184000</v>
      </c>
      <c r="R243" s="527">
        <v>184000</v>
      </c>
      <c r="S243" s="527">
        <f t="shared" si="4"/>
        <v>2208000</v>
      </c>
    </row>
    <row r="244" spans="1:19">
      <c r="A244" s="1090">
        <v>235</v>
      </c>
      <c r="B244" t="s">
        <v>309</v>
      </c>
      <c r="C244" s="11">
        <v>40</v>
      </c>
      <c r="D244" s="11" t="s">
        <v>302</v>
      </c>
      <c r="E244" t="s">
        <v>173</v>
      </c>
      <c r="F244" s="45">
        <v>4669.51</v>
      </c>
      <c r="G244" s="45">
        <v>9515.01</v>
      </c>
      <c r="H244" s="45">
        <v>6484.98</v>
      </c>
      <c r="I244" s="45">
        <v>8785.9500000000007</v>
      </c>
      <c r="J244" s="45">
        <v>5748.71</v>
      </c>
      <c r="K244" s="45">
        <v>2731.84</v>
      </c>
      <c r="L244" s="45">
        <v>3046.67</v>
      </c>
      <c r="M244" s="45">
        <v>8213.34</v>
      </c>
      <c r="N244" s="45">
        <v>9182.25</v>
      </c>
      <c r="O244" s="527">
        <v>8907.2900000000009</v>
      </c>
      <c r="P244" s="527">
        <v>7941.58</v>
      </c>
      <c r="Q244" s="527">
        <v>9148.2999999999993</v>
      </c>
      <c r="R244" s="527">
        <v>8864.6</v>
      </c>
      <c r="S244" s="527">
        <f t="shared" si="4"/>
        <v>88570.52</v>
      </c>
    </row>
    <row r="245" spans="1:19">
      <c r="A245" s="1090">
        <v>236</v>
      </c>
      <c r="B245" t="s">
        <v>309</v>
      </c>
      <c r="C245" s="11">
        <v>50</v>
      </c>
      <c r="D245" s="11" t="s">
        <v>248</v>
      </c>
      <c r="E245" t="s">
        <v>174</v>
      </c>
      <c r="F245" s="45">
        <v>6591</v>
      </c>
      <c r="G245" s="45">
        <v>13182</v>
      </c>
      <c r="H245" s="45">
        <v>13182</v>
      </c>
      <c r="I245" s="45">
        <v>12926</v>
      </c>
      <c r="J245" s="45">
        <v>12926</v>
      </c>
      <c r="K245" s="45">
        <v>6463</v>
      </c>
      <c r="L245" s="45">
        <v>6463</v>
      </c>
      <c r="M245" s="45">
        <v>12926</v>
      </c>
      <c r="N245" s="45">
        <v>12926</v>
      </c>
      <c r="O245" s="527">
        <v>12926</v>
      </c>
      <c r="P245" s="527">
        <v>12926</v>
      </c>
      <c r="Q245" s="527">
        <v>12926</v>
      </c>
      <c r="R245" s="527">
        <v>12926</v>
      </c>
      <c r="S245" s="527">
        <f t="shared" si="4"/>
        <v>142698</v>
      </c>
    </row>
    <row r="246" spans="1:19">
      <c r="A246" s="1090">
        <v>237</v>
      </c>
      <c r="B246" t="s">
        <v>309</v>
      </c>
      <c r="C246" s="11">
        <v>60</v>
      </c>
      <c r="D246" s="11" t="s">
        <v>248</v>
      </c>
      <c r="E246" t="s">
        <v>175</v>
      </c>
      <c r="F246" s="45">
        <v>5184</v>
      </c>
      <c r="G246" s="45">
        <v>10368</v>
      </c>
      <c r="H246" s="45">
        <v>10368</v>
      </c>
      <c r="I246" s="45">
        <v>10168</v>
      </c>
      <c r="J246" s="45">
        <v>10168</v>
      </c>
      <c r="K246" s="45">
        <v>5084</v>
      </c>
      <c r="L246" s="45">
        <v>5084</v>
      </c>
      <c r="M246" s="45">
        <v>10168</v>
      </c>
      <c r="N246" s="45">
        <v>10168</v>
      </c>
      <c r="O246" s="527">
        <v>10168</v>
      </c>
      <c r="P246" s="527">
        <v>10168</v>
      </c>
      <c r="Q246" s="527">
        <v>10168</v>
      </c>
      <c r="R246" s="527">
        <v>10168</v>
      </c>
      <c r="S246" s="527">
        <f t="shared" si="4"/>
        <v>112248</v>
      </c>
    </row>
    <row r="247" spans="1:19">
      <c r="A247" s="1090">
        <v>238</v>
      </c>
      <c r="B247" t="s">
        <v>309</v>
      </c>
      <c r="C247" s="11">
        <v>70</v>
      </c>
      <c r="D247" s="11" t="s">
        <v>248</v>
      </c>
      <c r="E247" t="s">
        <v>175</v>
      </c>
      <c r="F247" s="45">
        <v>3384</v>
      </c>
      <c r="G247" s="45">
        <v>6768</v>
      </c>
      <c r="H247" s="45">
        <v>6768</v>
      </c>
      <c r="I247" s="45">
        <v>6636</v>
      </c>
      <c r="J247" s="45">
        <v>6636</v>
      </c>
      <c r="K247" s="45">
        <v>3318</v>
      </c>
      <c r="L247" s="45">
        <v>3318</v>
      </c>
      <c r="M247" s="45">
        <v>6636</v>
      </c>
      <c r="N247" s="45">
        <v>6636</v>
      </c>
      <c r="O247" s="527">
        <v>6636</v>
      </c>
      <c r="P247" s="527">
        <v>6636</v>
      </c>
      <c r="Q247" s="527">
        <v>6636</v>
      </c>
      <c r="R247" s="527">
        <v>6636</v>
      </c>
      <c r="S247" s="527">
        <f t="shared" si="4"/>
        <v>73260</v>
      </c>
    </row>
    <row r="248" spans="1:19">
      <c r="A248" s="1090">
        <v>239</v>
      </c>
      <c r="B248" t="s">
        <v>309</v>
      </c>
      <c r="C248" s="11">
        <v>80</v>
      </c>
      <c r="D248" s="11" t="s">
        <v>248</v>
      </c>
      <c r="E248" t="s">
        <v>176</v>
      </c>
      <c r="F248" s="45">
        <v>107268.21</v>
      </c>
      <c r="G248" s="45">
        <v>218760.41</v>
      </c>
      <c r="H248" s="45">
        <v>146039.67000000001</v>
      </c>
      <c r="I248" s="45">
        <v>197279.41</v>
      </c>
      <c r="J248" s="45">
        <v>125828.39</v>
      </c>
      <c r="K248" s="45">
        <v>59561.440000000002</v>
      </c>
      <c r="L248" s="45">
        <v>66967.94</v>
      </c>
      <c r="M248" s="45">
        <v>183808.99</v>
      </c>
      <c r="N248" s="45">
        <v>206602.29</v>
      </c>
      <c r="O248" s="527">
        <v>200134.06</v>
      </c>
      <c r="P248" s="527">
        <v>177415.78</v>
      </c>
      <c r="Q248" s="527">
        <v>205803.74</v>
      </c>
      <c r="R248" s="527">
        <v>199129.88</v>
      </c>
      <c r="S248" s="527">
        <f t="shared" si="4"/>
        <v>1987332</v>
      </c>
    </row>
    <row r="249" spans="1:19">
      <c r="A249" s="1090">
        <v>240</v>
      </c>
      <c r="B249" t="s">
        <v>309</v>
      </c>
      <c r="C249" s="11">
        <v>90</v>
      </c>
      <c r="D249" s="11" t="s">
        <v>258</v>
      </c>
      <c r="E249" t="s">
        <v>150</v>
      </c>
      <c r="F249" s="45">
        <v>-7471.21</v>
      </c>
      <c r="G249" s="45">
        <v>-15224.03</v>
      </c>
      <c r="H249" s="45">
        <v>-10375.98</v>
      </c>
      <c r="I249" s="45">
        <v>0</v>
      </c>
      <c r="J249" s="45">
        <v>0</v>
      </c>
      <c r="K249" s="45">
        <v>0</v>
      </c>
      <c r="L249" s="45">
        <v>0</v>
      </c>
      <c r="M249" s="45">
        <v>0</v>
      </c>
      <c r="N249" s="45">
        <v>0</v>
      </c>
      <c r="O249" s="527">
        <v>0</v>
      </c>
      <c r="P249" s="527">
        <v>0</v>
      </c>
      <c r="Q249" s="527">
        <v>0</v>
      </c>
      <c r="R249" s="527">
        <v>0</v>
      </c>
      <c r="S249" s="527">
        <f t="shared" si="4"/>
        <v>-25600.010000000002</v>
      </c>
    </row>
    <row r="250" spans="1:19">
      <c r="A250" s="1090">
        <v>241</v>
      </c>
      <c r="B250" t="s">
        <v>309</v>
      </c>
      <c r="C250" s="11">
        <v>100</v>
      </c>
      <c r="D250" s="11" t="s">
        <v>259</v>
      </c>
      <c r="E250" t="s">
        <v>151</v>
      </c>
      <c r="F250" s="45">
        <v>-3035.18</v>
      </c>
      <c r="G250" s="45">
        <v>-6184.76</v>
      </c>
      <c r="H250" s="45">
        <v>-4215.24</v>
      </c>
      <c r="I250" s="45">
        <v>-5710.87</v>
      </c>
      <c r="J250" s="45">
        <v>-3736.66</v>
      </c>
      <c r="K250" s="45">
        <v>-1775.69</v>
      </c>
      <c r="L250" s="45">
        <v>-1980.34</v>
      </c>
      <c r="M250" s="45">
        <v>-5338.67</v>
      </c>
      <c r="N250" s="45">
        <v>-5968.46</v>
      </c>
      <c r="O250" s="527">
        <v>-5789.74</v>
      </c>
      <c r="P250" s="527">
        <v>-5162.03</v>
      </c>
      <c r="Q250" s="527">
        <v>-5488.98</v>
      </c>
      <c r="R250" s="527">
        <v>-5318.77</v>
      </c>
      <c r="S250" s="527">
        <f t="shared" si="4"/>
        <v>-56670.209999999992</v>
      </c>
    </row>
    <row r="251" spans="1:19">
      <c r="A251" s="1090">
        <v>242</v>
      </c>
      <c r="B251" t="s">
        <v>309</v>
      </c>
      <c r="C251" s="11">
        <v>110</v>
      </c>
      <c r="D251" s="11" t="s">
        <v>260</v>
      </c>
      <c r="E251" t="s">
        <v>261</v>
      </c>
      <c r="F251" s="45">
        <v>0</v>
      </c>
      <c r="G251" s="45">
        <v>0</v>
      </c>
      <c r="H251" s="45">
        <v>0</v>
      </c>
      <c r="I251" s="45">
        <v>0</v>
      </c>
      <c r="J251" s="45">
        <v>0</v>
      </c>
      <c r="K251" s="45">
        <v>0</v>
      </c>
      <c r="L251" s="45">
        <v>0</v>
      </c>
      <c r="M251" s="45">
        <v>0</v>
      </c>
      <c r="N251" s="45">
        <v>0</v>
      </c>
      <c r="O251" s="527">
        <v>0</v>
      </c>
      <c r="P251" s="527">
        <v>0</v>
      </c>
      <c r="Q251" s="527">
        <v>0</v>
      </c>
      <c r="R251" s="527">
        <v>0</v>
      </c>
      <c r="S251" s="527">
        <f t="shared" si="4"/>
        <v>0</v>
      </c>
    </row>
    <row r="252" spans="1:19">
      <c r="A252" s="1090">
        <v>243</v>
      </c>
      <c r="B252" t="s">
        <v>309</v>
      </c>
      <c r="C252" s="11">
        <v>120</v>
      </c>
      <c r="D252" s="11" t="s">
        <v>252</v>
      </c>
      <c r="E252" t="s">
        <v>146</v>
      </c>
      <c r="F252" s="45">
        <v>4319.3</v>
      </c>
      <c r="G252" s="45">
        <v>8801.39</v>
      </c>
      <c r="H252" s="45">
        <v>5998.61</v>
      </c>
      <c r="I252" s="45">
        <v>8127</v>
      </c>
      <c r="J252" s="45">
        <v>5317.56</v>
      </c>
      <c r="K252" s="45">
        <v>2526.9499999999998</v>
      </c>
      <c r="L252" s="45">
        <v>2818.17</v>
      </c>
      <c r="M252" s="45">
        <v>7597.34</v>
      </c>
      <c r="N252" s="45">
        <v>8493.57</v>
      </c>
      <c r="O252" s="527">
        <v>8239.25</v>
      </c>
      <c r="P252" s="527">
        <v>7345.96</v>
      </c>
      <c r="Q252" s="527">
        <v>28131.02</v>
      </c>
      <c r="R252" s="527">
        <v>27258.67</v>
      </c>
      <c r="S252" s="527">
        <f t="shared" si="4"/>
        <v>120655.49</v>
      </c>
    </row>
    <row r="253" spans="1:19">
      <c r="A253" s="1090">
        <v>244</v>
      </c>
      <c r="B253" t="s">
        <v>309</v>
      </c>
      <c r="C253" s="11">
        <v>130</v>
      </c>
      <c r="D253" s="11" t="s">
        <v>253</v>
      </c>
      <c r="E253" t="s">
        <v>147</v>
      </c>
      <c r="F253" s="45">
        <v>8405.1200000000008</v>
      </c>
      <c r="G253" s="45">
        <v>17127.03</v>
      </c>
      <c r="H253" s="45">
        <v>11672.97</v>
      </c>
      <c r="I253" s="45">
        <v>15814.71</v>
      </c>
      <c r="J253" s="45">
        <v>10347.68</v>
      </c>
      <c r="K253" s="45">
        <v>4917.3</v>
      </c>
      <c r="L253" s="45">
        <v>5484.01</v>
      </c>
      <c r="M253" s="45">
        <v>14784.03</v>
      </c>
      <c r="N253" s="45">
        <v>16528.04</v>
      </c>
      <c r="O253" s="527">
        <v>16033.13</v>
      </c>
      <c r="P253" s="527">
        <v>14294.85</v>
      </c>
      <c r="Q253" s="527">
        <v>31790.34</v>
      </c>
      <c r="R253" s="527">
        <v>30804.51</v>
      </c>
      <c r="S253" s="527">
        <f t="shared" si="4"/>
        <v>189598.60000000003</v>
      </c>
    </row>
    <row r="254" spans="1:19">
      <c r="A254" s="1090">
        <v>245</v>
      </c>
      <c r="B254" t="s">
        <v>309</v>
      </c>
      <c r="C254" s="11">
        <v>140</v>
      </c>
      <c r="D254" s="11" t="s">
        <v>255</v>
      </c>
      <c r="E254" t="s">
        <v>256</v>
      </c>
      <c r="F254" s="45">
        <v>0</v>
      </c>
      <c r="G254" s="45">
        <v>0</v>
      </c>
      <c r="H254" s="45">
        <v>0</v>
      </c>
      <c r="I254" s="45">
        <v>0</v>
      </c>
      <c r="J254" s="45">
        <v>0</v>
      </c>
      <c r="K254" s="45">
        <v>0</v>
      </c>
      <c r="L254" s="45">
        <v>0</v>
      </c>
      <c r="M254" s="45">
        <v>0</v>
      </c>
      <c r="N254" s="45">
        <v>0</v>
      </c>
      <c r="O254" s="527">
        <v>0</v>
      </c>
      <c r="P254" s="527">
        <v>0</v>
      </c>
      <c r="Q254" s="527">
        <v>0</v>
      </c>
      <c r="R254" s="527">
        <v>0</v>
      </c>
      <c r="S254" s="527">
        <f t="shared" si="4"/>
        <v>0</v>
      </c>
    </row>
    <row r="255" spans="1:19">
      <c r="A255" s="1090">
        <v>246</v>
      </c>
      <c r="B255" t="s">
        <v>309</v>
      </c>
      <c r="C255" s="11">
        <v>150</v>
      </c>
      <c r="D255" s="11" t="s">
        <v>304</v>
      </c>
      <c r="E255" t="s">
        <v>305</v>
      </c>
      <c r="F255" s="45">
        <v>0</v>
      </c>
      <c r="G255" s="45">
        <v>0</v>
      </c>
      <c r="H255" s="45">
        <v>0</v>
      </c>
      <c r="I255" s="45">
        <v>0</v>
      </c>
      <c r="J255" s="45">
        <v>0</v>
      </c>
      <c r="K255" s="45">
        <v>0</v>
      </c>
      <c r="L255" s="45">
        <v>0</v>
      </c>
      <c r="M255" s="45">
        <v>0</v>
      </c>
      <c r="N255" s="45">
        <v>0</v>
      </c>
      <c r="O255" s="527">
        <v>0</v>
      </c>
      <c r="P255" s="527">
        <v>0</v>
      </c>
      <c r="Q255" s="527">
        <v>0</v>
      </c>
      <c r="R255" s="527">
        <v>0</v>
      </c>
      <c r="S255" s="527">
        <f t="shared" si="4"/>
        <v>0</v>
      </c>
    </row>
    <row r="256" spans="1:19">
      <c r="A256" s="1090">
        <v>247</v>
      </c>
      <c r="B256" t="s">
        <v>309</v>
      </c>
      <c r="C256" s="11">
        <v>160</v>
      </c>
      <c r="D256" s="11" t="s">
        <v>304</v>
      </c>
      <c r="E256" t="s">
        <v>305</v>
      </c>
      <c r="F256" s="45">
        <v>0</v>
      </c>
      <c r="G256" s="45">
        <v>0</v>
      </c>
      <c r="H256" s="45">
        <v>0</v>
      </c>
      <c r="I256" s="45">
        <v>0</v>
      </c>
      <c r="J256" s="45">
        <v>0</v>
      </c>
      <c r="K256" s="45">
        <v>0</v>
      </c>
      <c r="L256" s="45">
        <v>0</v>
      </c>
      <c r="M256" s="45">
        <v>0</v>
      </c>
      <c r="N256" s="45">
        <v>0</v>
      </c>
      <c r="O256" s="527">
        <v>0</v>
      </c>
      <c r="P256" s="527">
        <v>0</v>
      </c>
      <c r="Q256" s="527">
        <v>0</v>
      </c>
      <c r="R256" s="527">
        <v>0</v>
      </c>
      <c r="S256" s="527">
        <f t="shared" si="4"/>
        <v>0</v>
      </c>
    </row>
    <row r="257" spans="1:19">
      <c r="A257" s="1090">
        <v>248</v>
      </c>
      <c r="B257" t="s">
        <v>309</v>
      </c>
      <c r="C257" s="11">
        <v>170</v>
      </c>
      <c r="D257" s="11" t="s">
        <v>262</v>
      </c>
      <c r="E257" t="s">
        <v>263</v>
      </c>
      <c r="F257" s="45"/>
      <c r="G257" s="45"/>
      <c r="H257" s="45"/>
      <c r="I257" s="45"/>
      <c r="J257" s="45"/>
      <c r="K257" s="45"/>
      <c r="L257" s="45"/>
      <c r="M257" s="45"/>
      <c r="N257" s="45"/>
      <c r="O257" s="527"/>
      <c r="P257" s="527">
        <v>20251.04</v>
      </c>
      <c r="Q257" s="527">
        <v>23328.17</v>
      </c>
      <c r="R257" s="527">
        <v>22604.75</v>
      </c>
      <c r="S257" s="527">
        <f t="shared" si="4"/>
        <v>66183.959999999992</v>
      </c>
    </row>
    <row r="258" spans="1:19">
      <c r="A258" s="1090">
        <v>249</v>
      </c>
      <c r="B258" t="s">
        <v>309</v>
      </c>
      <c r="C258" s="11">
        <v>240</v>
      </c>
      <c r="D258" s="11" t="s">
        <v>307</v>
      </c>
      <c r="E258" t="s">
        <v>178</v>
      </c>
      <c r="F258" s="45">
        <v>10249.049999999999</v>
      </c>
      <c r="G258" s="45">
        <v>19631.189999999999</v>
      </c>
      <c r="H258" s="45">
        <v>16280.74</v>
      </c>
      <c r="I258" s="45">
        <v>18622.84</v>
      </c>
      <c r="J258" s="45">
        <v>15328.22</v>
      </c>
      <c r="K258" s="45">
        <v>11606.31</v>
      </c>
      <c r="L258" s="45">
        <v>11947.83</v>
      </c>
      <c r="M258" s="45">
        <v>18001.71</v>
      </c>
      <c r="N258" s="45">
        <v>19052.72</v>
      </c>
      <c r="O258" s="527">
        <v>18754.46</v>
      </c>
      <c r="P258" s="527">
        <v>18602.63</v>
      </c>
      <c r="Q258" s="527">
        <v>20047.7</v>
      </c>
      <c r="R258" s="527">
        <v>19707.97</v>
      </c>
      <c r="S258" s="527">
        <f t="shared" si="4"/>
        <v>207584.32</v>
      </c>
    </row>
    <row r="259" spans="1:19">
      <c r="A259" s="1090">
        <v>250</v>
      </c>
      <c r="B259" t="s">
        <v>310</v>
      </c>
      <c r="C259" s="11">
        <v>0</v>
      </c>
      <c r="D259" s="11" t="s">
        <v>244</v>
      </c>
      <c r="E259" t="s">
        <v>245</v>
      </c>
      <c r="F259" s="45">
        <v>0</v>
      </c>
      <c r="G259" s="45">
        <v>0</v>
      </c>
      <c r="H259" s="45">
        <v>0</v>
      </c>
      <c r="I259" s="45">
        <v>0</v>
      </c>
      <c r="J259" s="45">
        <v>0</v>
      </c>
      <c r="K259" s="45">
        <v>0</v>
      </c>
      <c r="L259" s="45">
        <v>0</v>
      </c>
      <c r="M259" s="45">
        <v>0</v>
      </c>
      <c r="N259" s="45">
        <v>0</v>
      </c>
      <c r="O259" s="527">
        <v>0</v>
      </c>
      <c r="P259" s="527">
        <v>0</v>
      </c>
      <c r="Q259" s="527">
        <v>0</v>
      </c>
      <c r="R259" s="527">
        <v>0</v>
      </c>
      <c r="S259" s="527">
        <f t="shared" si="4"/>
        <v>0</v>
      </c>
    </row>
    <row r="260" spans="1:19">
      <c r="A260" s="1090">
        <v>251</v>
      </c>
      <c r="B260" t="s">
        <v>310</v>
      </c>
      <c r="C260" s="11">
        <v>20</v>
      </c>
      <c r="D260" s="11" t="s">
        <v>246</v>
      </c>
      <c r="E260" t="s">
        <v>141</v>
      </c>
      <c r="F260" s="45">
        <v>1141</v>
      </c>
      <c r="G260" s="45">
        <v>1141</v>
      </c>
      <c r="H260" s="45">
        <v>1141</v>
      </c>
      <c r="I260" s="45">
        <v>1141</v>
      </c>
      <c r="J260" s="45">
        <v>1141</v>
      </c>
      <c r="K260" s="45">
        <v>1141</v>
      </c>
      <c r="L260" s="45">
        <v>1141</v>
      </c>
      <c r="M260" s="45">
        <v>1141</v>
      </c>
      <c r="N260" s="45">
        <v>1141</v>
      </c>
      <c r="O260" s="527">
        <v>1141</v>
      </c>
      <c r="P260" s="527">
        <v>1141</v>
      </c>
      <c r="Q260" s="527">
        <v>1141</v>
      </c>
      <c r="R260" s="527">
        <v>1141</v>
      </c>
      <c r="S260" s="527">
        <f t="shared" si="4"/>
        <v>13692</v>
      </c>
    </row>
    <row r="261" spans="1:19">
      <c r="A261" s="1090">
        <v>252</v>
      </c>
      <c r="B261" t="s">
        <v>310</v>
      </c>
      <c r="C261" s="11">
        <v>30</v>
      </c>
      <c r="D261" s="11" t="s">
        <v>248</v>
      </c>
      <c r="E261" t="s">
        <v>169</v>
      </c>
      <c r="F261" s="45">
        <v>11887.69</v>
      </c>
      <c r="G261" s="45">
        <v>11018.94</v>
      </c>
      <c r="H261" s="45">
        <v>10464.82</v>
      </c>
      <c r="I261" s="45">
        <v>10266.65</v>
      </c>
      <c r="J261" s="45">
        <v>9597.16</v>
      </c>
      <c r="K261" s="45">
        <v>8292.4500000000007</v>
      </c>
      <c r="L261" s="45">
        <v>7127.53</v>
      </c>
      <c r="M261" s="45">
        <v>6620.87</v>
      </c>
      <c r="N261" s="45">
        <v>6830.33</v>
      </c>
      <c r="O261" s="527">
        <v>7731.49</v>
      </c>
      <c r="P261" s="527">
        <v>9194.7800000000007</v>
      </c>
      <c r="Q261" s="527">
        <v>9882.67</v>
      </c>
      <c r="R261" s="527">
        <v>10289.36</v>
      </c>
      <c r="S261" s="527">
        <f t="shared" si="4"/>
        <v>107317.05</v>
      </c>
    </row>
    <row r="262" spans="1:19">
      <c r="A262" s="1090">
        <v>253</v>
      </c>
      <c r="B262" t="s">
        <v>310</v>
      </c>
      <c r="C262" s="11">
        <v>40</v>
      </c>
      <c r="D262" s="11" t="s">
        <v>248</v>
      </c>
      <c r="E262" t="s">
        <v>170</v>
      </c>
      <c r="F262" s="45">
        <v>5538.86</v>
      </c>
      <c r="G262" s="45">
        <v>4877.6000000000004</v>
      </c>
      <c r="H262" s="45">
        <v>4342.38</v>
      </c>
      <c r="I262" s="45">
        <v>4629.8500000000004</v>
      </c>
      <c r="J262" s="45">
        <v>3642.42</v>
      </c>
      <c r="K262" s="45">
        <v>1301.52</v>
      </c>
      <c r="L262" s="45">
        <v>866.15</v>
      </c>
      <c r="M262" s="45">
        <v>623.99</v>
      </c>
      <c r="N262" s="45">
        <v>518.36</v>
      </c>
      <c r="O262" s="527">
        <v>946.89</v>
      </c>
      <c r="P262" s="527">
        <v>2513.58</v>
      </c>
      <c r="Q262" s="527">
        <v>4503.99</v>
      </c>
      <c r="R262" s="527">
        <v>4784.4399999999996</v>
      </c>
      <c r="S262" s="527">
        <f t="shared" si="4"/>
        <v>33551.170000000006</v>
      </c>
    </row>
    <row r="263" spans="1:19">
      <c r="A263" s="1090">
        <v>254</v>
      </c>
      <c r="B263" t="s">
        <v>310</v>
      </c>
      <c r="C263" s="11">
        <v>60</v>
      </c>
      <c r="D263" s="11" t="s">
        <v>249</v>
      </c>
      <c r="E263" t="s">
        <v>144</v>
      </c>
      <c r="F263" s="45">
        <v>198699.05</v>
      </c>
      <c r="G263" s="45">
        <v>178829.07</v>
      </c>
      <c r="H263" s="45">
        <v>163789</v>
      </c>
      <c r="I263" s="45">
        <v>171723.23</v>
      </c>
      <c r="J263" s="45">
        <v>145946.44</v>
      </c>
      <c r="K263" s="45">
        <v>86852.51</v>
      </c>
      <c r="L263" s="45">
        <v>69280.94</v>
      </c>
      <c r="M263" s="45">
        <v>60515.519999999997</v>
      </c>
      <c r="N263" s="45">
        <v>59763.66</v>
      </c>
      <c r="O263" s="527">
        <v>75307.789999999994</v>
      </c>
      <c r="P263" s="527">
        <v>119068.21</v>
      </c>
      <c r="Q263" s="527">
        <v>142237.71</v>
      </c>
      <c r="R263" s="527">
        <v>149820.99</v>
      </c>
      <c r="S263" s="527">
        <f t="shared" si="4"/>
        <v>1423135.07</v>
      </c>
    </row>
    <row r="264" spans="1:19">
      <c r="A264" s="1090">
        <v>255</v>
      </c>
      <c r="B264" t="s">
        <v>310</v>
      </c>
      <c r="C264" s="11">
        <v>80</v>
      </c>
      <c r="D264" s="11" t="s">
        <v>250</v>
      </c>
      <c r="E264" t="s">
        <v>251</v>
      </c>
      <c r="F264" s="45"/>
      <c r="G264" s="45"/>
      <c r="H264" s="45"/>
      <c r="I264" s="45"/>
      <c r="J264" s="45"/>
      <c r="K264" s="45"/>
      <c r="L264" s="45"/>
      <c r="M264" s="45"/>
      <c r="N264" s="45"/>
      <c r="O264" s="527"/>
      <c r="P264" s="527">
        <v>28868.98</v>
      </c>
      <c r="Q264" s="527">
        <v>63786.89</v>
      </c>
      <c r="R264" s="527">
        <v>67187.64</v>
      </c>
      <c r="S264" s="527">
        <f t="shared" si="4"/>
        <v>159843.51</v>
      </c>
    </row>
    <row r="265" spans="1:19">
      <c r="A265" s="1090">
        <v>256</v>
      </c>
      <c r="B265" t="s">
        <v>310</v>
      </c>
      <c r="C265" s="11">
        <v>80</v>
      </c>
      <c r="D265" s="11" t="s">
        <v>250</v>
      </c>
      <c r="E265" t="s">
        <v>145</v>
      </c>
      <c r="F265" s="45">
        <v>48176.07</v>
      </c>
      <c r="G265" s="45">
        <v>43358.45</v>
      </c>
      <c r="H265" s="45">
        <v>39711.870000000003</v>
      </c>
      <c r="I265" s="45">
        <v>41635.57</v>
      </c>
      <c r="J265" s="45">
        <v>35385.81</v>
      </c>
      <c r="K265" s="45">
        <v>21058.05</v>
      </c>
      <c r="L265" s="45">
        <v>16797.669999999998</v>
      </c>
      <c r="M265" s="45">
        <v>14672.44</v>
      </c>
      <c r="N265" s="45">
        <v>14490.15</v>
      </c>
      <c r="O265" s="527">
        <v>18258.939999999999</v>
      </c>
      <c r="P265" s="527" t="s">
        <v>247</v>
      </c>
      <c r="Q265" s="527" t="s">
        <v>247</v>
      </c>
      <c r="R265" s="527"/>
      <c r="S265" s="527">
        <f t="shared" si="4"/>
        <v>245368.94999999998</v>
      </c>
    </row>
    <row r="266" spans="1:19">
      <c r="A266" s="1090">
        <v>257</v>
      </c>
      <c r="B266" t="s">
        <v>310</v>
      </c>
      <c r="C266" s="11">
        <v>90</v>
      </c>
      <c r="D266" s="11" t="s">
        <v>252</v>
      </c>
      <c r="E266" t="s">
        <v>146</v>
      </c>
      <c r="F266" s="45">
        <v>172.65</v>
      </c>
      <c r="G266" s="45">
        <v>155.38</v>
      </c>
      <c r="H266" s="45">
        <v>142.33000000000001</v>
      </c>
      <c r="I266" s="45">
        <v>149.22</v>
      </c>
      <c r="J266" s="45">
        <v>126.81</v>
      </c>
      <c r="K266" s="45">
        <v>75.47</v>
      </c>
      <c r="L266" s="45">
        <v>60.21</v>
      </c>
      <c r="M266" s="45">
        <v>52.57</v>
      </c>
      <c r="N266" s="45">
        <v>51.93</v>
      </c>
      <c r="O266" s="527">
        <v>65.44</v>
      </c>
      <c r="P266" s="527">
        <v>103.47</v>
      </c>
      <c r="Q266" s="527">
        <v>480.9</v>
      </c>
      <c r="R266" s="527">
        <v>506.54</v>
      </c>
      <c r="S266" s="527">
        <f t="shared" si="4"/>
        <v>1970.27</v>
      </c>
    </row>
    <row r="267" spans="1:19">
      <c r="A267" s="1090">
        <v>258</v>
      </c>
      <c r="B267" t="s">
        <v>310</v>
      </c>
      <c r="C267" s="11">
        <v>95</v>
      </c>
      <c r="D267" s="11" t="s">
        <v>253</v>
      </c>
      <c r="E267" t="s">
        <v>147</v>
      </c>
      <c r="F267" s="45">
        <v>798.16</v>
      </c>
      <c r="G267" s="45">
        <v>718.36</v>
      </c>
      <c r="H267" s="45">
        <v>657.94</v>
      </c>
      <c r="I267" s="45">
        <v>689.8</v>
      </c>
      <c r="J267" s="45">
        <v>586.26</v>
      </c>
      <c r="K267" s="45">
        <v>348.88</v>
      </c>
      <c r="L267" s="45">
        <v>278.3</v>
      </c>
      <c r="M267" s="45">
        <v>243.1</v>
      </c>
      <c r="N267" s="45">
        <v>240.07</v>
      </c>
      <c r="O267" s="527">
        <v>302.49</v>
      </c>
      <c r="P267" s="527">
        <v>478.3</v>
      </c>
      <c r="Q267" s="527">
        <v>1452.18</v>
      </c>
      <c r="R267" s="527">
        <v>1529.59</v>
      </c>
      <c r="S267" s="527">
        <f t="shared" si="4"/>
        <v>7525.2700000000013</v>
      </c>
    </row>
    <row r="268" spans="1:19">
      <c r="A268" s="1090">
        <v>259</v>
      </c>
      <c r="B268" t="s">
        <v>310</v>
      </c>
      <c r="C268" s="11">
        <v>100</v>
      </c>
      <c r="D268" s="11" t="s">
        <v>254</v>
      </c>
      <c r="E268" t="s">
        <v>148</v>
      </c>
      <c r="F268" s="45">
        <v>-1698.23</v>
      </c>
      <c r="G268" s="45">
        <v>-1528.41</v>
      </c>
      <c r="H268" s="45">
        <v>-1399.86</v>
      </c>
      <c r="I268" s="45">
        <v>-1467.68</v>
      </c>
      <c r="J268" s="45">
        <v>-1247.3599999999999</v>
      </c>
      <c r="K268" s="45">
        <v>-742.32</v>
      </c>
      <c r="L268" s="45">
        <v>-592.12</v>
      </c>
      <c r="M268" s="45">
        <v>-517.21</v>
      </c>
      <c r="N268" s="45">
        <v>-510.79</v>
      </c>
      <c r="O268" s="527">
        <v>-643.64</v>
      </c>
      <c r="P268" s="527">
        <v>-1017.64</v>
      </c>
      <c r="Q268" s="527">
        <v>-947.6</v>
      </c>
      <c r="R268" s="527">
        <v>-998.12</v>
      </c>
      <c r="S268" s="527">
        <f t="shared" si="4"/>
        <v>-11612.75</v>
      </c>
    </row>
    <row r="269" spans="1:19">
      <c r="A269" s="1090">
        <v>260</v>
      </c>
      <c r="B269" t="s">
        <v>310</v>
      </c>
      <c r="C269" s="11">
        <v>105</v>
      </c>
      <c r="D269" s="11" t="s">
        <v>255</v>
      </c>
      <c r="E269" t="s">
        <v>256</v>
      </c>
      <c r="F269" s="45">
        <v>0</v>
      </c>
      <c r="G269" s="45">
        <v>0</v>
      </c>
      <c r="H269" s="45">
        <v>0</v>
      </c>
      <c r="I269" s="45">
        <v>0</v>
      </c>
      <c r="J269" s="45">
        <v>0</v>
      </c>
      <c r="K269" s="45">
        <v>0</v>
      </c>
      <c r="L269" s="45">
        <v>0</v>
      </c>
      <c r="M269" s="45">
        <v>0</v>
      </c>
      <c r="N269" s="45">
        <v>0</v>
      </c>
      <c r="O269" s="527">
        <v>0</v>
      </c>
      <c r="P269" s="527">
        <v>0</v>
      </c>
      <c r="Q269" s="527">
        <v>0</v>
      </c>
      <c r="R269" s="527">
        <v>0</v>
      </c>
      <c r="S269" s="527">
        <f t="shared" si="4"/>
        <v>0</v>
      </c>
    </row>
    <row r="270" spans="1:19">
      <c r="A270" s="1090">
        <v>261</v>
      </c>
      <c r="B270" t="s">
        <v>310</v>
      </c>
      <c r="C270" s="11">
        <v>110</v>
      </c>
      <c r="D270" s="11" t="s">
        <v>257</v>
      </c>
      <c r="E270" t="s">
        <v>149</v>
      </c>
      <c r="F270" s="45">
        <v>8559.09</v>
      </c>
      <c r="G270" s="45">
        <v>7703.18</v>
      </c>
      <c r="H270" s="45">
        <v>7055.33</v>
      </c>
      <c r="I270" s="45">
        <v>7397.1</v>
      </c>
      <c r="J270" s="45">
        <v>6286.74</v>
      </c>
      <c r="K270" s="45">
        <v>3741.23</v>
      </c>
      <c r="L270" s="45">
        <v>2984.33</v>
      </c>
      <c r="M270" s="45">
        <v>2606.7600000000002</v>
      </c>
      <c r="N270" s="45">
        <v>2574.35</v>
      </c>
      <c r="O270" s="527">
        <v>3243.94</v>
      </c>
      <c r="P270" s="527">
        <v>5128.95</v>
      </c>
      <c r="Q270" s="527">
        <v>11029.93</v>
      </c>
      <c r="R270" s="527">
        <v>11617.97</v>
      </c>
      <c r="S270" s="527">
        <f t="shared" si="4"/>
        <v>71369.81</v>
      </c>
    </row>
    <row r="271" spans="1:19">
      <c r="A271" s="1090">
        <v>262</v>
      </c>
      <c r="B271" t="s">
        <v>310</v>
      </c>
      <c r="C271" s="11">
        <v>115</v>
      </c>
      <c r="D271" s="11" t="s">
        <v>258</v>
      </c>
      <c r="E271" t="s">
        <v>150</v>
      </c>
      <c r="F271" s="45">
        <v>-305.68</v>
      </c>
      <c r="G271" s="45">
        <v>-275.10000000000002</v>
      </c>
      <c r="H271" s="45">
        <v>-251.96</v>
      </c>
      <c r="I271" s="45">
        <v>0</v>
      </c>
      <c r="J271" s="45">
        <v>0</v>
      </c>
      <c r="K271" s="45">
        <v>0</v>
      </c>
      <c r="L271" s="45">
        <v>0</v>
      </c>
      <c r="M271" s="45">
        <v>0</v>
      </c>
      <c r="N271" s="45">
        <v>0</v>
      </c>
      <c r="O271" s="527">
        <v>0</v>
      </c>
      <c r="P271" s="527">
        <v>0</v>
      </c>
      <c r="Q271" s="527">
        <v>0</v>
      </c>
      <c r="R271" s="527">
        <v>0</v>
      </c>
      <c r="S271" s="527">
        <f t="shared" si="4"/>
        <v>-527.06000000000006</v>
      </c>
    </row>
    <row r="272" spans="1:19">
      <c r="A272" s="1090">
        <v>263</v>
      </c>
      <c r="B272" t="s">
        <v>310</v>
      </c>
      <c r="C272" s="11">
        <v>120</v>
      </c>
      <c r="D272" s="11" t="s">
        <v>259</v>
      </c>
      <c r="E272" t="s">
        <v>151</v>
      </c>
      <c r="F272" s="45">
        <v>-127.36</v>
      </c>
      <c r="G272" s="45">
        <v>-114.64</v>
      </c>
      <c r="H272" s="45">
        <v>-104.99</v>
      </c>
      <c r="I272" s="45">
        <v>-110.07</v>
      </c>
      <c r="J272" s="45">
        <v>-93.55</v>
      </c>
      <c r="K272" s="45">
        <v>-55.68</v>
      </c>
      <c r="L272" s="45">
        <v>-44.41</v>
      </c>
      <c r="M272" s="45">
        <v>-38.79</v>
      </c>
      <c r="N272" s="45">
        <v>-38.32</v>
      </c>
      <c r="O272" s="527">
        <v>-48.29</v>
      </c>
      <c r="P272" s="527">
        <v>-76.31</v>
      </c>
      <c r="Q272" s="527">
        <v>-99.51</v>
      </c>
      <c r="R272" s="527">
        <v>-104.79</v>
      </c>
      <c r="S272" s="527">
        <f t="shared" si="4"/>
        <v>-929.34999999999991</v>
      </c>
    </row>
    <row r="273" spans="1:19">
      <c r="A273" s="1090">
        <v>264</v>
      </c>
      <c r="B273" t="s">
        <v>310</v>
      </c>
      <c r="C273" s="11">
        <v>125</v>
      </c>
      <c r="D273" s="11" t="s">
        <v>260</v>
      </c>
      <c r="E273" t="s">
        <v>261</v>
      </c>
      <c r="F273" s="45">
        <v>0</v>
      </c>
      <c r="G273" s="45">
        <v>0</v>
      </c>
      <c r="H273" s="45">
        <v>0</v>
      </c>
      <c r="I273" s="45">
        <v>0</v>
      </c>
      <c r="J273" s="45">
        <v>0</v>
      </c>
      <c r="K273" s="45">
        <v>0</v>
      </c>
      <c r="L273" s="45">
        <v>0</v>
      </c>
      <c r="M273" s="45">
        <v>0</v>
      </c>
      <c r="N273" s="45">
        <v>0</v>
      </c>
      <c r="O273" s="527">
        <v>0</v>
      </c>
      <c r="P273" s="527">
        <v>0</v>
      </c>
      <c r="Q273" s="527">
        <v>0</v>
      </c>
      <c r="R273" s="527">
        <v>0</v>
      </c>
      <c r="S273" s="527">
        <f t="shared" si="4"/>
        <v>0</v>
      </c>
    </row>
    <row r="274" spans="1:19">
      <c r="A274" s="1090">
        <v>265</v>
      </c>
      <c r="B274" t="s">
        <v>310</v>
      </c>
      <c r="C274" s="11">
        <v>130</v>
      </c>
      <c r="D274" s="11" t="s">
        <v>262</v>
      </c>
      <c r="E274" t="s">
        <v>263</v>
      </c>
      <c r="F274" s="45"/>
      <c r="G274" s="45"/>
      <c r="H274" s="45"/>
      <c r="I274" s="45"/>
      <c r="J274" s="45"/>
      <c r="K274" s="45"/>
      <c r="L274" s="45"/>
      <c r="M274" s="45"/>
      <c r="N274" s="45"/>
      <c r="O274" s="527"/>
      <c r="P274" s="527">
        <v>362.96</v>
      </c>
      <c r="Q274" s="527">
        <v>506.96</v>
      </c>
      <c r="R274" s="527">
        <v>533.99</v>
      </c>
      <c r="S274" s="527">
        <f t="shared" si="4"/>
        <v>1403.9099999999999</v>
      </c>
    </row>
    <row r="275" spans="1:19">
      <c r="A275" s="1090">
        <v>266</v>
      </c>
      <c r="B275" t="s">
        <v>310</v>
      </c>
      <c r="C275" s="11">
        <v>340</v>
      </c>
      <c r="D275" s="11" t="s">
        <v>266</v>
      </c>
      <c r="E275" t="s">
        <v>267</v>
      </c>
      <c r="F275" s="45">
        <v>3328.86</v>
      </c>
      <c r="G275" s="45">
        <v>2734.96</v>
      </c>
      <c r="H275" s="45">
        <v>2426.5700000000002</v>
      </c>
      <c r="I275" s="45">
        <v>2439.12</v>
      </c>
      <c r="J275" s="45">
        <v>2019</v>
      </c>
      <c r="K275" s="45">
        <v>1244.79</v>
      </c>
      <c r="L275" s="45">
        <v>855.4</v>
      </c>
      <c r="M275" s="45">
        <v>749.88</v>
      </c>
      <c r="N275" s="45">
        <v>849.52</v>
      </c>
      <c r="O275" s="527">
        <v>1043.67</v>
      </c>
      <c r="P275" s="527">
        <v>1750.58</v>
      </c>
      <c r="Q275" s="527">
        <v>2358.92</v>
      </c>
      <c r="R275" s="527">
        <v>2672.41</v>
      </c>
      <c r="S275" s="527">
        <f t="shared" si="4"/>
        <v>21144.820000000003</v>
      </c>
    </row>
    <row r="276" spans="1:19">
      <c r="A276" s="1090">
        <v>267</v>
      </c>
      <c r="B276" t="s">
        <v>310</v>
      </c>
      <c r="C276" s="11">
        <v>350</v>
      </c>
      <c r="D276" s="11" t="s">
        <v>268</v>
      </c>
      <c r="E276" t="s">
        <v>269</v>
      </c>
      <c r="F276" s="45">
        <v>0</v>
      </c>
      <c r="G276" s="45">
        <v>0</v>
      </c>
      <c r="H276" s="45">
        <v>0</v>
      </c>
      <c r="I276" s="45">
        <v>0</v>
      </c>
      <c r="J276" s="45">
        <v>0</v>
      </c>
      <c r="K276" s="45">
        <v>0</v>
      </c>
      <c r="L276" s="45">
        <v>0</v>
      </c>
      <c r="M276" s="45">
        <v>0</v>
      </c>
      <c r="N276" s="45">
        <v>0</v>
      </c>
      <c r="O276" s="527">
        <v>0</v>
      </c>
      <c r="P276" s="527">
        <v>0</v>
      </c>
      <c r="Q276" s="527">
        <v>0</v>
      </c>
      <c r="R276" s="527">
        <v>0</v>
      </c>
      <c r="S276" s="527">
        <f t="shared" si="4"/>
        <v>0</v>
      </c>
    </row>
    <row r="277" spans="1:19">
      <c r="A277" s="1090">
        <v>268</v>
      </c>
      <c r="B277" t="s">
        <v>310</v>
      </c>
      <c r="C277" s="11">
        <v>360</v>
      </c>
      <c r="D277" s="11" t="s">
        <v>270</v>
      </c>
      <c r="E277" t="s">
        <v>271</v>
      </c>
      <c r="F277" s="45">
        <v>0</v>
      </c>
      <c r="G277" s="45">
        <v>0</v>
      </c>
      <c r="H277" s="45">
        <v>0</v>
      </c>
      <c r="I277" s="45">
        <v>0</v>
      </c>
      <c r="J277" s="45">
        <v>0</v>
      </c>
      <c r="K277" s="45">
        <v>0</v>
      </c>
      <c r="L277" s="45">
        <v>0</v>
      </c>
      <c r="M277" s="45">
        <v>0</v>
      </c>
      <c r="N277" s="45">
        <v>0</v>
      </c>
      <c r="O277" s="527">
        <v>0</v>
      </c>
      <c r="P277" s="527">
        <v>0</v>
      </c>
      <c r="Q277" s="527">
        <v>0</v>
      </c>
      <c r="R277" s="527">
        <v>0</v>
      </c>
      <c r="S277" s="527">
        <f t="shared" si="4"/>
        <v>0</v>
      </c>
    </row>
    <row r="278" spans="1:19">
      <c r="A278" s="1090">
        <v>269</v>
      </c>
      <c r="B278" t="s">
        <v>310</v>
      </c>
      <c r="C278" s="11">
        <v>470</v>
      </c>
      <c r="D278" s="11" t="s">
        <v>278</v>
      </c>
      <c r="E278" t="s">
        <v>154</v>
      </c>
      <c r="F278" s="45">
        <v>4.8899999999999997</v>
      </c>
      <c r="G278" s="45">
        <v>4.8899999999999997</v>
      </c>
      <c r="H278" s="45">
        <v>4.8899999999999997</v>
      </c>
      <c r="I278" s="45">
        <v>4.8899999999999997</v>
      </c>
      <c r="J278" s="45">
        <v>4.8899999999999997</v>
      </c>
      <c r="K278" s="45">
        <v>4.8899999999999997</v>
      </c>
      <c r="L278" s="45">
        <v>4.8899999999999997</v>
      </c>
      <c r="M278" s="45">
        <v>4.8899999999999997</v>
      </c>
      <c r="N278" s="45">
        <v>4.8899999999999997</v>
      </c>
      <c r="O278" s="527">
        <v>4.8899999999999997</v>
      </c>
      <c r="P278" s="527">
        <v>4.8899999999999997</v>
      </c>
      <c r="Q278" s="527">
        <v>4.8899999999999997</v>
      </c>
      <c r="R278" s="527">
        <v>4.8899999999999997</v>
      </c>
      <c r="S278" s="527">
        <f t="shared" si="4"/>
        <v>58.68</v>
      </c>
    </row>
    <row r="279" spans="1:19">
      <c r="A279" s="1090">
        <v>270</v>
      </c>
      <c r="B279" t="s">
        <v>311</v>
      </c>
      <c r="C279" s="11">
        <v>10</v>
      </c>
      <c r="D279" s="11" t="s">
        <v>302</v>
      </c>
      <c r="E279" t="s">
        <v>181</v>
      </c>
      <c r="F279" s="45">
        <v>625</v>
      </c>
      <c r="G279" s="45"/>
      <c r="H279" s="45"/>
      <c r="I279" s="45"/>
      <c r="J279" s="45"/>
      <c r="K279" s="45"/>
      <c r="L279" s="45"/>
      <c r="M279" s="45"/>
      <c r="N279" s="45"/>
      <c r="O279" s="527"/>
      <c r="P279" s="527" t="s">
        <v>247</v>
      </c>
      <c r="Q279" s="527" t="s">
        <v>247</v>
      </c>
      <c r="R279" s="527"/>
      <c r="S279" s="527">
        <f t="shared" si="4"/>
        <v>0</v>
      </c>
    </row>
    <row r="280" spans="1:19">
      <c r="A280" s="1090">
        <v>271</v>
      </c>
      <c r="B280" t="s">
        <v>311</v>
      </c>
      <c r="C280" s="11">
        <v>20</v>
      </c>
      <c r="D280" s="11" t="s">
        <v>303</v>
      </c>
      <c r="E280" t="s">
        <v>182</v>
      </c>
      <c r="F280" s="45">
        <v>22016.12</v>
      </c>
      <c r="G280" s="45"/>
      <c r="H280" s="45"/>
      <c r="I280" s="45"/>
      <c r="J280" s="45"/>
      <c r="K280" s="45"/>
      <c r="L280" s="45"/>
      <c r="M280" s="45"/>
      <c r="N280" s="45"/>
      <c r="O280" s="527"/>
      <c r="P280" s="527" t="s">
        <v>247</v>
      </c>
      <c r="Q280" s="527" t="s">
        <v>247</v>
      </c>
      <c r="R280" s="527"/>
      <c r="S280" s="527">
        <f t="shared" si="4"/>
        <v>0</v>
      </c>
    </row>
    <row r="281" spans="1:19">
      <c r="A281" s="1090">
        <v>272</v>
      </c>
      <c r="B281" t="s">
        <v>311</v>
      </c>
      <c r="C281" s="11">
        <v>30</v>
      </c>
      <c r="D281" s="11" t="s">
        <v>302</v>
      </c>
      <c r="E281" t="s">
        <v>173</v>
      </c>
      <c r="F281" s="45">
        <v>3260.39</v>
      </c>
      <c r="G281" s="45"/>
      <c r="H281" s="45"/>
      <c r="I281" s="45"/>
      <c r="J281" s="45"/>
      <c r="K281" s="45"/>
      <c r="L281" s="45"/>
      <c r="M281" s="45"/>
      <c r="N281" s="45"/>
      <c r="O281" s="527"/>
      <c r="P281" s="527" t="s">
        <v>247</v>
      </c>
      <c r="Q281" s="527" t="s">
        <v>247</v>
      </c>
      <c r="R281" s="527"/>
      <c r="S281" s="527">
        <f t="shared" si="4"/>
        <v>0</v>
      </c>
    </row>
    <row r="282" spans="1:19">
      <c r="A282" s="1090">
        <v>273</v>
      </c>
      <c r="B282" t="s">
        <v>311</v>
      </c>
      <c r="C282" s="11">
        <v>40</v>
      </c>
      <c r="D282" s="11" t="s">
        <v>312</v>
      </c>
      <c r="E282" t="s">
        <v>185</v>
      </c>
      <c r="F282" s="45">
        <v>131597.41</v>
      </c>
      <c r="G282" s="45"/>
      <c r="H282" s="45"/>
      <c r="I282" s="45"/>
      <c r="J282" s="45"/>
      <c r="K282" s="45"/>
      <c r="L282" s="45"/>
      <c r="M282" s="45"/>
      <c r="N282" s="45"/>
      <c r="O282" s="527"/>
      <c r="P282" s="527" t="s">
        <v>247</v>
      </c>
      <c r="Q282" s="527" t="s">
        <v>247</v>
      </c>
      <c r="R282" s="527"/>
      <c r="S282" s="527">
        <f t="shared" si="4"/>
        <v>0</v>
      </c>
    </row>
    <row r="283" spans="1:19">
      <c r="A283" s="1090">
        <v>274</v>
      </c>
      <c r="B283" t="s">
        <v>311</v>
      </c>
      <c r="C283" s="11">
        <v>260</v>
      </c>
      <c r="D283" s="11" t="s">
        <v>307</v>
      </c>
      <c r="E283" t="s">
        <v>178</v>
      </c>
      <c r="F283" s="45">
        <v>6966.18</v>
      </c>
      <c r="G283" s="45"/>
      <c r="H283" s="45"/>
      <c r="I283" s="45"/>
      <c r="J283" s="45"/>
      <c r="K283" s="45"/>
      <c r="L283" s="45"/>
      <c r="M283" s="45"/>
      <c r="N283" s="45"/>
      <c r="O283" s="527"/>
      <c r="P283" s="527" t="s">
        <v>247</v>
      </c>
      <c r="Q283" s="527" t="s">
        <v>247</v>
      </c>
      <c r="R283" s="527"/>
      <c r="S283" s="527">
        <f t="shared" si="4"/>
        <v>0</v>
      </c>
    </row>
    <row r="284" spans="1:19">
      <c r="A284" s="1090">
        <v>275</v>
      </c>
      <c r="B284" t="s">
        <v>313</v>
      </c>
      <c r="C284" s="11">
        <v>10</v>
      </c>
      <c r="D284" s="11" t="s">
        <v>302</v>
      </c>
      <c r="E284" t="s">
        <v>181</v>
      </c>
      <c r="F284" s="45">
        <v>625</v>
      </c>
      <c r="G284" s="45">
        <v>625</v>
      </c>
      <c r="H284" s="45">
        <v>625</v>
      </c>
      <c r="I284" s="45">
        <v>625</v>
      </c>
      <c r="J284" s="45">
        <v>625</v>
      </c>
      <c r="K284" s="45">
        <v>625</v>
      </c>
      <c r="L284" s="45">
        <v>625</v>
      </c>
      <c r="M284" s="45">
        <v>625</v>
      </c>
      <c r="N284" s="45">
        <v>625</v>
      </c>
      <c r="O284" s="527">
        <v>625</v>
      </c>
      <c r="P284" s="527">
        <v>625</v>
      </c>
      <c r="Q284" s="527">
        <v>625</v>
      </c>
      <c r="R284" s="527">
        <v>625</v>
      </c>
      <c r="S284" s="527">
        <f t="shared" si="4"/>
        <v>7500</v>
      </c>
    </row>
    <row r="285" spans="1:19">
      <c r="A285" s="1090">
        <v>276</v>
      </c>
      <c r="B285" t="s">
        <v>313</v>
      </c>
      <c r="C285" s="11">
        <v>20</v>
      </c>
      <c r="D285" s="11" t="s">
        <v>303</v>
      </c>
      <c r="E285" t="s">
        <v>182</v>
      </c>
      <c r="F285" s="45">
        <v>15618.48</v>
      </c>
      <c r="G285" s="45">
        <v>15618.48</v>
      </c>
      <c r="H285" s="45">
        <v>15618.48</v>
      </c>
      <c r="I285" s="45">
        <v>15618.48</v>
      </c>
      <c r="J285" s="45">
        <v>15618.48</v>
      </c>
      <c r="K285" s="45">
        <v>15618.48</v>
      </c>
      <c r="L285" s="45">
        <v>15618.48</v>
      </c>
      <c r="M285" s="45">
        <v>16008.94</v>
      </c>
      <c r="N285" s="45">
        <v>16008.94</v>
      </c>
      <c r="O285" s="527">
        <v>16008.94</v>
      </c>
      <c r="P285" s="527">
        <v>16008.94</v>
      </c>
      <c r="Q285" s="527">
        <v>16008.94</v>
      </c>
      <c r="R285" s="527">
        <v>16008.94</v>
      </c>
      <c r="S285" s="527">
        <f t="shared" si="4"/>
        <v>189764.52</v>
      </c>
    </row>
    <row r="286" spans="1:19">
      <c r="A286" s="1090">
        <v>277</v>
      </c>
      <c r="B286" t="s">
        <v>313</v>
      </c>
      <c r="C286" s="11">
        <v>30</v>
      </c>
      <c r="D286" s="11" t="s">
        <v>302</v>
      </c>
      <c r="E286" t="s">
        <v>173</v>
      </c>
      <c r="F286" s="45">
        <v>2308.37</v>
      </c>
      <c r="G286" s="45">
        <v>1548.67</v>
      </c>
      <c r="H286" s="45">
        <v>1337.52</v>
      </c>
      <c r="I286" s="45">
        <v>3539.01</v>
      </c>
      <c r="J286" s="45">
        <v>1729.98</v>
      </c>
      <c r="K286" s="45">
        <v>119.44</v>
      </c>
      <c r="L286" s="45">
        <v>3043.6</v>
      </c>
      <c r="M286" s="45">
        <v>3873.6</v>
      </c>
      <c r="N286" s="45">
        <v>3519.17</v>
      </c>
      <c r="O286" s="527">
        <v>3637.5</v>
      </c>
      <c r="P286" s="527">
        <v>1763.88</v>
      </c>
      <c r="Q286" s="527">
        <v>3815.54</v>
      </c>
      <c r="R286" s="527">
        <v>4019.86</v>
      </c>
      <c r="S286" s="527">
        <f t="shared" si="4"/>
        <v>31947.770000000004</v>
      </c>
    </row>
    <row r="287" spans="1:19">
      <c r="A287" s="1090">
        <v>278</v>
      </c>
      <c r="B287" t="s">
        <v>313</v>
      </c>
      <c r="C287" s="11">
        <v>40</v>
      </c>
      <c r="D287" s="11" t="s">
        <v>312</v>
      </c>
      <c r="E287" t="s">
        <v>185</v>
      </c>
      <c r="F287" s="45">
        <v>90132.77</v>
      </c>
      <c r="G287" s="45">
        <v>60469.51</v>
      </c>
      <c r="H287" s="45">
        <v>52224.67</v>
      </c>
      <c r="I287" s="45">
        <v>138184.14000000001</v>
      </c>
      <c r="J287" s="45">
        <v>67548.89</v>
      </c>
      <c r="K287" s="45">
        <v>4663.47</v>
      </c>
      <c r="L287" s="45">
        <v>118840.39</v>
      </c>
      <c r="M287" s="45">
        <v>155030.28</v>
      </c>
      <c r="N287" s="45">
        <v>140845.20000000001</v>
      </c>
      <c r="O287" s="527">
        <v>145580.74</v>
      </c>
      <c r="P287" s="527">
        <v>70594.59</v>
      </c>
      <c r="Q287" s="527">
        <v>152706.59</v>
      </c>
      <c r="R287" s="527">
        <v>160883.92000000001</v>
      </c>
      <c r="S287" s="527">
        <f t="shared" si="4"/>
        <v>1267572.3899999999</v>
      </c>
    </row>
    <row r="288" spans="1:19">
      <c r="A288" s="1090">
        <v>279</v>
      </c>
      <c r="B288" t="s">
        <v>313</v>
      </c>
      <c r="C288" s="11">
        <v>250</v>
      </c>
      <c r="D288" s="11" t="s">
        <v>307</v>
      </c>
      <c r="E288" t="s">
        <v>178</v>
      </c>
      <c r="F288" s="45">
        <v>4807.12</v>
      </c>
      <c r="G288" s="45">
        <v>3461.51</v>
      </c>
      <c r="H288" s="45">
        <v>3087.5</v>
      </c>
      <c r="I288" s="45">
        <v>6986.86</v>
      </c>
      <c r="J288" s="45">
        <v>3782.65</v>
      </c>
      <c r="K288" s="45">
        <v>930</v>
      </c>
      <c r="L288" s="45">
        <v>6109.38</v>
      </c>
      <c r="M288" s="45">
        <v>7764.04</v>
      </c>
      <c r="N288" s="45">
        <v>7120.96</v>
      </c>
      <c r="O288" s="527">
        <v>7335.64</v>
      </c>
      <c r="P288" s="527">
        <v>3936.13</v>
      </c>
      <c r="Q288" s="527">
        <v>7658.69</v>
      </c>
      <c r="R288" s="527">
        <v>8029.41</v>
      </c>
      <c r="S288" s="527">
        <f t="shared" si="4"/>
        <v>66202.77</v>
      </c>
    </row>
    <row r="289" spans="1:19">
      <c r="A289" s="1090">
        <v>280</v>
      </c>
      <c r="B289" t="s">
        <v>313</v>
      </c>
      <c r="C289" s="11">
        <v>340</v>
      </c>
      <c r="D289" s="11" t="s">
        <v>266</v>
      </c>
      <c r="E289" t="s">
        <v>267</v>
      </c>
      <c r="F289" s="45">
        <v>7244.18</v>
      </c>
      <c r="G289" s="45">
        <v>5216.3900000000003</v>
      </c>
      <c r="H289" s="45">
        <v>4652.7700000000004</v>
      </c>
      <c r="I289" s="45">
        <v>10528.98</v>
      </c>
      <c r="J289" s="45">
        <v>5700.34</v>
      </c>
      <c r="K289" s="45">
        <v>1401.48</v>
      </c>
      <c r="L289" s="45">
        <v>9206.64</v>
      </c>
      <c r="M289" s="45">
        <v>11700.16</v>
      </c>
      <c r="N289" s="45">
        <v>10731.05</v>
      </c>
      <c r="O289" s="527">
        <v>11054.58</v>
      </c>
      <c r="P289" s="527">
        <v>5931.63</v>
      </c>
      <c r="Q289" s="527">
        <v>11541.41</v>
      </c>
      <c r="R289" s="527">
        <v>12100.07</v>
      </c>
      <c r="S289" s="527">
        <f t="shared" si="4"/>
        <v>99765.5</v>
      </c>
    </row>
    <row r="290" spans="1:19">
      <c r="A290" s="1090">
        <v>281</v>
      </c>
      <c r="B290" t="s">
        <v>313</v>
      </c>
      <c r="C290" s="11">
        <v>350</v>
      </c>
      <c r="D290" s="11" t="s">
        <v>268</v>
      </c>
      <c r="E290" t="s">
        <v>269</v>
      </c>
      <c r="F290" s="45">
        <v>0</v>
      </c>
      <c r="G290" s="45">
        <v>0</v>
      </c>
      <c r="H290" s="45">
        <v>0</v>
      </c>
      <c r="I290" s="45">
        <v>0</v>
      </c>
      <c r="J290" s="45">
        <v>0</v>
      </c>
      <c r="K290" s="45">
        <v>0</v>
      </c>
      <c r="L290" s="45">
        <v>0</v>
      </c>
      <c r="M290" s="45">
        <v>0</v>
      </c>
      <c r="N290" s="45">
        <v>0</v>
      </c>
      <c r="O290" s="527">
        <v>0</v>
      </c>
      <c r="P290" s="527">
        <v>0</v>
      </c>
      <c r="Q290" s="527">
        <v>0</v>
      </c>
      <c r="R290" s="527">
        <v>0</v>
      </c>
      <c r="S290" s="527">
        <f t="shared" si="4"/>
        <v>0</v>
      </c>
    </row>
    <row r="291" spans="1:19">
      <c r="A291" s="1090">
        <v>282</v>
      </c>
      <c r="B291" t="s">
        <v>313</v>
      </c>
      <c r="C291" s="11">
        <v>360</v>
      </c>
      <c r="D291" s="11" t="s">
        <v>270</v>
      </c>
      <c r="E291" t="s">
        <v>271</v>
      </c>
      <c r="F291" s="45">
        <v>0</v>
      </c>
      <c r="G291" s="45">
        <v>0</v>
      </c>
      <c r="H291" s="45">
        <v>0</v>
      </c>
      <c r="I291" s="45">
        <v>0</v>
      </c>
      <c r="J291" s="45">
        <v>0</v>
      </c>
      <c r="K291" s="45">
        <v>0</v>
      </c>
      <c r="L291" s="45">
        <v>0</v>
      </c>
      <c r="M291" s="45">
        <v>0</v>
      </c>
      <c r="N291" s="45">
        <v>0</v>
      </c>
      <c r="O291" s="527">
        <v>0</v>
      </c>
      <c r="P291" s="527">
        <v>0</v>
      </c>
      <c r="Q291" s="527">
        <v>0</v>
      </c>
      <c r="R291" s="527">
        <v>0</v>
      </c>
      <c r="S291" s="527">
        <f t="shared" ref="S291:S326" si="5">SUM(G291:R291)</f>
        <v>0</v>
      </c>
    </row>
    <row r="292" spans="1:19">
      <c r="A292" s="1090">
        <v>283</v>
      </c>
      <c r="B292" t="s">
        <v>314</v>
      </c>
      <c r="C292" s="11">
        <v>10</v>
      </c>
      <c r="D292" s="11" t="s">
        <v>302</v>
      </c>
      <c r="E292" t="s">
        <v>181</v>
      </c>
      <c r="F292" s="45">
        <v>625</v>
      </c>
      <c r="G292" s="45">
        <v>625</v>
      </c>
      <c r="H292" s="45">
        <v>625</v>
      </c>
      <c r="I292" s="45">
        <v>625</v>
      </c>
      <c r="J292" s="45">
        <v>625</v>
      </c>
      <c r="K292" s="45">
        <v>625</v>
      </c>
      <c r="L292" s="45">
        <v>625</v>
      </c>
      <c r="M292" s="45">
        <v>625</v>
      </c>
      <c r="N292" s="45">
        <v>625</v>
      </c>
      <c r="O292" s="527">
        <v>625</v>
      </c>
      <c r="P292" s="527">
        <v>625</v>
      </c>
      <c r="Q292" s="527">
        <v>625</v>
      </c>
      <c r="R292" s="527">
        <v>625</v>
      </c>
      <c r="S292" s="527">
        <f t="shared" si="5"/>
        <v>7500</v>
      </c>
    </row>
    <row r="293" spans="1:19">
      <c r="A293" s="1090">
        <v>284</v>
      </c>
      <c r="B293" t="s">
        <v>314</v>
      </c>
      <c r="C293" s="11">
        <v>30</v>
      </c>
      <c r="D293" s="11" t="s">
        <v>302</v>
      </c>
      <c r="E293" t="s">
        <v>173</v>
      </c>
      <c r="F293" s="45">
        <v>83.12</v>
      </c>
      <c r="G293" s="45">
        <v>125.08</v>
      </c>
      <c r="H293" s="45">
        <v>176.05</v>
      </c>
      <c r="I293" s="45">
        <v>1633.56</v>
      </c>
      <c r="J293" s="45">
        <v>2832.37</v>
      </c>
      <c r="K293" s="45">
        <v>198.36</v>
      </c>
      <c r="L293" s="45">
        <v>2110.37</v>
      </c>
      <c r="M293" s="45">
        <v>4638.8599999999997</v>
      </c>
      <c r="N293" s="45">
        <v>3753.29</v>
      </c>
      <c r="O293" s="527">
        <v>4256.88</v>
      </c>
      <c r="P293" s="527">
        <v>0</v>
      </c>
      <c r="Q293" s="527">
        <v>1543.88</v>
      </c>
      <c r="R293" s="527">
        <v>2281.46</v>
      </c>
      <c r="S293" s="527">
        <f t="shared" si="5"/>
        <v>23550.16</v>
      </c>
    </row>
    <row r="294" spans="1:19">
      <c r="A294" s="1090">
        <v>285</v>
      </c>
      <c r="B294" t="s">
        <v>314</v>
      </c>
      <c r="C294" s="11">
        <v>40</v>
      </c>
      <c r="D294" s="11" t="s">
        <v>312</v>
      </c>
      <c r="E294" t="s">
        <v>315</v>
      </c>
      <c r="F294" s="45">
        <v>2078.11</v>
      </c>
      <c r="G294" s="45">
        <v>3127.04</v>
      </c>
      <c r="H294" s="45">
        <v>4401.13</v>
      </c>
      <c r="I294" s="45">
        <v>40838.9</v>
      </c>
      <c r="J294" s="45">
        <v>70809.320000000007</v>
      </c>
      <c r="K294" s="45">
        <v>4959.03</v>
      </c>
      <c r="L294" s="45">
        <v>52759.15</v>
      </c>
      <c r="M294" s="45">
        <v>32039.3</v>
      </c>
      <c r="N294" s="45">
        <v>0</v>
      </c>
      <c r="O294" s="527">
        <v>106421.99</v>
      </c>
      <c r="P294" s="527">
        <v>0</v>
      </c>
      <c r="Q294" s="527">
        <v>38596.949999999997</v>
      </c>
      <c r="R294" s="527">
        <v>57036.62</v>
      </c>
      <c r="S294" s="527">
        <f t="shared" si="5"/>
        <v>410989.43</v>
      </c>
    </row>
    <row r="295" spans="1:19">
      <c r="A295" s="1090">
        <v>286</v>
      </c>
      <c r="B295" t="s">
        <v>314</v>
      </c>
      <c r="C295" s="11">
        <v>50</v>
      </c>
      <c r="D295" s="11" t="s">
        <v>312</v>
      </c>
      <c r="E295" t="s">
        <v>316</v>
      </c>
      <c r="F295" s="45">
        <v>0</v>
      </c>
      <c r="G295" s="45">
        <v>0</v>
      </c>
      <c r="H295" s="45">
        <v>0</v>
      </c>
      <c r="I295" s="45">
        <v>0</v>
      </c>
      <c r="J295" s="45">
        <v>0</v>
      </c>
      <c r="K295" s="45">
        <v>0</v>
      </c>
      <c r="L295" s="45">
        <v>0</v>
      </c>
      <c r="M295" s="45">
        <v>67145.759999999995</v>
      </c>
      <c r="N295" s="45">
        <v>75065.83</v>
      </c>
      <c r="O295" s="527">
        <v>0</v>
      </c>
      <c r="P295" s="527">
        <v>0</v>
      </c>
      <c r="Q295" s="527">
        <v>0</v>
      </c>
      <c r="R295" s="527">
        <v>0</v>
      </c>
      <c r="S295" s="527">
        <f t="shared" si="5"/>
        <v>142211.59</v>
      </c>
    </row>
    <row r="296" spans="1:19">
      <c r="A296" s="1090">
        <v>287</v>
      </c>
      <c r="B296" t="s">
        <v>314</v>
      </c>
      <c r="C296" s="11">
        <v>60</v>
      </c>
      <c r="D296" s="11" t="s">
        <v>312</v>
      </c>
      <c r="E296" t="s">
        <v>317</v>
      </c>
      <c r="F296" s="45">
        <v>0</v>
      </c>
      <c r="G296" s="45">
        <v>0</v>
      </c>
      <c r="H296" s="45">
        <v>0</v>
      </c>
      <c r="I296" s="45">
        <v>0</v>
      </c>
      <c r="J296" s="45">
        <v>0</v>
      </c>
      <c r="K296" s="45">
        <v>0</v>
      </c>
      <c r="L296" s="45">
        <v>0</v>
      </c>
      <c r="M296" s="45">
        <v>0</v>
      </c>
      <c r="N296" s="45">
        <v>0</v>
      </c>
      <c r="O296" s="527">
        <v>0</v>
      </c>
      <c r="P296" s="527">
        <v>0</v>
      </c>
      <c r="Q296" s="527">
        <v>0</v>
      </c>
      <c r="R296" s="527">
        <v>0</v>
      </c>
      <c r="S296" s="527">
        <f t="shared" si="5"/>
        <v>0</v>
      </c>
    </row>
    <row r="297" spans="1:19">
      <c r="A297" s="1090">
        <v>288</v>
      </c>
      <c r="B297" t="s">
        <v>314</v>
      </c>
      <c r="C297" s="11">
        <v>70</v>
      </c>
      <c r="D297" s="11" t="s">
        <v>312</v>
      </c>
      <c r="E297" t="s">
        <v>318</v>
      </c>
      <c r="F297" s="45">
        <v>0</v>
      </c>
      <c r="G297" s="45">
        <v>0</v>
      </c>
      <c r="H297" s="45">
        <v>0</v>
      </c>
      <c r="I297" s="45">
        <v>0</v>
      </c>
      <c r="J297" s="45">
        <v>0</v>
      </c>
      <c r="K297" s="45">
        <v>0</v>
      </c>
      <c r="L297" s="45">
        <v>0</v>
      </c>
      <c r="M297" s="45">
        <v>0</v>
      </c>
      <c r="N297" s="45">
        <v>0</v>
      </c>
      <c r="O297" s="527">
        <v>0</v>
      </c>
      <c r="P297" s="527">
        <v>0</v>
      </c>
      <c r="Q297" s="527">
        <v>0</v>
      </c>
      <c r="R297" s="527">
        <v>0</v>
      </c>
      <c r="S297" s="527">
        <f t="shared" si="5"/>
        <v>0</v>
      </c>
    </row>
    <row r="298" spans="1:19">
      <c r="A298" s="1090">
        <v>289</v>
      </c>
      <c r="B298" t="s">
        <v>314</v>
      </c>
      <c r="C298" s="11">
        <v>100</v>
      </c>
      <c r="D298" s="11" t="s">
        <v>304</v>
      </c>
      <c r="E298" t="s">
        <v>183</v>
      </c>
      <c r="F298" s="45">
        <v>11821.89</v>
      </c>
      <c r="G298" s="45">
        <v>10772.96</v>
      </c>
      <c r="H298" s="45">
        <v>9498.8700000000008</v>
      </c>
      <c r="I298" s="45"/>
      <c r="J298" s="45"/>
      <c r="K298" s="45">
        <v>8940.9699999999993</v>
      </c>
      <c r="L298" s="45"/>
      <c r="M298" s="45"/>
      <c r="N298" s="45"/>
      <c r="O298" s="527"/>
      <c r="P298" s="527">
        <v>13900</v>
      </c>
      <c r="Q298" s="527" t="s">
        <v>247</v>
      </c>
      <c r="R298" s="527"/>
      <c r="S298" s="527">
        <f t="shared" si="5"/>
        <v>43112.800000000003</v>
      </c>
    </row>
    <row r="299" spans="1:19">
      <c r="A299" s="1090">
        <v>290</v>
      </c>
      <c r="B299" t="s">
        <v>314</v>
      </c>
      <c r="C299" s="11">
        <v>250</v>
      </c>
      <c r="D299" s="11" t="s">
        <v>307</v>
      </c>
      <c r="E299" t="s">
        <v>178</v>
      </c>
      <c r="F299" s="45">
        <v>646.12</v>
      </c>
      <c r="G299" s="45">
        <v>647.97</v>
      </c>
      <c r="H299" s="45">
        <v>650.23</v>
      </c>
      <c r="I299" s="45">
        <v>1906.2</v>
      </c>
      <c r="J299" s="45">
        <v>3284.82</v>
      </c>
      <c r="K299" s="45">
        <v>651.21</v>
      </c>
      <c r="L299" s="45">
        <v>2454.52</v>
      </c>
      <c r="M299" s="45">
        <v>4619.78</v>
      </c>
      <c r="N299" s="45">
        <v>3513.81</v>
      </c>
      <c r="O299" s="527">
        <v>4922.97</v>
      </c>
      <c r="P299" s="527">
        <v>642.44000000000005</v>
      </c>
      <c r="Q299" s="527">
        <v>1803.07</v>
      </c>
      <c r="R299" s="527">
        <v>2651.28</v>
      </c>
      <c r="S299" s="527">
        <f t="shared" si="5"/>
        <v>27748.3</v>
      </c>
    </row>
    <row r="300" spans="1:19">
      <c r="A300" s="1090">
        <v>291</v>
      </c>
      <c r="B300" t="s">
        <v>319</v>
      </c>
      <c r="C300" s="11">
        <v>10</v>
      </c>
      <c r="D300" s="11" t="s">
        <v>302</v>
      </c>
      <c r="E300" t="s">
        <v>181</v>
      </c>
      <c r="F300" s="45">
        <v>625</v>
      </c>
      <c r="G300" s="45">
        <v>625</v>
      </c>
      <c r="H300" s="45">
        <v>625</v>
      </c>
      <c r="I300" s="45">
        <v>625</v>
      </c>
      <c r="J300" s="45">
        <v>625</v>
      </c>
      <c r="K300" s="45">
        <v>625</v>
      </c>
      <c r="L300" s="45">
        <v>625</v>
      </c>
      <c r="M300" s="45">
        <v>625</v>
      </c>
      <c r="N300" s="45">
        <v>625</v>
      </c>
      <c r="O300" s="527">
        <v>625</v>
      </c>
      <c r="P300" s="527">
        <v>625</v>
      </c>
      <c r="Q300" s="527">
        <v>625</v>
      </c>
      <c r="R300" s="527">
        <v>625</v>
      </c>
      <c r="S300" s="527">
        <f t="shared" si="5"/>
        <v>7500</v>
      </c>
    </row>
    <row r="301" spans="1:19">
      <c r="A301" s="1090">
        <v>292</v>
      </c>
      <c r="B301" t="s">
        <v>319</v>
      </c>
      <c r="C301" s="11">
        <v>20</v>
      </c>
      <c r="D301" s="11" t="s">
        <v>303</v>
      </c>
      <c r="E301" t="s">
        <v>184</v>
      </c>
      <c r="F301" s="45">
        <v>2000</v>
      </c>
      <c r="G301" s="45">
        <v>2000</v>
      </c>
      <c r="H301" s="45">
        <v>2000</v>
      </c>
      <c r="I301" s="45">
        <v>2000</v>
      </c>
      <c r="J301" s="45">
        <v>2000</v>
      </c>
      <c r="K301" s="45">
        <v>2000</v>
      </c>
      <c r="L301" s="45">
        <v>2000</v>
      </c>
      <c r="M301" s="45">
        <v>2000</v>
      </c>
      <c r="N301" s="45">
        <v>2000</v>
      </c>
      <c r="O301" s="527">
        <v>2000</v>
      </c>
      <c r="P301" s="527">
        <v>2000</v>
      </c>
      <c r="Q301" s="527">
        <v>2000</v>
      </c>
      <c r="R301" s="527">
        <v>2000</v>
      </c>
      <c r="S301" s="527">
        <f t="shared" si="5"/>
        <v>24000</v>
      </c>
    </row>
    <row r="302" spans="1:19">
      <c r="A302" s="1090">
        <v>293</v>
      </c>
      <c r="B302" t="s">
        <v>319</v>
      </c>
      <c r="C302" s="11">
        <v>30</v>
      </c>
      <c r="D302" s="11" t="s">
        <v>302</v>
      </c>
      <c r="E302" t="s">
        <v>173</v>
      </c>
      <c r="F302" s="45">
        <v>1206.28</v>
      </c>
      <c r="G302" s="45">
        <v>709.08</v>
      </c>
      <c r="H302" s="45">
        <v>1008.34</v>
      </c>
      <c r="I302" s="45">
        <v>1007.22</v>
      </c>
      <c r="J302" s="45">
        <v>913.02</v>
      </c>
      <c r="K302" s="45">
        <v>253.47</v>
      </c>
      <c r="L302" s="45">
        <v>76.42</v>
      </c>
      <c r="M302" s="45">
        <v>73.25</v>
      </c>
      <c r="N302" s="45">
        <v>77.84</v>
      </c>
      <c r="O302" s="527">
        <v>74.430000000000007</v>
      </c>
      <c r="P302" s="527">
        <v>231.65</v>
      </c>
      <c r="Q302" s="527">
        <v>851.82</v>
      </c>
      <c r="R302" s="527">
        <v>863.05</v>
      </c>
      <c r="S302" s="527">
        <f t="shared" si="5"/>
        <v>6139.59</v>
      </c>
    </row>
    <row r="303" spans="1:19">
      <c r="A303" s="1090">
        <v>294</v>
      </c>
      <c r="B303" t="s">
        <v>319</v>
      </c>
      <c r="C303" s="11">
        <v>40</v>
      </c>
      <c r="D303" s="11" t="s">
        <v>312</v>
      </c>
      <c r="E303" t="s">
        <v>185</v>
      </c>
      <c r="F303" s="45">
        <v>67746.62</v>
      </c>
      <c r="G303" s="45">
        <v>39823.11</v>
      </c>
      <c r="H303" s="45">
        <v>56630.05</v>
      </c>
      <c r="I303" s="45">
        <v>56567.42</v>
      </c>
      <c r="J303" s="45">
        <v>51276.62</v>
      </c>
      <c r="K303" s="45">
        <v>14235.5</v>
      </c>
      <c r="L303" s="45">
        <v>4291.8599999999997</v>
      </c>
      <c r="M303" s="45">
        <v>4113.83</v>
      </c>
      <c r="N303" s="45">
        <v>4371.47</v>
      </c>
      <c r="O303" s="527">
        <v>4180.25</v>
      </c>
      <c r="P303" s="527">
        <v>11788.47</v>
      </c>
      <c r="Q303" s="527">
        <v>43347.81</v>
      </c>
      <c r="R303" s="527">
        <v>43919.29</v>
      </c>
      <c r="S303" s="527">
        <f t="shared" si="5"/>
        <v>334545.68</v>
      </c>
    </row>
    <row r="304" spans="1:19">
      <c r="A304" s="1090">
        <v>295</v>
      </c>
      <c r="B304" t="s">
        <v>319</v>
      </c>
      <c r="C304" s="11">
        <v>250</v>
      </c>
      <c r="D304" s="11" t="s">
        <v>307</v>
      </c>
      <c r="E304" t="s">
        <v>178</v>
      </c>
      <c r="F304" s="45">
        <v>3165.89</v>
      </c>
      <c r="G304" s="45">
        <v>1908.84</v>
      </c>
      <c r="H304" s="45">
        <v>2665.45</v>
      </c>
      <c r="I304" s="45">
        <v>2662.63</v>
      </c>
      <c r="J304" s="45">
        <v>2424.4499999999998</v>
      </c>
      <c r="K304" s="45">
        <v>756.95</v>
      </c>
      <c r="L304" s="45">
        <v>309.31</v>
      </c>
      <c r="M304" s="45">
        <v>301.3</v>
      </c>
      <c r="N304" s="45">
        <v>312.89999999999998</v>
      </c>
      <c r="O304" s="527">
        <v>304.29000000000002</v>
      </c>
      <c r="P304" s="527">
        <v>647.75</v>
      </c>
      <c r="Q304" s="527">
        <v>2071.0500000000002</v>
      </c>
      <c r="R304" s="527">
        <v>2096.83</v>
      </c>
      <c r="S304" s="527">
        <f t="shared" si="5"/>
        <v>16461.75</v>
      </c>
    </row>
    <row r="305" spans="1:19">
      <c r="A305" s="1090">
        <v>296</v>
      </c>
      <c r="B305" t="s">
        <v>320</v>
      </c>
      <c r="C305" s="11">
        <v>10</v>
      </c>
      <c r="D305" s="11" t="s">
        <v>302</v>
      </c>
      <c r="E305" t="s">
        <v>181</v>
      </c>
      <c r="F305" s="45">
        <v>625</v>
      </c>
      <c r="G305" s="45">
        <v>625</v>
      </c>
      <c r="H305" s="45">
        <v>625</v>
      </c>
      <c r="I305" s="45">
        <v>625</v>
      </c>
      <c r="J305" s="45">
        <v>625</v>
      </c>
      <c r="K305" s="45">
        <v>625</v>
      </c>
      <c r="L305" s="45">
        <v>625</v>
      </c>
      <c r="M305" s="45">
        <v>625</v>
      </c>
      <c r="N305" s="45">
        <v>625</v>
      </c>
      <c r="O305" s="527">
        <v>625</v>
      </c>
      <c r="P305" s="527">
        <v>625</v>
      </c>
      <c r="Q305" s="527">
        <v>625</v>
      </c>
      <c r="R305" s="527">
        <v>625</v>
      </c>
      <c r="S305" s="527">
        <f t="shared" si="5"/>
        <v>7500</v>
      </c>
    </row>
    <row r="306" spans="1:19">
      <c r="A306" s="1090">
        <v>297</v>
      </c>
      <c r="B306" t="s">
        <v>320</v>
      </c>
      <c r="C306" s="11">
        <v>20</v>
      </c>
      <c r="D306" s="11" t="s">
        <v>303</v>
      </c>
      <c r="E306" t="s">
        <v>184</v>
      </c>
      <c r="F306" s="45">
        <v>2250</v>
      </c>
      <c r="G306" s="45">
        <v>2250</v>
      </c>
      <c r="H306" s="45">
        <v>2250</v>
      </c>
      <c r="I306" s="45">
        <v>2250</v>
      </c>
      <c r="J306" s="45">
        <v>2250</v>
      </c>
      <c r="K306" s="45">
        <v>2250</v>
      </c>
      <c r="L306" s="45">
        <v>2250</v>
      </c>
      <c r="M306" s="45">
        <v>2250</v>
      </c>
      <c r="N306" s="45">
        <v>2250</v>
      </c>
      <c r="O306" s="527">
        <v>2250</v>
      </c>
      <c r="P306" s="527">
        <v>2250</v>
      </c>
      <c r="Q306" s="527">
        <v>2250</v>
      </c>
      <c r="R306" s="527">
        <v>2250</v>
      </c>
      <c r="S306" s="527">
        <f t="shared" si="5"/>
        <v>27000</v>
      </c>
    </row>
    <row r="307" spans="1:19">
      <c r="A307" s="1090">
        <v>298</v>
      </c>
      <c r="B307" t="s">
        <v>320</v>
      </c>
      <c r="C307" s="11">
        <v>30</v>
      </c>
      <c r="D307" s="11" t="s">
        <v>302</v>
      </c>
      <c r="E307" t="s">
        <v>173</v>
      </c>
      <c r="F307" s="45">
        <v>248.29</v>
      </c>
      <c r="G307" s="45">
        <v>248.16</v>
      </c>
      <c r="H307" s="45">
        <v>261.60000000000002</v>
      </c>
      <c r="I307" s="45">
        <v>311.60000000000002</v>
      </c>
      <c r="J307" s="45">
        <v>272.25</v>
      </c>
      <c r="K307" s="45">
        <v>176.92</v>
      </c>
      <c r="L307" s="45">
        <v>88.83</v>
      </c>
      <c r="M307" s="45">
        <v>191.45</v>
      </c>
      <c r="N307" s="45">
        <v>218.15</v>
      </c>
      <c r="O307" s="527">
        <v>225.64</v>
      </c>
      <c r="P307" s="527">
        <v>259.16000000000003</v>
      </c>
      <c r="Q307" s="527">
        <v>221.96</v>
      </c>
      <c r="R307" s="527">
        <v>216.57</v>
      </c>
      <c r="S307" s="527">
        <f t="shared" si="5"/>
        <v>2692.2900000000004</v>
      </c>
    </row>
    <row r="308" spans="1:19">
      <c r="A308" s="1090">
        <v>299</v>
      </c>
      <c r="B308" t="s">
        <v>320</v>
      </c>
      <c r="C308" s="11">
        <v>40</v>
      </c>
      <c r="D308" s="11" t="s">
        <v>312</v>
      </c>
      <c r="E308" t="s">
        <v>185</v>
      </c>
      <c r="F308" s="45">
        <v>8456.57</v>
      </c>
      <c r="G308" s="45">
        <v>8452.34</v>
      </c>
      <c r="H308" s="45">
        <v>8910.0400000000009</v>
      </c>
      <c r="I308" s="45">
        <v>10613.17</v>
      </c>
      <c r="J308" s="45">
        <v>9272.7000000000007</v>
      </c>
      <c r="K308" s="45">
        <v>6025.84</v>
      </c>
      <c r="L308" s="45">
        <v>3025.47</v>
      </c>
      <c r="M308" s="45">
        <v>6520.64</v>
      </c>
      <c r="N308" s="45">
        <v>7430</v>
      </c>
      <c r="O308" s="527">
        <v>7685.28</v>
      </c>
      <c r="P308" s="527">
        <v>9091.83</v>
      </c>
      <c r="Q308" s="527">
        <v>7786.73</v>
      </c>
      <c r="R308" s="527">
        <v>7597.54</v>
      </c>
      <c r="S308" s="527">
        <f t="shared" si="5"/>
        <v>92411.579999999987</v>
      </c>
    </row>
    <row r="309" spans="1:19">
      <c r="A309" s="1090">
        <v>300</v>
      </c>
      <c r="B309" t="s">
        <v>320</v>
      </c>
      <c r="C309" s="11">
        <v>250</v>
      </c>
      <c r="D309" s="11" t="s">
        <v>307</v>
      </c>
      <c r="E309" t="s">
        <v>178</v>
      </c>
      <c r="F309" s="45">
        <v>512.17999999999995</v>
      </c>
      <c r="G309" s="45">
        <v>511.98</v>
      </c>
      <c r="H309" s="45">
        <v>532.82000000000005</v>
      </c>
      <c r="I309" s="45">
        <v>610.36</v>
      </c>
      <c r="J309" s="45">
        <v>549.33000000000004</v>
      </c>
      <c r="K309" s="45">
        <v>401.51</v>
      </c>
      <c r="L309" s="45">
        <v>264.91000000000003</v>
      </c>
      <c r="M309" s="45">
        <v>424.04</v>
      </c>
      <c r="N309" s="45">
        <v>465.44</v>
      </c>
      <c r="O309" s="527">
        <v>477.06</v>
      </c>
      <c r="P309" s="527">
        <v>540.76</v>
      </c>
      <c r="Q309" s="527">
        <v>481.39</v>
      </c>
      <c r="R309" s="527">
        <v>472.78</v>
      </c>
      <c r="S309" s="527">
        <f t="shared" si="5"/>
        <v>5732.38</v>
      </c>
    </row>
    <row r="310" spans="1:19">
      <c r="A310" s="1090">
        <v>301</v>
      </c>
      <c r="B310" t="s">
        <v>321</v>
      </c>
      <c r="C310" s="11">
        <v>10</v>
      </c>
      <c r="D310" s="11" t="s">
        <v>302</v>
      </c>
      <c r="E310" t="s">
        <v>181</v>
      </c>
      <c r="F310" s="45">
        <v>625</v>
      </c>
      <c r="G310" s="45">
        <v>625</v>
      </c>
      <c r="H310" s="45">
        <v>625</v>
      </c>
      <c r="I310" s="45">
        <v>625</v>
      </c>
      <c r="J310" s="45">
        <v>625</v>
      </c>
      <c r="K310" s="45">
        <v>625</v>
      </c>
      <c r="L310" s="45">
        <v>625</v>
      </c>
      <c r="M310" s="45">
        <v>625</v>
      </c>
      <c r="N310" s="45">
        <v>625</v>
      </c>
      <c r="O310" s="527">
        <v>625</v>
      </c>
      <c r="P310" s="527">
        <v>625</v>
      </c>
      <c r="Q310" s="527">
        <v>625</v>
      </c>
      <c r="R310" s="527">
        <v>625</v>
      </c>
      <c r="S310" s="527">
        <f t="shared" si="5"/>
        <v>7500</v>
      </c>
    </row>
    <row r="311" spans="1:19">
      <c r="A311" s="1090">
        <v>302</v>
      </c>
      <c r="B311" t="s">
        <v>321</v>
      </c>
      <c r="C311" s="11">
        <v>20</v>
      </c>
      <c r="D311" s="11" t="s">
        <v>303</v>
      </c>
      <c r="E311" t="s">
        <v>184</v>
      </c>
      <c r="F311" s="45">
        <v>3950</v>
      </c>
      <c r="G311" s="45">
        <v>3950</v>
      </c>
      <c r="H311" s="45">
        <v>3950</v>
      </c>
      <c r="I311" s="45">
        <v>3950</v>
      </c>
      <c r="J311" s="45">
        <v>3950</v>
      </c>
      <c r="K311" s="45">
        <v>3950</v>
      </c>
      <c r="L311" s="45">
        <v>3950</v>
      </c>
      <c r="M311" s="45">
        <v>3950</v>
      </c>
      <c r="N311" s="45">
        <v>3950</v>
      </c>
      <c r="O311" s="527">
        <v>3950</v>
      </c>
      <c r="P311" s="527">
        <v>3950</v>
      </c>
      <c r="Q311" s="527">
        <v>3950</v>
      </c>
      <c r="R311" s="527">
        <v>3950</v>
      </c>
      <c r="S311" s="527">
        <f t="shared" si="5"/>
        <v>47400</v>
      </c>
    </row>
    <row r="312" spans="1:19">
      <c r="A312" s="1090">
        <v>303</v>
      </c>
      <c r="B312" t="s">
        <v>321</v>
      </c>
      <c r="C312" s="11">
        <v>30</v>
      </c>
      <c r="D312" s="11" t="s">
        <v>302</v>
      </c>
      <c r="E312" t="s">
        <v>173</v>
      </c>
      <c r="F312" s="45">
        <v>150.19</v>
      </c>
      <c r="G312" s="45">
        <v>80.319999999999993</v>
      </c>
      <c r="H312" s="45">
        <v>44.02</v>
      </c>
      <c r="I312" s="45">
        <v>67.59</v>
      </c>
      <c r="J312" s="45">
        <v>136.22999999999999</v>
      </c>
      <c r="K312" s="45">
        <v>122.57</v>
      </c>
      <c r="L312" s="45">
        <v>97.02</v>
      </c>
      <c r="M312" s="45">
        <v>119.98</v>
      </c>
      <c r="N312" s="45">
        <v>147.85</v>
      </c>
      <c r="O312" s="527">
        <v>113.1</v>
      </c>
      <c r="P312" s="527">
        <v>156.22999999999999</v>
      </c>
      <c r="Q312" s="527">
        <v>144.44999999999999</v>
      </c>
      <c r="R312" s="527">
        <v>145.96</v>
      </c>
      <c r="S312" s="527">
        <f t="shared" si="5"/>
        <v>1375.3200000000002</v>
      </c>
    </row>
    <row r="313" spans="1:19">
      <c r="A313" s="1090">
        <v>304</v>
      </c>
      <c r="B313" t="s">
        <v>321</v>
      </c>
      <c r="C313" s="11">
        <v>40</v>
      </c>
      <c r="D313" s="11" t="s">
        <v>312</v>
      </c>
      <c r="E313" t="s">
        <v>185</v>
      </c>
      <c r="F313" s="45">
        <v>7821.8</v>
      </c>
      <c r="G313" s="45">
        <v>4183.07</v>
      </c>
      <c r="H313" s="45">
        <v>2292.58</v>
      </c>
      <c r="I313" s="45">
        <v>3519.91</v>
      </c>
      <c r="J313" s="45">
        <v>7094.73</v>
      </c>
      <c r="K313" s="45">
        <v>6383.63</v>
      </c>
      <c r="L313" s="45">
        <v>5052.8599999999997</v>
      </c>
      <c r="M313" s="45">
        <v>6248.35</v>
      </c>
      <c r="N313" s="45">
        <v>7700.04</v>
      </c>
      <c r="O313" s="527">
        <v>5890.23</v>
      </c>
      <c r="P313" s="527">
        <v>8380.23</v>
      </c>
      <c r="Q313" s="527">
        <v>7748.37</v>
      </c>
      <c r="R313" s="527">
        <v>7829.65</v>
      </c>
      <c r="S313" s="527">
        <f t="shared" si="5"/>
        <v>72323.650000000009</v>
      </c>
    </row>
    <row r="314" spans="1:19">
      <c r="A314" s="1090">
        <v>305</v>
      </c>
      <c r="B314" t="s">
        <v>321</v>
      </c>
      <c r="C314" s="11">
        <v>250</v>
      </c>
      <c r="D314" s="11" t="s">
        <v>307</v>
      </c>
      <c r="E314" t="s">
        <v>178</v>
      </c>
      <c r="F314" s="45">
        <v>554.95000000000005</v>
      </c>
      <c r="G314" s="45">
        <v>390.92</v>
      </c>
      <c r="H314" s="45">
        <v>305.7</v>
      </c>
      <c r="I314" s="45">
        <v>361.03</v>
      </c>
      <c r="J314" s="45">
        <v>522.17999999999995</v>
      </c>
      <c r="K314" s="45">
        <v>490.12</v>
      </c>
      <c r="L314" s="45">
        <v>430.13</v>
      </c>
      <c r="M314" s="45">
        <v>484.02</v>
      </c>
      <c r="N314" s="45">
        <v>549.46</v>
      </c>
      <c r="O314" s="527">
        <v>467.88</v>
      </c>
      <c r="P314" s="527">
        <v>579.91999999999996</v>
      </c>
      <c r="Q314" s="527">
        <v>551.45000000000005</v>
      </c>
      <c r="R314" s="527">
        <v>555.11</v>
      </c>
      <c r="S314" s="527">
        <f t="shared" si="5"/>
        <v>5687.9199999999992</v>
      </c>
    </row>
    <row r="315" spans="1:19">
      <c r="A315" s="1090">
        <v>306</v>
      </c>
      <c r="B315" t="s">
        <v>322</v>
      </c>
      <c r="C315" s="11">
        <v>11</v>
      </c>
      <c r="D315" s="11" t="s">
        <v>302</v>
      </c>
      <c r="E315" t="s">
        <v>181</v>
      </c>
      <c r="F315" s="45">
        <v>625</v>
      </c>
      <c r="G315" s="45">
        <v>625</v>
      </c>
      <c r="H315" s="45">
        <v>625</v>
      </c>
      <c r="I315" s="45">
        <v>625</v>
      </c>
      <c r="J315" s="45">
        <v>625</v>
      </c>
      <c r="K315" s="45">
        <v>625</v>
      </c>
      <c r="L315" s="45">
        <v>625</v>
      </c>
      <c r="M315" s="45">
        <v>625</v>
      </c>
      <c r="N315" s="45">
        <v>625</v>
      </c>
      <c r="O315" s="527">
        <v>625</v>
      </c>
      <c r="P315" s="527">
        <v>625</v>
      </c>
      <c r="Q315" s="527">
        <v>625</v>
      </c>
      <c r="R315" s="527">
        <v>625</v>
      </c>
      <c r="S315" s="527">
        <f t="shared" si="5"/>
        <v>7500</v>
      </c>
    </row>
    <row r="316" spans="1:19">
      <c r="A316" s="1090">
        <v>307</v>
      </c>
      <c r="B316" t="s">
        <v>322</v>
      </c>
      <c r="C316" s="11">
        <v>25</v>
      </c>
      <c r="D316" s="11" t="s">
        <v>303</v>
      </c>
      <c r="E316" t="s">
        <v>184</v>
      </c>
      <c r="F316" s="45">
        <v>6725</v>
      </c>
      <c r="G316" s="45">
        <v>6725</v>
      </c>
      <c r="H316" s="45">
        <v>6725</v>
      </c>
      <c r="I316" s="45">
        <v>6725</v>
      </c>
      <c r="J316" s="45">
        <v>6725</v>
      </c>
      <c r="K316" s="45">
        <v>6725</v>
      </c>
      <c r="L316" s="45">
        <v>6725</v>
      </c>
      <c r="M316" s="45">
        <v>6725</v>
      </c>
      <c r="N316" s="45">
        <v>6725</v>
      </c>
      <c r="O316" s="527">
        <v>6725</v>
      </c>
      <c r="P316" s="527">
        <v>6725</v>
      </c>
      <c r="Q316" s="527">
        <v>6725</v>
      </c>
      <c r="R316" s="527">
        <v>6725</v>
      </c>
      <c r="S316" s="527">
        <f t="shared" si="5"/>
        <v>80700</v>
      </c>
    </row>
    <row r="317" spans="1:19">
      <c r="A317" s="1090">
        <v>308</v>
      </c>
      <c r="B317" t="s">
        <v>322</v>
      </c>
      <c r="C317" s="11">
        <v>35</v>
      </c>
      <c r="D317" s="11" t="s">
        <v>302</v>
      </c>
      <c r="E317" t="s">
        <v>173</v>
      </c>
      <c r="F317" s="45">
        <v>356.69</v>
      </c>
      <c r="G317" s="45">
        <v>395.31</v>
      </c>
      <c r="H317" s="45">
        <v>362.84</v>
      </c>
      <c r="I317" s="45">
        <v>395.07</v>
      </c>
      <c r="J317" s="45">
        <v>404.96</v>
      </c>
      <c r="K317" s="45">
        <v>407.34</v>
      </c>
      <c r="L317" s="45">
        <v>350.51</v>
      </c>
      <c r="M317" s="45">
        <v>367.57</v>
      </c>
      <c r="N317" s="45">
        <v>372.08</v>
      </c>
      <c r="O317" s="527">
        <v>374.64</v>
      </c>
      <c r="P317" s="527">
        <v>297.11</v>
      </c>
      <c r="Q317" s="527">
        <v>402.04</v>
      </c>
      <c r="R317" s="527">
        <v>423.3</v>
      </c>
      <c r="S317" s="527">
        <f t="shared" si="5"/>
        <v>4552.7700000000004</v>
      </c>
    </row>
    <row r="318" spans="1:19">
      <c r="A318" s="1090">
        <v>309</v>
      </c>
      <c r="B318" t="s">
        <v>322</v>
      </c>
      <c r="C318" s="11">
        <v>40</v>
      </c>
      <c r="D318" s="11" t="s">
        <v>312</v>
      </c>
      <c r="E318" t="s">
        <v>185</v>
      </c>
      <c r="F318" s="45">
        <v>11362.13</v>
      </c>
      <c r="G318" s="45">
        <v>12592.35</v>
      </c>
      <c r="H318" s="45">
        <v>11558.13</v>
      </c>
      <c r="I318" s="45">
        <v>12584.79</v>
      </c>
      <c r="J318" s="45">
        <v>12899.76</v>
      </c>
      <c r="K318" s="45">
        <v>12975.6</v>
      </c>
      <c r="L318" s="45">
        <v>11165.54</v>
      </c>
      <c r="M318" s="45">
        <v>11708.7</v>
      </c>
      <c r="N318" s="45">
        <v>11852.49</v>
      </c>
      <c r="O318" s="527">
        <v>11933.92</v>
      </c>
      <c r="P318" s="527">
        <v>9748.33</v>
      </c>
      <c r="Q318" s="527">
        <v>13190.98</v>
      </c>
      <c r="R318" s="527">
        <v>13888.71</v>
      </c>
      <c r="S318" s="527">
        <f t="shared" si="5"/>
        <v>146099.30000000002</v>
      </c>
    </row>
    <row r="319" spans="1:19">
      <c r="A319" s="1090">
        <v>310</v>
      </c>
      <c r="B319" t="s">
        <v>322</v>
      </c>
      <c r="C319" s="11">
        <v>250</v>
      </c>
      <c r="D319" s="11" t="s">
        <v>307</v>
      </c>
      <c r="E319" t="s">
        <v>178</v>
      </c>
      <c r="F319" s="45">
        <v>843.41</v>
      </c>
      <c r="G319" s="45">
        <v>899.53</v>
      </c>
      <c r="H319" s="45">
        <v>852.36</v>
      </c>
      <c r="I319" s="45">
        <v>899.19</v>
      </c>
      <c r="J319" s="45">
        <v>913.56</v>
      </c>
      <c r="K319" s="45">
        <v>917.02</v>
      </c>
      <c r="L319" s="45">
        <v>834.45</v>
      </c>
      <c r="M319" s="45">
        <v>859.22</v>
      </c>
      <c r="N319" s="45">
        <v>865.78</v>
      </c>
      <c r="O319" s="527">
        <v>869.5</v>
      </c>
      <c r="P319" s="527">
        <v>769.4</v>
      </c>
      <c r="Q319" s="527">
        <v>926.31</v>
      </c>
      <c r="R319" s="527">
        <v>958.11</v>
      </c>
      <c r="S319" s="527">
        <f t="shared" si="5"/>
        <v>10564.43</v>
      </c>
    </row>
    <row r="320" spans="1:19">
      <c r="A320" s="1090">
        <v>311</v>
      </c>
      <c r="B320" t="s">
        <v>323</v>
      </c>
      <c r="C320" s="11">
        <v>11</v>
      </c>
      <c r="D320" s="11" t="s">
        <v>302</v>
      </c>
      <c r="E320" t="s">
        <v>181</v>
      </c>
      <c r="F320" s="45">
        <v>625</v>
      </c>
      <c r="G320" s="45">
        <v>625</v>
      </c>
      <c r="H320" s="45">
        <v>625</v>
      </c>
      <c r="I320" s="45">
        <v>625</v>
      </c>
      <c r="J320" s="45">
        <v>625</v>
      </c>
      <c r="K320" s="45">
        <v>625</v>
      </c>
      <c r="L320" s="45">
        <v>625</v>
      </c>
      <c r="M320" s="45">
        <v>625</v>
      </c>
      <c r="N320" s="45">
        <v>625</v>
      </c>
      <c r="O320" s="527">
        <v>625</v>
      </c>
      <c r="P320" s="527">
        <v>625</v>
      </c>
      <c r="Q320" s="527">
        <v>625</v>
      </c>
      <c r="R320" s="527">
        <v>625</v>
      </c>
      <c r="S320" s="527">
        <f t="shared" si="5"/>
        <v>7500</v>
      </c>
    </row>
    <row r="321" spans="1:19">
      <c r="A321" s="1090">
        <v>312</v>
      </c>
      <c r="B321" t="s">
        <v>323</v>
      </c>
      <c r="C321" s="11">
        <v>25</v>
      </c>
      <c r="D321" s="11" t="s">
        <v>303</v>
      </c>
      <c r="E321" t="s">
        <v>172</v>
      </c>
      <c r="F321" s="45">
        <v>5000</v>
      </c>
      <c r="G321" s="45">
        <v>5000</v>
      </c>
      <c r="H321" s="45">
        <v>5000</v>
      </c>
      <c r="I321" s="45">
        <v>5000</v>
      </c>
      <c r="J321" s="45">
        <v>5000</v>
      </c>
      <c r="K321" s="45">
        <v>5000</v>
      </c>
      <c r="L321" s="45">
        <v>5000</v>
      </c>
      <c r="M321" s="45">
        <v>5000</v>
      </c>
      <c r="N321" s="45">
        <v>5000</v>
      </c>
      <c r="O321" s="527">
        <v>5000</v>
      </c>
      <c r="P321" s="527">
        <v>5000</v>
      </c>
      <c r="Q321" s="527">
        <v>5000</v>
      </c>
      <c r="R321" s="527">
        <v>5000</v>
      </c>
      <c r="S321" s="527">
        <f t="shared" si="5"/>
        <v>60000</v>
      </c>
    </row>
    <row r="322" spans="1:19">
      <c r="A322" s="1090">
        <v>313</v>
      </c>
      <c r="B322" t="s">
        <v>323</v>
      </c>
      <c r="C322" s="11">
        <v>40</v>
      </c>
      <c r="D322" s="11" t="s">
        <v>312</v>
      </c>
      <c r="E322" t="s">
        <v>185</v>
      </c>
      <c r="F322" s="45">
        <v>7899.92</v>
      </c>
      <c r="G322" s="45">
        <v>7170.9</v>
      </c>
      <c r="H322" s="45">
        <v>7175.26</v>
      </c>
      <c r="I322" s="45">
        <v>7859.36</v>
      </c>
      <c r="J322" s="45">
        <v>7205.37</v>
      </c>
      <c r="K322" s="45">
        <v>7268.53</v>
      </c>
      <c r="L322" s="45">
        <v>7030.6</v>
      </c>
      <c r="M322" s="45">
        <v>6993.21</v>
      </c>
      <c r="N322" s="45">
        <v>6880.75</v>
      </c>
      <c r="O322" s="527">
        <v>7121.1</v>
      </c>
      <c r="P322" s="527">
        <v>7284.26</v>
      </c>
      <c r="Q322" s="527">
        <v>7144.83</v>
      </c>
      <c r="R322" s="527">
        <v>7979.34</v>
      </c>
      <c r="S322" s="527">
        <f t="shared" si="5"/>
        <v>87113.51</v>
      </c>
    </row>
    <row r="323" spans="1:19">
      <c r="A323" s="1090">
        <v>314</v>
      </c>
      <c r="B323" t="s">
        <v>323</v>
      </c>
      <c r="C323" s="11">
        <v>250</v>
      </c>
      <c r="D323" s="11" t="s">
        <v>307</v>
      </c>
      <c r="E323" t="s">
        <v>178</v>
      </c>
      <c r="F323" s="45">
        <v>598.21</v>
      </c>
      <c r="G323" s="45">
        <v>565.96</v>
      </c>
      <c r="H323" s="45">
        <v>566.16</v>
      </c>
      <c r="I323" s="45">
        <v>596.41</v>
      </c>
      <c r="J323" s="45">
        <v>567.49</v>
      </c>
      <c r="K323" s="45">
        <v>570.28</v>
      </c>
      <c r="L323" s="45">
        <v>559.76</v>
      </c>
      <c r="M323" s="45">
        <v>558.1</v>
      </c>
      <c r="N323" s="45">
        <v>553.13</v>
      </c>
      <c r="O323" s="527">
        <v>563.76</v>
      </c>
      <c r="P323" s="527">
        <v>570.98</v>
      </c>
      <c r="Q323" s="527">
        <v>564.80999999999995</v>
      </c>
      <c r="R323" s="527">
        <v>601.72</v>
      </c>
      <c r="S323" s="527">
        <f t="shared" si="5"/>
        <v>6838.5599999999986</v>
      </c>
    </row>
    <row r="324" spans="1:19">
      <c r="A324" s="1090">
        <v>315</v>
      </c>
      <c r="B324" t="s">
        <v>323</v>
      </c>
      <c r="C324" s="11">
        <v>340</v>
      </c>
      <c r="D324" s="11" t="s">
        <v>266</v>
      </c>
      <c r="E324" t="s">
        <v>267</v>
      </c>
      <c r="F324" s="45">
        <v>847.39</v>
      </c>
      <c r="G324" s="45">
        <v>801.71</v>
      </c>
      <c r="H324" s="45">
        <v>801.99</v>
      </c>
      <c r="I324" s="45">
        <v>844.85</v>
      </c>
      <c r="J324" s="45">
        <v>803.87</v>
      </c>
      <c r="K324" s="45">
        <v>807.83</v>
      </c>
      <c r="L324" s="45">
        <v>792.92</v>
      </c>
      <c r="M324" s="45">
        <v>790.58</v>
      </c>
      <c r="N324" s="45">
        <v>783.53</v>
      </c>
      <c r="O324" s="527">
        <v>798.59</v>
      </c>
      <c r="P324" s="527">
        <v>808.81</v>
      </c>
      <c r="Q324" s="527">
        <v>800.08</v>
      </c>
      <c r="R324" s="527">
        <v>852.36</v>
      </c>
      <c r="S324" s="527">
        <f t="shared" si="5"/>
        <v>9687.1200000000008</v>
      </c>
    </row>
    <row r="325" spans="1:19">
      <c r="A325" s="1090">
        <v>316</v>
      </c>
      <c r="B325" t="s">
        <v>323</v>
      </c>
      <c r="C325" s="11">
        <v>350</v>
      </c>
      <c r="D325" s="11" t="s">
        <v>268</v>
      </c>
      <c r="E325" t="s">
        <v>269</v>
      </c>
      <c r="F325" s="45">
        <v>0</v>
      </c>
      <c r="G325" s="45">
        <v>0</v>
      </c>
      <c r="H325" s="45">
        <v>0</v>
      </c>
      <c r="I325" s="45">
        <v>0</v>
      </c>
      <c r="J325" s="45">
        <v>0</v>
      </c>
      <c r="K325" s="45">
        <v>0</v>
      </c>
      <c r="L325" s="45">
        <v>0</v>
      </c>
      <c r="M325" s="45">
        <v>0</v>
      </c>
      <c r="N325" s="45">
        <v>0</v>
      </c>
      <c r="O325" s="527">
        <v>0</v>
      </c>
      <c r="P325" s="527">
        <v>0</v>
      </c>
      <c r="Q325" s="527">
        <v>0</v>
      </c>
      <c r="R325" s="527">
        <v>0</v>
      </c>
      <c r="S325" s="527">
        <f t="shared" si="5"/>
        <v>0</v>
      </c>
    </row>
    <row r="326" spans="1:19">
      <c r="A326" s="1090">
        <v>317</v>
      </c>
      <c r="B326" t="s">
        <v>323</v>
      </c>
      <c r="C326" s="11">
        <v>360</v>
      </c>
      <c r="D326" s="11" t="s">
        <v>270</v>
      </c>
      <c r="E326" t="s">
        <v>271</v>
      </c>
      <c r="F326" s="45">
        <v>0</v>
      </c>
      <c r="G326" s="45">
        <v>0</v>
      </c>
      <c r="H326" s="45">
        <v>0</v>
      </c>
      <c r="I326" s="45">
        <v>0</v>
      </c>
      <c r="J326" s="45">
        <v>0</v>
      </c>
      <c r="K326" s="45">
        <v>0</v>
      </c>
      <c r="L326" s="45">
        <v>0</v>
      </c>
      <c r="M326" s="45">
        <v>0</v>
      </c>
      <c r="N326" s="45">
        <v>0</v>
      </c>
      <c r="O326" s="527">
        <v>0</v>
      </c>
      <c r="P326" s="527">
        <v>0</v>
      </c>
      <c r="Q326" s="527">
        <v>0</v>
      </c>
      <c r="R326" s="527">
        <v>0</v>
      </c>
      <c r="S326" s="527">
        <f t="shared" si="5"/>
        <v>0</v>
      </c>
    </row>
    <row r="327" spans="1:19">
      <c r="A327" s="1090">
        <v>318</v>
      </c>
      <c r="B327"/>
      <c r="C327" s="11"/>
      <c r="D327" s="11"/>
      <c r="E327"/>
      <c r="F327" s="45"/>
      <c r="G327" s="45"/>
      <c r="H327" s="45"/>
      <c r="I327" s="45"/>
      <c r="J327" s="45"/>
      <c r="K327" s="45"/>
      <c r="L327" s="45"/>
      <c r="M327" s="45"/>
      <c r="N327" s="45"/>
      <c r="O327" s="527"/>
      <c r="P327" s="527"/>
      <c r="Q327" s="527"/>
      <c r="R327" s="527"/>
      <c r="S327" s="527"/>
    </row>
    <row r="328" spans="1:19">
      <c r="A328" s="1090">
        <v>319</v>
      </c>
      <c r="B328" t="s">
        <v>324</v>
      </c>
      <c r="C328" s="11">
        <v>10</v>
      </c>
      <c r="D328" s="11" t="s">
        <v>248</v>
      </c>
      <c r="E328" t="s">
        <v>325</v>
      </c>
      <c r="F328" s="45">
        <v>0</v>
      </c>
      <c r="G328" s="45">
        <v>0</v>
      </c>
      <c r="H328" s="45">
        <v>0</v>
      </c>
      <c r="I328" s="45">
        <v>0</v>
      </c>
      <c r="J328" s="45">
        <v>0</v>
      </c>
      <c r="K328" s="45">
        <v>0</v>
      </c>
      <c r="L328" s="45">
        <v>0</v>
      </c>
      <c r="M328" s="45">
        <v>0</v>
      </c>
      <c r="N328" s="45">
        <v>0</v>
      </c>
      <c r="O328" s="527">
        <v>0</v>
      </c>
      <c r="P328" s="527">
        <v>0</v>
      </c>
      <c r="Q328" s="527">
        <v>0</v>
      </c>
      <c r="R328" s="527">
        <v>0</v>
      </c>
      <c r="S328" s="527">
        <f>SUM(F328:R328)</f>
        <v>0</v>
      </c>
    </row>
    <row r="329" spans="1:19">
      <c r="A329" s="1090">
        <v>320</v>
      </c>
      <c r="B329"/>
      <c r="C329" s="642"/>
      <c r="D329" s="642"/>
      <c r="E329"/>
      <c r="F329" s="643"/>
      <c r="G329" s="643"/>
      <c r="H329" s="643"/>
      <c r="I329" s="643"/>
      <c r="J329" s="643"/>
      <c r="K329" s="643"/>
      <c r="L329" s="643"/>
      <c r="M329" s="643"/>
      <c r="N329" s="643"/>
      <c r="O329" s="527"/>
      <c r="P329" s="527"/>
      <c r="Q329" s="527"/>
      <c r="R329" s="527"/>
      <c r="S329" s="527"/>
    </row>
    <row r="330" spans="1:19">
      <c r="A330" s="1090">
        <v>321</v>
      </c>
      <c r="B330"/>
      <c r="C330"/>
      <c r="D330"/>
      <c r="E330" t="s">
        <v>326</v>
      </c>
      <c r="F330" s="527">
        <f t="shared" ref="F330:O330" si="6">SUM(F10:F328)-SUMIF($E$10:$E$328,"*CARES*",F10:F328)</f>
        <v>65511453.740000017</v>
      </c>
      <c r="G330" s="527">
        <f t="shared" si="6"/>
        <v>49897082.520000003</v>
      </c>
      <c r="H330" s="527">
        <f t="shared" si="6"/>
        <v>56858254.230000019</v>
      </c>
      <c r="I330" s="527">
        <f t="shared" si="6"/>
        <v>38269786.659999974</v>
      </c>
      <c r="J330" s="527">
        <f t="shared" si="6"/>
        <v>27873400.949999996</v>
      </c>
      <c r="K330" s="527">
        <f t="shared" si="6"/>
        <v>15486972.590000004</v>
      </c>
      <c r="L330" s="527">
        <f t="shared" si="6"/>
        <v>13240739.839999998</v>
      </c>
      <c r="M330" s="527">
        <f t="shared" si="6"/>
        <v>13121476.110000001</v>
      </c>
      <c r="N330" s="527">
        <f t="shared" si="6"/>
        <v>12531559.080000004</v>
      </c>
      <c r="O330" s="527">
        <f t="shared" si="6"/>
        <v>17442881.169999998</v>
      </c>
      <c r="P330" s="527">
        <f>SUM(P10:P328)-SUMIF($E$10:$E$328,"*CARES*",P10:P328)-P45</f>
        <v>28404364.54000001</v>
      </c>
      <c r="Q330" s="527">
        <f>SUM(Q10:Q328)-SUMIF($E$10:$E$328,"*CARES*",Q10:Q328)</f>
        <v>47256936.230000034</v>
      </c>
      <c r="R330" s="527">
        <f>SUM(R162:R328)-SUMIF($E$162:$E$328,"*CARES*",R162:R328)</f>
        <v>3414675.6199999992</v>
      </c>
      <c r="S330" s="527"/>
    </row>
    <row r="331" spans="1:19">
      <c r="A331" s="1090">
        <v>322</v>
      </c>
      <c r="B331"/>
      <c r="C331"/>
      <c r="D331"/>
      <c r="E331" t="s">
        <v>327</v>
      </c>
      <c r="F331" s="529">
        <f>'Rev Recon Summary'!E19+'Rev Recon Summary'!E39+'Rev Recon Summary'!E59+'Rev Recon Summary'!E79+'Rev Recon Summary'!E99+'Rev Recon Summary'!E119+'Rev Recon Summary'!E140+'Rev Recon Summary'!E160+'Rev Recon Summary'!E180+'Rev Recon Summary'!E200+'Rev Recon Summary'!E220+'Rev Recon Summary'!E240+'Rev Recon Summary'!E260+'Rev Recon Summary'!E280+'Rev Recon Summary'!E300+'Rev Recon Summary'!E320+'Rev Recon Summary'!E340+'Rev Recon Summary'!E360</f>
        <v>65511453.739999987</v>
      </c>
      <c r="G331" s="529">
        <f>'Rev Recon Summary'!F19+'Rev Recon Summary'!F39+'Rev Recon Summary'!F59+'Rev Recon Summary'!F79+'Rev Recon Summary'!F99+'Rev Recon Summary'!F119+'Rev Recon Summary'!F140+'Rev Recon Summary'!F160+'Rev Recon Summary'!F180+'Rev Recon Summary'!F200+'Rev Recon Summary'!F220+'Rev Recon Summary'!F240+'Rev Recon Summary'!F260+'Rev Recon Summary'!F280+'Rev Recon Summary'!F300+'Rev Recon Summary'!F320+'Rev Recon Summary'!F340+'Rev Recon Summary'!F360</f>
        <v>49897082.519999996</v>
      </c>
      <c r="H331" s="529">
        <f>'Rev Recon Summary'!G19+'Rev Recon Summary'!G39+'Rev Recon Summary'!G59+'Rev Recon Summary'!G79+'Rev Recon Summary'!G99+'Rev Recon Summary'!G119+'Rev Recon Summary'!G140+'Rev Recon Summary'!G160+'Rev Recon Summary'!G180+'Rev Recon Summary'!G200+'Rev Recon Summary'!G220+'Rev Recon Summary'!G240+'Rev Recon Summary'!G260+'Rev Recon Summary'!G280+'Rev Recon Summary'!G300+'Rev Recon Summary'!G320+'Rev Recon Summary'!G340+'Rev Recon Summary'!G360</f>
        <v>56858254.229999997</v>
      </c>
      <c r="I331" s="529">
        <f>'Rev Recon Summary'!H19+'Rev Recon Summary'!H39+'Rev Recon Summary'!H59+'Rev Recon Summary'!H79+'Rev Recon Summary'!H99+'Rev Recon Summary'!H119+'Rev Recon Summary'!H140+'Rev Recon Summary'!H160+'Rev Recon Summary'!H180+'Rev Recon Summary'!H200+'Rev Recon Summary'!H220+'Rev Recon Summary'!H240+'Rev Recon Summary'!H260+'Rev Recon Summary'!H280+'Rev Recon Summary'!H300+'Rev Recon Summary'!H320+'Rev Recon Summary'!H340+'Rev Recon Summary'!H360</f>
        <v>38269786.659999989</v>
      </c>
      <c r="J331" s="529">
        <f>'Rev Recon Summary'!I19+'Rev Recon Summary'!I39+'Rev Recon Summary'!I59+'Rev Recon Summary'!I79+'Rev Recon Summary'!I99+'Rev Recon Summary'!I119+'Rev Recon Summary'!I140+'Rev Recon Summary'!I160+'Rev Recon Summary'!I180+'Rev Recon Summary'!I200+'Rev Recon Summary'!I220+'Rev Recon Summary'!I240+'Rev Recon Summary'!I260+'Rev Recon Summary'!I280+'Rev Recon Summary'!I300+'Rev Recon Summary'!I320+'Rev Recon Summary'!I340+'Rev Recon Summary'!I360</f>
        <v>27873401.31000001</v>
      </c>
      <c r="K331" s="529">
        <f>'Rev Recon Summary'!J19+'Rev Recon Summary'!J39+'Rev Recon Summary'!J59+'Rev Recon Summary'!J79+'Rev Recon Summary'!J99+'Rev Recon Summary'!J119+'Rev Recon Summary'!J140+'Rev Recon Summary'!J160+'Rev Recon Summary'!J180+'Rev Recon Summary'!J200+'Rev Recon Summary'!J220+'Rev Recon Summary'!J240+'Rev Recon Summary'!J260+'Rev Recon Summary'!J280+'Rev Recon Summary'!J300+'Rev Recon Summary'!J320+'Rev Recon Summary'!J340+'Rev Recon Summary'!J360</f>
        <v>15486972.59</v>
      </c>
      <c r="L331" s="529">
        <f>'Rev Recon Summary'!K19+'Rev Recon Summary'!K39+'Rev Recon Summary'!K59+'Rev Recon Summary'!K79+'Rev Recon Summary'!K99+'Rev Recon Summary'!K119+'Rev Recon Summary'!K140+'Rev Recon Summary'!K160+'Rev Recon Summary'!K180+'Rev Recon Summary'!K200+'Rev Recon Summary'!K220+'Rev Recon Summary'!K240+'Rev Recon Summary'!K260+'Rev Recon Summary'!K280+'Rev Recon Summary'!K300+'Rev Recon Summary'!K320+'Rev Recon Summary'!K340+'Rev Recon Summary'!K360</f>
        <v>13240739.839999998</v>
      </c>
      <c r="M331" s="529">
        <f>'Rev Recon Summary'!L19+'Rev Recon Summary'!L39+'Rev Recon Summary'!L59+'Rev Recon Summary'!L79+'Rev Recon Summary'!L99+'Rev Recon Summary'!L119+'Rev Recon Summary'!L140+'Rev Recon Summary'!L160+'Rev Recon Summary'!L180+'Rev Recon Summary'!L200+'Rev Recon Summary'!L220+'Rev Recon Summary'!L240+'Rev Recon Summary'!L260+'Rev Recon Summary'!L280+'Rev Recon Summary'!L300+'Rev Recon Summary'!L320+'Rev Recon Summary'!L340+'Rev Recon Summary'!L360</f>
        <v>13121476.109999999</v>
      </c>
      <c r="N331" s="529">
        <f>'Rev Recon Summary'!M19+'Rev Recon Summary'!M39+'Rev Recon Summary'!M59+'Rev Recon Summary'!M79+'Rev Recon Summary'!M99+'Rev Recon Summary'!M119+'Rev Recon Summary'!M140+'Rev Recon Summary'!M160+'Rev Recon Summary'!M180+'Rev Recon Summary'!M200+'Rev Recon Summary'!M220+'Rev Recon Summary'!M240+'Rev Recon Summary'!M260+'Rev Recon Summary'!M280+'Rev Recon Summary'!M300+'Rev Recon Summary'!M320+'Rev Recon Summary'!M340+'Rev Recon Summary'!M360</f>
        <v>12531559.08</v>
      </c>
      <c r="O331" s="529">
        <f>'Rev Recon Summary'!N19+'Rev Recon Summary'!N39+'Rev Recon Summary'!N59+'Rev Recon Summary'!N79+'Rev Recon Summary'!N99+'Rev Recon Summary'!N119+'Rev Recon Summary'!N140+'Rev Recon Summary'!N160+'Rev Recon Summary'!N180+'Rev Recon Summary'!N200+'Rev Recon Summary'!N220+'Rev Recon Summary'!N240+'Rev Recon Summary'!N260+'Rev Recon Summary'!N280+'Rev Recon Summary'!N300+'Rev Recon Summary'!N320+'Rev Recon Summary'!N340+'Rev Recon Summary'!N360</f>
        <v>17442881.170000002</v>
      </c>
      <c r="P331" s="529">
        <f>'Rev Recon Summary'!O19+'Rev Recon Summary'!O39+'Rev Recon Summary'!O59+'Rev Recon Summary'!O79+'Rev Recon Summary'!O99+'Rev Recon Summary'!O119+'Rev Recon Summary'!O140+'Rev Recon Summary'!O160+'Rev Recon Summary'!O180+'Rev Recon Summary'!O200+'Rev Recon Summary'!O220+'Rev Recon Summary'!O240+'Rev Recon Summary'!O260+'Rev Recon Summary'!O280+'Rev Recon Summary'!O300+'Rev Recon Summary'!O320+'Rev Recon Summary'!O340+'Rev Recon Summary'!O360</f>
        <v>28404364.539999999</v>
      </c>
      <c r="Q331" s="529">
        <f>'Rev Recon Summary'!P19+'Rev Recon Summary'!P39+'Rev Recon Summary'!P59+'Rev Recon Summary'!P79+'Rev Recon Summary'!P99+'Rev Recon Summary'!P119+'Rev Recon Summary'!P140+'Rev Recon Summary'!P160+'Rev Recon Summary'!P180+'Rev Recon Summary'!P200+'Rev Recon Summary'!P220+'Rev Recon Summary'!P240+'Rev Recon Summary'!P260+'Rev Recon Summary'!P280+'Rev Recon Summary'!P300+'Rev Recon Summary'!P320+'Rev Recon Summary'!P340+'Rev Recon Summary'!P360</f>
        <v>47256941.359999992</v>
      </c>
      <c r="R331" s="529">
        <f>'Rev Recon Summary'!P107+'Rev Recon Summary'!P127+'Rev Recon Summary'!P148+'Rev Recon Summary'!P168+'Rev Recon Summary'!P188+'Rev Recon Summary'!P208+'Rev Recon Summary'!P228+'Rev Recon Summary'!P248+'Rev Recon Summary'!P268+'Rev Recon Summary'!P288+'Rev Recon Summary'!P308+'Rev Recon Summary'!P328+'Rev Recon Summary'!P348+'Rev Recon Summary'!P368</f>
        <v>3409029.5599999996</v>
      </c>
      <c r="S331" s="527"/>
    </row>
    <row r="332" spans="1:19">
      <c r="A332" s="1090">
        <v>323</v>
      </c>
      <c r="B332"/>
      <c r="C332"/>
      <c r="D332"/>
      <c r="E332" t="s">
        <v>201</v>
      </c>
      <c r="F332" s="530">
        <f>F330-F331</f>
        <v>0</v>
      </c>
      <c r="G332" s="530">
        <f t="shared" ref="G332:R332" si="7">G330-G331</f>
        <v>0</v>
      </c>
      <c r="H332" s="530">
        <f t="shared" si="7"/>
        <v>0</v>
      </c>
      <c r="I332" s="530">
        <f t="shared" si="7"/>
        <v>0</v>
      </c>
      <c r="J332" s="530">
        <f t="shared" si="7"/>
        <v>-0.36000001430511475</v>
      </c>
      <c r="K332" s="530">
        <f t="shared" si="7"/>
        <v>0</v>
      </c>
      <c r="L332" s="530">
        <f t="shared" si="7"/>
        <v>0</v>
      </c>
      <c r="M332" s="530">
        <f t="shared" si="7"/>
        <v>0</v>
      </c>
      <c r="N332" s="530">
        <f t="shared" si="7"/>
        <v>0</v>
      </c>
      <c r="O332" s="530">
        <f t="shared" si="7"/>
        <v>0</v>
      </c>
      <c r="P332" s="530">
        <f t="shared" si="7"/>
        <v>0</v>
      </c>
      <c r="Q332" s="530">
        <f t="shared" si="7"/>
        <v>-5.1299999579787254</v>
      </c>
      <c r="R332" s="530">
        <f t="shared" si="7"/>
        <v>5646.0599999995902</v>
      </c>
      <c r="S332" s="530"/>
    </row>
    <row r="335" spans="1:19">
      <c r="R335" s="778"/>
    </row>
    <row r="336" spans="1:19">
      <c r="R336" s="779"/>
    </row>
    <row r="337" spans="6:19">
      <c r="R337" s="778"/>
    </row>
    <row r="340" spans="6:19">
      <c r="F340" s="778"/>
      <c r="G340" s="778"/>
      <c r="H340" s="778"/>
      <c r="I340" s="778"/>
      <c r="J340" s="778"/>
      <c r="K340" s="778"/>
      <c r="L340" s="778"/>
      <c r="M340" s="778"/>
      <c r="N340" s="778"/>
      <c r="O340" s="778"/>
      <c r="P340" s="778"/>
      <c r="Q340" s="778"/>
      <c r="R340" s="778"/>
    </row>
    <row r="341" spans="6:19">
      <c r="F341" s="778"/>
      <c r="G341" s="778"/>
      <c r="H341" s="778"/>
      <c r="I341" s="778"/>
      <c r="J341" s="778"/>
      <c r="K341" s="778"/>
      <c r="L341" s="778"/>
      <c r="M341" s="778"/>
      <c r="N341" s="778"/>
      <c r="O341" s="778"/>
      <c r="P341" s="778"/>
      <c r="Q341" s="778"/>
      <c r="R341" s="778"/>
    </row>
    <row r="343" spans="6:19">
      <c r="G343" s="779"/>
      <c r="H343" s="779"/>
      <c r="I343" s="779"/>
      <c r="J343" s="779"/>
      <c r="K343" s="779"/>
      <c r="L343" s="779"/>
      <c r="M343" s="779"/>
      <c r="N343" s="779"/>
      <c r="O343" s="779"/>
      <c r="P343" s="779"/>
      <c r="Q343" s="779"/>
      <c r="R343" s="779"/>
      <c r="S343" s="779"/>
    </row>
  </sheetData>
  <mergeCells count="6">
    <mergeCell ref="B6:S6"/>
    <mergeCell ref="B1:S1"/>
    <mergeCell ref="B2:S2"/>
    <mergeCell ref="B3:S3"/>
    <mergeCell ref="B4:S4"/>
    <mergeCell ref="B5:S5"/>
  </mergeCells>
  <pageMargins left="0.7" right="0.7" top="0.75" bottom="0.75" header="0.3" footer="0.3"/>
  <pageSetup scale="33" orientation="landscape" horizontalDpi="1200" verticalDpi="1200" r:id="rId1"/>
  <headerFooter>
    <oddHeader>&amp;RPage &amp;P of &amp;N</oddHeader>
    <oddFooter>&amp;L&amp;A</oddFooter>
  </headerFooter>
  <rowBreaks count="1" manualBreakCount="1">
    <brk id="28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8EC94-47BA-495E-AA1B-AA663AB6FF24}">
  <sheetPr codeName="Sheet34"/>
  <dimension ref="B4:S21"/>
  <sheetViews>
    <sheetView workbookViewId="0"/>
  </sheetViews>
  <sheetFormatPr defaultRowHeight="15"/>
  <cols>
    <col min="2" max="2" width="1.42578125" customWidth="1"/>
    <col min="3" max="3" width="2" style="1245" bestFit="1" customWidth="1"/>
    <col min="4" max="5" width="1.42578125" customWidth="1"/>
    <col min="6" max="6" width="28.140625" customWidth="1"/>
    <col min="7" max="7" width="1.42578125" customWidth="1"/>
    <col min="8" max="10" width="7.5703125" customWidth="1"/>
    <col min="11" max="11" width="1.42578125" customWidth="1"/>
    <col min="12" max="14" width="7.5703125" customWidth="1"/>
    <col min="15" max="15" width="1.42578125" customWidth="1"/>
    <col min="16" max="18" width="7.5703125" customWidth="1"/>
    <col min="19" max="19" width="1.42578125" customWidth="1"/>
  </cols>
  <sheetData>
    <row r="4" spans="2:19" ht="7.5" customHeight="1">
      <c r="B4" s="1246"/>
      <c r="C4" s="1247"/>
      <c r="D4" s="1246"/>
      <c r="E4" s="1246"/>
      <c r="F4" s="1246"/>
      <c r="G4" s="1246"/>
      <c r="H4" s="1246"/>
      <c r="I4" s="1246"/>
      <c r="J4" s="1246"/>
      <c r="K4" s="1246"/>
      <c r="L4" s="1246"/>
      <c r="M4" s="1246"/>
      <c r="N4" s="1246"/>
      <c r="O4" s="1246"/>
      <c r="P4" s="1246"/>
      <c r="Q4" s="1246"/>
      <c r="R4" s="1246"/>
      <c r="S4" s="1246"/>
    </row>
    <row r="5" spans="2:19">
      <c r="B5" s="1246"/>
      <c r="C5" s="1247"/>
      <c r="D5" s="1246"/>
      <c r="E5" s="1248"/>
      <c r="F5" s="1246"/>
      <c r="G5" s="1246"/>
      <c r="H5" s="1346" t="s">
        <v>1279</v>
      </c>
      <c r="I5" s="1346"/>
      <c r="J5" s="1346"/>
      <c r="K5" s="1347"/>
      <c r="L5" s="1346" t="s">
        <v>1278</v>
      </c>
      <c r="M5" s="1346"/>
      <c r="N5" s="1346"/>
      <c r="O5" s="1347"/>
      <c r="P5" s="1346" t="s">
        <v>4212</v>
      </c>
      <c r="Q5" s="1346"/>
      <c r="R5" s="1346"/>
      <c r="S5" s="1246"/>
    </row>
    <row r="6" spans="2:19">
      <c r="B6" s="1246"/>
      <c r="C6" s="1247"/>
      <c r="D6" s="1246"/>
      <c r="E6" s="1248"/>
      <c r="F6" s="1246"/>
      <c r="G6" s="1246"/>
      <c r="H6" s="1346" t="s">
        <v>4207</v>
      </c>
      <c r="I6" s="1346" t="s">
        <v>4179</v>
      </c>
      <c r="J6" s="1346" t="s">
        <v>4180</v>
      </c>
      <c r="K6" s="1347"/>
      <c r="L6" s="1346" t="s">
        <v>4207</v>
      </c>
      <c r="M6" s="1346" t="s">
        <v>4179</v>
      </c>
      <c r="N6" s="1346" t="s">
        <v>4180</v>
      </c>
      <c r="O6" s="1347"/>
      <c r="P6" s="1346" t="s">
        <v>4207</v>
      </c>
      <c r="Q6" s="1346" t="s">
        <v>4179</v>
      </c>
      <c r="R6" s="1346" t="s">
        <v>4180</v>
      </c>
      <c r="S6" s="1246"/>
    </row>
    <row r="7" spans="2:19" ht="7.5" customHeight="1">
      <c r="B7" s="1246"/>
      <c r="C7" s="1247"/>
      <c r="D7" s="1246"/>
      <c r="E7" s="1248"/>
      <c r="F7" s="1246"/>
      <c r="G7" s="1246"/>
      <c r="H7" s="1246"/>
      <c r="I7" s="1246"/>
      <c r="J7" s="1246"/>
      <c r="K7" s="1246"/>
      <c r="L7" s="1246"/>
      <c r="M7" s="1246"/>
      <c r="N7" s="1246"/>
      <c r="O7" s="1246"/>
      <c r="P7" s="1246"/>
      <c r="Q7" s="1246"/>
      <c r="R7" s="1246"/>
      <c r="S7" s="1246"/>
    </row>
    <row r="8" spans="2:19">
      <c r="B8" s="1246"/>
      <c r="C8" s="1247">
        <v>1</v>
      </c>
      <c r="D8" s="1246"/>
      <c r="E8" s="1248"/>
      <c r="F8" s="1246" t="s">
        <v>4205</v>
      </c>
      <c r="G8" s="1246"/>
      <c r="H8" s="1252">
        <f>+'Wage Adjustments'!$G$12</f>
        <v>0.03</v>
      </c>
      <c r="I8" s="1252">
        <f>+'Wage Adjustments'!$J$12</f>
        <v>0.05</v>
      </c>
      <c r="J8" s="1252">
        <f>+'Wage Adjustments'!$M$12</f>
        <v>0.03</v>
      </c>
      <c r="K8" s="1251"/>
      <c r="L8" s="1252">
        <f>+'Wage Adjustments'!$G$10</f>
        <v>0</v>
      </c>
      <c r="M8" s="1252">
        <f>+'Wage Adjustments'!$J$10</f>
        <v>6.1699999999999998E-2</v>
      </c>
      <c r="N8" s="1252">
        <f>+'Wage Adjustments'!$M$10</f>
        <v>0.04</v>
      </c>
      <c r="O8" s="1251"/>
      <c r="P8" s="1252">
        <f>+L8</f>
        <v>0</v>
      </c>
      <c r="Q8" s="1252">
        <f>+M8</f>
        <v>6.1699999999999998E-2</v>
      </c>
      <c r="R8" s="1252">
        <f>+N8</f>
        <v>0.04</v>
      </c>
      <c r="S8" s="1246"/>
    </row>
    <row r="9" spans="2:19" ht="7.5" customHeight="1">
      <c r="B9" s="1246"/>
      <c r="C9" s="1247"/>
      <c r="D9" s="1246"/>
      <c r="E9" s="1248"/>
      <c r="F9" s="1246"/>
      <c r="G9" s="1246"/>
      <c r="H9" s="1252"/>
      <c r="I9" s="1252"/>
      <c r="J9" s="1252"/>
      <c r="K9" s="1251"/>
      <c r="L9" s="1252"/>
      <c r="M9" s="1252"/>
      <c r="N9" s="1252"/>
      <c r="O9" s="1251"/>
      <c r="P9" s="1252"/>
      <c r="Q9" s="1252"/>
      <c r="R9" s="1252"/>
      <c r="S9" s="1246"/>
    </row>
    <row r="10" spans="2:19">
      <c r="B10" s="1246"/>
      <c r="C10" s="1247">
        <v>2</v>
      </c>
      <c r="D10" s="1246"/>
      <c r="E10" s="1248"/>
      <c r="F10" s="1319" t="s">
        <v>4206</v>
      </c>
      <c r="G10" s="1256"/>
      <c r="H10" s="1344">
        <f>+H8</f>
        <v>0.03</v>
      </c>
      <c r="I10" s="1344">
        <f>+I8</f>
        <v>0.05</v>
      </c>
      <c r="J10" s="1344">
        <f>+J8</f>
        <v>0.03</v>
      </c>
      <c r="K10" s="1253"/>
      <c r="L10" s="1344">
        <f>+L8</f>
        <v>0</v>
      </c>
      <c r="M10" s="1344">
        <f>+M8</f>
        <v>6.1699999999999998E-2</v>
      </c>
      <c r="N10" s="1344">
        <f>+N8</f>
        <v>0.04</v>
      </c>
      <c r="O10" s="1253"/>
      <c r="P10" s="1344">
        <f>+P8</f>
        <v>0</v>
      </c>
      <c r="Q10" s="1345">
        <v>0</v>
      </c>
      <c r="R10" s="1345">
        <v>0</v>
      </c>
      <c r="S10" s="1246"/>
    </row>
    <row r="11" spans="2:19" ht="7.5" customHeight="1">
      <c r="B11" s="1246"/>
      <c r="C11" s="1247"/>
      <c r="D11" s="1246"/>
      <c r="E11" s="1248"/>
      <c r="F11" s="1246"/>
      <c r="G11" s="1246"/>
      <c r="H11" s="1246"/>
      <c r="I11" s="1246"/>
      <c r="J11" s="1246"/>
      <c r="K11" s="1246"/>
      <c r="L11" s="1246"/>
      <c r="M11" s="1246"/>
      <c r="N11" s="1249"/>
      <c r="O11" s="1246"/>
      <c r="P11" s="1246"/>
      <c r="Q11" s="1246"/>
      <c r="R11" s="1249"/>
      <c r="S11" s="1246"/>
    </row>
    <row r="12" spans="2:19">
      <c r="B12" s="1246"/>
      <c r="C12" s="1247">
        <v>3</v>
      </c>
      <c r="D12" s="1246"/>
      <c r="E12" s="1248"/>
      <c r="F12" s="1246" t="s">
        <v>4211</v>
      </c>
      <c r="G12" s="1259"/>
      <c r="H12" s="1252">
        <f>+H10</f>
        <v>0.03</v>
      </c>
      <c r="I12" s="1252">
        <f>+I10</f>
        <v>0.05</v>
      </c>
      <c r="J12" s="1252">
        <f>+J10</f>
        <v>0.03</v>
      </c>
      <c r="K12" s="1251"/>
      <c r="L12" s="1252">
        <f>+L10</f>
        <v>0</v>
      </c>
      <c r="M12" s="1340">
        <v>4.1500000000000002E-2</v>
      </c>
      <c r="N12" s="1340">
        <v>2.1000000000000001E-2</v>
      </c>
      <c r="O12" s="1251"/>
      <c r="P12" s="1252">
        <f>+P10</f>
        <v>0</v>
      </c>
      <c r="Q12" s="1252">
        <f>+Q10</f>
        <v>0</v>
      </c>
      <c r="R12" s="1252">
        <f>+R10</f>
        <v>0</v>
      </c>
      <c r="S12" s="1246"/>
    </row>
    <row r="13" spans="2:19" ht="7.5" customHeight="1">
      <c r="B13" s="1246"/>
      <c r="C13" s="1247"/>
      <c r="D13" s="1246"/>
      <c r="E13" s="1248"/>
      <c r="F13" s="1246"/>
      <c r="G13" s="1246"/>
      <c r="H13" s="1246"/>
      <c r="I13" s="1252"/>
      <c r="J13" s="1252"/>
      <c r="K13" s="1252"/>
      <c r="L13" s="1252"/>
      <c r="M13" s="1252"/>
      <c r="N13" s="1249"/>
      <c r="O13" s="1252"/>
      <c r="P13" s="1252"/>
      <c r="Q13" s="1252"/>
      <c r="R13" s="1249"/>
      <c r="S13" s="1246"/>
    </row>
    <row r="14" spans="2:19">
      <c r="B14" s="1246"/>
      <c r="C14" s="1247">
        <v>4</v>
      </c>
      <c r="D14" s="1246"/>
      <c r="E14" s="1248"/>
      <c r="F14" s="1253" t="s">
        <v>4208</v>
      </c>
      <c r="G14" s="1253"/>
      <c r="H14" s="1344">
        <f>+H12</f>
        <v>0.03</v>
      </c>
      <c r="I14" s="1345">
        <f>+I12*(0.75)</f>
        <v>3.7500000000000006E-2</v>
      </c>
      <c r="J14" s="1345">
        <f>+J12+I12*(0.25)</f>
        <v>4.2499999999999996E-2</v>
      </c>
      <c r="K14" s="1270"/>
      <c r="L14" s="1344">
        <f>+L12</f>
        <v>0</v>
      </c>
      <c r="M14" s="1344">
        <f>+M12</f>
        <v>4.1500000000000002E-2</v>
      </c>
      <c r="N14" s="1344">
        <f>+N12</f>
        <v>2.1000000000000001E-2</v>
      </c>
      <c r="O14" s="1270"/>
      <c r="P14" s="1344">
        <f>+P12</f>
        <v>0</v>
      </c>
      <c r="Q14" s="1344">
        <f>+Q12</f>
        <v>0</v>
      </c>
      <c r="R14" s="1344">
        <f>+R12</f>
        <v>0</v>
      </c>
      <c r="S14" s="1246"/>
    </row>
    <row r="15" spans="2:19" ht="7.5" customHeight="1">
      <c r="B15" s="1246"/>
      <c r="C15" s="1247"/>
      <c r="D15" s="1246"/>
      <c r="E15" s="1248"/>
      <c r="F15" s="1258"/>
      <c r="G15" s="1259"/>
      <c r="H15" s="1259"/>
      <c r="I15" s="1259"/>
      <c r="J15" s="1259"/>
      <c r="K15" s="1259"/>
      <c r="L15" s="1259"/>
      <c r="M15" s="1259"/>
      <c r="N15" s="1260"/>
      <c r="O15" s="1259"/>
      <c r="P15" s="1259"/>
      <c r="Q15" s="1259"/>
      <c r="R15" s="1260"/>
      <c r="S15" s="1246"/>
    </row>
    <row r="16" spans="2:19">
      <c r="B16" s="1246"/>
      <c r="C16" s="1247">
        <v>5</v>
      </c>
      <c r="D16" s="1246"/>
      <c r="E16" s="1248"/>
      <c r="F16" s="1246" t="s">
        <v>4209</v>
      </c>
      <c r="G16" s="1259"/>
      <c r="H16" s="1252">
        <f>+H14</f>
        <v>0.03</v>
      </c>
      <c r="I16" s="1252">
        <f>+I14</f>
        <v>3.7500000000000006E-2</v>
      </c>
      <c r="J16" s="1252">
        <f>+J14</f>
        <v>4.2499999999999996E-2</v>
      </c>
      <c r="K16" s="1251"/>
      <c r="L16" s="1252">
        <f>+L14</f>
        <v>0</v>
      </c>
      <c r="M16" s="1340">
        <f>+M12*(0.961748633879781)</f>
        <v>3.9912568306010913E-2</v>
      </c>
      <c r="N16" s="1252">
        <f>+N14</f>
        <v>2.1000000000000001E-2</v>
      </c>
      <c r="O16" s="1251"/>
      <c r="P16" s="1252">
        <f>+P14</f>
        <v>0</v>
      </c>
      <c r="Q16" s="1252">
        <f>+Q14</f>
        <v>0</v>
      </c>
      <c r="R16" s="1252">
        <f>+R14</f>
        <v>0</v>
      </c>
      <c r="S16" s="1246"/>
    </row>
    <row r="17" spans="2:19" ht="7.5" customHeight="1">
      <c r="B17" s="1246"/>
      <c r="C17" s="1247"/>
      <c r="D17" s="1246"/>
      <c r="E17" s="1248"/>
      <c r="F17" s="1258"/>
      <c r="G17" s="1259"/>
      <c r="H17" s="1259"/>
      <c r="I17" s="1259"/>
      <c r="J17" s="1259"/>
      <c r="K17" s="1259"/>
      <c r="L17" s="1259"/>
      <c r="M17" s="1259"/>
      <c r="N17" s="1260"/>
      <c r="O17" s="1259"/>
      <c r="P17" s="1259"/>
      <c r="Q17" s="1259"/>
      <c r="R17" s="1260"/>
      <c r="S17" s="1246"/>
    </row>
    <row r="18" spans="2:19">
      <c r="B18" s="1246"/>
      <c r="C18" s="1247">
        <v>6</v>
      </c>
      <c r="D18" s="1246"/>
      <c r="E18" s="1248"/>
      <c r="F18" s="1255" t="s">
        <v>4213</v>
      </c>
      <c r="G18" s="1256"/>
      <c r="H18" s="1256"/>
      <c r="I18" s="1338">
        <f>+'Wage Adjustments (AWEC)'!W25</f>
        <v>-2.5316455696202556E-2</v>
      </c>
      <c r="J18" s="1256"/>
      <c r="K18" s="1256"/>
      <c r="L18" s="1256"/>
      <c r="M18" s="1338">
        <f>+'Wage Adjustments (AWEC)'!W13</f>
        <v>-1.2499999999999956E-2</v>
      </c>
      <c r="N18" s="1257"/>
      <c r="O18" s="1256"/>
      <c r="P18" s="1256"/>
      <c r="Q18" s="1256"/>
      <c r="R18" s="1344"/>
      <c r="S18" s="1246"/>
    </row>
    <row r="19" spans="2:19" ht="7.5" customHeight="1">
      <c r="B19" s="1246"/>
      <c r="C19" s="1247"/>
      <c r="D19" s="1246"/>
      <c r="E19" s="1248"/>
      <c r="F19" s="1258"/>
      <c r="G19" s="1259"/>
      <c r="H19" s="1342"/>
      <c r="I19" s="1342"/>
      <c r="J19" s="1342"/>
      <c r="K19" s="1259"/>
      <c r="L19" s="1342"/>
      <c r="M19" s="1342"/>
      <c r="N19" s="1343"/>
      <c r="O19" s="1259"/>
      <c r="P19" s="1342"/>
      <c r="Q19" s="1342"/>
      <c r="R19" s="1343"/>
      <c r="S19" s="1246"/>
    </row>
    <row r="20" spans="2:19">
      <c r="B20" s="1246"/>
      <c r="C20" s="1247">
        <v>7</v>
      </c>
      <c r="D20" s="1246"/>
      <c r="E20" s="1248"/>
      <c r="F20" s="1308" t="s">
        <v>4210</v>
      </c>
      <c r="G20" s="1341"/>
      <c r="H20" s="1339">
        <f>+H16+H18</f>
        <v>0.03</v>
      </c>
      <c r="I20" s="1339">
        <f>+I16+I18</f>
        <v>1.218354430379745E-2</v>
      </c>
      <c r="J20" s="1339">
        <f>+J16+J18</f>
        <v>4.2499999999999996E-2</v>
      </c>
      <c r="K20" s="1311"/>
      <c r="L20" s="1339">
        <f>+L16+L18</f>
        <v>0</v>
      </c>
      <c r="M20" s="1339">
        <f>+M16+M18</f>
        <v>2.7412568306010958E-2</v>
      </c>
      <c r="N20" s="1339">
        <f>+N16+N18</f>
        <v>2.1000000000000001E-2</v>
      </c>
      <c r="O20" s="1311"/>
      <c r="P20" s="1339">
        <f>+P16+P18</f>
        <v>0</v>
      </c>
      <c r="Q20" s="1339">
        <f>+Q16+Q18</f>
        <v>0</v>
      </c>
      <c r="R20" s="1339">
        <f>+R16+R18</f>
        <v>0</v>
      </c>
      <c r="S20" s="1246"/>
    </row>
    <row r="21" spans="2:19" ht="7.5" customHeight="1">
      <c r="B21" s="1246"/>
      <c r="C21" s="1247"/>
      <c r="D21" s="1246"/>
      <c r="E21" s="1246"/>
      <c r="F21" s="1246"/>
      <c r="G21" s="1246"/>
      <c r="H21" s="1246"/>
      <c r="I21" s="1246"/>
      <c r="J21" s="1246"/>
      <c r="K21" s="1246"/>
      <c r="L21" s="1246"/>
      <c r="M21" s="1246"/>
      <c r="N21" s="1246"/>
      <c r="O21" s="1246"/>
      <c r="P21" s="1246"/>
      <c r="Q21" s="1246"/>
      <c r="R21" s="1246"/>
      <c r="S21" s="1246"/>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183E-B1F2-4645-9654-09049A8BDEBD}">
  <sheetPr codeName="Sheet54">
    <pageSetUpPr fitToPage="1"/>
  </sheetPr>
  <dimension ref="A1:P20"/>
  <sheetViews>
    <sheetView view="pageBreakPreview" zoomScale="60" zoomScaleNormal="100" workbookViewId="0">
      <selection activeCell="P10" sqref="P10:P19"/>
    </sheetView>
  </sheetViews>
  <sheetFormatPr defaultRowHeight="15"/>
  <cols>
    <col min="2" max="2" width="19.42578125" bestFit="1" customWidth="1"/>
    <col min="3" max="3" width="10.140625" bestFit="1" customWidth="1"/>
    <col min="4" max="4" width="10.5703125" bestFit="1" customWidth="1"/>
    <col min="5" max="6" width="10.140625" bestFit="1" customWidth="1"/>
    <col min="7" max="7" width="10.5703125" bestFit="1" customWidth="1"/>
    <col min="8" max="8" width="10.140625" bestFit="1" customWidth="1"/>
    <col min="9" max="14" width="10.5703125" bestFit="1" customWidth="1"/>
    <col min="15" max="15" width="12.28515625" bestFit="1" customWidth="1"/>
    <col min="17" max="17" width="16.28515625" bestFit="1" customWidth="1"/>
  </cols>
  <sheetData>
    <row r="1" spans="1:16">
      <c r="B1" s="1423" t="str">
        <f>+'Monthly Billed Revenues'!B1</f>
        <v>Cascade Natural Gas Corp.</v>
      </c>
      <c r="C1" s="1423"/>
      <c r="D1" s="1423"/>
      <c r="E1" s="1423"/>
      <c r="F1" s="1423"/>
      <c r="G1" s="1423"/>
      <c r="H1" s="1423"/>
      <c r="I1" s="1423"/>
      <c r="J1" s="1423"/>
      <c r="K1" s="1423"/>
      <c r="L1" s="1423"/>
      <c r="M1" s="1423"/>
      <c r="N1" s="1423"/>
      <c r="O1" s="1423"/>
    </row>
    <row r="2" spans="1:16">
      <c r="B2" s="1423" t="str">
        <f>+'Monthly Billed Revenues'!B2</f>
        <v>Washington Jurisdiction</v>
      </c>
      <c r="C2" s="1423"/>
      <c r="D2" s="1423"/>
      <c r="E2" s="1423"/>
      <c r="F2" s="1423"/>
      <c r="G2" s="1423"/>
      <c r="H2" s="1423"/>
      <c r="I2" s="1423"/>
      <c r="J2" s="1423"/>
      <c r="K2" s="1423"/>
      <c r="L2" s="1423"/>
      <c r="M2" s="1423"/>
      <c r="N2" s="1423"/>
      <c r="O2" s="1423"/>
    </row>
    <row r="3" spans="1:16">
      <c r="B3" s="1423" t="str">
        <f>+'Monthly Billed Revenues'!B3</f>
        <v>Twelve-Months ended December 31, 2023</v>
      </c>
      <c r="C3" s="1423"/>
      <c r="D3" s="1423"/>
      <c r="E3" s="1423"/>
      <c r="F3" s="1423"/>
      <c r="G3" s="1423"/>
      <c r="H3" s="1423"/>
      <c r="I3" s="1423"/>
      <c r="J3" s="1423"/>
      <c r="K3" s="1423"/>
      <c r="L3" s="1423"/>
      <c r="M3" s="1423"/>
      <c r="N3" s="1423"/>
      <c r="O3" s="1423"/>
    </row>
    <row r="4" spans="1:16">
      <c r="B4" s="1423" t="str">
        <f>+'Monthly Billed Revenues'!B4</f>
        <v>UG-240008</v>
      </c>
      <c r="C4" s="1423"/>
      <c r="D4" s="1423"/>
      <c r="E4" s="1423"/>
      <c r="F4" s="1423"/>
      <c r="G4" s="1423"/>
      <c r="H4" s="1423"/>
      <c r="I4" s="1423"/>
      <c r="J4" s="1423"/>
      <c r="K4" s="1423"/>
      <c r="L4" s="1423"/>
      <c r="M4" s="1423"/>
      <c r="N4" s="1423"/>
      <c r="O4" s="1423"/>
    </row>
    <row r="5" spans="1:16">
      <c r="B5" s="1423" t="s">
        <v>219</v>
      </c>
      <c r="C5" s="1423"/>
      <c r="D5" s="1423"/>
      <c r="E5" s="1423"/>
      <c r="F5" s="1423"/>
      <c r="G5" s="1423"/>
      <c r="H5" s="1423"/>
      <c r="I5" s="1423"/>
      <c r="J5" s="1423"/>
      <c r="K5" s="1423"/>
      <c r="L5" s="1423"/>
      <c r="M5" s="1423"/>
      <c r="N5" s="1423"/>
      <c r="O5" s="1423"/>
    </row>
    <row r="6" spans="1:16">
      <c r="B6" s="1423" t="s">
        <v>328</v>
      </c>
      <c r="C6" s="1423"/>
      <c r="D6" s="1423"/>
      <c r="E6" s="1423"/>
      <c r="F6" s="1423"/>
      <c r="G6" s="1423"/>
      <c r="H6" s="1423"/>
      <c r="I6" s="1423"/>
      <c r="J6" s="1423"/>
      <c r="K6" s="1423"/>
      <c r="L6" s="1423"/>
      <c r="M6" s="1423"/>
      <c r="N6" s="1423"/>
      <c r="O6" s="1423"/>
    </row>
    <row r="7" spans="1:16">
      <c r="A7" s="644" t="s">
        <v>536</v>
      </c>
      <c r="B7" s="54"/>
      <c r="C7" s="54"/>
      <c r="D7" s="933"/>
      <c r="E7" s="933"/>
      <c r="F7" s="933"/>
      <c r="G7" s="933"/>
      <c r="H7" s="933"/>
      <c r="I7" s="933"/>
      <c r="J7" s="933"/>
      <c r="K7" s="933"/>
      <c r="L7" s="933"/>
      <c r="M7" s="933"/>
      <c r="N7" s="933"/>
      <c r="O7" s="933"/>
    </row>
    <row r="8" spans="1:16">
      <c r="A8" s="487"/>
      <c r="B8" s="487" t="s">
        <v>439</v>
      </c>
      <c r="C8" s="487" t="s">
        <v>208</v>
      </c>
      <c r="D8" s="706" t="s">
        <v>209</v>
      </c>
      <c r="E8" s="706" t="s">
        <v>440</v>
      </c>
      <c r="F8" s="706" t="s">
        <v>441</v>
      </c>
      <c r="G8" s="706" t="s">
        <v>442</v>
      </c>
      <c r="H8" s="706" t="s">
        <v>443</v>
      </c>
      <c r="I8" s="706" t="s">
        <v>444</v>
      </c>
      <c r="J8" s="706" t="s">
        <v>445</v>
      </c>
      <c r="K8" s="706" t="s">
        <v>446</v>
      </c>
      <c r="L8" s="706" t="s">
        <v>447</v>
      </c>
      <c r="M8" s="706" t="s">
        <v>448</v>
      </c>
      <c r="N8" s="706" t="s">
        <v>449</v>
      </c>
      <c r="O8" s="706" t="s">
        <v>450</v>
      </c>
    </row>
    <row r="9" spans="1:16">
      <c r="A9" s="449"/>
      <c r="B9" t="s">
        <v>104</v>
      </c>
      <c r="C9" t="s">
        <v>329</v>
      </c>
      <c r="D9" t="s">
        <v>330</v>
      </c>
      <c r="E9" t="s">
        <v>331</v>
      </c>
      <c r="F9" t="s">
        <v>332</v>
      </c>
      <c r="G9" t="s">
        <v>333</v>
      </c>
      <c r="H9" t="s">
        <v>334</v>
      </c>
      <c r="I9" t="s">
        <v>335</v>
      </c>
      <c r="J9" t="s">
        <v>336</v>
      </c>
      <c r="K9" t="s">
        <v>337</v>
      </c>
      <c r="L9" t="s">
        <v>338</v>
      </c>
      <c r="M9" t="s">
        <v>339</v>
      </c>
      <c r="N9" t="s">
        <v>340</v>
      </c>
      <c r="O9" t="s">
        <v>200</v>
      </c>
    </row>
    <row r="10" spans="1:16">
      <c r="A10" s="449">
        <v>1</v>
      </c>
      <c r="B10" s="449">
        <v>503</v>
      </c>
      <c r="C10" s="521">
        <v>203011</v>
      </c>
      <c r="D10" s="521">
        <v>203089</v>
      </c>
      <c r="E10" s="521">
        <v>203120</v>
      </c>
      <c r="F10" s="521">
        <v>203170</v>
      </c>
      <c r="G10" s="521">
        <v>202875</v>
      </c>
      <c r="H10" s="521">
        <v>202861</v>
      </c>
      <c r="I10" s="521">
        <v>202740</v>
      </c>
      <c r="J10" s="521">
        <v>202614</v>
      </c>
      <c r="K10" s="521">
        <v>202849</v>
      </c>
      <c r="L10" s="521">
        <v>203699</v>
      </c>
      <c r="M10" s="548">
        <v>204249</v>
      </c>
      <c r="N10" s="548">
        <v>204516</v>
      </c>
      <c r="O10" s="522">
        <f>SUM(C10:N10)</f>
        <v>2438793</v>
      </c>
      <c r="P10" s="522">
        <f>+N10-C10</f>
        <v>1505</v>
      </c>
    </row>
    <row r="11" spans="1:16">
      <c r="A11" s="449">
        <v>2</v>
      </c>
      <c r="B11" s="449" t="s">
        <v>341</v>
      </c>
      <c r="C11" s="521">
        <v>27611</v>
      </c>
      <c r="D11" s="521">
        <v>27622</v>
      </c>
      <c r="E11" s="521">
        <v>27592</v>
      </c>
      <c r="F11" s="521">
        <v>27566</v>
      </c>
      <c r="G11" s="521">
        <v>27496</v>
      </c>
      <c r="H11" s="521">
        <v>27453</v>
      </c>
      <c r="I11" s="521">
        <v>27416</v>
      </c>
      <c r="J11" s="521">
        <v>27317</v>
      </c>
      <c r="K11" s="521">
        <v>27299</v>
      </c>
      <c r="L11" s="521">
        <v>27454</v>
      </c>
      <c r="M11" s="548">
        <v>27590</v>
      </c>
      <c r="N11" s="548">
        <v>27655</v>
      </c>
      <c r="O11" s="522">
        <f t="shared" ref="O11:O19" si="0">SUM(C11:N11)</f>
        <v>330071</v>
      </c>
      <c r="P11" s="522">
        <f t="shared" ref="P11:P19" si="1">+N11-C11</f>
        <v>44</v>
      </c>
    </row>
    <row r="12" spans="1:16">
      <c r="A12" s="449">
        <v>3</v>
      </c>
      <c r="B12" s="449" t="s">
        <v>342</v>
      </c>
      <c r="C12" s="521">
        <v>1</v>
      </c>
      <c r="D12" s="521">
        <v>1</v>
      </c>
      <c r="E12" s="521">
        <v>1</v>
      </c>
      <c r="F12" s="521">
        <v>1</v>
      </c>
      <c r="G12" s="521">
        <v>1</v>
      </c>
      <c r="H12" s="521">
        <v>1</v>
      </c>
      <c r="I12" s="521">
        <v>1</v>
      </c>
      <c r="J12" s="521">
        <v>1</v>
      </c>
      <c r="K12" s="521">
        <v>1</v>
      </c>
      <c r="L12" s="521">
        <v>1</v>
      </c>
      <c r="M12" s="548">
        <v>1</v>
      </c>
      <c r="N12" s="548">
        <v>1</v>
      </c>
      <c r="O12" s="522">
        <f t="shared" si="0"/>
        <v>12</v>
      </c>
      <c r="P12" s="522">
        <f t="shared" si="1"/>
        <v>0</v>
      </c>
    </row>
    <row r="13" spans="1:16">
      <c r="A13" s="449">
        <v>4</v>
      </c>
      <c r="B13" s="449" t="s">
        <v>343</v>
      </c>
      <c r="C13">
        <v>496</v>
      </c>
      <c r="D13">
        <v>496</v>
      </c>
      <c r="E13">
        <v>495</v>
      </c>
      <c r="F13">
        <v>491</v>
      </c>
      <c r="G13">
        <v>490</v>
      </c>
      <c r="H13">
        <v>490</v>
      </c>
      <c r="I13">
        <v>489</v>
      </c>
      <c r="J13">
        <v>488</v>
      </c>
      <c r="K13" s="521">
        <v>488</v>
      </c>
      <c r="L13" s="521">
        <v>490</v>
      </c>
      <c r="M13" s="548">
        <v>493</v>
      </c>
      <c r="N13" s="548">
        <v>495</v>
      </c>
      <c r="O13" s="522">
        <f t="shared" si="0"/>
        <v>5901</v>
      </c>
      <c r="P13" s="522">
        <f t="shared" si="1"/>
        <v>-1</v>
      </c>
    </row>
    <row r="14" spans="1:16">
      <c r="A14" s="449">
        <v>5</v>
      </c>
      <c r="B14" s="449" t="s">
        <v>344</v>
      </c>
      <c r="C14" s="521">
        <v>71</v>
      </c>
      <c r="D14" s="521">
        <v>71</v>
      </c>
      <c r="E14" s="521">
        <v>71</v>
      </c>
      <c r="F14" s="521">
        <v>71</v>
      </c>
      <c r="G14" s="521">
        <v>71</v>
      </c>
      <c r="H14" s="521">
        <v>71</v>
      </c>
      <c r="I14" s="521">
        <v>71</v>
      </c>
      <c r="J14" s="521">
        <v>70</v>
      </c>
      <c r="K14" s="521">
        <v>69</v>
      </c>
      <c r="L14" s="521">
        <v>70</v>
      </c>
      <c r="M14" s="548">
        <v>70</v>
      </c>
      <c r="N14" s="548">
        <v>69</v>
      </c>
      <c r="O14" s="522">
        <f t="shared" si="0"/>
        <v>845</v>
      </c>
      <c r="P14" s="522">
        <f t="shared" si="1"/>
        <v>-2</v>
      </c>
    </row>
    <row r="15" spans="1:16">
      <c r="A15" s="449">
        <v>6</v>
      </c>
      <c r="B15" s="449" t="s">
        <v>345</v>
      </c>
      <c r="C15" s="521">
        <v>3</v>
      </c>
      <c r="D15" s="521">
        <v>3</v>
      </c>
      <c r="E15" s="521">
        <v>3</v>
      </c>
      <c r="F15" s="521">
        <v>3</v>
      </c>
      <c r="G15" s="521">
        <v>3</v>
      </c>
      <c r="H15" s="521">
        <v>3</v>
      </c>
      <c r="I15" s="521">
        <v>3</v>
      </c>
      <c r="J15" s="521">
        <v>3</v>
      </c>
      <c r="K15" s="521">
        <v>3</v>
      </c>
      <c r="L15" s="521">
        <v>3</v>
      </c>
      <c r="M15" s="548">
        <v>3</v>
      </c>
      <c r="N15" s="548">
        <v>3</v>
      </c>
      <c r="O15" s="522">
        <f t="shared" si="0"/>
        <v>36</v>
      </c>
      <c r="P15" s="522">
        <f t="shared" si="1"/>
        <v>0</v>
      </c>
    </row>
    <row r="16" spans="1:16">
      <c r="A16" s="449">
        <v>7</v>
      </c>
      <c r="B16" s="449" t="s">
        <v>346</v>
      </c>
      <c r="C16">
        <v>26</v>
      </c>
      <c r="D16">
        <v>26</v>
      </c>
      <c r="E16">
        <v>26</v>
      </c>
      <c r="F16">
        <v>26</v>
      </c>
      <c r="G16">
        <v>26</v>
      </c>
      <c r="H16">
        <v>26</v>
      </c>
      <c r="I16">
        <v>26</v>
      </c>
      <c r="J16">
        <v>26</v>
      </c>
      <c r="K16">
        <v>26</v>
      </c>
      <c r="L16" s="521">
        <v>25</v>
      </c>
      <c r="M16" s="548">
        <v>25</v>
      </c>
      <c r="N16" s="548">
        <v>27</v>
      </c>
      <c r="O16" s="522">
        <f t="shared" si="0"/>
        <v>311</v>
      </c>
      <c r="P16" s="522">
        <f t="shared" si="1"/>
        <v>1</v>
      </c>
    </row>
    <row r="17" spans="1:16">
      <c r="A17" s="449">
        <v>8</v>
      </c>
      <c r="B17" s="449" t="s">
        <v>347</v>
      </c>
      <c r="C17">
        <v>7</v>
      </c>
      <c r="D17">
        <v>7</v>
      </c>
      <c r="E17">
        <v>7</v>
      </c>
      <c r="F17">
        <v>7</v>
      </c>
      <c r="G17">
        <v>7</v>
      </c>
      <c r="H17">
        <v>7</v>
      </c>
      <c r="I17">
        <v>7</v>
      </c>
      <c r="J17">
        <v>7</v>
      </c>
      <c r="K17">
        <v>7</v>
      </c>
      <c r="L17" s="521">
        <v>7</v>
      </c>
      <c r="M17" s="548">
        <v>7</v>
      </c>
      <c r="N17" s="548">
        <v>7</v>
      </c>
      <c r="O17" s="522">
        <f t="shared" si="0"/>
        <v>84</v>
      </c>
      <c r="P17" s="522">
        <f t="shared" si="1"/>
        <v>0</v>
      </c>
    </row>
    <row r="18" spans="1:16">
      <c r="A18" s="449">
        <v>9</v>
      </c>
      <c r="B18" s="449">
        <v>663</v>
      </c>
      <c r="C18">
        <v>195</v>
      </c>
      <c r="D18">
        <v>195</v>
      </c>
      <c r="E18">
        <v>195</v>
      </c>
      <c r="F18">
        <v>196</v>
      </c>
      <c r="G18">
        <v>195</v>
      </c>
      <c r="H18">
        <v>193</v>
      </c>
      <c r="I18">
        <v>193</v>
      </c>
      <c r="J18">
        <v>193</v>
      </c>
      <c r="K18" s="521">
        <v>193</v>
      </c>
      <c r="L18" s="521">
        <v>192</v>
      </c>
      <c r="M18" s="548">
        <v>192</v>
      </c>
      <c r="N18" s="548">
        <v>193</v>
      </c>
      <c r="O18" s="522">
        <f t="shared" si="0"/>
        <v>2325</v>
      </c>
      <c r="P18" s="522">
        <f t="shared" si="1"/>
        <v>-2</v>
      </c>
    </row>
    <row r="19" spans="1:16">
      <c r="A19" s="449">
        <v>10</v>
      </c>
      <c r="B19" s="449" t="s">
        <v>19</v>
      </c>
      <c r="C19">
        <v>7</v>
      </c>
      <c r="D19">
        <v>7</v>
      </c>
      <c r="E19">
        <v>7</v>
      </c>
      <c r="F19">
        <v>7</v>
      </c>
      <c r="G19">
        <v>7</v>
      </c>
      <c r="H19">
        <v>7</v>
      </c>
      <c r="I19">
        <v>7</v>
      </c>
      <c r="J19">
        <v>7</v>
      </c>
      <c r="K19" s="548">
        <v>7</v>
      </c>
      <c r="L19" s="548">
        <v>7</v>
      </c>
      <c r="M19" s="548">
        <v>7</v>
      </c>
      <c r="N19" s="548">
        <v>7</v>
      </c>
      <c r="O19" s="522">
        <f t="shared" si="0"/>
        <v>84</v>
      </c>
      <c r="P19" s="522">
        <f t="shared" si="1"/>
        <v>0</v>
      </c>
    </row>
    <row r="20" spans="1:16">
      <c r="A20" s="449">
        <v>11</v>
      </c>
      <c r="C20" s="522">
        <f>SUM(C10:C19)</f>
        <v>231428</v>
      </c>
      <c r="D20" s="522">
        <f t="shared" ref="D20:N20" si="2">SUM(D10:D19)</f>
        <v>231517</v>
      </c>
      <c r="E20" s="522">
        <f t="shared" si="2"/>
        <v>231517</v>
      </c>
      <c r="F20" s="522">
        <f t="shared" si="2"/>
        <v>231538</v>
      </c>
      <c r="G20" s="522">
        <f t="shared" si="2"/>
        <v>231171</v>
      </c>
      <c r="H20" s="522">
        <f t="shared" si="2"/>
        <v>231112</v>
      </c>
      <c r="I20" s="522">
        <f t="shared" si="2"/>
        <v>230953</v>
      </c>
      <c r="J20" s="522">
        <f t="shared" si="2"/>
        <v>230726</v>
      </c>
      <c r="K20" s="522">
        <f t="shared" si="2"/>
        <v>230942</v>
      </c>
      <c r="L20" s="522">
        <f t="shared" si="2"/>
        <v>231948</v>
      </c>
      <c r="M20" s="522">
        <f t="shared" si="2"/>
        <v>232637</v>
      </c>
      <c r="N20" s="522">
        <f t="shared" si="2"/>
        <v>232973</v>
      </c>
    </row>
  </sheetData>
  <mergeCells count="6">
    <mergeCell ref="B6:O6"/>
    <mergeCell ref="B1:O1"/>
    <mergeCell ref="B2:O2"/>
    <mergeCell ref="B3:O3"/>
    <mergeCell ref="B4:O4"/>
    <mergeCell ref="B5:O5"/>
  </mergeCells>
  <pageMargins left="0.7" right="0.7" top="0.75" bottom="0.75" header="0.3" footer="0.3"/>
  <pageSetup scale="51" orientation="portrait" r:id="rId1"/>
  <headerFooter>
    <oddHeader>&amp;RPage &amp;P of &amp;N</oddHeader>
    <oddFooter>&amp;L&amp;A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507D1-3C4C-4FE4-915C-008181D5C470}">
  <sheetPr codeName="Sheet55">
    <pageSetUpPr fitToPage="1"/>
  </sheetPr>
  <dimension ref="A1:O91"/>
  <sheetViews>
    <sheetView view="pageBreakPreview" zoomScale="60" zoomScaleNormal="100" workbookViewId="0">
      <selection activeCell="A9" sqref="A9:A29"/>
    </sheetView>
  </sheetViews>
  <sheetFormatPr defaultRowHeight="15"/>
  <cols>
    <col min="1" max="1" width="10.28515625" customWidth="1"/>
    <col min="2" max="2" width="12.42578125" bestFit="1" customWidth="1"/>
    <col min="3" max="3" width="6.42578125" bestFit="1" customWidth="1"/>
    <col min="4" max="4" width="12.7109375" bestFit="1" customWidth="1"/>
    <col min="5" max="6" width="12.5703125" bestFit="1" customWidth="1"/>
    <col min="7" max="8" width="13.7109375" bestFit="1" customWidth="1"/>
    <col min="9" max="9" width="12.5703125" bestFit="1" customWidth="1"/>
    <col min="10" max="10" width="16.5703125" customWidth="1"/>
  </cols>
  <sheetData>
    <row r="1" spans="1:15">
      <c r="B1" s="1423" t="str">
        <f>+'Monthly Billed Revenues'!B1</f>
        <v>Cascade Natural Gas Corp.</v>
      </c>
      <c r="C1" s="1423"/>
      <c r="D1" s="1423"/>
      <c r="E1" s="1423"/>
      <c r="F1" s="1423"/>
      <c r="G1" s="1423"/>
      <c r="H1" s="1423"/>
      <c r="I1" s="4"/>
      <c r="J1" s="4"/>
      <c r="K1" s="4"/>
      <c r="L1" s="4"/>
      <c r="M1" s="4"/>
      <c r="N1" s="4"/>
      <c r="O1" s="4"/>
    </row>
    <row r="2" spans="1:15">
      <c r="B2" s="1423" t="str">
        <f>+'Monthly Billed Revenues'!B2</f>
        <v>Washington Jurisdiction</v>
      </c>
      <c r="C2" s="1423"/>
      <c r="D2" s="1423"/>
      <c r="E2" s="1423"/>
      <c r="F2" s="1423"/>
      <c r="G2" s="1423"/>
      <c r="H2" s="1423"/>
      <c r="I2" s="4"/>
      <c r="J2" s="4"/>
      <c r="K2" s="4"/>
      <c r="L2" s="4"/>
      <c r="M2" s="4"/>
      <c r="N2" s="4"/>
      <c r="O2" s="4"/>
    </row>
    <row r="3" spans="1:15">
      <c r="B3" s="1423" t="str">
        <f>+'Monthly Billed Revenues'!B3</f>
        <v>Twelve-Months ended December 31, 2023</v>
      </c>
      <c r="C3" s="1423"/>
      <c r="D3" s="1423"/>
      <c r="E3" s="1423"/>
      <c r="F3" s="1423"/>
      <c r="G3" s="1423"/>
      <c r="H3" s="1423"/>
      <c r="I3" s="4"/>
      <c r="J3" s="4"/>
      <c r="K3" s="4"/>
      <c r="L3" s="4"/>
      <c r="M3" s="4"/>
      <c r="N3" s="4"/>
      <c r="O3" s="4"/>
    </row>
    <row r="4" spans="1:15">
      <c r="B4" s="1423" t="str">
        <f>+'Monthly Billed Revenues'!B4</f>
        <v>UG-240008</v>
      </c>
      <c r="C4" s="1423"/>
      <c r="D4" s="1423"/>
      <c r="E4" s="1423"/>
      <c r="F4" s="1423"/>
      <c r="G4" s="1423"/>
      <c r="H4" s="1423"/>
      <c r="I4" s="4"/>
      <c r="J4" s="4"/>
      <c r="K4" s="4"/>
      <c r="L4" s="4"/>
      <c r="M4" s="4"/>
      <c r="N4" s="4"/>
      <c r="O4" s="4"/>
    </row>
    <row r="5" spans="1:15">
      <c r="B5" s="1423" t="s">
        <v>222</v>
      </c>
      <c r="C5" s="1423"/>
      <c r="D5" s="1423"/>
      <c r="E5" s="1423"/>
      <c r="F5" s="1423"/>
      <c r="G5" s="1423"/>
      <c r="H5" s="1423"/>
      <c r="I5" s="4"/>
      <c r="J5" s="4"/>
      <c r="K5" s="4"/>
      <c r="L5" s="4"/>
      <c r="M5" s="4"/>
      <c r="N5" s="4"/>
      <c r="O5" s="4"/>
    </row>
    <row r="6" spans="1:15">
      <c r="B6" s="1423" t="s">
        <v>348</v>
      </c>
      <c r="C6" s="1423"/>
      <c r="D6" s="1423"/>
      <c r="E6" s="1423"/>
      <c r="F6" s="1423"/>
      <c r="G6" s="1423"/>
      <c r="H6" s="1423"/>
    </row>
    <row r="7" spans="1:15">
      <c r="A7" s="644" t="s">
        <v>536</v>
      </c>
      <c r="B7" s="54"/>
      <c r="C7" s="54"/>
      <c r="D7" s="933"/>
      <c r="E7" s="933"/>
      <c r="F7" s="933"/>
      <c r="G7" s="933"/>
      <c r="H7" s="933"/>
    </row>
    <row r="8" spans="1:15">
      <c r="A8" s="487"/>
      <c r="B8" s="487" t="s">
        <v>439</v>
      </c>
      <c r="C8" s="487" t="s">
        <v>208</v>
      </c>
      <c r="D8" s="706" t="s">
        <v>209</v>
      </c>
      <c r="E8" s="706" t="s">
        <v>440</v>
      </c>
      <c r="F8" s="706" t="s">
        <v>441</v>
      </c>
      <c r="G8" s="706" t="s">
        <v>442</v>
      </c>
      <c r="H8" s="706" t="s">
        <v>443</v>
      </c>
    </row>
    <row r="9" spans="1:15">
      <c r="A9" s="449">
        <v>1</v>
      </c>
      <c r="B9" s="531" t="s">
        <v>104</v>
      </c>
      <c r="C9" s="531" t="s">
        <v>349</v>
      </c>
      <c r="D9" s="531" t="s">
        <v>350</v>
      </c>
      <c r="E9" s="531" t="s">
        <v>351</v>
      </c>
      <c r="F9" s="531" t="s">
        <v>352</v>
      </c>
      <c r="G9" s="531" t="s">
        <v>195</v>
      </c>
      <c r="H9" s="449" t="s">
        <v>353</v>
      </c>
    </row>
    <row r="10" spans="1:15">
      <c r="A10" s="449">
        <v>2</v>
      </c>
      <c r="B10" t="s">
        <v>295</v>
      </c>
      <c r="C10">
        <v>1</v>
      </c>
      <c r="D10" s="362">
        <v>210334</v>
      </c>
      <c r="E10" s="362">
        <v>819245</v>
      </c>
      <c r="F10" s="362">
        <v>818315</v>
      </c>
      <c r="G10" s="532">
        <f>SUM(D10:F10)</f>
        <v>1847894</v>
      </c>
      <c r="H10" s="522">
        <f>SUM(G10:G21)-'Rev Recon Summary'!Q52</f>
        <v>0</v>
      </c>
    </row>
    <row r="11" spans="1:15">
      <c r="A11" s="449">
        <v>3</v>
      </c>
      <c r="B11" t="s">
        <v>295</v>
      </c>
      <c r="C11">
        <v>2</v>
      </c>
      <c r="D11" s="362">
        <v>196164</v>
      </c>
      <c r="E11" s="362">
        <v>677756</v>
      </c>
      <c r="F11" s="362">
        <v>461005</v>
      </c>
      <c r="G11" s="532">
        <f t="shared" ref="G11:G21" si="0">SUM(D11:F11)</f>
        <v>1334925</v>
      </c>
    </row>
    <row r="12" spans="1:15">
      <c r="A12" s="449">
        <v>4</v>
      </c>
      <c r="B12" t="s">
        <v>295</v>
      </c>
      <c r="C12">
        <v>3</v>
      </c>
      <c r="D12" s="362">
        <v>205039</v>
      </c>
      <c r="E12" s="362">
        <v>739832</v>
      </c>
      <c r="F12" s="362">
        <v>704330</v>
      </c>
      <c r="G12" s="532">
        <f t="shared" si="0"/>
        <v>1649201</v>
      </c>
    </row>
    <row r="13" spans="1:15">
      <c r="A13" s="449">
        <v>5</v>
      </c>
      <c r="B13" t="s">
        <v>295</v>
      </c>
      <c r="C13">
        <v>4</v>
      </c>
      <c r="D13" s="362">
        <v>187566</v>
      </c>
      <c r="E13" s="362">
        <v>568849</v>
      </c>
      <c r="F13" s="362">
        <v>381295</v>
      </c>
      <c r="G13" s="532">
        <f t="shared" si="0"/>
        <v>1137710</v>
      </c>
    </row>
    <row r="14" spans="1:15">
      <c r="A14" s="449">
        <v>6</v>
      </c>
      <c r="B14" t="s">
        <v>295</v>
      </c>
      <c r="C14">
        <v>5</v>
      </c>
      <c r="D14" s="362">
        <v>158547</v>
      </c>
      <c r="E14" s="362">
        <v>448847</v>
      </c>
      <c r="F14" s="362">
        <v>280330</v>
      </c>
      <c r="G14" s="532">
        <f t="shared" si="0"/>
        <v>887724</v>
      </c>
    </row>
    <row r="15" spans="1:15">
      <c r="A15" s="449">
        <v>7</v>
      </c>
      <c r="B15" t="s">
        <v>295</v>
      </c>
      <c r="C15">
        <v>6</v>
      </c>
      <c r="D15" s="362">
        <v>101542</v>
      </c>
      <c r="E15" s="362">
        <v>276741</v>
      </c>
      <c r="F15" s="362">
        <v>161162</v>
      </c>
      <c r="G15" s="532">
        <f t="shared" si="0"/>
        <v>539445</v>
      </c>
    </row>
    <row r="16" spans="1:15">
      <c r="A16" s="449">
        <v>8</v>
      </c>
      <c r="B16" t="s">
        <v>295</v>
      </c>
      <c r="C16">
        <v>7</v>
      </c>
      <c r="D16" s="362">
        <v>86799</v>
      </c>
      <c r="E16" s="362">
        <v>222192</v>
      </c>
      <c r="F16" s="362">
        <v>130685</v>
      </c>
      <c r="G16" s="532">
        <f t="shared" si="0"/>
        <v>439676</v>
      </c>
    </row>
    <row r="17" spans="1:8">
      <c r="A17" s="449">
        <v>9</v>
      </c>
      <c r="B17" t="s">
        <v>295</v>
      </c>
      <c r="C17">
        <v>8</v>
      </c>
      <c r="D17" s="362">
        <v>82892</v>
      </c>
      <c r="E17" s="362">
        <v>232077</v>
      </c>
      <c r="F17" s="362">
        <v>170410</v>
      </c>
      <c r="G17" s="532">
        <f t="shared" si="0"/>
        <v>485379</v>
      </c>
    </row>
    <row r="18" spans="1:8">
      <c r="A18" s="449">
        <v>10</v>
      </c>
      <c r="B18" t="s">
        <v>295</v>
      </c>
      <c r="C18">
        <v>9</v>
      </c>
      <c r="D18" s="362">
        <v>87655</v>
      </c>
      <c r="E18" s="362">
        <v>242089</v>
      </c>
      <c r="F18" s="362">
        <v>205045</v>
      </c>
      <c r="G18" s="532">
        <f t="shared" si="0"/>
        <v>534789</v>
      </c>
    </row>
    <row r="19" spans="1:8">
      <c r="A19" s="449">
        <v>11</v>
      </c>
      <c r="B19" t="s">
        <v>295</v>
      </c>
      <c r="C19">
        <v>10</v>
      </c>
      <c r="D19" s="362">
        <v>109114</v>
      </c>
      <c r="E19" s="362">
        <v>315555</v>
      </c>
      <c r="F19" s="362">
        <v>494885</v>
      </c>
      <c r="G19" s="532">
        <f t="shared" si="0"/>
        <v>919554</v>
      </c>
    </row>
    <row r="20" spans="1:8">
      <c r="A20" s="449">
        <v>12</v>
      </c>
      <c r="B20" t="s">
        <v>295</v>
      </c>
      <c r="C20">
        <v>11</v>
      </c>
      <c r="D20" s="532">
        <v>159891</v>
      </c>
      <c r="E20" s="532">
        <v>443914</v>
      </c>
      <c r="F20" s="532">
        <v>385600</v>
      </c>
      <c r="G20" s="532">
        <f t="shared" si="0"/>
        <v>989405</v>
      </c>
    </row>
    <row r="21" spans="1:8">
      <c r="A21" s="449">
        <v>13</v>
      </c>
      <c r="B21" t="s">
        <v>295</v>
      </c>
      <c r="C21">
        <v>12</v>
      </c>
      <c r="D21" s="532">
        <v>192414</v>
      </c>
      <c r="E21" s="532">
        <v>638248</v>
      </c>
      <c r="F21" s="532">
        <v>526945</v>
      </c>
      <c r="G21" s="532">
        <f t="shared" si="0"/>
        <v>1357607</v>
      </c>
    </row>
    <row r="22" spans="1:8">
      <c r="A22" s="449">
        <v>14</v>
      </c>
      <c r="G22" s="532"/>
    </row>
    <row r="23" spans="1:8">
      <c r="A23" s="449">
        <v>15</v>
      </c>
      <c r="B23" s="531" t="s">
        <v>104</v>
      </c>
      <c r="C23" s="531" t="s">
        <v>349</v>
      </c>
      <c r="D23" s="531" t="s">
        <v>350</v>
      </c>
      <c r="E23" s="531" t="s">
        <v>351</v>
      </c>
      <c r="F23" s="531" t="s">
        <v>352</v>
      </c>
      <c r="G23" s="531" t="s">
        <v>195</v>
      </c>
      <c r="H23" s="449" t="s">
        <v>353</v>
      </c>
    </row>
    <row r="24" spans="1:8">
      <c r="A24" s="449">
        <v>16</v>
      </c>
      <c r="B24" t="s">
        <v>297</v>
      </c>
      <c r="C24">
        <v>1</v>
      </c>
      <c r="D24" s="362">
        <v>1342585</v>
      </c>
      <c r="E24" s="362">
        <v>658335</v>
      </c>
      <c r="F24" s="362">
        <v>217138</v>
      </c>
      <c r="G24" s="532">
        <f>SUM(D24:F24)</f>
        <v>2218058</v>
      </c>
      <c r="H24" s="522">
        <f>SUM(G24:G35)-'Rev Recon Summary'!Q72-SUM('Deficiency Billing'!D12:D21)</f>
        <v>0</v>
      </c>
    </row>
    <row r="25" spans="1:8">
      <c r="A25" s="449">
        <v>17</v>
      </c>
      <c r="B25" t="s">
        <v>297</v>
      </c>
      <c r="C25">
        <v>2</v>
      </c>
      <c r="D25" s="362">
        <v>1144123</v>
      </c>
      <c r="E25" s="362">
        <v>483350</v>
      </c>
      <c r="F25" s="362">
        <v>297521</v>
      </c>
      <c r="G25" s="532">
        <f t="shared" ref="G25:G35" si="1">SUM(D25:F25)</f>
        <v>1924994</v>
      </c>
    </row>
    <row r="26" spans="1:8">
      <c r="A26" s="449">
        <v>18</v>
      </c>
      <c r="B26" t="s">
        <v>297</v>
      </c>
      <c r="C26">
        <v>3</v>
      </c>
      <c r="D26" s="362">
        <f>1213200+SUM('Deficiency Billing'!D12:D14)</f>
        <v>1231096</v>
      </c>
      <c r="E26" s="362">
        <v>526480</v>
      </c>
      <c r="F26" s="362">
        <v>152857</v>
      </c>
      <c r="G26" s="532">
        <f t="shared" si="1"/>
        <v>1910433</v>
      </c>
    </row>
    <row r="27" spans="1:8">
      <c r="A27" s="449">
        <v>19</v>
      </c>
      <c r="B27" t="s">
        <v>297</v>
      </c>
      <c r="C27">
        <v>4</v>
      </c>
      <c r="D27" s="362">
        <v>905718</v>
      </c>
      <c r="E27" s="362">
        <v>315871</v>
      </c>
      <c r="F27" s="362">
        <v>56125</v>
      </c>
      <c r="G27" s="532">
        <f t="shared" si="1"/>
        <v>1277714</v>
      </c>
    </row>
    <row r="28" spans="1:8">
      <c r="A28" s="449">
        <v>20</v>
      </c>
      <c r="B28" t="s">
        <v>297</v>
      </c>
      <c r="C28">
        <v>5</v>
      </c>
      <c r="D28" s="362">
        <v>811545</v>
      </c>
      <c r="E28" s="362">
        <v>295764</v>
      </c>
      <c r="F28" s="362">
        <v>23004</v>
      </c>
      <c r="G28" s="532">
        <f t="shared" si="1"/>
        <v>1130313</v>
      </c>
    </row>
    <row r="29" spans="1:8">
      <c r="A29" s="449">
        <v>21</v>
      </c>
      <c r="B29" t="s">
        <v>297</v>
      </c>
      <c r="C29">
        <v>6</v>
      </c>
      <c r="D29" s="362">
        <v>487185</v>
      </c>
      <c r="E29" s="362">
        <v>208848</v>
      </c>
      <c r="F29" s="362">
        <v>23175</v>
      </c>
      <c r="G29" s="532">
        <f t="shared" si="1"/>
        <v>719208</v>
      </c>
    </row>
    <row r="30" spans="1:8">
      <c r="A30" s="449">
        <v>22</v>
      </c>
      <c r="B30" t="s">
        <v>297</v>
      </c>
      <c r="C30">
        <v>7</v>
      </c>
      <c r="D30" s="362">
        <f>420123+SUM('Deficiency Billing'!D16:D19)</f>
        <v>468252</v>
      </c>
      <c r="E30" s="362">
        <v>250427</v>
      </c>
      <c r="F30" s="362">
        <v>283853</v>
      </c>
      <c r="G30" s="532">
        <f t="shared" si="1"/>
        <v>1002532</v>
      </c>
    </row>
    <row r="31" spans="1:8">
      <c r="A31" s="449">
        <v>23</v>
      </c>
      <c r="B31" t="s">
        <v>297</v>
      </c>
      <c r="C31">
        <v>8</v>
      </c>
      <c r="D31" s="362">
        <v>392973</v>
      </c>
      <c r="E31" s="362">
        <v>265093</v>
      </c>
      <c r="F31" s="362">
        <v>306123</v>
      </c>
      <c r="G31" s="532">
        <f t="shared" si="1"/>
        <v>964189</v>
      </c>
    </row>
    <row r="32" spans="1:8">
      <c r="A32" s="449">
        <v>24</v>
      </c>
      <c r="B32" t="s">
        <v>297</v>
      </c>
      <c r="C32">
        <v>9</v>
      </c>
      <c r="D32" s="362">
        <f>343529+SUM('Deficiency Billing'!D21)</f>
        <v>351591</v>
      </c>
      <c r="E32" s="362">
        <v>135655</v>
      </c>
      <c r="F32" s="362">
        <v>21973</v>
      </c>
      <c r="G32" s="532">
        <f t="shared" si="1"/>
        <v>509219</v>
      </c>
    </row>
    <row r="33" spans="1:8">
      <c r="A33" s="449">
        <v>25</v>
      </c>
      <c r="B33" t="s">
        <v>297</v>
      </c>
      <c r="C33">
        <v>10</v>
      </c>
      <c r="D33" s="362">
        <v>494278</v>
      </c>
      <c r="E33" s="362">
        <v>287332</v>
      </c>
      <c r="F33" s="362"/>
      <c r="G33" s="532">
        <f t="shared" si="1"/>
        <v>781610</v>
      </c>
    </row>
    <row r="34" spans="1:8">
      <c r="A34" s="449">
        <v>26</v>
      </c>
      <c r="B34" t="s">
        <v>297</v>
      </c>
      <c r="C34">
        <v>11</v>
      </c>
      <c r="D34" s="532">
        <v>736699</v>
      </c>
      <c r="E34" s="532">
        <v>238996</v>
      </c>
      <c r="F34" s="532">
        <v>37756</v>
      </c>
      <c r="G34" s="532">
        <f t="shared" si="1"/>
        <v>1013451</v>
      </c>
    </row>
    <row r="35" spans="1:8">
      <c r="A35" s="449">
        <v>27</v>
      </c>
      <c r="B35" t="s">
        <v>297</v>
      </c>
      <c r="C35">
        <v>12</v>
      </c>
      <c r="D35" s="532">
        <v>1097432</v>
      </c>
      <c r="E35" s="532">
        <v>371671</v>
      </c>
      <c r="F35" s="532">
        <v>71246</v>
      </c>
      <c r="G35" s="532">
        <f t="shared" si="1"/>
        <v>1540349</v>
      </c>
    </row>
    <row r="36" spans="1:8">
      <c r="A36" s="449">
        <v>28</v>
      </c>
    </row>
    <row r="37" spans="1:8">
      <c r="A37" s="449">
        <v>29</v>
      </c>
      <c r="B37" s="531" t="s">
        <v>104</v>
      </c>
      <c r="C37" s="531" t="s">
        <v>349</v>
      </c>
      <c r="D37" s="531" t="s">
        <v>350</v>
      </c>
      <c r="E37" s="531" t="s">
        <v>351</v>
      </c>
      <c r="F37" s="531" t="s">
        <v>352</v>
      </c>
      <c r="G37" s="531" t="s">
        <v>195</v>
      </c>
      <c r="H37" s="449" t="s">
        <v>353</v>
      </c>
    </row>
    <row r="38" spans="1:8">
      <c r="A38" s="449">
        <v>30</v>
      </c>
      <c r="B38" t="s">
        <v>300</v>
      </c>
      <c r="C38">
        <v>2</v>
      </c>
      <c r="D38" s="362">
        <v>60000</v>
      </c>
      <c r="E38" s="362">
        <v>95113</v>
      </c>
      <c r="F38" s="362"/>
      <c r="G38" s="362">
        <f t="shared" ref="G38:G49" si="2">SUM(D38:F38)</f>
        <v>155113</v>
      </c>
      <c r="H38" s="522">
        <f>SUM(G38:G49)-'Rev Recon Summary'!Q357</f>
        <v>0</v>
      </c>
    </row>
    <row r="39" spans="1:8">
      <c r="A39" s="449">
        <v>31</v>
      </c>
      <c r="B39" t="s">
        <v>300</v>
      </c>
      <c r="C39">
        <v>3</v>
      </c>
      <c r="D39" s="362">
        <v>58080</v>
      </c>
      <c r="E39" s="362">
        <v>68666</v>
      </c>
      <c r="F39" s="362"/>
      <c r="G39" s="362">
        <f t="shared" si="2"/>
        <v>126746</v>
      </c>
    </row>
    <row r="40" spans="1:8">
      <c r="A40" s="449">
        <v>32</v>
      </c>
      <c r="B40" t="s">
        <v>300</v>
      </c>
      <c r="C40">
        <v>4</v>
      </c>
      <c r="D40" s="362">
        <v>54670</v>
      </c>
      <c r="E40" s="362">
        <v>48354</v>
      </c>
      <c r="F40" s="362"/>
      <c r="G40" s="362">
        <f t="shared" si="2"/>
        <v>103024</v>
      </c>
    </row>
    <row r="41" spans="1:8">
      <c r="A41" s="449">
        <v>33</v>
      </c>
      <c r="B41" t="s">
        <v>300</v>
      </c>
      <c r="C41">
        <v>5</v>
      </c>
      <c r="D41" s="362">
        <v>49764</v>
      </c>
      <c r="E41" s="362">
        <v>14886</v>
      </c>
      <c r="F41" s="362"/>
      <c r="G41" s="362">
        <f t="shared" si="2"/>
        <v>64650</v>
      </c>
    </row>
    <row r="42" spans="1:8">
      <c r="A42" s="449">
        <v>34</v>
      </c>
      <c r="B42" t="s">
        <v>300</v>
      </c>
      <c r="C42">
        <v>6</v>
      </c>
      <c r="D42" s="362">
        <v>22585</v>
      </c>
      <c r="E42" s="362"/>
      <c r="F42" s="362"/>
      <c r="G42" s="362">
        <f t="shared" si="2"/>
        <v>22585</v>
      </c>
    </row>
    <row r="43" spans="1:8">
      <c r="A43" s="449">
        <v>35</v>
      </c>
      <c r="B43" t="s">
        <v>300</v>
      </c>
      <c r="C43">
        <v>7</v>
      </c>
      <c r="D43" s="362">
        <v>9634</v>
      </c>
      <c r="E43" s="362"/>
      <c r="F43" s="362"/>
      <c r="G43" s="362">
        <f t="shared" si="2"/>
        <v>9634</v>
      </c>
    </row>
    <row r="44" spans="1:8">
      <c r="A44" s="449">
        <v>36</v>
      </c>
      <c r="B44" t="s">
        <v>300</v>
      </c>
      <c r="C44">
        <v>8</v>
      </c>
      <c r="D44" s="362">
        <v>7235</v>
      </c>
      <c r="E44" s="362"/>
      <c r="F44" s="362"/>
      <c r="G44" s="362">
        <f t="shared" si="2"/>
        <v>7235</v>
      </c>
    </row>
    <row r="45" spans="1:8">
      <c r="A45" s="449">
        <v>37</v>
      </c>
      <c r="B45" t="s">
        <v>300</v>
      </c>
      <c r="C45">
        <v>9</v>
      </c>
      <c r="D45" s="362">
        <v>6090</v>
      </c>
      <c r="E45" s="362"/>
      <c r="F45" s="362"/>
      <c r="G45" s="362">
        <f t="shared" si="2"/>
        <v>6090</v>
      </c>
    </row>
    <row r="46" spans="1:8">
      <c r="A46" s="449">
        <v>38</v>
      </c>
      <c r="B46" t="s">
        <v>300</v>
      </c>
      <c r="C46">
        <v>10</v>
      </c>
      <c r="D46" s="362">
        <v>9932</v>
      </c>
      <c r="E46" s="362"/>
      <c r="F46" s="362"/>
      <c r="G46" s="362">
        <f t="shared" si="2"/>
        <v>9932</v>
      </c>
    </row>
    <row r="47" spans="1:8">
      <c r="A47" s="449">
        <v>39</v>
      </c>
      <c r="B47" t="s">
        <v>300</v>
      </c>
      <c r="C47">
        <v>11</v>
      </c>
      <c r="D47" s="362">
        <v>50755</v>
      </c>
      <c r="E47" s="362">
        <v>1499</v>
      </c>
      <c r="F47" s="362"/>
      <c r="G47" s="362">
        <f t="shared" si="2"/>
        <v>52254</v>
      </c>
    </row>
    <row r="48" spans="1:8">
      <c r="A48" s="449">
        <v>40</v>
      </c>
      <c r="B48" t="s">
        <v>300</v>
      </c>
      <c r="C48">
        <v>12</v>
      </c>
      <c r="D48" s="532">
        <v>57982</v>
      </c>
      <c r="E48" s="532">
        <v>62313</v>
      </c>
      <c r="F48" s="532"/>
      <c r="G48" s="532">
        <f t="shared" si="2"/>
        <v>120295</v>
      </c>
    </row>
    <row r="49" spans="1:8">
      <c r="A49" s="449">
        <v>41</v>
      </c>
      <c r="B49" t="s">
        <v>300</v>
      </c>
      <c r="C49">
        <v>1</v>
      </c>
      <c r="D49" s="532">
        <v>60000</v>
      </c>
      <c r="E49" s="532">
        <v>71711</v>
      </c>
      <c r="F49" s="532"/>
      <c r="G49" s="532">
        <f t="shared" si="2"/>
        <v>131711</v>
      </c>
    </row>
    <row r="50" spans="1:8">
      <c r="A50" s="449">
        <v>42</v>
      </c>
      <c r="G50" s="362"/>
    </row>
    <row r="51" spans="1:8">
      <c r="A51" s="449">
        <v>43</v>
      </c>
      <c r="B51" s="531" t="s">
        <v>104</v>
      </c>
      <c r="C51" s="531" t="s">
        <v>349</v>
      </c>
      <c r="D51" s="531" t="s">
        <v>350</v>
      </c>
      <c r="E51" s="531" t="s">
        <v>351</v>
      </c>
      <c r="G51" s="531" t="s">
        <v>195</v>
      </c>
      <c r="H51" s="449" t="s">
        <v>353</v>
      </c>
    </row>
    <row r="52" spans="1:8">
      <c r="A52" s="449">
        <v>44</v>
      </c>
      <c r="B52" t="s">
        <v>310</v>
      </c>
      <c r="C52">
        <v>2</v>
      </c>
      <c r="D52" s="362">
        <v>109827</v>
      </c>
      <c r="E52" s="362">
        <v>144908</v>
      </c>
      <c r="F52" s="362"/>
      <c r="G52" s="362">
        <f t="shared" ref="G52:G63" si="3">SUM(D52:F52)</f>
        <v>254735</v>
      </c>
      <c r="H52" s="522">
        <f>SUM(G52:G63)-'Rev Recon Summary'!Q116</f>
        <v>0</v>
      </c>
    </row>
    <row r="53" spans="1:8">
      <c r="A53" s="449">
        <v>45</v>
      </c>
      <c r="B53" t="s">
        <v>310</v>
      </c>
      <c r="C53">
        <v>3</v>
      </c>
      <c r="D53" s="362">
        <v>104304</v>
      </c>
      <c r="E53" s="362">
        <v>129007</v>
      </c>
      <c r="F53" s="362"/>
      <c r="G53" s="362">
        <f t="shared" si="3"/>
        <v>233311</v>
      </c>
    </row>
    <row r="54" spans="1:8">
      <c r="A54" s="449">
        <v>46</v>
      </c>
      <c r="B54" t="s">
        <v>310</v>
      </c>
      <c r="C54">
        <v>4</v>
      </c>
      <c r="D54" s="362">
        <v>104357</v>
      </c>
      <c r="E54" s="362">
        <v>140256</v>
      </c>
      <c r="F54" s="362"/>
      <c r="G54" s="362">
        <f t="shared" si="3"/>
        <v>244613</v>
      </c>
    </row>
    <row r="55" spans="1:8">
      <c r="A55" s="449">
        <v>47</v>
      </c>
      <c r="B55" t="s">
        <v>310</v>
      </c>
      <c r="C55">
        <v>5</v>
      </c>
      <c r="D55" s="362">
        <v>97552</v>
      </c>
      <c r="E55" s="362">
        <v>110343</v>
      </c>
      <c r="F55" s="362"/>
      <c r="G55" s="362">
        <f t="shared" si="3"/>
        <v>207895</v>
      </c>
    </row>
    <row r="56" spans="1:8">
      <c r="A56" s="449">
        <v>48</v>
      </c>
      <c r="B56" t="s">
        <v>310</v>
      </c>
      <c r="C56">
        <v>6</v>
      </c>
      <c r="D56" s="362">
        <v>84290</v>
      </c>
      <c r="E56" s="362">
        <v>39428</v>
      </c>
      <c r="F56" s="362"/>
      <c r="G56" s="362">
        <f t="shared" si="3"/>
        <v>123718</v>
      </c>
    </row>
    <row r="57" spans="1:8">
      <c r="A57" s="449">
        <v>49</v>
      </c>
      <c r="B57" t="s">
        <v>310</v>
      </c>
      <c r="C57">
        <v>7</v>
      </c>
      <c r="D57" s="362">
        <v>72449</v>
      </c>
      <c r="E57" s="362">
        <v>26239</v>
      </c>
      <c r="F57" s="362"/>
      <c r="G57" s="362">
        <f t="shared" si="3"/>
        <v>98688</v>
      </c>
    </row>
    <row r="58" spans="1:8">
      <c r="A58" s="449">
        <v>50</v>
      </c>
      <c r="B58" t="s">
        <v>310</v>
      </c>
      <c r="C58">
        <v>8</v>
      </c>
      <c r="D58" s="362">
        <v>67299</v>
      </c>
      <c r="E58" s="362">
        <v>18903</v>
      </c>
      <c r="F58" s="362"/>
      <c r="G58" s="362">
        <f t="shared" si="3"/>
        <v>86202</v>
      </c>
    </row>
    <row r="59" spans="1:8">
      <c r="A59" s="449">
        <v>51</v>
      </c>
      <c r="B59" t="s">
        <v>310</v>
      </c>
      <c r="C59">
        <v>9</v>
      </c>
      <c r="D59" s="362">
        <v>69428</v>
      </c>
      <c r="E59" s="362">
        <v>15703</v>
      </c>
      <c r="F59" s="362"/>
      <c r="G59" s="362">
        <f t="shared" si="3"/>
        <v>85131</v>
      </c>
    </row>
    <row r="60" spans="1:8">
      <c r="A60" s="449">
        <v>52</v>
      </c>
      <c r="B60" t="s">
        <v>310</v>
      </c>
      <c r="C60">
        <v>10</v>
      </c>
      <c r="D60" s="362">
        <v>78588</v>
      </c>
      <c r="E60" s="362">
        <v>28685</v>
      </c>
      <c r="F60" s="362"/>
      <c r="G60" s="362">
        <f t="shared" si="3"/>
        <v>107273</v>
      </c>
    </row>
    <row r="61" spans="1:8">
      <c r="A61" s="449">
        <v>53</v>
      </c>
      <c r="B61" t="s">
        <v>310</v>
      </c>
      <c r="C61">
        <v>11</v>
      </c>
      <c r="D61" s="362">
        <v>93462</v>
      </c>
      <c r="E61" s="362">
        <v>76146</v>
      </c>
      <c r="F61" s="362"/>
      <c r="G61" s="362">
        <f t="shared" si="3"/>
        <v>169608</v>
      </c>
    </row>
    <row r="62" spans="1:8">
      <c r="A62" s="449">
        <v>54</v>
      </c>
      <c r="B62" t="s">
        <v>310</v>
      </c>
      <c r="C62">
        <v>12</v>
      </c>
      <c r="D62" s="532">
        <v>100454</v>
      </c>
      <c r="E62" s="532">
        <v>136443</v>
      </c>
      <c r="F62" s="532"/>
      <c r="G62" s="532">
        <f t="shared" si="3"/>
        <v>236897</v>
      </c>
    </row>
    <row r="63" spans="1:8">
      <c r="A63" s="449">
        <v>55</v>
      </c>
      <c r="B63" t="s">
        <v>310</v>
      </c>
      <c r="C63">
        <v>1</v>
      </c>
      <c r="D63" s="532">
        <v>104588</v>
      </c>
      <c r="E63" s="532">
        <v>144939</v>
      </c>
      <c r="F63" s="532"/>
      <c r="G63" s="532">
        <f t="shared" si="3"/>
        <v>249527</v>
      </c>
    </row>
    <row r="64" spans="1:8">
      <c r="A64" s="449">
        <v>56</v>
      </c>
    </row>
    <row r="65" spans="1:9">
      <c r="A65" s="449">
        <v>57</v>
      </c>
      <c r="B65" s="531" t="s">
        <v>104</v>
      </c>
      <c r="C65" s="531" t="s">
        <v>349</v>
      </c>
      <c r="D65" s="531" t="s">
        <v>350</v>
      </c>
      <c r="E65" s="531" t="s">
        <v>351</v>
      </c>
      <c r="F65" s="531" t="s">
        <v>352</v>
      </c>
      <c r="G65" s="531" t="s">
        <v>354</v>
      </c>
      <c r="H65" s="531" t="s">
        <v>195</v>
      </c>
      <c r="I65" s="449" t="s">
        <v>353</v>
      </c>
    </row>
    <row r="66" spans="1:9">
      <c r="A66" s="449">
        <v>58</v>
      </c>
      <c r="B66" t="s">
        <v>301</v>
      </c>
      <c r="C66">
        <v>2</v>
      </c>
      <c r="D66" s="362">
        <v>8642373</v>
      </c>
      <c r="E66" s="362">
        <v>6128574</v>
      </c>
      <c r="F66" s="362">
        <v>3474636</v>
      </c>
      <c r="G66" s="362">
        <v>31453920</v>
      </c>
      <c r="H66" s="362">
        <f t="shared" ref="H66:H77" si="4">SUM(D66:G66)</f>
        <v>49699503</v>
      </c>
      <c r="I66" s="522">
        <f>SUM(H66:H77)-'Rev Recon Summary'!Q137-'Rev Recon Summary'!Q257-('Rev Recon Summary'!G132+'Rev Recon Summary'!G136)-('Rev Recon Summary'!P132+'Rev Recon Summary'!P136)</f>
        <v>0</v>
      </c>
    </row>
    <row r="67" spans="1:9">
      <c r="A67" s="449">
        <v>59</v>
      </c>
      <c r="B67" t="s">
        <v>301</v>
      </c>
      <c r="C67">
        <v>3</v>
      </c>
      <c r="D67" s="362">
        <v>8557200</v>
      </c>
      <c r="E67" s="362">
        <v>5587599</v>
      </c>
      <c r="F67" s="362">
        <v>2999853</v>
      </c>
      <c r="G67" s="362">
        <v>28428587</v>
      </c>
      <c r="H67" s="362">
        <f t="shared" si="4"/>
        <v>45573239</v>
      </c>
    </row>
    <row r="68" spans="1:9">
      <c r="A68" s="449">
        <v>60</v>
      </c>
      <c r="B68" t="s">
        <v>301</v>
      </c>
      <c r="C68">
        <v>4</v>
      </c>
      <c r="D68" s="362">
        <v>8671454</v>
      </c>
      <c r="E68" s="362">
        <v>6019154</v>
      </c>
      <c r="F68" s="362">
        <v>3033689</v>
      </c>
      <c r="G68" s="362">
        <v>40203643</v>
      </c>
      <c r="H68" s="362">
        <f t="shared" si="4"/>
        <v>57927940</v>
      </c>
    </row>
    <row r="69" spans="1:9">
      <c r="A69" s="449">
        <v>61</v>
      </c>
      <c r="B69" t="s">
        <v>301</v>
      </c>
      <c r="C69">
        <v>5</v>
      </c>
      <c r="D69" s="362">
        <v>7935528</v>
      </c>
      <c r="E69" s="362">
        <v>5346205</v>
      </c>
      <c r="F69" s="362">
        <v>2896678</v>
      </c>
      <c r="G69" s="362">
        <v>40755504</v>
      </c>
      <c r="H69" s="362">
        <f t="shared" si="4"/>
        <v>56933915</v>
      </c>
    </row>
    <row r="70" spans="1:9">
      <c r="A70" s="449">
        <v>62</v>
      </c>
      <c r="B70" t="s">
        <v>301</v>
      </c>
      <c r="C70">
        <v>6</v>
      </c>
      <c r="D70" s="362">
        <v>7610975</v>
      </c>
      <c r="E70" s="362">
        <v>5082598</v>
      </c>
      <c r="F70" s="362">
        <v>2471792</v>
      </c>
      <c r="G70" s="362">
        <v>15547954</v>
      </c>
      <c r="H70" s="362">
        <f t="shared" si="4"/>
        <v>30713319</v>
      </c>
    </row>
    <row r="71" spans="1:9">
      <c r="A71" s="449">
        <v>63</v>
      </c>
      <c r="B71" t="s">
        <v>301</v>
      </c>
      <c r="C71">
        <v>7</v>
      </c>
      <c r="D71" s="362">
        <v>7496896</v>
      </c>
      <c r="E71" s="362">
        <v>4803601</v>
      </c>
      <c r="F71" s="362">
        <v>2053301</v>
      </c>
      <c r="G71" s="362">
        <v>18897084</v>
      </c>
      <c r="H71" s="362">
        <f t="shared" si="4"/>
        <v>33250882</v>
      </c>
    </row>
    <row r="72" spans="1:9">
      <c r="A72" s="449">
        <v>64</v>
      </c>
      <c r="B72" t="s">
        <v>301</v>
      </c>
      <c r="C72">
        <v>8</v>
      </c>
      <c r="D72" s="362">
        <v>7197138</v>
      </c>
      <c r="E72" s="362">
        <v>4558678</v>
      </c>
      <c r="F72" s="362">
        <v>1940069</v>
      </c>
      <c r="G72" s="362">
        <v>37473886</v>
      </c>
      <c r="H72" s="362">
        <f t="shared" si="4"/>
        <v>51169771</v>
      </c>
    </row>
    <row r="73" spans="1:9">
      <c r="A73" s="449">
        <v>65</v>
      </c>
      <c r="B73" t="s">
        <v>301</v>
      </c>
      <c r="C73">
        <v>9</v>
      </c>
      <c r="D73" s="362">
        <v>7670609</v>
      </c>
      <c r="E73" s="362">
        <v>5527679</v>
      </c>
      <c r="F73" s="362">
        <v>2600967</v>
      </c>
      <c r="G73" s="362">
        <v>42886992</v>
      </c>
      <c r="H73" s="362">
        <f t="shared" si="4"/>
        <v>58686247</v>
      </c>
    </row>
    <row r="74" spans="1:9">
      <c r="A74" s="449">
        <v>66</v>
      </c>
      <c r="B74" t="s">
        <v>301</v>
      </c>
      <c r="C74">
        <v>10</v>
      </c>
      <c r="D74" s="362">
        <v>8576431</v>
      </c>
      <c r="E74" s="362">
        <v>5876362</v>
      </c>
      <c r="F74" s="362">
        <v>2549735</v>
      </c>
      <c r="G74" s="362">
        <v>45858623</v>
      </c>
      <c r="H74" s="362">
        <f t="shared" si="4"/>
        <v>62861151</v>
      </c>
    </row>
    <row r="75" spans="1:9">
      <c r="A75" s="449">
        <v>67</v>
      </c>
      <c r="B75" t="s">
        <v>301</v>
      </c>
      <c r="C75">
        <v>11</v>
      </c>
      <c r="D75" s="362">
        <v>9161123</v>
      </c>
      <c r="E75" s="362">
        <v>6831925</v>
      </c>
      <c r="F75" s="362">
        <v>3150265</v>
      </c>
      <c r="G75" s="362">
        <v>44949887</v>
      </c>
      <c r="H75" s="362">
        <f t="shared" si="4"/>
        <v>64093200</v>
      </c>
    </row>
    <row r="76" spans="1:9">
      <c r="A76" s="449">
        <v>68</v>
      </c>
      <c r="B76" t="s">
        <v>301</v>
      </c>
      <c r="C76">
        <v>12</v>
      </c>
      <c r="D76" s="532">
        <v>8932364</v>
      </c>
      <c r="E76" s="532">
        <v>6268594</v>
      </c>
      <c r="F76" s="532">
        <v>2898971</v>
      </c>
      <c r="G76" s="532">
        <v>42933652</v>
      </c>
      <c r="H76" s="532">
        <f t="shared" si="4"/>
        <v>61033581</v>
      </c>
    </row>
    <row r="77" spans="1:9">
      <c r="A77" s="449">
        <v>69</v>
      </c>
      <c r="B77" t="s">
        <v>301</v>
      </c>
      <c r="C77">
        <v>1</v>
      </c>
      <c r="D77" s="532">
        <v>8394434</v>
      </c>
      <c r="E77" s="532">
        <v>5900703</v>
      </c>
      <c r="F77" s="532">
        <v>2863972</v>
      </c>
      <c r="G77" s="532">
        <v>47221926</v>
      </c>
      <c r="H77" s="532">
        <f t="shared" si="4"/>
        <v>64381035</v>
      </c>
    </row>
    <row r="78" spans="1:9">
      <c r="A78" s="449">
        <v>70</v>
      </c>
    </row>
    <row r="79" spans="1:9">
      <c r="A79" s="449">
        <v>71</v>
      </c>
      <c r="B79" s="531" t="s">
        <v>104</v>
      </c>
      <c r="C79" s="531" t="s">
        <v>349</v>
      </c>
      <c r="D79" s="531" t="s">
        <v>350</v>
      </c>
      <c r="E79" s="531" t="s">
        <v>351</v>
      </c>
      <c r="F79" s="531" t="s">
        <v>352</v>
      </c>
      <c r="G79" s="531" t="s">
        <v>354</v>
      </c>
      <c r="H79" s="531" t="s">
        <v>195</v>
      </c>
      <c r="I79" s="449" t="s">
        <v>353</v>
      </c>
    </row>
    <row r="80" spans="1:9">
      <c r="A80" s="449">
        <v>72</v>
      </c>
      <c r="B80" t="s">
        <v>309</v>
      </c>
      <c r="C80">
        <v>2</v>
      </c>
      <c r="D80" s="362">
        <v>200000</v>
      </c>
      <c r="E80" s="362">
        <v>400000</v>
      </c>
      <c r="F80" s="362">
        <v>400000</v>
      </c>
      <c r="G80" s="362">
        <v>22787542</v>
      </c>
      <c r="H80" s="362">
        <f t="shared" ref="H80:H91" si="5">SUM(D80:G80)</f>
        <v>23787542</v>
      </c>
      <c r="I80" s="522">
        <f>SUM(H80:H91)-'Rev Recon Summary'!Q277</f>
        <v>0</v>
      </c>
    </row>
    <row r="81" spans="1:8">
      <c r="A81" s="449">
        <v>73</v>
      </c>
      <c r="B81" t="s">
        <v>309</v>
      </c>
      <c r="C81">
        <v>3</v>
      </c>
      <c r="D81" s="362">
        <v>200000</v>
      </c>
      <c r="E81" s="362">
        <v>400000</v>
      </c>
      <c r="F81" s="362">
        <v>400000</v>
      </c>
      <c r="G81" s="362">
        <v>15212465</v>
      </c>
      <c r="H81" s="362">
        <f t="shared" si="5"/>
        <v>16212465</v>
      </c>
    </row>
    <row r="82" spans="1:8">
      <c r="A82" s="449">
        <v>74</v>
      </c>
      <c r="B82" t="s">
        <v>309</v>
      </c>
      <c r="C82">
        <v>4</v>
      </c>
      <c r="D82" s="362">
        <v>200000</v>
      </c>
      <c r="E82" s="362">
        <v>400000</v>
      </c>
      <c r="F82" s="362">
        <v>400000</v>
      </c>
      <c r="G82" s="362">
        <v>20964868</v>
      </c>
      <c r="H82" s="362">
        <f t="shared" si="5"/>
        <v>21964868</v>
      </c>
    </row>
    <row r="83" spans="1:8">
      <c r="A83" s="449">
        <v>75</v>
      </c>
      <c r="B83" t="s">
        <v>309</v>
      </c>
      <c r="C83">
        <v>5</v>
      </c>
      <c r="D83" s="362">
        <v>200000</v>
      </c>
      <c r="E83" s="362">
        <v>400000</v>
      </c>
      <c r="F83" s="362">
        <v>400000</v>
      </c>
      <c r="G83" s="362">
        <v>13371774</v>
      </c>
      <c r="H83" s="362">
        <f t="shared" si="5"/>
        <v>14371774</v>
      </c>
    </row>
    <row r="84" spans="1:8">
      <c r="A84" s="449">
        <v>76</v>
      </c>
      <c r="B84" t="s">
        <v>309</v>
      </c>
      <c r="C84">
        <v>6</v>
      </c>
      <c r="D84" s="362">
        <v>100000</v>
      </c>
      <c r="E84" s="362">
        <v>200000</v>
      </c>
      <c r="F84" s="362">
        <v>200000</v>
      </c>
      <c r="G84" s="362">
        <v>6329590</v>
      </c>
      <c r="H84" s="362">
        <f t="shared" si="5"/>
        <v>6829590</v>
      </c>
    </row>
    <row r="85" spans="1:8">
      <c r="A85" s="449">
        <v>77</v>
      </c>
      <c r="B85" t="s">
        <v>309</v>
      </c>
      <c r="C85">
        <v>7</v>
      </c>
      <c r="D85" s="362">
        <v>100000</v>
      </c>
      <c r="E85" s="362">
        <v>200000</v>
      </c>
      <c r="F85" s="362">
        <v>200000</v>
      </c>
      <c r="G85" s="362">
        <v>7116678</v>
      </c>
      <c r="H85" s="362">
        <f t="shared" si="5"/>
        <v>7616678</v>
      </c>
    </row>
    <row r="86" spans="1:8">
      <c r="A86" s="449">
        <v>78</v>
      </c>
      <c r="B86" t="s">
        <v>309</v>
      </c>
      <c r="C86">
        <v>8</v>
      </c>
      <c r="D86" s="362">
        <v>200000</v>
      </c>
      <c r="E86" s="362">
        <v>400000</v>
      </c>
      <c r="F86" s="362">
        <v>400000</v>
      </c>
      <c r="G86" s="362">
        <v>19533368</v>
      </c>
      <c r="H86" s="362">
        <f t="shared" si="5"/>
        <v>20533368</v>
      </c>
    </row>
    <row r="87" spans="1:8">
      <c r="A87" s="449">
        <v>79</v>
      </c>
      <c r="B87" t="s">
        <v>309</v>
      </c>
      <c r="C87">
        <v>9</v>
      </c>
      <c r="D87" s="362">
        <v>200000</v>
      </c>
      <c r="E87" s="362">
        <v>400000</v>
      </c>
      <c r="F87" s="362">
        <v>400000</v>
      </c>
      <c r="G87" s="362">
        <v>21955610</v>
      </c>
      <c r="H87" s="362">
        <f t="shared" si="5"/>
        <v>22955610</v>
      </c>
    </row>
    <row r="88" spans="1:8">
      <c r="A88" s="449">
        <v>80</v>
      </c>
      <c r="B88" t="s">
        <v>309</v>
      </c>
      <c r="C88">
        <v>10</v>
      </c>
      <c r="D88" s="362">
        <v>200000</v>
      </c>
      <c r="E88" s="362">
        <v>400000</v>
      </c>
      <c r="F88" s="362">
        <v>400000</v>
      </c>
      <c r="G88" s="362">
        <v>21268232</v>
      </c>
      <c r="H88" s="362">
        <f t="shared" si="5"/>
        <v>22268232</v>
      </c>
    </row>
    <row r="89" spans="1:8">
      <c r="A89" s="449">
        <v>81</v>
      </c>
      <c r="B89" t="s">
        <v>309</v>
      </c>
      <c r="C89">
        <v>11</v>
      </c>
      <c r="D89" s="362">
        <v>200000</v>
      </c>
      <c r="E89" s="362">
        <v>400000</v>
      </c>
      <c r="F89" s="362">
        <v>400000</v>
      </c>
      <c r="G89" s="362">
        <v>18853962</v>
      </c>
      <c r="H89" s="362">
        <f t="shared" si="5"/>
        <v>19853962</v>
      </c>
    </row>
    <row r="90" spans="1:8">
      <c r="A90" s="449">
        <v>82</v>
      </c>
      <c r="B90" t="s">
        <v>309</v>
      </c>
      <c r="C90">
        <v>12</v>
      </c>
      <c r="D90" s="532">
        <v>200000</v>
      </c>
      <c r="E90" s="532">
        <v>400000</v>
      </c>
      <c r="F90" s="532">
        <v>400000</v>
      </c>
      <c r="G90" s="532">
        <v>21870749</v>
      </c>
      <c r="H90" s="532">
        <f t="shared" si="5"/>
        <v>22870749</v>
      </c>
    </row>
    <row r="91" spans="1:8">
      <c r="A91" s="449">
        <v>83</v>
      </c>
      <c r="B91" t="s">
        <v>309</v>
      </c>
      <c r="C91">
        <v>1</v>
      </c>
      <c r="D91" s="532">
        <v>200000</v>
      </c>
      <c r="E91" s="532">
        <v>400000</v>
      </c>
      <c r="F91" s="532">
        <v>400000</v>
      </c>
      <c r="G91" s="532">
        <v>21161518</v>
      </c>
      <c r="H91" s="532">
        <f t="shared" si="5"/>
        <v>22161518</v>
      </c>
    </row>
  </sheetData>
  <mergeCells count="6">
    <mergeCell ref="B6:H6"/>
    <mergeCell ref="B1:H1"/>
    <mergeCell ref="B2:H2"/>
    <mergeCell ref="B3:H3"/>
    <mergeCell ref="B4:H4"/>
    <mergeCell ref="B5:H5"/>
  </mergeCells>
  <printOptions horizontalCentered="1"/>
  <pageMargins left="0.7" right="0.7" top="0.75" bottom="0.75" header="0.3" footer="0.3"/>
  <pageSetup scale="48" orientation="portrait" r:id="rId1"/>
  <headerFooter>
    <oddHeader>&amp;RPage &amp;P of &amp;N</oddHeader>
    <oddFooter>&amp;L&amp;A</oddFooter>
  </headerFooter>
  <rowBreaks count="1" manualBreakCount="1">
    <brk id="4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950D-0F37-4D44-8B18-FA8DD5BC6F6D}">
  <sheetPr codeName="Sheet56">
    <pageSetUpPr fitToPage="1"/>
  </sheetPr>
  <dimension ref="A1:H33"/>
  <sheetViews>
    <sheetView view="pageBreakPreview" zoomScale="60" zoomScaleNormal="100" workbookViewId="0">
      <selection activeCell="J52" sqref="J52"/>
    </sheetView>
  </sheetViews>
  <sheetFormatPr defaultRowHeight="15"/>
  <cols>
    <col min="2" max="2" width="39.5703125" bestFit="1" customWidth="1"/>
    <col min="3" max="3" width="28.5703125" bestFit="1" customWidth="1"/>
    <col min="4" max="4" width="27.7109375" bestFit="1" customWidth="1"/>
    <col min="8" max="8" width="16.85546875" bestFit="1" customWidth="1"/>
  </cols>
  <sheetData>
    <row r="1" spans="1:6">
      <c r="B1" s="1423" t="str">
        <f>Company</f>
        <v>Cascade Natural Gas Corp.</v>
      </c>
      <c r="C1" s="1423"/>
      <c r="D1" s="1423"/>
    </row>
    <row r="2" spans="1:6">
      <c r="B2" s="1423" t="str">
        <f>Title1</f>
        <v>Washington Jurisdiction</v>
      </c>
      <c r="C2" s="1423"/>
      <c r="D2" s="1423"/>
    </row>
    <row r="3" spans="1:6">
      <c r="B3" s="1423" t="str">
        <f>Title2</f>
        <v>Twelve-Months ended December 31, 2023</v>
      </c>
      <c r="C3" s="1423"/>
      <c r="D3" s="1423"/>
    </row>
    <row r="4" spans="1:6">
      <c r="B4" s="1423" t="str">
        <f>Title8</f>
        <v>UG-240008</v>
      </c>
      <c r="C4" s="1423"/>
      <c r="D4" s="1423"/>
    </row>
    <row r="5" spans="1:6">
      <c r="B5" s="1423" t="s">
        <v>224</v>
      </c>
      <c r="C5" s="1423"/>
      <c r="D5" s="1423"/>
    </row>
    <row r="6" spans="1:6">
      <c r="B6" s="1423" t="s">
        <v>355</v>
      </c>
      <c r="C6" s="1423"/>
      <c r="D6" s="1423"/>
    </row>
    <row r="7" spans="1:6">
      <c r="B7" s="933"/>
      <c r="C7" s="933"/>
      <c r="D7" s="933"/>
    </row>
    <row r="8" spans="1:6">
      <c r="A8" s="644" t="s">
        <v>536</v>
      </c>
      <c r="B8" s="54"/>
      <c r="C8" s="54"/>
      <c r="D8" s="933"/>
      <c r="E8" s="933"/>
    </row>
    <row r="9" spans="1:6">
      <c r="A9" s="487"/>
      <c r="B9" s="487" t="s">
        <v>439</v>
      </c>
      <c r="C9" s="487"/>
      <c r="D9" s="706" t="s">
        <v>208</v>
      </c>
      <c r="E9" s="449"/>
    </row>
    <row r="10" spans="1:6">
      <c r="A10" s="449">
        <v>1</v>
      </c>
      <c r="B10" t="s">
        <v>156</v>
      </c>
      <c r="D10" s="531" t="s">
        <v>356</v>
      </c>
    </row>
    <row r="11" spans="1:6">
      <c r="A11" s="449">
        <v>2</v>
      </c>
      <c r="B11" s="449">
        <v>503</v>
      </c>
      <c r="D11" s="527">
        <v>1333132.9099999999</v>
      </c>
    </row>
    <row r="12" spans="1:6">
      <c r="A12" s="449">
        <v>3</v>
      </c>
      <c r="B12" s="449">
        <v>505</v>
      </c>
      <c r="D12" s="528">
        <v>161095.70000000004</v>
      </c>
      <c r="F12" s="528"/>
    </row>
    <row r="13" spans="1:6">
      <c r="A13" s="449">
        <v>4</v>
      </c>
      <c r="B13" s="449" t="s">
        <v>346</v>
      </c>
      <c r="D13" s="528">
        <v>-129249.01000000002</v>
      </c>
    </row>
    <row r="14" spans="1:6">
      <c r="A14" s="449">
        <v>5</v>
      </c>
      <c r="B14" s="449" t="s">
        <v>357</v>
      </c>
      <c r="D14" s="528">
        <v>1258.2800000000002</v>
      </c>
    </row>
    <row r="15" spans="1:6">
      <c r="A15" s="449">
        <v>6</v>
      </c>
      <c r="B15" s="449">
        <v>504</v>
      </c>
      <c r="D15" s="528">
        <v>1928107.5</v>
      </c>
    </row>
    <row r="16" spans="1:6">
      <c r="A16" s="449">
        <v>7</v>
      </c>
      <c r="B16" s="449" t="s">
        <v>358</v>
      </c>
      <c r="D16" s="528">
        <v>-15233.87</v>
      </c>
    </row>
    <row r="17" spans="1:8">
      <c r="A17" s="449">
        <v>8</v>
      </c>
      <c r="B17" s="449" t="s">
        <v>344</v>
      </c>
      <c r="D17" s="528">
        <v>-235920.37</v>
      </c>
    </row>
    <row r="18" spans="1:8">
      <c r="A18" s="449">
        <v>9</v>
      </c>
      <c r="B18" s="449">
        <v>570</v>
      </c>
      <c r="D18" s="528">
        <v>-11612.75</v>
      </c>
    </row>
    <row r="19" spans="1:8">
      <c r="A19" s="449"/>
      <c r="B19" s="449"/>
      <c r="D19" s="527"/>
    </row>
    <row r="20" spans="1:8">
      <c r="A20" s="449">
        <v>10</v>
      </c>
      <c r="B20" t="s">
        <v>157</v>
      </c>
      <c r="D20" s="527"/>
    </row>
    <row r="21" spans="1:8">
      <c r="A21" s="449">
        <v>11</v>
      </c>
      <c r="B21" s="449">
        <v>503</v>
      </c>
      <c r="D21" s="527">
        <v>797700.35</v>
      </c>
      <c r="H21" s="756"/>
    </row>
    <row r="22" spans="1:8">
      <c r="A22" s="449">
        <v>12</v>
      </c>
      <c r="B22" s="449">
        <v>505</v>
      </c>
      <c r="D22" s="527">
        <v>31206.030000000002</v>
      </c>
      <c r="H22" s="756"/>
    </row>
    <row r="23" spans="1:8">
      <c r="A23" s="449">
        <v>13</v>
      </c>
      <c r="B23" s="449" t="s">
        <v>346</v>
      </c>
      <c r="D23" s="527">
        <v>10092.91</v>
      </c>
      <c r="H23" s="756"/>
    </row>
    <row r="24" spans="1:8">
      <c r="A24" s="449">
        <v>14</v>
      </c>
      <c r="B24" s="449" t="s">
        <v>357</v>
      </c>
      <c r="D24" s="527">
        <v>275.58999999999997</v>
      </c>
      <c r="H24" s="756"/>
    </row>
    <row r="25" spans="1:8">
      <c r="A25" s="449">
        <v>15</v>
      </c>
      <c r="B25" s="449">
        <v>504</v>
      </c>
      <c r="D25" s="527">
        <v>461315.94999999995</v>
      </c>
      <c r="H25" s="756"/>
    </row>
    <row r="26" spans="1:8">
      <c r="A26" s="449">
        <v>16</v>
      </c>
      <c r="B26" s="449" t="s">
        <v>358</v>
      </c>
      <c r="D26" s="527">
        <v>2292.4</v>
      </c>
      <c r="H26" s="756"/>
    </row>
    <row r="27" spans="1:8">
      <c r="A27" s="449">
        <v>17</v>
      </c>
      <c r="B27" s="449" t="s">
        <v>344</v>
      </c>
      <c r="D27" s="527">
        <v>27022.19</v>
      </c>
      <c r="H27" s="756"/>
    </row>
    <row r="28" spans="1:8">
      <c r="A28" s="449">
        <v>18</v>
      </c>
      <c r="B28" s="449">
        <v>570</v>
      </c>
      <c r="D28" s="527">
        <v>1878.16</v>
      </c>
      <c r="H28" s="756"/>
    </row>
    <row r="29" spans="1:8">
      <c r="A29" s="449">
        <v>19</v>
      </c>
      <c r="B29" s="449">
        <v>663</v>
      </c>
      <c r="D29" s="527">
        <v>440300.43000000005</v>
      </c>
      <c r="H29" s="756"/>
    </row>
    <row r="30" spans="1:8">
      <c r="A30" s="449"/>
      <c r="D30" s="530"/>
      <c r="H30" s="756"/>
    </row>
    <row r="33" spans="8:8">
      <c r="H33" s="756"/>
    </row>
  </sheetData>
  <mergeCells count="6">
    <mergeCell ref="B6:D6"/>
    <mergeCell ref="B4:D4"/>
    <mergeCell ref="B1:D1"/>
    <mergeCell ref="B5:D5"/>
    <mergeCell ref="B3:D3"/>
    <mergeCell ref="B2:D2"/>
  </mergeCells>
  <pageMargins left="0.7" right="0.7" top="0.75" bottom="0.75" header="0.3" footer="0.3"/>
  <pageSetup scale="86" orientation="portrait" r:id="rId1"/>
  <headerFooter>
    <oddHeader>&amp;RPage &amp;P of &amp;N</oddHeader>
    <oddFooter>&amp;L&amp;A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960D-F957-4E13-9A09-8DFFF2422DA6}">
  <sheetPr codeName="Sheet57"/>
  <dimension ref="A1:Q56"/>
  <sheetViews>
    <sheetView view="pageBreakPreview" zoomScale="60" zoomScaleNormal="100" workbookViewId="0">
      <selection activeCell="G17" sqref="G17:I18"/>
    </sheetView>
  </sheetViews>
  <sheetFormatPr defaultColWidth="8.85546875" defaultRowHeight="15"/>
  <cols>
    <col min="2" max="2" width="42.7109375" bestFit="1" customWidth="1"/>
    <col min="3" max="3" width="13" bestFit="1" customWidth="1"/>
    <col min="4" max="4" width="18" bestFit="1" customWidth="1"/>
    <col min="6" max="6" width="42.7109375" bestFit="1" customWidth="1"/>
    <col min="7" max="7" width="12.28515625" bestFit="1" customWidth="1"/>
    <col min="8" max="8" width="14" bestFit="1" customWidth="1"/>
    <col min="9" max="9" width="17.5703125" bestFit="1" customWidth="1"/>
    <col min="11" max="11" width="42.7109375" bestFit="1" customWidth="1"/>
    <col min="12" max="12" width="11.5703125" bestFit="1" customWidth="1"/>
    <col min="13" max="13" width="16" bestFit="1" customWidth="1"/>
    <col min="15" max="15" width="25.5703125" bestFit="1" customWidth="1"/>
    <col min="16" max="16" width="12.5703125" bestFit="1" customWidth="1"/>
    <col min="17" max="17" width="22.42578125" customWidth="1"/>
  </cols>
  <sheetData>
    <row r="1" spans="1:17">
      <c r="B1" s="1423" t="str">
        <f>Company</f>
        <v>Cascade Natural Gas Corp.</v>
      </c>
      <c r="C1" s="1423"/>
      <c r="D1" s="1423"/>
      <c r="E1" s="1423"/>
      <c r="F1" s="1423" t="s">
        <v>2</v>
      </c>
      <c r="G1" s="1423"/>
      <c r="H1" s="1423"/>
      <c r="I1" s="1423"/>
      <c r="J1" s="936"/>
      <c r="K1" s="1423" t="s">
        <v>2</v>
      </c>
      <c r="L1" s="1423"/>
      <c r="M1" s="1423"/>
      <c r="N1" s="936"/>
      <c r="O1" s="1423" t="s">
        <v>2</v>
      </c>
      <c r="P1" s="1423"/>
      <c r="Q1" s="1423"/>
    </row>
    <row r="2" spans="1:17">
      <c r="B2" s="1423" t="str">
        <f>Title1</f>
        <v>Washington Jurisdiction</v>
      </c>
      <c r="C2" s="1423"/>
      <c r="D2" s="1423"/>
      <c r="E2" s="1423"/>
      <c r="F2" s="1423" t="str">
        <f>+B2</f>
        <v>Washington Jurisdiction</v>
      </c>
      <c r="G2" s="1423"/>
      <c r="H2" s="1423"/>
      <c r="I2" s="1423"/>
      <c r="J2" s="933"/>
      <c r="K2" s="1423" t="str">
        <f>+F2</f>
        <v>Washington Jurisdiction</v>
      </c>
      <c r="L2" s="1423"/>
      <c r="M2" s="1423"/>
      <c r="N2" s="933"/>
      <c r="O2" s="1423" t="str">
        <f>B2</f>
        <v>Washington Jurisdiction</v>
      </c>
      <c r="P2" s="1423"/>
      <c r="Q2" s="1423"/>
    </row>
    <row r="3" spans="1:17">
      <c r="B3" s="1423" t="str">
        <f>Title2</f>
        <v>Twelve-Months ended December 31, 2023</v>
      </c>
      <c r="C3" s="1423"/>
      <c r="D3" s="1423"/>
      <c r="E3" s="1423"/>
      <c r="F3" s="1423" t="s">
        <v>5</v>
      </c>
      <c r="G3" s="1423"/>
      <c r="H3" s="1423"/>
      <c r="I3" s="1423"/>
      <c r="J3" s="936"/>
      <c r="K3" s="1423" t="s">
        <v>5</v>
      </c>
      <c r="L3" s="1423"/>
      <c r="M3" s="1423"/>
      <c r="N3" s="936"/>
      <c r="O3" s="1423" t="s">
        <v>5</v>
      </c>
      <c r="P3" s="1423"/>
      <c r="Q3" s="1423"/>
    </row>
    <row r="4" spans="1:17">
      <c r="B4" s="1423" t="str">
        <f>Title8</f>
        <v>UG-240008</v>
      </c>
      <c r="C4" s="1423"/>
      <c r="D4" s="1423"/>
      <c r="E4" s="1423"/>
      <c r="F4" s="1423" t="s">
        <v>9</v>
      </c>
      <c r="G4" s="1423"/>
      <c r="H4" s="1423"/>
      <c r="I4" s="1423"/>
      <c r="J4" s="936"/>
      <c r="K4" s="1423" t="s">
        <v>9</v>
      </c>
      <c r="L4" s="1423"/>
      <c r="M4" s="1423"/>
      <c r="N4" s="936"/>
      <c r="O4" s="1423" t="s">
        <v>9</v>
      </c>
      <c r="P4" s="1423"/>
      <c r="Q4" s="1423"/>
    </row>
    <row r="5" spans="1:17">
      <c r="B5" s="1423" t="s">
        <v>226</v>
      </c>
      <c r="C5" s="1423"/>
      <c r="D5" s="1423"/>
      <c r="E5" s="1423"/>
      <c r="F5" s="1423" t="s">
        <v>226</v>
      </c>
      <c r="G5" s="1423"/>
      <c r="H5" s="1423"/>
      <c r="I5" s="1423"/>
      <c r="J5" s="936"/>
      <c r="K5" s="1423" t="s">
        <v>226</v>
      </c>
      <c r="L5" s="1423"/>
      <c r="M5" s="1423"/>
      <c r="N5" s="936"/>
      <c r="O5" s="1423" t="s">
        <v>226</v>
      </c>
      <c r="P5" s="1423"/>
      <c r="Q5" s="1423"/>
    </row>
    <row r="6" spans="1:17">
      <c r="B6" s="1423" t="s">
        <v>359</v>
      </c>
      <c r="C6" s="1423"/>
      <c r="D6" s="1423"/>
      <c r="E6" s="1423"/>
      <c r="F6" s="1423" t="s">
        <v>359</v>
      </c>
      <c r="G6" s="1423"/>
      <c r="H6" s="1423"/>
      <c r="I6" s="1423"/>
      <c r="J6" s="936"/>
      <c r="K6" s="1423" t="s">
        <v>359</v>
      </c>
      <c r="L6" s="1423"/>
      <c r="M6" s="1423"/>
      <c r="N6" s="936"/>
      <c r="O6" s="1423" t="s">
        <v>359</v>
      </c>
      <c r="P6" s="1423"/>
      <c r="Q6" s="1423"/>
    </row>
    <row r="7" spans="1:17">
      <c r="B7" s="933"/>
      <c r="C7" s="933"/>
      <c r="D7" s="933"/>
      <c r="E7" s="933"/>
      <c r="F7" s="933"/>
      <c r="G7" s="933"/>
      <c r="H7" s="933"/>
      <c r="I7" s="933"/>
      <c r="J7" s="936"/>
      <c r="K7" s="933"/>
      <c r="L7" s="933"/>
      <c r="M7" s="933"/>
      <c r="N7" s="936"/>
      <c r="O7" s="933"/>
      <c r="P7" s="933"/>
      <c r="Q7" s="933"/>
    </row>
    <row r="8" spans="1:17">
      <c r="A8" s="644" t="s">
        <v>536</v>
      </c>
      <c r="B8" s="54"/>
      <c r="C8" s="54"/>
      <c r="D8" s="933"/>
      <c r="E8" s="933"/>
      <c r="F8" s="933"/>
      <c r="G8" s="933"/>
      <c r="H8" s="933"/>
      <c r="I8" s="933"/>
      <c r="J8" s="936"/>
      <c r="K8" s="933"/>
      <c r="L8" s="933"/>
      <c r="M8" s="933"/>
      <c r="N8" s="936"/>
      <c r="O8" s="933"/>
      <c r="P8" s="933"/>
      <c r="Q8" s="933"/>
    </row>
    <row r="9" spans="1:17">
      <c r="A9" s="487"/>
      <c r="B9" s="487" t="s">
        <v>439</v>
      </c>
      <c r="C9" s="487" t="s">
        <v>208</v>
      </c>
      <c r="D9" s="706" t="s">
        <v>209</v>
      </c>
      <c r="E9" s="706"/>
      <c r="F9" s="706" t="s">
        <v>440</v>
      </c>
      <c r="G9" s="706" t="s">
        <v>441</v>
      </c>
      <c r="H9" s="706" t="s">
        <v>442</v>
      </c>
      <c r="I9" s="1091" t="s">
        <v>443</v>
      </c>
      <c r="J9" s="1092"/>
      <c r="K9" s="1091" t="s">
        <v>444</v>
      </c>
      <c r="L9" s="1091" t="s">
        <v>445</v>
      </c>
      <c r="M9" s="1091" t="s">
        <v>446</v>
      </c>
      <c r="N9" s="1092"/>
      <c r="O9" s="1091" t="s">
        <v>447</v>
      </c>
      <c r="P9" s="1091" t="s">
        <v>448</v>
      </c>
      <c r="Q9" s="1091" t="s">
        <v>449</v>
      </c>
    </row>
    <row r="10" spans="1:17">
      <c r="A10" s="449">
        <v>1</v>
      </c>
      <c r="G10" t="s">
        <v>360</v>
      </c>
      <c r="I10">
        <v>0.90593646846880327</v>
      </c>
    </row>
    <row r="11" spans="1:17">
      <c r="A11" s="449">
        <v>2</v>
      </c>
      <c r="G11" t="s">
        <v>360</v>
      </c>
      <c r="I11">
        <v>9.4063531531196717E-2</v>
      </c>
    </row>
    <row r="12" spans="1:17">
      <c r="A12" s="449">
        <v>3</v>
      </c>
      <c r="B12" t="s">
        <v>361</v>
      </c>
      <c r="F12" t="s">
        <v>362</v>
      </c>
      <c r="I12">
        <f>I10+I11</f>
        <v>1</v>
      </c>
      <c r="K12" t="s">
        <v>363</v>
      </c>
      <c r="O12" t="s">
        <v>364</v>
      </c>
    </row>
    <row r="13" spans="1:17">
      <c r="A13" s="449">
        <v>4</v>
      </c>
      <c r="B13" s="1425" t="s">
        <v>365</v>
      </c>
      <c r="C13" s="1426"/>
      <c r="D13" s="1426"/>
      <c r="F13" s="1413" t="s">
        <v>365</v>
      </c>
      <c r="G13" s="1413"/>
      <c r="H13" s="1413"/>
      <c r="I13" s="1413"/>
      <c r="K13" s="1425" t="s">
        <v>365</v>
      </c>
      <c r="L13" s="1426"/>
      <c r="M13" s="1426"/>
      <c r="O13" s="1425" t="s">
        <v>365</v>
      </c>
      <c r="P13" s="1426"/>
      <c r="Q13" s="1426"/>
    </row>
    <row r="14" spans="1:17">
      <c r="A14" s="449">
        <v>5</v>
      </c>
      <c r="B14" t="s">
        <v>366</v>
      </c>
      <c r="C14" s="532">
        <v>18523640</v>
      </c>
      <c r="F14" t="s">
        <v>366</v>
      </c>
      <c r="G14" s="532">
        <v>14028311</v>
      </c>
      <c r="H14" s="532"/>
      <c r="K14" t="s">
        <v>366</v>
      </c>
      <c r="L14" s="532"/>
      <c r="O14" t="s">
        <v>367</v>
      </c>
    </row>
    <row r="15" spans="1:17">
      <c r="A15" s="449">
        <v>6</v>
      </c>
      <c r="C15" s="531" t="s">
        <v>368</v>
      </c>
      <c r="D15" s="531" t="s">
        <v>369</v>
      </c>
      <c r="G15" s="531" t="s">
        <v>368</v>
      </c>
      <c r="H15" s="531" t="s">
        <v>370</v>
      </c>
      <c r="I15" s="531" t="s">
        <v>369</v>
      </c>
      <c r="L15" s="531" t="s">
        <v>368</v>
      </c>
      <c r="M15" s="531" t="s">
        <v>369</v>
      </c>
    </row>
    <row r="16" spans="1:17">
      <c r="A16" s="449">
        <v>7</v>
      </c>
      <c r="B16" t="s">
        <v>142</v>
      </c>
      <c r="C16" s="590">
        <v>0.34623999999999999</v>
      </c>
      <c r="D16" s="551">
        <f>C16*$C$14</f>
        <v>6413625.1135999998</v>
      </c>
      <c r="F16" t="s">
        <v>142</v>
      </c>
      <c r="G16" s="552">
        <f>0.28995</f>
        <v>0.28994999999999999</v>
      </c>
      <c r="H16" s="552">
        <f t="shared" ref="H16:H24" si="0">(G16*$I$10)+(L16*$I$11)</f>
        <v>0.27567491845482556</v>
      </c>
      <c r="I16" s="551">
        <f>H16*$G$14</f>
        <v>3867253.4909839323</v>
      </c>
      <c r="K16" t="s">
        <v>142</v>
      </c>
      <c r="L16" s="552">
        <v>0.13819000000000001</v>
      </c>
      <c r="M16" s="551">
        <f>L16*$L$14</f>
        <v>0</v>
      </c>
      <c r="P16" s="531" t="s">
        <v>368</v>
      </c>
      <c r="Q16" s="531" t="s">
        <v>369</v>
      </c>
    </row>
    <row r="17" spans="1:17">
      <c r="A17" s="449">
        <v>8</v>
      </c>
      <c r="B17" t="s">
        <v>371</v>
      </c>
      <c r="C17" s="588">
        <v>-7.3299999999999997E-3</v>
      </c>
      <c r="D17" s="530">
        <f t="shared" ref="D17:D24" si="1">C17*$C$14</f>
        <v>-135778.2812</v>
      </c>
      <c r="F17" t="s">
        <v>371</v>
      </c>
      <c r="G17" s="588">
        <v>-5.6299999999999996E-3</v>
      </c>
      <c r="H17" s="588">
        <f t="shared" si="0"/>
        <v>-5.376028464865768E-3</v>
      </c>
      <c r="I17" s="530">
        <f t="shared" ref="I17:I24" si="2">H17*$G$14</f>
        <v>-75416.599249989566</v>
      </c>
      <c r="K17" t="s">
        <v>371</v>
      </c>
      <c r="L17" s="588">
        <v>-2.9299999999999999E-3</v>
      </c>
      <c r="M17" s="530">
        <f>L17*$L$14</f>
        <v>0</v>
      </c>
      <c r="O17" t="s">
        <v>141</v>
      </c>
      <c r="P17" s="551">
        <v>60</v>
      </c>
      <c r="Q17" s="551">
        <v>0</v>
      </c>
    </row>
    <row r="18" spans="1:17">
      <c r="A18" s="449">
        <v>9</v>
      </c>
      <c r="B18" t="s">
        <v>372</v>
      </c>
      <c r="C18" s="588">
        <v>-3.0599999999999998E-3</v>
      </c>
      <c r="D18" s="530">
        <f t="shared" si="1"/>
        <v>-56682.338399999993</v>
      </c>
      <c r="F18" t="s">
        <v>372</v>
      </c>
      <c r="G18" s="588">
        <v>-2.33E-3</v>
      </c>
      <c r="H18" s="588">
        <f t="shared" si="0"/>
        <v>-2.2255894800003715E-3</v>
      </c>
      <c r="I18" s="530">
        <f t="shared" si="2"/>
        <v>-31221.261383773493</v>
      </c>
      <c r="K18" t="s">
        <v>372</v>
      </c>
      <c r="L18" s="588">
        <v>-1.2199999999999999E-3</v>
      </c>
      <c r="M18" s="530">
        <f t="shared" ref="M18:M24" si="3">L18*$L$14</f>
        <v>0</v>
      </c>
    </row>
    <row r="19" spans="1:17">
      <c r="A19" s="449">
        <v>10</v>
      </c>
      <c r="B19" t="s">
        <v>144</v>
      </c>
      <c r="C19" s="588">
        <v>0.73214000000000001</v>
      </c>
      <c r="D19" s="530">
        <f t="shared" si="1"/>
        <v>13561897.7896</v>
      </c>
      <c r="F19" t="s">
        <v>144</v>
      </c>
      <c r="G19" s="588">
        <v>0.72936000000000001</v>
      </c>
      <c r="H19" s="588">
        <f t="shared" si="0"/>
        <v>0.72807227025333787</v>
      </c>
      <c r="I19" s="530">
        <f t="shared" si="2"/>
        <v>10213624.237589873</v>
      </c>
      <c r="K19" t="s">
        <v>144</v>
      </c>
      <c r="L19" s="588">
        <v>0.71567000000000003</v>
      </c>
      <c r="M19" s="530">
        <f t="shared" si="3"/>
        <v>0</v>
      </c>
    </row>
    <row r="20" spans="1:17">
      <c r="A20" s="449">
        <v>11</v>
      </c>
      <c r="B20" t="s">
        <v>373</v>
      </c>
      <c r="C20" s="588">
        <v>0.17021</v>
      </c>
      <c r="D20" s="530">
        <f t="shared" si="1"/>
        <v>3152908.7644000002</v>
      </c>
      <c r="F20" t="s">
        <v>373</v>
      </c>
      <c r="G20" s="588">
        <v>0.17021</v>
      </c>
      <c r="H20" s="588">
        <f t="shared" si="0"/>
        <v>0.17021</v>
      </c>
      <c r="I20" s="530">
        <f t="shared" si="2"/>
        <v>2387758.81531</v>
      </c>
      <c r="K20" t="s">
        <v>373</v>
      </c>
      <c r="L20" s="588">
        <v>0.17021</v>
      </c>
      <c r="M20" s="530">
        <f t="shared" si="3"/>
        <v>0</v>
      </c>
    </row>
    <row r="21" spans="1:17">
      <c r="A21" s="449">
        <v>12</v>
      </c>
      <c r="B21" t="s">
        <v>149</v>
      </c>
      <c r="C21" s="588">
        <v>3.024E-2</v>
      </c>
      <c r="D21" s="530">
        <f t="shared" si="1"/>
        <v>560154.87359999993</v>
      </c>
      <c r="F21" t="s">
        <v>149</v>
      </c>
      <c r="G21" s="588">
        <v>3.024E-2</v>
      </c>
      <c r="H21" s="588">
        <f t="shared" si="0"/>
        <v>3.024E-2</v>
      </c>
      <c r="I21" s="530">
        <f t="shared" si="2"/>
        <v>424216.12463999999</v>
      </c>
      <c r="K21" t="s">
        <v>149</v>
      </c>
      <c r="L21" s="588">
        <v>3.024E-2</v>
      </c>
      <c r="M21" s="530">
        <f t="shared" si="3"/>
        <v>0</v>
      </c>
    </row>
    <row r="22" spans="1:17">
      <c r="A22" s="449">
        <v>13</v>
      </c>
      <c r="B22" t="s">
        <v>146</v>
      </c>
      <c r="C22" s="588">
        <v>4.0600000000000002E-3</v>
      </c>
      <c r="D22" s="530">
        <f t="shared" si="1"/>
        <v>75205.978400000007</v>
      </c>
      <c r="F22" t="s">
        <v>146</v>
      </c>
      <c r="G22" s="588">
        <v>3.2799999999999999E-3</v>
      </c>
      <c r="H22" s="588">
        <f t="shared" si="0"/>
        <v>3.1332608908113328E-3</v>
      </c>
      <c r="I22" s="530">
        <f t="shared" si="2"/>
        <v>43954.358220438422</v>
      </c>
      <c r="K22" t="s">
        <v>146</v>
      </c>
      <c r="L22" s="588">
        <v>1.72E-3</v>
      </c>
      <c r="M22" s="530">
        <f t="shared" si="3"/>
        <v>0</v>
      </c>
    </row>
    <row r="23" spans="1:17">
      <c r="A23" s="449">
        <v>14</v>
      </c>
      <c r="B23" t="s">
        <v>148</v>
      </c>
      <c r="C23" s="588">
        <v>1.9050000000000001E-2</v>
      </c>
      <c r="D23" s="530">
        <f t="shared" si="1"/>
        <v>352875.342</v>
      </c>
      <c r="F23" t="s">
        <v>148</v>
      </c>
      <c r="G23" s="588">
        <v>3.6499999999999998E-2</v>
      </c>
      <c r="H23" s="588">
        <f t="shared" si="0"/>
        <v>3.0351066943805668E-2</v>
      </c>
      <c r="I23" s="530">
        <f t="shared" si="2"/>
        <v>425774.20626952546</v>
      </c>
      <c r="K23" t="s">
        <v>148</v>
      </c>
      <c r="L23" s="588">
        <v>-2.887E-2</v>
      </c>
      <c r="M23" s="530">
        <f t="shared" si="3"/>
        <v>0</v>
      </c>
    </row>
    <row r="24" spans="1:17">
      <c r="A24" s="449">
        <v>15</v>
      </c>
      <c r="B24" t="s">
        <v>147</v>
      </c>
      <c r="C24" s="588">
        <v>8.4399999999999996E-3</v>
      </c>
      <c r="D24" s="542">
        <f t="shared" si="1"/>
        <v>156339.52159999998</v>
      </c>
      <c r="F24" t="s">
        <v>147</v>
      </c>
      <c r="G24" s="588">
        <v>5.7000000000000002E-3</v>
      </c>
      <c r="H24" s="588">
        <f t="shared" si="0"/>
        <v>5.3980560637848585E-3</v>
      </c>
      <c r="I24" s="542">
        <f t="shared" si="2"/>
        <v>75725.609258209835</v>
      </c>
      <c r="K24" t="s">
        <v>147</v>
      </c>
      <c r="L24" s="588">
        <v>2.49E-3</v>
      </c>
      <c r="M24" s="542">
        <f t="shared" si="3"/>
        <v>0</v>
      </c>
    </row>
    <row r="25" spans="1:17">
      <c r="A25" s="449">
        <v>16</v>
      </c>
      <c r="B25" t="s">
        <v>200</v>
      </c>
      <c r="D25" s="551">
        <f>SUM(D16:D24)</f>
        <v>24080546.763599999</v>
      </c>
      <c r="F25" t="s">
        <v>200</v>
      </c>
      <c r="I25" s="551">
        <f>SUM(I16:I24)</f>
        <v>17331668.981638215</v>
      </c>
      <c r="K25" t="s">
        <v>200</v>
      </c>
      <c r="M25" s="551">
        <f>SUM(M16:M24)</f>
        <v>0</v>
      </c>
    </row>
    <row r="26" spans="1:17">
      <c r="A26" s="449">
        <v>17</v>
      </c>
    </row>
    <row r="27" spans="1:17">
      <c r="A27" s="449">
        <v>18</v>
      </c>
      <c r="B27" s="1425" t="s">
        <v>374</v>
      </c>
      <c r="C27" s="1426"/>
      <c r="D27" s="1426"/>
      <c r="F27" s="1413" t="s">
        <v>374</v>
      </c>
      <c r="G27" s="1413"/>
      <c r="H27" s="1413"/>
      <c r="I27" s="1413"/>
      <c r="K27" s="1425" t="s">
        <v>374</v>
      </c>
      <c r="L27" s="1426"/>
      <c r="M27" s="1426"/>
      <c r="O27" s="1425" t="s">
        <v>374</v>
      </c>
      <c r="P27" s="1426"/>
      <c r="Q27" s="1426"/>
    </row>
    <row r="28" spans="1:17">
      <c r="A28" s="449">
        <v>19</v>
      </c>
      <c r="B28" t="s">
        <v>366</v>
      </c>
      <c r="C28" s="532">
        <v>14067230</v>
      </c>
      <c r="F28" t="s">
        <v>366</v>
      </c>
      <c r="G28" s="532">
        <v>9891430</v>
      </c>
      <c r="H28" s="532"/>
      <c r="K28" t="s">
        <v>366</v>
      </c>
      <c r="L28" s="532">
        <v>961366</v>
      </c>
    </row>
    <row r="29" spans="1:17">
      <c r="A29" s="449">
        <v>20</v>
      </c>
      <c r="C29" s="531" t="s">
        <v>368</v>
      </c>
      <c r="D29" s="531" t="s">
        <v>369</v>
      </c>
      <c r="G29" s="531" t="s">
        <v>368</v>
      </c>
      <c r="H29" s="531"/>
      <c r="I29" s="531" t="s">
        <v>369</v>
      </c>
      <c r="L29" s="531" t="s">
        <v>368</v>
      </c>
      <c r="M29" s="531" t="s">
        <v>369</v>
      </c>
    </row>
    <row r="30" spans="1:17">
      <c r="A30" s="449">
        <v>21</v>
      </c>
      <c r="B30" t="s">
        <v>141</v>
      </c>
      <c r="C30" s="551">
        <v>5</v>
      </c>
      <c r="D30" s="551">
        <v>442939.2</v>
      </c>
      <c r="F30" t="s">
        <v>141</v>
      </c>
      <c r="G30" s="551">
        <v>13</v>
      </c>
      <c r="H30" s="551"/>
      <c r="I30" s="551">
        <v>156482.03999999998</v>
      </c>
      <c r="K30" t="s">
        <v>141</v>
      </c>
      <c r="L30" s="551">
        <v>125</v>
      </c>
      <c r="M30" s="551">
        <v>1375</v>
      </c>
      <c r="P30" s="531" t="s">
        <v>368</v>
      </c>
      <c r="Q30" s="531" t="s">
        <v>369</v>
      </c>
    </row>
    <row r="31" spans="1:17">
      <c r="A31" s="449">
        <v>22</v>
      </c>
      <c r="B31" t="s">
        <v>142</v>
      </c>
      <c r="C31" s="588">
        <v>0.33950999999999998</v>
      </c>
      <c r="D31" s="530">
        <f t="shared" ref="D31:D39" si="4">C31*$C$28</f>
        <v>4775965.2572999997</v>
      </c>
      <c r="F31" t="s">
        <v>142</v>
      </c>
      <c r="G31" s="588">
        <v>0.28432000000000002</v>
      </c>
      <c r="H31" s="588"/>
      <c r="I31" s="530">
        <f>G31*$G$28</f>
        <v>2812331.3776000002</v>
      </c>
      <c r="K31" t="s">
        <v>142</v>
      </c>
      <c r="L31" s="588">
        <v>0.13550999999999999</v>
      </c>
      <c r="M31" s="530">
        <f>L31*$L$28</f>
        <v>130274.70666</v>
      </c>
      <c r="O31" t="s">
        <v>141</v>
      </c>
      <c r="P31" s="551">
        <v>60</v>
      </c>
      <c r="Q31" s="551">
        <v>12936</v>
      </c>
    </row>
    <row r="32" spans="1:17">
      <c r="A32" s="449">
        <v>23</v>
      </c>
      <c r="B32" t="s">
        <v>371</v>
      </c>
      <c r="C32" s="588">
        <v>0</v>
      </c>
      <c r="D32" s="530">
        <f t="shared" si="4"/>
        <v>0</v>
      </c>
      <c r="F32" t="s">
        <v>371</v>
      </c>
      <c r="G32" s="588">
        <v>0</v>
      </c>
      <c r="H32" s="588"/>
      <c r="I32" s="530">
        <f t="shared" ref="I32:I39" si="5">G32*$G$28</f>
        <v>0</v>
      </c>
      <c r="K32" t="s">
        <v>371</v>
      </c>
      <c r="L32" s="588">
        <v>0</v>
      </c>
      <c r="M32" s="530">
        <f t="shared" ref="M32:M39" si="6">L32*$L$28</f>
        <v>0</v>
      </c>
    </row>
    <row r="33" spans="1:17">
      <c r="A33" s="449">
        <v>24</v>
      </c>
      <c r="B33" t="s">
        <v>372</v>
      </c>
      <c r="C33" s="588">
        <v>-2.8700000000000002E-3</v>
      </c>
      <c r="D33" s="530">
        <f t="shared" si="4"/>
        <v>-40372.950100000002</v>
      </c>
      <c r="F33" t="s">
        <v>372</v>
      </c>
      <c r="G33" s="588">
        <v>-2.1900000000000001E-3</v>
      </c>
      <c r="H33" s="588"/>
      <c r="I33" s="530">
        <f t="shared" si="5"/>
        <v>-21662.2317</v>
      </c>
      <c r="K33" t="s">
        <v>372</v>
      </c>
      <c r="L33" s="588">
        <v>-1.15E-3</v>
      </c>
      <c r="M33" s="530">
        <f t="shared" si="6"/>
        <v>-1105.5708999999999</v>
      </c>
    </row>
    <row r="34" spans="1:17">
      <c r="A34" s="449">
        <v>25</v>
      </c>
      <c r="B34" t="s">
        <v>144</v>
      </c>
      <c r="C34" s="588">
        <v>0.63026000000000004</v>
      </c>
      <c r="D34" s="530">
        <f t="shared" si="4"/>
        <v>8866012.3798000012</v>
      </c>
      <c r="F34" t="s">
        <v>144</v>
      </c>
      <c r="G34" s="588">
        <v>0.62751000000000001</v>
      </c>
      <c r="H34" s="588"/>
      <c r="I34" s="530">
        <f t="shared" si="5"/>
        <v>6206971.2393000005</v>
      </c>
      <c r="K34" t="s">
        <v>144</v>
      </c>
      <c r="L34" s="588">
        <v>0.61394000000000004</v>
      </c>
      <c r="M34" s="530">
        <f>L34*$L$28-807.55</f>
        <v>589413.49204000004</v>
      </c>
    </row>
    <row r="35" spans="1:17">
      <c r="A35" s="449">
        <v>26</v>
      </c>
      <c r="B35" t="s">
        <v>373</v>
      </c>
      <c r="C35" s="588">
        <v>0.26926</v>
      </c>
      <c r="D35" s="530">
        <f t="shared" si="4"/>
        <v>3787742.3498</v>
      </c>
      <c r="F35" t="s">
        <v>373</v>
      </c>
      <c r="G35" s="588">
        <v>0.26926</v>
      </c>
      <c r="H35" s="588"/>
      <c r="I35" s="530">
        <f t="shared" si="5"/>
        <v>2663366.4418000001</v>
      </c>
      <c r="K35" t="s">
        <v>373</v>
      </c>
      <c r="L35" s="588">
        <v>0.26926</v>
      </c>
      <c r="M35" s="530">
        <f t="shared" si="6"/>
        <v>258857.40916000001</v>
      </c>
    </row>
    <row r="36" spans="1:17">
      <c r="A36" s="449">
        <v>27</v>
      </c>
      <c r="B36" t="s">
        <v>149</v>
      </c>
      <c r="C36" s="588">
        <v>4.6559999999999997E-2</v>
      </c>
      <c r="D36" s="530">
        <f t="shared" si="4"/>
        <v>654970.22879999992</v>
      </c>
      <c r="F36" t="s">
        <v>149</v>
      </c>
      <c r="G36" s="588">
        <v>4.6559999999999997E-2</v>
      </c>
      <c r="H36" s="588"/>
      <c r="I36" s="530">
        <f t="shared" si="5"/>
        <v>460544.98079999996</v>
      </c>
      <c r="K36" t="s">
        <v>149</v>
      </c>
      <c r="L36" s="588">
        <v>4.6559999999999997E-2</v>
      </c>
      <c r="M36" s="530">
        <f t="shared" si="6"/>
        <v>44761.200959999995</v>
      </c>
    </row>
    <row r="37" spans="1:17">
      <c r="A37" s="449">
        <v>28</v>
      </c>
      <c r="B37" t="s">
        <v>146</v>
      </c>
      <c r="C37" s="588">
        <v>1.35E-2</v>
      </c>
      <c r="D37" s="530">
        <f t="shared" si="4"/>
        <v>189907.60500000001</v>
      </c>
      <c r="F37" t="s">
        <v>146</v>
      </c>
      <c r="G37" s="588">
        <v>1.091E-2</v>
      </c>
      <c r="H37" s="588"/>
      <c r="I37" s="530">
        <f t="shared" si="5"/>
        <v>107915.50129999999</v>
      </c>
      <c r="K37" t="s">
        <v>146</v>
      </c>
      <c r="L37" s="588">
        <v>5.7200000000000003E-3</v>
      </c>
      <c r="M37" s="530">
        <f t="shared" si="6"/>
        <v>5499.0135200000004</v>
      </c>
      <c r="P37" s="591"/>
    </row>
    <row r="38" spans="1:17">
      <c r="A38" s="449">
        <v>29</v>
      </c>
      <c r="B38" t="s">
        <v>148</v>
      </c>
      <c r="C38" s="588">
        <v>-1.1390000000000001E-2</v>
      </c>
      <c r="D38" s="530">
        <f t="shared" si="4"/>
        <v>-160225.74970000001</v>
      </c>
      <c r="F38" t="s">
        <v>148</v>
      </c>
      <c r="G38" s="588">
        <v>-2.197E-2</v>
      </c>
      <c r="H38" s="588"/>
      <c r="I38" s="530">
        <f t="shared" si="5"/>
        <v>-217314.71710000001</v>
      </c>
      <c r="K38" t="s">
        <v>148</v>
      </c>
      <c r="L38" s="588">
        <v>3.3899999999999998E-3</v>
      </c>
      <c r="M38" s="530">
        <f t="shared" si="6"/>
        <v>3259.0307399999997</v>
      </c>
    </row>
    <row r="39" spans="1:17">
      <c r="A39" s="449">
        <v>30</v>
      </c>
      <c r="B39" t="s">
        <v>147</v>
      </c>
      <c r="C39" s="588">
        <v>1.7690000000000001E-2</v>
      </c>
      <c r="D39" s="542">
        <f t="shared" si="4"/>
        <v>248849.29870000001</v>
      </c>
      <c r="F39" t="s">
        <v>147</v>
      </c>
      <c r="G39" s="588">
        <v>1.0959999999999999E-2</v>
      </c>
      <c r="H39" s="588"/>
      <c r="I39" s="542">
        <f t="shared" si="5"/>
        <v>108410.07279999999</v>
      </c>
      <c r="K39" t="s">
        <v>147</v>
      </c>
      <c r="L39" s="588">
        <v>5.4099999999999999E-3</v>
      </c>
      <c r="M39" s="542">
        <f t="shared" si="6"/>
        <v>5200.9900600000001</v>
      </c>
    </row>
    <row r="40" spans="1:17">
      <c r="A40" s="449">
        <v>31</v>
      </c>
      <c r="B40" t="s">
        <v>200</v>
      </c>
      <c r="D40" s="551">
        <f>SUM(D30:D39)</f>
        <v>18765787.619600002</v>
      </c>
      <c r="F40" t="s">
        <v>200</v>
      </c>
      <c r="I40" s="551">
        <f>SUM(I30:I39)</f>
        <v>12277044.704799999</v>
      </c>
      <c r="K40" t="s">
        <v>200</v>
      </c>
      <c r="L40" s="591">
        <f>SUM(L31:L39)</f>
        <v>1.0786399999999998</v>
      </c>
      <c r="M40" s="551">
        <f>SUM(M30:M39)</f>
        <v>1037535.2722400001</v>
      </c>
    </row>
    <row r="41" spans="1:17">
      <c r="A41" s="449">
        <v>32</v>
      </c>
    </row>
    <row r="42" spans="1:17">
      <c r="A42" s="449">
        <v>33</v>
      </c>
      <c r="B42" s="1413" t="s">
        <v>375</v>
      </c>
      <c r="C42" s="1413"/>
      <c r="D42" s="1413"/>
      <c r="F42" s="1413" t="s">
        <v>375</v>
      </c>
      <c r="G42" s="1413"/>
      <c r="H42" s="1413"/>
      <c r="I42" s="1413"/>
      <c r="K42" s="1413" t="s">
        <v>375</v>
      </c>
      <c r="L42" s="1413"/>
      <c r="M42" s="1413"/>
    </row>
    <row r="43" spans="1:17">
      <c r="A43" s="449">
        <v>34</v>
      </c>
      <c r="B43" t="s">
        <v>366</v>
      </c>
      <c r="C43" s="589">
        <f>C28-C14</f>
        <v>-4456410</v>
      </c>
      <c r="D43" s="531"/>
      <c r="F43" t="s">
        <v>366</v>
      </c>
      <c r="G43" s="589">
        <f>G28-G14</f>
        <v>-4136881</v>
      </c>
      <c r="H43" s="449"/>
      <c r="I43" s="531"/>
      <c r="K43" t="s">
        <v>366</v>
      </c>
      <c r="L43" s="589">
        <f>L28-L14</f>
        <v>961366</v>
      </c>
      <c r="M43" s="531"/>
    </row>
    <row r="44" spans="1:17">
      <c r="A44" s="449">
        <v>35</v>
      </c>
      <c r="C44" s="532"/>
      <c r="D44" s="531" t="s">
        <v>369</v>
      </c>
      <c r="G44" s="532"/>
      <c r="I44" s="531" t="s">
        <v>369</v>
      </c>
      <c r="M44" s="531" t="s">
        <v>369</v>
      </c>
      <c r="Q44" s="531" t="s">
        <v>369</v>
      </c>
    </row>
    <row r="45" spans="1:17">
      <c r="A45" s="449">
        <v>36</v>
      </c>
      <c r="B45" t="s">
        <v>141</v>
      </c>
      <c r="D45" s="551">
        <f>D30-0</f>
        <v>442939.2</v>
      </c>
      <c r="F45" t="s">
        <v>141</v>
      </c>
      <c r="I45" s="551">
        <f>I30-0</f>
        <v>156482.03999999998</v>
      </c>
      <c r="K45" t="s">
        <v>141</v>
      </c>
      <c r="M45" s="551">
        <f>M30-0</f>
        <v>1375</v>
      </c>
      <c r="O45" t="s">
        <v>141</v>
      </c>
      <c r="Q45" s="551">
        <f>12936-0</f>
        <v>12936</v>
      </c>
    </row>
    <row r="46" spans="1:17">
      <c r="A46" s="449">
        <v>37</v>
      </c>
      <c r="B46" t="s">
        <v>142</v>
      </c>
      <c r="D46" s="530">
        <f t="shared" ref="D46:D54" si="7">D31-D16</f>
        <v>-1637659.8563000001</v>
      </c>
      <c r="F46" t="s">
        <v>142</v>
      </c>
      <c r="I46" s="530">
        <f t="shared" ref="I46:I54" si="8">I31-I16</f>
        <v>-1054922.113383932</v>
      </c>
      <c r="K46" t="s">
        <v>142</v>
      </c>
      <c r="M46" s="530">
        <f t="shared" ref="M46:M54" si="9">M31-M16</f>
        <v>130274.70666</v>
      </c>
    </row>
    <row r="47" spans="1:17">
      <c r="A47" s="449">
        <v>38</v>
      </c>
      <c r="B47" t="s">
        <v>371</v>
      </c>
      <c r="D47" s="530">
        <f t="shared" si="7"/>
        <v>135778.2812</v>
      </c>
      <c r="F47" t="s">
        <v>371</v>
      </c>
      <c r="I47" s="530">
        <f t="shared" si="8"/>
        <v>75416.599249989566</v>
      </c>
      <c r="K47" t="s">
        <v>371</v>
      </c>
      <c r="M47" s="530">
        <f t="shared" si="9"/>
        <v>0</v>
      </c>
    </row>
    <row r="48" spans="1:17">
      <c r="A48" s="449">
        <v>39</v>
      </c>
      <c r="B48" t="s">
        <v>372</v>
      </c>
      <c r="D48" s="530">
        <f t="shared" si="7"/>
        <v>16309.388299999991</v>
      </c>
      <c r="F48" t="s">
        <v>372</v>
      </c>
      <c r="I48" s="530">
        <f t="shared" si="8"/>
        <v>9559.0296837734932</v>
      </c>
      <c r="K48" t="s">
        <v>372</v>
      </c>
      <c r="M48" s="530">
        <f t="shared" si="9"/>
        <v>-1105.5708999999999</v>
      </c>
    </row>
    <row r="49" spans="1:17">
      <c r="A49" s="449">
        <v>40</v>
      </c>
      <c r="B49" t="s">
        <v>144</v>
      </c>
      <c r="D49" s="530">
        <f t="shared" si="7"/>
        <v>-4695885.4097999986</v>
      </c>
      <c r="F49" t="s">
        <v>144</v>
      </c>
      <c r="I49" s="530">
        <f t="shared" si="8"/>
        <v>-4006652.9982898729</v>
      </c>
      <c r="K49" t="s">
        <v>144</v>
      </c>
      <c r="M49" s="530">
        <f t="shared" si="9"/>
        <v>589413.49204000004</v>
      </c>
    </row>
    <row r="50" spans="1:17">
      <c r="A50" s="449">
        <v>41</v>
      </c>
      <c r="B50" t="s">
        <v>373</v>
      </c>
      <c r="D50" s="530">
        <f t="shared" si="7"/>
        <v>634833.58539999975</v>
      </c>
      <c r="F50" t="s">
        <v>373</v>
      </c>
      <c r="I50" s="530">
        <f t="shared" si="8"/>
        <v>275607.62649000017</v>
      </c>
      <c r="K50" t="s">
        <v>373</v>
      </c>
      <c r="M50" s="530">
        <f t="shared" si="9"/>
        <v>258857.40916000001</v>
      </c>
    </row>
    <row r="51" spans="1:17">
      <c r="A51" s="449">
        <v>42</v>
      </c>
      <c r="B51" t="s">
        <v>149</v>
      </c>
      <c r="D51" s="530">
        <f t="shared" si="7"/>
        <v>94815.355199999991</v>
      </c>
      <c r="F51" t="s">
        <v>149</v>
      </c>
      <c r="I51" s="530">
        <f t="shared" si="8"/>
        <v>36328.856159999967</v>
      </c>
      <c r="K51" t="s">
        <v>149</v>
      </c>
      <c r="M51" s="530">
        <f t="shared" si="9"/>
        <v>44761.200959999995</v>
      </c>
    </row>
    <row r="52" spans="1:17">
      <c r="A52" s="449">
        <v>43</v>
      </c>
      <c r="B52" t="s">
        <v>146</v>
      </c>
      <c r="D52" s="530">
        <f t="shared" si="7"/>
        <v>114701.6266</v>
      </c>
      <c r="F52" t="s">
        <v>146</v>
      </c>
      <c r="I52" s="530">
        <f t="shared" si="8"/>
        <v>63961.143079561567</v>
      </c>
      <c r="K52" t="s">
        <v>146</v>
      </c>
      <c r="M52" s="530">
        <f t="shared" si="9"/>
        <v>5499.0135200000004</v>
      </c>
    </row>
    <row r="53" spans="1:17">
      <c r="A53" s="449">
        <v>44</v>
      </c>
      <c r="B53" t="s">
        <v>148</v>
      </c>
      <c r="D53" s="530">
        <f t="shared" si="7"/>
        <v>-513101.09169999999</v>
      </c>
      <c r="F53" t="s">
        <v>148</v>
      </c>
      <c r="I53" s="530">
        <f t="shared" si="8"/>
        <v>-643088.92336952547</v>
      </c>
      <c r="K53" t="s">
        <v>148</v>
      </c>
      <c r="M53" s="530">
        <f t="shared" si="9"/>
        <v>3259.0307399999997</v>
      </c>
    </row>
    <row r="54" spans="1:17">
      <c r="A54" s="449">
        <v>45</v>
      </c>
      <c r="B54" t="s">
        <v>147</v>
      </c>
      <c r="D54" s="542">
        <f t="shared" si="7"/>
        <v>92509.777100000036</v>
      </c>
      <c r="F54" t="s">
        <v>147</v>
      </c>
      <c r="I54" s="542">
        <f t="shared" si="8"/>
        <v>32684.463541790159</v>
      </c>
      <c r="K54" t="s">
        <v>147</v>
      </c>
      <c r="M54" s="542">
        <f t="shared" si="9"/>
        <v>5200.9900600000001</v>
      </c>
      <c r="Q54" s="481"/>
    </row>
    <row r="55" spans="1:17">
      <c r="A55" s="449">
        <v>46</v>
      </c>
      <c r="B55" t="s">
        <v>200</v>
      </c>
      <c r="D55" s="551">
        <f>SUM(D45:D54)</f>
        <v>-5314759.1439999985</v>
      </c>
      <c r="F55" t="s">
        <v>200</v>
      </c>
      <c r="I55" s="551">
        <f>SUM(I45:I54)</f>
        <v>-5054624.276838216</v>
      </c>
      <c r="K55" t="s">
        <v>200</v>
      </c>
      <c r="M55" s="551">
        <f>SUM(M45:M54)</f>
        <v>1037535.2722400001</v>
      </c>
      <c r="O55" t="s">
        <v>200</v>
      </c>
      <c r="Q55" s="551">
        <f>SUM(Q45:Q54)</f>
        <v>12936</v>
      </c>
    </row>
    <row r="56" spans="1:17">
      <c r="A56" s="449">
        <v>47</v>
      </c>
      <c r="B56" t="s">
        <v>376</v>
      </c>
      <c r="D56" s="529">
        <f>D55-SUM('Rev Recon Summary'!Q20:Q21)</f>
        <v>-3.9999829605221748E-3</v>
      </c>
      <c r="F56" t="s">
        <v>376</v>
      </c>
      <c r="I56" s="529">
        <f>I55-SUM('Rev Recon Summary'!Q40:Q41)</f>
        <v>3.1618000939488411E-3</v>
      </c>
      <c r="K56" t="s">
        <v>376</v>
      </c>
      <c r="M56" s="529">
        <f>M55-SUM('Rev Recon Summary'!Q80:Q81)</f>
        <v>2.2399995941668749E-3</v>
      </c>
      <c r="O56" t="s">
        <v>376</v>
      </c>
      <c r="Q56" s="529">
        <f>Q55-SUM('Rev Recon Summary'!Q60:Q61)</f>
        <v>0</v>
      </c>
    </row>
  </sheetData>
  <mergeCells count="35">
    <mergeCell ref="O13:Q13"/>
    <mergeCell ref="O27:Q27"/>
    <mergeCell ref="O1:Q1"/>
    <mergeCell ref="O2:Q2"/>
    <mergeCell ref="O3:Q3"/>
    <mergeCell ref="O4:Q4"/>
    <mergeCell ref="O5:Q5"/>
    <mergeCell ref="O6:Q6"/>
    <mergeCell ref="F1:I1"/>
    <mergeCell ref="F3:I3"/>
    <mergeCell ref="F4:I4"/>
    <mergeCell ref="F5:I5"/>
    <mergeCell ref="F6:I6"/>
    <mergeCell ref="K5:M5"/>
    <mergeCell ref="B2:E2"/>
    <mergeCell ref="K2:M2"/>
    <mergeCell ref="F2:I2"/>
    <mergeCell ref="B6:E6"/>
    <mergeCell ref="B4:E4"/>
    <mergeCell ref="B1:E1"/>
    <mergeCell ref="B5:E5"/>
    <mergeCell ref="B3:E3"/>
    <mergeCell ref="K1:M1"/>
    <mergeCell ref="B42:D42"/>
    <mergeCell ref="F42:I42"/>
    <mergeCell ref="K42:M42"/>
    <mergeCell ref="B13:D13"/>
    <mergeCell ref="F13:I13"/>
    <mergeCell ref="K13:M13"/>
    <mergeCell ref="B27:D27"/>
    <mergeCell ref="F27:I27"/>
    <mergeCell ref="K27:M27"/>
    <mergeCell ref="K3:M3"/>
    <mergeCell ref="K6:M6"/>
    <mergeCell ref="K4:M4"/>
  </mergeCells>
  <printOptions horizontalCentered="1"/>
  <pageMargins left="0.7" right="0.7" top="0.75" bottom="0.75" header="0.3" footer="0.3"/>
  <pageSetup scale="55" orientation="portrait" r:id="rId1"/>
  <headerFooter>
    <oddHeader>&amp;RPage &amp;P of &amp;N</oddHeader>
    <oddFooter>&amp;L&amp;A</oddFooter>
  </headerFooter>
  <colBreaks count="3" manualBreakCount="3">
    <brk id="4" max="1048575" man="1"/>
    <brk id="9" max="54" man="1"/>
    <brk id="13" max="54"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A272-7744-4B1E-9616-FC0221F7680B}">
  <sheetPr codeName="Sheet58">
    <pageSetUpPr fitToPage="1"/>
  </sheetPr>
  <dimension ref="A1:M35"/>
  <sheetViews>
    <sheetView view="pageBreakPreview" zoomScale="60" zoomScaleNormal="100" workbookViewId="0">
      <selection activeCell="A8" sqref="A8:M9"/>
    </sheetView>
  </sheetViews>
  <sheetFormatPr defaultColWidth="9.140625" defaultRowHeight="15"/>
  <cols>
    <col min="1" max="1" width="9.140625" style="533"/>
    <col min="2" max="2" width="9.140625" style="533" customWidth="1"/>
    <col min="3" max="3" width="21.85546875" style="533" bestFit="1" customWidth="1"/>
    <col min="4" max="4" width="9.42578125" style="533" bestFit="1" customWidth="1"/>
    <col min="5" max="5" width="11.5703125" style="533" bestFit="1" customWidth="1"/>
    <col min="6" max="6" width="16" style="533" bestFit="1" customWidth="1"/>
    <col min="7" max="7" width="19.42578125" style="533" bestFit="1" customWidth="1"/>
    <col min="8" max="8" width="10.85546875" style="533" bestFit="1" customWidth="1"/>
    <col min="9" max="9" width="12.5703125" style="533" bestFit="1" customWidth="1"/>
    <col min="10" max="10" width="14.42578125" style="533" bestFit="1" customWidth="1"/>
    <col min="11" max="11" width="10.140625" style="533" bestFit="1" customWidth="1"/>
    <col min="12" max="12" width="2.140625" style="533" customWidth="1"/>
    <col min="13" max="13" width="19.140625" style="533" bestFit="1" customWidth="1"/>
    <col min="14" max="14" width="9.140625" style="533"/>
    <col min="15" max="15" width="15.7109375" style="533" bestFit="1" customWidth="1"/>
    <col min="16" max="16384" width="9.140625" style="533"/>
  </cols>
  <sheetData>
    <row r="1" spans="1:13">
      <c r="B1" s="1427" t="s">
        <v>2</v>
      </c>
      <c r="C1" s="1427"/>
      <c r="D1" s="1427"/>
      <c r="E1" s="1427"/>
      <c r="F1" s="1427"/>
      <c r="G1" s="1427"/>
      <c r="H1" s="1427"/>
      <c r="I1" s="1427"/>
      <c r="J1" s="1427"/>
      <c r="K1" s="1427"/>
      <c r="L1" s="1427"/>
      <c r="M1" s="1427"/>
    </row>
    <row r="2" spans="1:13">
      <c r="B2" s="1427" t="s">
        <v>0</v>
      </c>
      <c r="C2" s="1427"/>
      <c r="D2" s="1427"/>
      <c r="E2" s="1427"/>
      <c r="F2" s="1427"/>
      <c r="G2" s="1427"/>
      <c r="H2" s="1427"/>
      <c r="I2" s="1427"/>
      <c r="J2" s="1427"/>
      <c r="K2" s="1427"/>
      <c r="L2" s="1427"/>
      <c r="M2" s="1427"/>
    </row>
    <row r="3" spans="1:13">
      <c r="B3" s="1427" t="s">
        <v>5</v>
      </c>
      <c r="C3" s="1427"/>
      <c r="D3" s="1427"/>
      <c r="E3" s="1427"/>
      <c r="F3" s="1427"/>
      <c r="G3" s="1427"/>
      <c r="H3" s="1427"/>
      <c r="I3" s="1427"/>
      <c r="J3" s="1427"/>
      <c r="K3" s="1427"/>
      <c r="L3" s="1427"/>
      <c r="M3" s="1427"/>
    </row>
    <row r="4" spans="1:13">
      <c r="B4" s="1427" t="s">
        <v>9</v>
      </c>
      <c r="C4" s="1427"/>
      <c r="D4" s="1427"/>
      <c r="E4" s="1427"/>
      <c r="F4" s="1427"/>
      <c r="G4" s="1427"/>
      <c r="H4" s="1427"/>
      <c r="I4" s="1427"/>
      <c r="J4" s="1427"/>
      <c r="K4" s="1427"/>
      <c r="L4" s="1427"/>
      <c r="M4" s="1427"/>
    </row>
    <row r="5" spans="1:13">
      <c r="B5" s="1427" t="s">
        <v>228</v>
      </c>
      <c r="C5" s="1427"/>
      <c r="D5" s="1427"/>
      <c r="E5" s="1427"/>
      <c r="F5" s="1427"/>
      <c r="G5" s="1427"/>
      <c r="H5" s="1427"/>
      <c r="I5" s="1427"/>
      <c r="J5" s="1427"/>
      <c r="K5" s="1427"/>
      <c r="L5" s="1427"/>
      <c r="M5" s="1427"/>
    </row>
    <row r="6" spans="1:13">
      <c r="B6" s="1427" t="s">
        <v>227</v>
      </c>
      <c r="C6" s="1427"/>
      <c r="D6" s="1427"/>
      <c r="E6" s="1427"/>
      <c r="F6" s="1427"/>
      <c r="G6" s="1427"/>
      <c r="H6" s="1427"/>
      <c r="I6" s="1427"/>
      <c r="J6" s="1427"/>
      <c r="K6" s="1427"/>
      <c r="L6" s="1427"/>
      <c r="M6" s="1427"/>
    </row>
    <row r="7" spans="1:13">
      <c r="B7" s="1088"/>
      <c r="C7" s="1088"/>
      <c r="D7" s="1088"/>
      <c r="E7" s="1088"/>
      <c r="F7" s="1088"/>
      <c r="G7" s="1088"/>
      <c r="H7" s="1088"/>
      <c r="I7" s="1088"/>
      <c r="J7" s="1088"/>
      <c r="K7" s="1088"/>
      <c r="L7" s="1088"/>
      <c r="M7" s="1088"/>
    </row>
    <row r="8" spans="1:13">
      <c r="A8" s="644" t="s">
        <v>536</v>
      </c>
      <c r="B8" s="54"/>
      <c r="C8" s="54"/>
      <c r="D8" s="933"/>
      <c r="E8" s="1088"/>
      <c r="F8" s="1088"/>
      <c r="G8" s="1088"/>
      <c r="H8" s="1088"/>
      <c r="I8" s="1088"/>
      <c r="J8" s="1088"/>
      <c r="K8" s="1088"/>
      <c r="L8" s="1088"/>
      <c r="M8" s="1088"/>
    </row>
    <row r="9" spans="1:13">
      <c r="A9" s="487"/>
      <c r="B9" s="487" t="s">
        <v>439</v>
      </c>
      <c r="C9" s="487" t="s">
        <v>208</v>
      </c>
      <c r="D9" s="706" t="s">
        <v>209</v>
      </c>
      <c r="E9" s="706" t="s">
        <v>440</v>
      </c>
      <c r="F9" s="706" t="s">
        <v>441</v>
      </c>
      <c r="G9" s="706" t="s">
        <v>442</v>
      </c>
      <c r="H9" s="706" t="s">
        <v>443</v>
      </c>
      <c r="I9" s="706" t="s">
        <v>444</v>
      </c>
      <c r="J9" s="706" t="s">
        <v>445</v>
      </c>
      <c r="K9" s="706" t="s">
        <v>446</v>
      </c>
      <c r="L9" s="706"/>
      <c r="M9" s="706" t="s">
        <v>447</v>
      </c>
    </row>
    <row r="10" spans="1:13">
      <c r="A10" s="1093">
        <v>1</v>
      </c>
      <c r="B10" s="533" t="s">
        <v>377</v>
      </c>
    </row>
    <row r="11" spans="1:13">
      <c r="A11" s="1093">
        <v>2</v>
      </c>
      <c r="B11" s="533" t="s">
        <v>378</v>
      </c>
      <c r="C11" s="533" t="s">
        <v>379</v>
      </c>
      <c r="D11" s="533" t="s">
        <v>380</v>
      </c>
      <c r="E11" s="533" t="s">
        <v>381</v>
      </c>
      <c r="F11" s="533" t="s">
        <v>382</v>
      </c>
      <c r="G11" s="533" t="s">
        <v>383</v>
      </c>
      <c r="H11" s="533" t="s">
        <v>384</v>
      </c>
      <c r="I11" s="533" t="s">
        <v>385</v>
      </c>
      <c r="J11" s="533" t="s">
        <v>386</v>
      </c>
      <c r="K11" s="533" t="s">
        <v>387</v>
      </c>
      <c r="M11" s="533" t="s">
        <v>388</v>
      </c>
    </row>
    <row r="12" spans="1:13">
      <c r="A12" s="1093">
        <v>3</v>
      </c>
      <c r="B12" s="534">
        <v>44986</v>
      </c>
      <c r="C12" s="533" t="s">
        <v>389</v>
      </c>
      <c r="D12" s="535">
        <v>5690</v>
      </c>
      <c r="E12" s="533">
        <v>0.17768999999999999</v>
      </c>
      <c r="F12" s="533">
        <v>0.17163999999999999</v>
      </c>
      <c r="G12" s="536">
        <f>D12*(E12+F12)</f>
        <v>1987.6876999999999</v>
      </c>
      <c r="H12" s="536">
        <v>168.94</v>
      </c>
      <c r="I12" s="536">
        <f>G12+H12</f>
        <v>2156.6277</v>
      </c>
      <c r="J12" s="536">
        <v>2156.63</v>
      </c>
      <c r="K12" s="537">
        <f t="shared" ref="K12:K21" si="0">J12-I12</f>
        <v>2.3000000001047738E-3</v>
      </c>
      <c r="L12" s="538"/>
      <c r="M12" s="536">
        <f>D12*E12</f>
        <v>1011.0560999999999</v>
      </c>
    </row>
    <row r="13" spans="1:13">
      <c r="A13" s="1093">
        <v>4</v>
      </c>
      <c r="C13" s="533" t="s">
        <v>390</v>
      </c>
      <c r="D13" s="539">
        <v>7774</v>
      </c>
      <c r="E13" s="533">
        <v>0.17768999999999999</v>
      </c>
      <c r="F13" s="533">
        <v>0.17163999999999999</v>
      </c>
      <c r="G13" s="536">
        <f>D13*(E13+F13)</f>
        <v>2715.6914199999997</v>
      </c>
      <c r="H13" s="540">
        <v>230.83</v>
      </c>
      <c r="I13" s="536">
        <f>G13+H13</f>
        <v>2946.5214199999996</v>
      </c>
      <c r="J13" s="536">
        <v>2946.52</v>
      </c>
      <c r="K13" s="537">
        <f t="shared" si="0"/>
        <v>-1.4199999995980761E-3</v>
      </c>
      <c r="M13" s="536">
        <f>D13*E13</f>
        <v>1381.3620599999999</v>
      </c>
    </row>
    <row r="14" spans="1:13">
      <c r="A14" s="1093">
        <v>5</v>
      </c>
      <c r="C14" s="533" t="s">
        <v>391</v>
      </c>
      <c r="D14" s="539">
        <v>4432</v>
      </c>
      <c r="E14" s="533">
        <v>0.17768999999999999</v>
      </c>
      <c r="F14" s="533">
        <v>0.17163999999999999</v>
      </c>
      <c r="G14" s="536">
        <f>D14*(E14+F14)-0.1</f>
        <v>1548.1305600000001</v>
      </c>
      <c r="H14" s="540">
        <v>131.58000000000001</v>
      </c>
      <c r="I14" s="536">
        <f>G14+H14</f>
        <v>1679.71056</v>
      </c>
      <c r="J14" s="536">
        <v>1679.71</v>
      </c>
      <c r="K14" s="537">
        <f t="shared" si="0"/>
        <v>-5.5999999995037797E-4</v>
      </c>
      <c r="M14" s="536">
        <f>D14*E14</f>
        <v>787.52207999999996</v>
      </c>
    </row>
    <row r="15" spans="1:13">
      <c r="A15" s="1093"/>
      <c r="D15" s="539"/>
      <c r="G15" s="536"/>
      <c r="H15" s="540"/>
      <c r="I15" s="536"/>
      <c r="J15" s="536"/>
      <c r="K15" s="537"/>
      <c r="M15" s="536"/>
    </row>
    <row r="16" spans="1:13">
      <c r="A16" s="1093">
        <v>6</v>
      </c>
      <c r="B16" s="534">
        <v>45108</v>
      </c>
      <c r="C16" s="533" t="s">
        <v>392</v>
      </c>
      <c r="D16" s="535">
        <v>8916</v>
      </c>
      <c r="E16" s="533">
        <v>0.17424000000000001</v>
      </c>
      <c r="F16" s="533">
        <v>0.17457</v>
      </c>
      <c r="G16" s="536">
        <f>D16*(E16+F16)</f>
        <v>3109.9899599999999</v>
      </c>
      <c r="H16" s="540">
        <v>198.51</v>
      </c>
      <c r="I16" s="536">
        <f t="shared" ref="I16:I21" si="1">G16+H16</f>
        <v>3308.4999600000001</v>
      </c>
      <c r="J16" s="536">
        <v>3308.5</v>
      </c>
      <c r="K16" s="537">
        <f t="shared" si="0"/>
        <v>3.9999999899009708E-5</v>
      </c>
      <c r="M16" s="536">
        <f>D16*E16</f>
        <v>1553.5238400000001</v>
      </c>
    </row>
    <row r="17" spans="1:13">
      <c r="A17" s="1093">
        <v>7</v>
      </c>
      <c r="C17" s="533" t="s">
        <v>393</v>
      </c>
      <c r="D17" s="539">
        <v>17616</v>
      </c>
      <c r="E17" s="533">
        <v>0.17424000000000001</v>
      </c>
      <c r="F17" s="533">
        <v>0.17457</v>
      </c>
      <c r="G17" s="536">
        <f>D17*(E17+F17)</f>
        <v>6144.6369599999998</v>
      </c>
      <c r="H17" s="540">
        <v>368.68</v>
      </c>
      <c r="I17" s="536">
        <f t="shared" si="1"/>
        <v>6513.3169600000001</v>
      </c>
      <c r="J17" s="536">
        <v>6513.32</v>
      </c>
      <c r="K17" s="537">
        <f t="shared" si="0"/>
        <v>3.0399999996006954E-3</v>
      </c>
      <c r="M17" s="536">
        <f>D17*E17</f>
        <v>3069.4118400000002</v>
      </c>
    </row>
    <row r="18" spans="1:13">
      <c r="A18" s="1093">
        <v>8</v>
      </c>
      <c r="C18" s="533" t="s">
        <v>394</v>
      </c>
      <c r="D18" s="539">
        <v>12236</v>
      </c>
      <c r="E18" s="533">
        <v>0.17424000000000001</v>
      </c>
      <c r="F18" s="533">
        <v>0.17457</v>
      </c>
      <c r="G18" s="536">
        <f>D18*(E18+F18)</f>
        <v>4268.0391600000003</v>
      </c>
      <c r="H18" s="540">
        <v>272.43</v>
      </c>
      <c r="I18" s="536">
        <f t="shared" si="1"/>
        <v>4540.4691600000006</v>
      </c>
      <c r="J18" s="536">
        <v>4540.47</v>
      </c>
      <c r="K18" s="537">
        <f t="shared" si="0"/>
        <v>8.3999999969819328E-4</v>
      </c>
      <c r="M18" s="536">
        <f>D18*E18</f>
        <v>2132.0006400000002</v>
      </c>
    </row>
    <row r="19" spans="1:13">
      <c r="A19" s="1093">
        <v>9</v>
      </c>
      <c r="C19" s="533" t="s">
        <v>395</v>
      </c>
      <c r="D19" s="535">
        <v>9361</v>
      </c>
      <c r="E19" s="533">
        <v>0.17424000000000001</v>
      </c>
      <c r="F19" s="533">
        <v>0.17457</v>
      </c>
      <c r="G19" s="536">
        <f>D19*(E19+F19)</f>
        <v>3265.2104100000001</v>
      </c>
      <c r="H19" s="540">
        <v>277.54000000000002</v>
      </c>
      <c r="I19" s="536">
        <f t="shared" si="1"/>
        <v>3542.7504100000001</v>
      </c>
      <c r="J19" s="536">
        <v>3542.75</v>
      </c>
      <c r="K19" s="537">
        <f t="shared" si="0"/>
        <v>-4.1000000010171789E-4</v>
      </c>
      <c r="M19" s="536">
        <f>D19*E19</f>
        <v>1631.0606400000001</v>
      </c>
    </row>
    <row r="20" spans="1:13">
      <c r="A20" s="1093"/>
      <c r="D20" s="539"/>
      <c r="G20" s="536"/>
      <c r="H20" s="540"/>
      <c r="I20" s="536"/>
      <c r="J20" s="536"/>
      <c r="K20" s="537"/>
      <c r="M20" s="536"/>
    </row>
    <row r="21" spans="1:13">
      <c r="A21" s="1093">
        <v>10</v>
      </c>
      <c r="B21" s="534">
        <v>45170</v>
      </c>
      <c r="C21" s="533" t="s">
        <v>394</v>
      </c>
      <c r="D21" s="535">
        <v>8062</v>
      </c>
      <c r="E21" s="533">
        <v>0.17424000000000001</v>
      </c>
      <c r="F21" s="533">
        <v>0.17457</v>
      </c>
      <c r="G21" s="536">
        <f>D21*(E21+F21)+0.02</f>
        <v>2812.1262200000001</v>
      </c>
      <c r="H21" s="540">
        <v>179.5</v>
      </c>
      <c r="I21" s="536">
        <f t="shared" si="1"/>
        <v>2991.6262200000001</v>
      </c>
      <c r="J21" s="536">
        <v>2991.63</v>
      </c>
      <c r="K21" s="537">
        <f t="shared" si="0"/>
        <v>3.7800000000061118E-3</v>
      </c>
      <c r="M21" s="536">
        <f>D21*E21</f>
        <v>1404.72288</v>
      </c>
    </row>
    <row r="22" spans="1:13">
      <c r="D22" s="539"/>
      <c r="F22" s="541"/>
      <c r="G22" s="536"/>
      <c r="H22" s="540"/>
      <c r="I22" s="536"/>
      <c r="J22" s="536"/>
      <c r="K22" s="537"/>
    </row>
    <row r="23" spans="1:13">
      <c r="G23" s="536"/>
      <c r="H23" s="540"/>
      <c r="I23" s="536"/>
      <c r="J23" s="536"/>
      <c r="K23" s="537"/>
    </row>
    <row r="24" spans="1:13">
      <c r="G24" s="536"/>
      <c r="H24" s="540"/>
      <c r="I24" s="536"/>
      <c r="J24" s="536"/>
      <c r="K24" s="537"/>
    </row>
    <row r="25" spans="1:13">
      <c r="G25" s="536"/>
      <c r="H25" s="540"/>
      <c r="I25" s="536"/>
      <c r="J25" s="536"/>
      <c r="K25" s="537"/>
    </row>
    <row r="26" spans="1:13">
      <c r="G26" s="536"/>
      <c r="H26" s="540"/>
      <c r="I26" s="536"/>
      <c r="J26" s="536"/>
      <c r="K26" s="537"/>
    </row>
    <row r="27" spans="1:13">
      <c r="F27" s="536"/>
    </row>
    <row r="33" spans="6:6">
      <c r="F33" s="536"/>
    </row>
    <row r="34" spans="6:6">
      <c r="F34" s="536"/>
    </row>
    <row r="35" spans="6:6">
      <c r="F35" s="536"/>
    </row>
  </sheetData>
  <mergeCells count="6">
    <mergeCell ref="B6:M6"/>
    <mergeCell ref="B2:M2"/>
    <mergeCell ref="B1:M1"/>
    <mergeCell ref="B3:M3"/>
    <mergeCell ref="B4:M4"/>
    <mergeCell ref="B5:M5"/>
  </mergeCells>
  <printOptions horizontalCentered="1"/>
  <pageMargins left="0.7" right="0.7" top="0.75" bottom="0.75" header="0.3" footer="0.3"/>
  <pageSetup scale="54" orientation="portrait" r:id="rId1"/>
  <headerFooter>
    <oddHeader>&amp;RPage &amp;P of &amp;N</oddHeader>
    <oddFooter>&amp;L&amp;A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789F-0334-45BC-9319-7480F7205DB3}">
  <sheetPr codeName="Sheet18"/>
  <dimension ref="A1:U398"/>
  <sheetViews>
    <sheetView view="pageBreakPreview" topLeftCell="D6" zoomScale="60" zoomScaleNormal="100" workbookViewId="0">
      <selection activeCell="Q12" sqref="Q12"/>
    </sheetView>
  </sheetViews>
  <sheetFormatPr defaultColWidth="7.5703125" defaultRowHeight="15"/>
  <cols>
    <col min="1" max="1" width="7.5703125" style="18"/>
    <col min="2" max="2" width="11.140625" style="18" customWidth="1"/>
    <col min="3" max="3" width="16.7109375" style="18" customWidth="1"/>
    <col min="4" max="4" width="26.85546875" style="18" customWidth="1"/>
    <col min="5" max="5" width="22.5703125" style="18" bestFit="1" customWidth="1"/>
    <col min="6" max="6" width="22" style="18" bestFit="1" customWidth="1"/>
    <col min="7" max="7" width="22.5703125" style="18" bestFit="1" customWidth="1"/>
    <col min="8" max="8" width="22" style="18" bestFit="1" customWidth="1"/>
    <col min="9" max="9" width="20.85546875" style="18" bestFit="1" customWidth="1"/>
    <col min="10" max="11" width="20.42578125" style="18" bestFit="1" customWidth="1"/>
    <col min="12" max="14" width="20.85546875" style="18" bestFit="1" customWidth="1"/>
    <col min="15" max="15" width="22.5703125" style="18" bestFit="1" customWidth="1"/>
    <col min="16" max="16" width="22" style="18" bestFit="1" customWidth="1"/>
    <col min="17" max="17" width="24.42578125" style="325" bestFit="1" customWidth="1"/>
    <col min="18" max="18" width="6.5703125" style="18" customWidth="1"/>
    <col min="19" max="19" width="17.5703125" style="18" bestFit="1" customWidth="1"/>
    <col min="20" max="20" width="21" style="18" bestFit="1" customWidth="1"/>
    <col min="21" max="21" width="8.5703125" style="18" bestFit="1" customWidth="1"/>
    <col min="22" max="16384" width="7.5703125" style="18"/>
  </cols>
  <sheetData>
    <row r="1" spans="1:20">
      <c r="B1" s="1428" t="str">
        <f>Company</f>
        <v>Cascade Natural Gas Corp.</v>
      </c>
      <c r="C1" s="1428"/>
      <c r="D1" s="1428"/>
      <c r="E1" s="1428"/>
      <c r="F1" s="1428"/>
      <c r="G1" s="1428"/>
      <c r="H1" s="1428"/>
      <c r="I1" s="1428"/>
      <c r="J1" s="1428"/>
      <c r="K1" s="1428"/>
      <c r="L1" s="1428"/>
      <c r="M1" s="1428"/>
      <c r="N1" s="1428"/>
      <c r="O1" s="1428"/>
      <c r="P1" s="1428"/>
      <c r="Q1" s="1428"/>
    </row>
    <row r="2" spans="1:20">
      <c r="B2" s="1428" t="str">
        <f>Title1</f>
        <v>Washington Jurisdiction</v>
      </c>
      <c r="C2" s="1428"/>
      <c r="D2" s="1428"/>
      <c r="E2" s="1428"/>
      <c r="F2" s="1428"/>
      <c r="G2" s="1428"/>
      <c r="H2" s="1428"/>
      <c r="I2" s="1428"/>
      <c r="J2" s="1428"/>
      <c r="K2" s="1428"/>
      <c r="L2" s="1428"/>
      <c r="M2" s="1428"/>
      <c r="N2" s="1428"/>
      <c r="O2" s="1428"/>
      <c r="P2" s="1428"/>
      <c r="Q2" s="1428"/>
    </row>
    <row r="3" spans="1:20">
      <c r="B3" s="1428" t="str">
        <f>Title2</f>
        <v>Twelve-Months ended December 31, 2023</v>
      </c>
      <c r="C3" s="1428"/>
      <c r="D3" s="1428"/>
      <c r="E3" s="1428"/>
      <c r="F3" s="1428"/>
      <c r="G3" s="1428"/>
      <c r="H3" s="1428"/>
      <c r="I3" s="1428"/>
      <c r="J3" s="1428"/>
      <c r="K3" s="1428"/>
      <c r="L3" s="1428"/>
      <c r="M3" s="1428"/>
      <c r="N3" s="1428"/>
      <c r="O3" s="1428"/>
      <c r="P3" s="1428"/>
      <c r="Q3" s="1428"/>
    </row>
    <row r="4" spans="1:20">
      <c r="B4" s="1428" t="str">
        <f>Title8</f>
        <v>UG-240008</v>
      </c>
      <c r="C4" s="1428"/>
      <c r="D4" s="1428"/>
      <c r="E4" s="1428"/>
      <c r="F4" s="1428"/>
      <c r="G4" s="1428"/>
      <c r="H4" s="1428"/>
      <c r="I4" s="1428"/>
      <c r="J4" s="1428"/>
      <c r="K4" s="1428"/>
      <c r="L4" s="1428"/>
      <c r="M4" s="1428"/>
      <c r="N4" s="1428"/>
      <c r="O4" s="1428"/>
      <c r="P4" s="1428"/>
      <c r="Q4" s="1428"/>
    </row>
    <row r="5" spans="1:20">
      <c r="B5" s="1428" t="s">
        <v>230</v>
      </c>
      <c r="C5" s="1428"/>
      <c r="D5" s="1428"/>
      <c r="E5" s="1428"/>
      <c r="F5" s="1428"/>
      <c r="G5" s="1428"/>
      <c r="H5" s="1428"/>
      <c r="I5" s="1428"/>
      <c r="J5" s="1428"/>
      <c r="K5" s="1428"/>
      <c r="L5" s="1428"/>
      <c r="M5" s="1428"/>
      <c r="N5" s="1428"/>
      <c r="O5" s="1428"/>
      <c r="P5" s="1428"/>
      <c r="Q5" s="1428"/>
    </row>
    <row r="6" spans="1:20">
      <c r="B6" s="1428" t="s">
        <v>396</v>
      </c>
      <c r="C6" s="1428"/>
      <c r="D6" s="1428"/>
      <c r="E6" s="1428"/>
      <c r="F6" s="1428"/>
      <c r="G6" s="1428"/>
      <c r="H6" s="1428"/>
      <c r="I6" s="1428"/>
      <c r="J6" s="1428"/>
      <c r="K6" s="1428"/>
      <c r="L6" s="1428"/>
      <c r="M6" s="1428"/>
      <c r="N6" s="1428"/>
      <c r="O6" s="1428"/>
      <c r="P6" s="1428"/>
      <c r="Q6" s="1428"/>
    </row>
    <row r="7" spans="1:20">
      <c r="B7" s="1089"/>
      <c r="C7" s="1089"/>
      <c r="D7" s="1089"/>
      <c r="E7" s="1089"/>
      <c r="F7" s="1089"/>
      <c r="G7" s="1089"/>
      <c r="H7" s="1089"/>
      <c r="I7" s="1089"/>
      <c r="J7" s="1089"/>
      <c r="K7" s="1089"/>
      <c r="L7" s="1089"/>
      <c r="M7" s="1089"/>
      <c r="N7" s="1089"/>
      <c r="O7" s="1089"/>
      <c r="P7" s="1089"/>
      <c r="Q7" s="1089"/>
    </row>
    <row r="8" spans="1:20" ht="30">
      <c r="A8" s="644" t="s">
        <v>536</v>
      </c>
      <c r="B8" s="54"/>
      <c r="C8" s="54"/>
      <c r="D8" s="933"/>
      <c r="E8" s="1088"/>
      <c r="F8" s="1088"/>
      <c r="G8" s="1088"/>
      <c r="H8" s="1088"/>
      <c r="I8" s="1088"/>
      <c r="J8" s="1088"/>
      <c r="K8" s="1088"/>
      <c r="L8" s="1088"/>
      <c r="M8" s="1088"/>
      <c r="N8" s="1089"/>
      <c r="O8" s="1089"/>
      <c r="P8" s="1089"/>
      <c r="Q8" s="1089"/>
    </row>
    <row r="9" spans="1:20">
      <c r="A9" s="487"/>
      <c r="B9" s="487" t="s">
        <v>439</v>
      </c>
      <c r="C9" s="487" t="s">
        <v>208</v>
      </c>
      <c r="D9" s="706" t="s">
        <v>209</v>
      </c>
      <c r="E9" s="706" t="s">
        <v>440</v>
      </c>
      <c r="F9" s="706" t="s">
        <v>441</v>
      </c>
      <c r="G9" s="706" t="s">
        <v>442</v>
      </c>
      <c r="H9" s="706" t="s">
        <v>443</v>
      </c>
      <c r="I9" s="706" t="s">
        <v>444</v>
      </c>
      <c r="J9" s="706" t="s">
        <v>445</v>
      </c>
      <c r="K9" s="706" t="s">
        <v>446</v>
      </c>
      <c r="L9" s="706" t="s">
        <v>447</v>
      </c>
      <c r="M9" s="706" t="s">
        <v>448</v>
      </c>
      <c r="N9" s="1094" t="s">
        <v>449</v>
      </c>
      <c r="O9" s="1094" t="s">
        <v>450</v>
      </c>
      <c r="P9" s="1094" t="s">
        <v>451</v>
      </c>
      <c r="Q9" s="1094" t="s">
        <v>452</v>
      </c>
    </row>
    <row r="10" spans="1:20">
      <c r="E10" s="841" t="s">
        <v>397</v>
      </c>
      <c r="F10" s="842" t="s">
        <v>398</v>
      </c>
      <c r="G10" s="843" t="s">
        <v>399</v>
      </c>
      <c r="H10" s="843" t="s">
        <v>400</v>
      </c>
      <c r="I10" s="843" t="s">
        <v>401</v>
      </c>
      <c r="J10" s="843" t="s">
        <v>402</v>
      </c>
      <c r="K10" s="843" t="s">
        <v>403</v>
      </c>
      <c r="L10" s="843" t="s">
        <v>404</v>
      </c>
      <c r="M10" s="843" t="s">
        <v>405</v>
      </c>
      <c r="N10" s="843" t="s">
        <v>406</v>
      </c>
      <c r="O10" s="844" t="s">
        <v>407</v>
      </c>
      <c r="P10" s="844" t="s">
        <v>408</v>
      </c>
      <c r="Q10" s="845" t="s">
        <v>200</v>
      </c>
    </row>
    <row r="11" spans="1:20">
      <c r="A11" s="18">
        <v>1</v>
      </c>
      <c r="C11" s="18" t="s">
        <v>409</v>
      </c>
      <c r="D11" s="325" t="s">
        <v>243</v>
      </c>
      <c r="E11" s="789"/>
      <c r="F11" s="789"/>
      <c r="G11" s="789"/>
      <c r="H11" s="789"/>
      <c r="I11" s="789"/>
      <c r="J11" s="789"/>
      <c r="K11" s="789"/>
      <c r="L11" s="789"/>
      <c r="M11" s="789"/>
      <c r="N11" s="789"/>
      <c r="O11" s="789"/>
      <c r="P11" s="789"/>
      <c r="R11" s="326"/>
    </row>
    <row r="12" spans="1:20">
      <c r="A12" s="18">
        <v>2</v>
      </c>
      <c r="C12" s="18" t="str">
        <f>$D$11</f>
        <v>CNGWA503</v>
      </c>
      <c r="D12" s="18" t="s">
        <v>380</v>
      </c>
      <c r="E12" s="327">
        <v>24314851</v>
      </c>
      <c r="F12" s="327">
        <v>18035854</v>
      </c>
      <c r="G12" s="327">
        <v>21145013</v>
      </c>
      <c r="H12" s="327">
        <v>13346079</v>
      </c>
      <c r="I12" s="327">
        <v>9011479</v>
      </c>
      <c r="J12" s="327">
        <v>4177396</v>
      </c>
      <c r="K12" s="327">
        <v>3115264</v>
      </c>
      <c r="L12" s="327">
        <v>2764197</v>
      </c>
      <c r="M12" s="327">
        <v>2669617</v>
      </c>
      <c r="N12" s="327">
        <v>4488335</v>
      </c>
      <c r="O12" s="327">
        <v>9481292</v>
      </c>
      <c r="P12" s="327">
        <v>17129779</v>
      </c>
      <c r="Q12" s="328">
        <f>SUM(E12:P12)</f>
        <v>129679156</v>
      </c>
      <c r="R12" s="326"/>
      <c r="T12" s="326"/>
    </row>
    <row r="13" spans="1:20">
      <c r="A13" s="18">
        <v>3</v>
      </c>
      <c r="C13" s="18" t="str">
        <f t="shared" ref="C13:C28" si="0">$D$11</f>
        <v>CNGWA503</v>
      </c>
      <c r="D13" s="18" t="s">
        <v>410</v>
      </c>
      <c r="E13" s="327">
        <v>15091505</v>
      </c>
      <c r="F13" s="327">
        <v>15248940</v>
      </c>
      <c r="G13" s="327">
        <v>10648476</v>
      </c>
      <c r="H13" s="327">
        <v>7415515</v>
      </c>
      <c r="I13" s="327">
        <v>3255618</v>
      </c>
      <c r="J13" s="327">
        <v>2725143</v>
      </c>
      <c r="K13" s="327">
        <v>1455032</v>
      </c>
      <c r="L13" s="327">
        <v>1221686</v>
      </c>
      <c r="M13" s="327">
        <v>2536149</v>
      </c>
      <c r="N13" s="327">
        <v>6349296</v>
      </c>
      <c r="O13" s="327">
        <v>13431914</v>
      </c>
      <c r="P13" s="327">
        <v>14067230</v>
      </c>
      <c r="Q13" s="328">
        <f t="shared" ref="Q13:Q75" si="1">SUM(E13:P13)</f>
        <v>93446504</v>
      </c>
      <c r="R13" s="326"/>
      <c r="T13" s="326"/>
    </row>
    <row r="14" spans="1:20">
      <c r="A14" s="18">
        <v>4</v>
      </c>
      <c r="C14" s="18" t="str">
        <f t="shared" si="0"/>
        <v>CNGWA503</v>
      </c>
      <c r="D14" s="18" t="s">
        <v>411</v>
      </c>
      <c r="E14" s="327">
        <v>-18523640</v>
      </c>
      <c r="F14" s="327">
        <v>-15091505</v>
      </c>
      <c r="G14" s="327">
        <v>-15248940</v>
      </c>
      <c r="H14" s="327">
        <v>-10648476</v>
      </c>
      <c r="I14" s="327">
        <v>-7415515</v>
      </c>
      <c r="J14" s="327">
        <v>-3255618</v>
      </c>
      <c r="K14" s="327">
        <v>-2725143</v>
      </c>
      <c r="L14" s="327">
        <v>-1455032</v>
      </c>
      <c r="M14" s="327">
        <v>-1221686</v>
      </c>
      <c r="N14" s="327">
        <v>-2536149</v>
      </c>
      <c r="O14" s="327">
        <f>-N13</f>
        <v>-6349296</v>
      </c>
      <c r="P14" s="327">
        <f>-O13</f>
        <v>-13431914</v>
      </c>
      <c r="Q14" s="328">
        <f t="shared" si="1"/>
        <v>-97902914</v>
      </c>
      <c r="R14" s="326"/>
    </row>
    <row r="15" spans="1:20">
      <c r="A15" s="18">
        <v>5</v>
      </c>
      <c r="C15" s="18" t="str">
        <f t="shared" si="0"/>
        <v>CNGWA503</v>
      </c>
      <c r="D15" s="18" t="s">
        <v>412</v>
      </c>
      <c r="E15" s="327">
        <v>0</v>
      </c>
      <c r="F15" s="327">
        <v>0</v>
      </c>
      <c r="G15" s="327">
        <v>0</v>
      </c>
      <c r="H15" s="327">
        <v>0</v>
      </c>
      <c r="I15" s="327">
        <v>0</v>
      </c>
      <c r="J15" s="327">
        <v>0</v>
      </c>
      <c r="K15" s="327">
        <v>0</v>
      </c>
      <c r="L15" s="327">
        <v>0</v>
      </c>
      <c r="M15" s="327">
        <v>0</v>
      </c>
      <c r="N15" s="327">
        <v>0</v>
      </c>
      <c r="O15" s="327">
        <v>0</v>
      </c>
      <c r="P15" s="327">
        <v>0</v>
      </c>
      <c r="Q15" s="328">
        <f t="shared" si="1"/>
        <v>0</v>
      </c>
      <c r="R15" s="326"/>
    </row>
    <row r="16" spans="1:20">
      <c r="A16" s="18">
        <v>6</v>
      </c>
      <c r="C16" s="18" t="str">
        <f t="shared" si="0"/>
        <v>CNGWA503</v>
      </c>
      <c r="D16" s="18" t="s">
        <v>413</v>
      </c>
      <c r="E16" s="327">
        <v>0</v>
      </c>
      <c r="F16" s="327">
        <v>0</v>
      </c>
      <c r="G16" s="327">
        <v>0</v>
      </c>
      <c r="H16" s="327">
        <v>0</v>
      </c>
      <c r="I16" s="327">
        <v>0</v>
      </c>
      <c r="J16" s="327">
        <v>0</v>
      </c>
      <c r="K16" s="327">
        <v>0</v>
      </c>
      <c r="L16" s="327">
        <v>0</v>
      </c>
      <c r="M16" s="327">
        <v>0</v>
      </c>
      <c r="N16" s="327">
        <v>0</v>
      </c>
      <c r="O16" s="327">
        <v>0</v>
      </c>
      <c r="P16" s="327">
        <v>0</v>
      </c>
      <c r="Q16" s="328">
        <f t="shared" si="1"/>
        <v>0</v>
      </c>
      <c r="R16" s="326"/>
    </row>
    <row r="17" spans="1:20">
      <c r="A17" s="18">
        <v>7</v>
      </c>
      <c r="C17" s="18" t="str">
        <f t="shared" si="0"/>
        <v>CNGWA503</v>
      </c>
      <c r="D17" s="18" t="s">
        <v>195</v>
      </c>
      <c r="E17" s="328">
        <f>SUM(E12:E16)</f>
        <v>20882716</v>
      </c>
      <c r="F17" s="328">
        <f t="shared" ref="F17:P17" si="2">SUM(F12:F16)</f>
        <v>18193289</v>
      </c>
      <c r="G17" s="328">
        <f t="shared" si="2"/>
        <v>16544549</v>
      </c>
      <c r="H17" s="328">
        <f t="shared" si="2"/>
        <v>10113118</v>
      </c>
      <c r="I17" s="328">
        <f t="shared" si="2"/>
        <v>4851582</v>
      </c>
      <c r="J17" s="328">
        <f t="shared" si="2"/>
        <v>3646921</v>
      </c>
      <c r="K17" s="328">
        <f t="shared" si="2"/>
        <v>1845153</v>
      </c>
      <c r="L17" s="328">
        <f t="shared" si="2"/>
        <v>2530851</v>
      </c>
      <c r="M17" s="328">
        <f t="shared" si="2"/>
        <v>3984080</v>
      </c>
      <c r="N17" s="328">
        <f t="shared" si="2"/>
        <v>8301482</v>
      </c>
      <c r="O17" s="328">
        <f t="shared" si="2"/>
        <v>16563910</v>
      </c>
      <c r="P17" s="328">
        <f t="shared" si="2"/>
        <v>17765095</v>
      </c>
      <c r="Q17" s="328">
        <f t="shared" si="1"/>
        <v>125222746</v>
      </c>
      <c r="R17" s="326"/>
    </row>
    <row r="18" spans="1:20">
      <c r="A18" s="18">
        <v>8</v>
      </c>
      <c r="C18" s="18" t="str">
        <f t="shared" si="0"/>
        <v>CNGWA503</v>
      </c>
      <c r="D18" s="637" t="s">
        <v>414</v>
      </c>
      <c r="E18" s="327"/>
      <c r="F18" s="327"/>
      <c r="G18" s="327"/>
      <c r="H18" s="327"/>
      <c r="I18" s="327"/>
      <c r="J18" s="327"/>
      <c r="K18" s="327"/>
      <c r="L18" s="327"/>
      <c r="M18" s="327"/>
      <c r="N18" s="327"/>
      <c r="O18" s="327"/>
      <c r="P18" s="327"/>
      <c r="Q18" s="328">
        <f>SUM(E18:P18)</f>
        <v>0</v>
      </c>
      <c r="R18" s="326"/>
    </row>
    <row r="19" spans="1:20">
      <c r="A19" s="18">
        <v>9</v>
      </c>
      <c r="C19" s="18" t="str">
        <f t="shared" si="0"/>
        <v>CNGWA503</v>
      </c>
      <c r="D19" s="18" t="s">
        <v>415</v>
      </c>
      <c r="E19" s="3">
        <v>34325321.969999999</v>
      </c>
      <c r="F19" s="3">
        <v>25724763.850000001</v>
      </c>
      <c r="G19" s="3">
        <v>29952788.559999999</v>
      </c>
      <c r="H19" s="3">
        <v>19296209.68</v>
      </c>
      <c r="I19" s="3">
        <v>13367845.029999999</v>
      </c>
      <c r="J19" s="3">
        <v>6771567.6699999999</v>
      </c>
      <c r="K19" s="3">
        <v>5322747.5</v>
      </c>
      <c r="L19" s="3">
        <v>4847217.2699999996</v>
      </c>
      <c r="M19" s="3">
        <v>4715992.25</v>
      </c>
      <c r="N19" s="3">
        <v>7187963.4500000002</v>
      </c>
      <c r="O19" s="3">
        <v>14013057.58</v>
      </c>
      <c r="P19" s="3">
        <v>24527312.030000001</v>
      </c>
      <c r="Q19" s="474">
        <f t="shared" si="1"/>
        <v>190052786.84</v>
      </c>
      <c r="R19" s="326"/>
    </row>
    <row r="20" spans="1:20">
      <c r="A20" s="18">
        <v>10</v>
      </c>
      <c r="C20" s="18" t="str">
        <f t="shared" si="0"/>
        <v>CNGWA503</v>
      </c>
      <c r="D20" s="18" t="s">
        <v>416</v>
      </c>
      <c r="E20" s="3">
        <v>19618806.879999999</v>
      </c>
      <c r="F20" s="3">
        <v>19823469.510000002</v>
      </c>
      <c r="G20" s="3">
        <v>13849301.4</v>
      </c>
      <c r="H20" s="3">
        <v>9644544.6699999999</v>
      </c>
      <c r="I20" s="3">
        <v>4234224.72</v>
      </c>
      <c r="J20" s="3">
        <v>3987232.93</v>
      </c>
      <c r="K20" s="3">
        <v>2335339.27</v>
      </c>
      <c r="L20" s="3">
        <v>2031851.79</v>
      </c>
      <c r="M20" s="3">
        <v>3741429.23</v>
      </c>
      <c r="N20" s="3">
        <v>8700770.0800000001</v>
      </c>
      <c r="O20" s="3">
        <v>17938275.82</v>
      </c>
      <c r="P20" s="3">
        <v>18765787.620000001</v>
      </c>
      <c r="Q20" s="474">
        <f t="shared" si="1"/>
        <v>124671033.92000002</v>
      </c>
      <c r="R20" s="326"/>
    </row>
    <row r="21" spans="1:20">
      <c r="A21" s="18">
        <v>11</v>
      </c>
      <c r="C21" s="18" t="str">
        <f t="shared" si="0"/>
        <v>CNGWA503</v>
      </c>
      <c r="D21" s="1" t="s">
        <v>417</v>
      </c>
      <c r="E21" s="3">
        <v>-24080546.760000002</v>
      </c>
      <c r="F21" s="3">
        <v>-19618806.879999999</v>
      </c>
      <c r="G21" s="3">
        <v>-19823469.510000002</v>
      </c>
      <c r="H21" s="3">
        <v>-13849301.4</v>
      </c>
      <c r="I21" s="3">
        <v>-9644544.6699999999</v>
      </c>
      <c r="J21" s="3">
        <v>-4234224.72</v>
      </c>
      <c r="K21" s="3">
        <v>-3987232.93</v>
      </c>
      <c r="L21" s="3">
        <v>-2335339.27</v>
      </c>
      <c r="M21" s="3">
        <v>-2031851.79</v>
      </c>
      <c r="N21" s="3">
        <v>-3741429.23</v>
      </c>
      <c r="O21" s="3">
        <f>-N20</f>
        <v>-8700770.0800000001</v>
      </c>
      <c r="P21" s="3">
        <f>-O20</f>
        <v>-17938275.82</v>
      </c>
      <c r="Q21" s="474">
        <f t="shared" si="1"/>
        <v>-129985793.06000003</v>
      </c>
      <c r="R21" s="326"/>
    </row>
    <row r="22" spans="1:20">
      <c r="A22" s="18">
        <v>12</v>
      </c>
      <c r="C22" s="18" t="str">
        <f t="shared" si="0"/>
        <v>CNGWA503</v>
      </c>
      <c r="D22" s="18" t="s">
        <v>418</v>
      </c>
      <c r="E22" s="3">
        <v>173245.53</v>
      </c>
      <c r="F22" s="3">
        <v>-273604.09000000003</v>
      </c>
      <c r="G22" s="3">
        <v>-596200.31999999995</v>
      </c>
      <c r="H22" s="3">
        <v>-164728.19</v>
      </c>
      <c r="I22" s="3">
        <v>444454.07</v>
      </c>
      <c r="J22" s="3">
        <v>100673.46</v>
      </c>
      <c r="K22" s="3">
        <v>468304.43</v>
      </c>
      <c r="L22" s="3">
        <v>236836.9</v>
      </c>
      <c r="M22" s="3">
        <v>-24043.33</v>
      </c>
      <c r="N22" s="3">
        <v>228663.29</v>
      </c>
      <c r="O22" s="3">
        <v>137991.62</v>
      </c>
      <c r="P22" s="3">
        <v>1449753.36</v>
      </c>
      <c r="Q22" s="474">
        <f t="shared" si="1"/>
        <v>2181346.73</v>
      </c>
      <c r="R22" s="326"/>
    </row>
    <row r="23" spans="1:20">
      <c r="A23" s="18">
        <v>13</v>
      </c>
      <c r="C23" s="18" t="str">
        <f t="shared" si="0"/>
        <v>CNGWA503</v>
      </c>
      <c r="D23" s="18" t="s">
        <v>419</v>
      </c>
      <c r="E23" s="3">
        <v>-478840.7</v>
      </c>
      <c r="F23" s="3">
        <v>-417172.1</v>
      </c>
      <c r="G23" s="3">
        <v>-379366.51</v>
      </c>
      <c r="H23" s="3">
        <v>-231893.79</v>
      </c>
      <c r="I23" s="3">
        <v>-111246.77</v>
      </c>
      <c r="J23" s="3">
        <v>-83623.89</v>
      </c>
      <c r="K23" s="3">
        <v>-42309.36</v>
      </c>
      <c r="L23" s="3">
        <v>-58032.41</v>
      </c>
      <c r="M23" s="3">
        <v>-91354.95</v>
      </c>
      <c r="N23" s="3">
        <v>-190352.98</v>
      </c>
      <c r="O23" s="3">
        <v>-19814.5</v>
      </c>
      <c r="P23" s="3">
        <v>-26825.3</v>
      </c>
      <c r="Q23" s="474">
        <f t="shared" si="1"/>
        <v>-2130833.2599999998</v>
      </c>
      <c r="R23" s="326"/>
    </row>
    <row r="24" spans="1:20">
      <c r="A24" s="18">
        <v>14</v>
      </c>
      <c r="C24" s="18" t="str">
        <f t="shared" si="0"/>
        <v>CNGWA503</v>
      </c>
      <c r="D24" s="18" t="s">
        <v>167</v>
      </c>
      <c r="E24" s="3">
        <v>0</v>
      </c>
      <c r="F24" s="3">
        <v>0</v>
      </c>
      <c r="G24" s="3">
        <v>0</v>
      </c>
      <c r="H24" s="3">
        <v>0</v>
      </c>
      <c r="I24" s="3">
        <v>0</v>
      </c>
      <c r="J24" s="3">
        <v>0</v>
      </c>
      <c r="K24" s="3">
        <v>0</v>
      </c>
      <c r="L24" s="3">
        <v>0</v>
      </c>
      <c r="M24" s="3">
        <v>0</v>
      </c>
      <c r="N24" s="3">
        <v>0</v>
      </c>
      <c r="O24" s="3">
        <v>0</v>
      </c>
      <c r="P24" s="3">
        <v>0</v>
      </c>
      <c r="Q24" s="474">
        <f t="shared" si="1"/>
        <v>0</v>
      </c>
      <c r="R24" s="326"/>
    </row>
    <row r="25" spans="1:20">
      <c r="A25" s="18">
        <v>15</v>
      </c>
      <c r="C25" s="18" t="str">
        <f t="shared" si="0"/>
        <v>CNGWA503</v>
      </c>
      <c r="D25" s="1" t="s">
        <v>420</v>
      </c>
      <c r="E25" s="3">
        <v>-1.3</v>
      </c>
      <c r="F25" s="3">
        <v>1.3</v>
      </c>
      <c r="G25" s="3">
        <v>0</v>
      </c>
      <c r="H25" s="3">
        <v>0</v>
      </c>
      <c r="I25" s="3">
        <v>0</v>
      </c>
      <c r="J25" s="3">
        <v>0</v>
      </c>
      <c r="K25" s="3">
        <v>0</v>
      </c>
      <c r="L25" s="3">
        <v>0</v>
      </c>
      <c r="M25" s="3">
        <v>0</v>
      </c>
      <c r="N25" s="3">
        <v>0</v>
      </c>
      <c r="O25" s="3">
        <v>0</v>
      </c>
      <c r="P25" s="3">
        <v>0</v>
      </c>
      <c r="Q25" s="474">
        <f t="shared" si="1"/>
        <v>0</v>
      </c>
      <c r="R25" s="326"/>
    </row>
    <row r="26" spans="1:20">
      <c r="A26" s="18">
        <v>16</v>
      </c>
      <c r="C26" s="18" t="str">
        <f t="shared" si="0"/>
        <v>CNGWA503</v>
      </c>
      <c r="D26" s="18" t="s">
        <v>421</v>
      </c>
      <c r="E26" s="3">
        <v>0</v>
      </c>
      <c r="F26" s="3">
        <v>0</v>
      </c>
      <c r="G26" s="3">
        <v>0</v>
      </c>
      <c r="H26" s="3">
        <v>0</v>
      </c>
      <c r="I26" s="3">
        <v>0</v>
      </c>
      <c r="J26" s="3">
        <v>0</v>
      </c>
      <c r="K26" s="3">
        <v>0</v>
      </c>
      <c r="L26" s="3">
        <v>0</v>
      </c>
      <c r="M26" s="3">
        <v>0</v>
      </c>
      <c r="N26" s="3">
        <v>0</v>
      </c>
      <c r="O26" s="3">
        <v>0</v>
      </c>
      <c r="P26" s="3">
        <v>0</v>
      </c>
      <c r="Q26" s="474">
        <f t="shared" si="1"/>
        <v>0</v>
      </c>
      <c r="R26" s="326"/>
    </row>
    <row r="27" spans="1:20">
      <c r="A27" s="18">
        <v>17</v>
      </c>
      <c r="C27" s="18" t="str">
        <f t="shared" si="0"/>
        <v>CNGWA503</v>
      </c>
      <c r="D27" s="18" t="s">
        <v>422</v>
      </c>
      <c r="E27" s="3">
        <v>0</v>
      </c>
      <c r="F27" s="3">
        <v>0</v>
      </c>
      <c r="G27" s="3">
        <v>0</v>
      </c>
      <c r="H27" s="3">
        <v>0</v>
      </c>
      <c r="I27" s="3">
        <v>0</v>
      </c>
      <c r="J27" s="3">
        <v>0</v>
      </c>
      <c r="K27" s="3">
        <v>0</v>
      </c>
      <c r="L27" s="3">
        <v>0</v>
      </c>
      <c r="M27" s="3">
        <v>0</v>
      </c>
      <c r="N27" s="3">
        <v>0</v>
      </c>
      <c r="O27" s="3">
        <v>0</v>
      </c>
      <c r="P27" s="3">
        <v>0</v>
      </c>
      <c r="Q27" s="474">
        <f t="shared" si="1"/>
        <v>0</v>
      </c>
      <c r="R27" s="326"/>
    </row>
    <row r="28" spans="1:20">
      <c r="A28" s="18">
        <v>18</v>
      </c>
      <c r="C28" s="18" t="str">
        <f t="shared" si="0"/>
        <v>CNGWA503</v>
      </c>
      <c r="D28" s="18" t="s">
        <v>423</v>
      </c>
      <c r="E28" s="474">
        <f>SUM(E19:E27)</f>
        <v>29557985.619999994</v>
      </c>
      <c r="F28" s="474">
        <f t="shared" ref="F28:P28" si="3">SUM(F19:F27)</f>
        <v>25238651.59</v>
      </c>
      <c r="G28" s="474">
        <f t="shared" si="3"/>
        <v>23003053.619999997</v>
      </c>
      <c r="H28" s="474">
        <f t="shared" si="3"/>
        <v>14694830.970000003</v>
      </c>
      <c r="I28" s="474">
        <f t="shared" si="3"/>
        <v>8290732.3800000008</v>
      </c>
      <c r="J28" s="474">
        <f t="shared" si="3"/>
        <v>6541625.4500000002</v>
      </c>
      <c r="K28" s="474">
        <f t="shared" si="3"/>
        <v>4096848.9099999997</v>
      </c>
      <c r="L28" s="474">
        <f t="shared" si="3"/>
        <v>4722534.2799999993</v>
      </c>
      <c r="M28" s="474">
        <f t="shared" si="3"/>
        <v>6310171.4100000001</v>
      </c>
      <c r="N28" s="474">
        <f t="shared" si="3"/>
        <v>12185614.609999999</v>
      </c>
      <c r="O28" s="474">
        <f t="shared" si="3"/>
        <v>23368740.440000001</v>
      </c>
      <c r="P28" s="474">
        <f t="shared" si="3"/>
        <v>26777751.890000004</v>
      </c>
      <c r="Q28" s="474">
        <f t="shared" si="1"/>
        <v>184788541.16999999</v>
      </c>
      <c r="R28" s="326"/>
      <c r="T28" s="326"/>
    </row>
    <row r="29" spans="1:20">
      <c r="A29" s="18">
        <v>19</v>
      </c>
      <c r="D29" s="637" t="s">
        <v>414</v>
      </c>
      <c r="E29" s="327"/>
      <c r="F29" s="327"/>
      <c r="G29" s="327"/>
      <c r="H29" s="327"/>
      <c r="I29" s="327"/>
      <c r="J29" s="327"/>
      <c r="K29" s="327"/>
      <c r="L29" s="327"/>
      <c r="M29" s="327"/>
      <c r="N29" s="327"/>
      <c r="O29" s="327"/>
      <c r="P29" s="327"/>
      <c r="Q29" s="328">
        <f>SUM(E29:P29)</f>
        <v>0</v>
      </c>
      <c r="R29" s="326"/>
    </row>
    <row r="30" spans="1:20">
      <c r="A30" s="18">
        <v>20</v>
      </c>
      <c r="E30" s="330"/>
      <c r="F30" s="330"/>
      <c r="G30" s="330"/>
      <c r="H30" s="330"/>
      <c r="I30" s="330"/>
      <c r="J30" s="330"/>
      <c r="K30" s="330"/>
      <c r="L30" s="330"/>
      <c r="M30" s="330"/>
      <c r="N30" s="330"/>
      <c r="O30" s="330"/>
      <c r="P30" s="330"/>
      <c r="Q30" s="328"/>
      <c r="R30" s="326"/>
      <c r="T30" s="326"/>
    </row>
    <row r="31" spans="1:20">
      <c r="A31" s="18">
        <v>21</v>
      </c>
      <c r="C31" s="18" t="s">
        <v>424</v>
      </c>
      <c r="D31" s="325" t="s">
        <v>294</v>
      </c>
      <c r="E31" s="789"/>
      <c r="F31" s="789"/>
      <c r="G31" s="789"/>
      <c r="H31" s="789"/>
      <c r="I31" s="789"/>
      <c r="J31" s="789"/>
      <c r="K31" s="789"/>
      <c r="L31" s="789"/>
      <c r="M31" s="789"/>
      <c r="N31" s="789"/>
      <c r="O31" s="789"/>
      <c r="P31" s="789"/>
      <c r="Q31" s="328"/>
      <c r="R31" s="326"/>
    </row>
    <row r="32" spans="1:20">
      <c r="A32" s="18">
        <v>22</v>
      </c>
      <c r="C32" s="18" t="str">
        <f>$D$31</f>
        <v>CNGWA504</v>
      </c>
      <c r="D32" s="18" t="s">
        <v>380</v>
      </c>
      <c r="E32" s="327">
        <v>17489526</v>
      </c>
      <c r="F32" s="327">
        <v>12881241</v>
      </c>
      <c r="G32" s="327">
        <v>14812053</v>
      </c>
      <c r="H32" s="327">
        <v>9534972</v>
      </c>
      <c r="I32" s="327">
        <v>6737568</v>
      </c>
      <c r="J32" s="327">
        <v>3567984</v>
      </c>
      <c r="K32" s="327">
        <v>2799113</v>
      </c>
      <c r="L32" s="327">
        <v>2711212</v>
      </c>
      <c r="M32" s="327">
        <v>2577118</v>
      </c>
      <c r="N32" s="327">
        <v>3737525</v>
      </c>
      <c r="O32" s="327">
        <v>6625002</v>
      </c>
      <c r="P32" s="327">
        <v>11991444</v>
      </c>
      <c r="Q32" s="328">
        <f t="shared" si="1"/>
        <v>95464758</v>
      </c>
      <c r="R32" s="326"/>
      <c r="T32" s="326"/>
    </row>
    <row r="33" spans="1:20">
      <c r="A33" s="18">
        <v>23</v>
      </c>
      <c r="C33" s="18" t="str">
        <f t="shared" ref="C33:C48" si="4">$D$31</f>
        <v>CNGWA504</v>
      </c>
      <c r="D33" s="18" t="s">
        <v>410</v>
      </c>
      <c r="E33" s="327">
        <v>11949388</v>
      </c>
      <c r="F33" s="327">
        <v>10999978</v>
      </c>
      <c r="G33" s="327">
        <v>7503443</v>
      </c>
      <c r="H33" s="327">
        <v>5347846</v>
      </c>
      <c r="I33" s="327">
        <v>2416638</v>
      </c>
      <c r="J33" s="327">
        <v>2314622</v>
      </c>
      <c r="K33" s="327">
        <v>1298262</v>
      </c>
      <c r="L33" s="327">
        <v>1188172</v>
      </c>
      <c r="M33" s="327">
        <v>2418855</v>
      </c>
      <c r="N33" s="327">
        <v>5245841</v>
      </c>
      <c r="O33" s="327">
        <v>9375665</v>
      </c>
      <c r="P33" s="327">
        <v>9891430</v>
      </c>
      <c r="Q33" s="328">
        <f t="shared" si="1"/>
        <v>69950140</v>
      </c>
      <c r="R33" s="326"/>
      <c r="T33" s="378"/>
    </row>
    <row r="34" spans="1:20">
      <c r="A34" s="18">
        <v>24</v>
      </c>
      <c r="C34" s="18" t="str">
        <f t="shared" si="4"/>
        <v>CNGWA504</v>
      </c>
      <c r="D34" s="18" t="s">
        <v>411</v>
      </c>
      <c r="E34" s="327">
        <v>-14028311</v>
      </c>
      <c r="F34" s="327">
        <v>-11949388</v>
      </c>
      <c r="G34" s="327">
        <v>-10999978</v>
      </c>
      <c r="H34" s="327">
        <v>-7503443</v>
      </c>
      <c r="I34" s="327">
        <v>-5347846</v>
      </c>
      <c r="J34" s="327">
        <v>-2416638</v>
      </c>
      <c r="K34" s="327">
        <v>-2314622</v>
      </c>
      <c r="L34" s="327">
        <v>-1298262</v>
      </c>
      <c r="M34" s="327">
        <v>-1188172</v>
      </c>
      <c r="N34" s="327">
        <v>-2418855</v>
      </c>
      <c r="O34" s="327">
        <f>-N33</f>
        <v>-5245841</v>
      </c>
      <c r="P34" s="327">
        <f>-O33</f>
        <v>-9375665</v>
      </c>
      <c r="Q34" s="328">
        <f t="shared" si="1"/>
        <v>-74087021</v>
      </c>
      <c r="R34" s="326"/>
    </row>
    <row r="35" spans="1:20">
      <c r="A35" s="18">
        <v>25</v>
      </c>
      <c r="C35" s="18" t="str">
        <f t="shared" si="4"/>
        <v>CNGWA504</v>
      </c>
      <c r="D35" s="18" t="s">
        <v>412</v>
      </c>
      <c r="E35" s="327">
        <v>0</v>
      </c>
      <c r="F35" s="327">
        <v>0</v>
      </c>
      <c r="G35" s="327">
        <v>0</v>
      </c>
      <c r="H35" s="327">
        <v>0</v>
      </c>
      <c r="I35" s="327">
        <v>0</v>
      </c>
      <c r="J35" s="327">
        <v>0</v>
      </c>
      <c r="K35" s="327">
        <v>0</v>
      </c>
      <c r="L35" s="327">
        <v>0</v>
      </c>
      <c r="M35" s="327">
        <v>0</v>
      </c>
      <c r="N35" s="327">
        <v>0</v>
      </c>
      <c r="O35" s="327">
        <v>0</v>
      </c>
      <c r="P35" s="327">
        <v>0</v>
      </c>
      <c r="Q35" s="328">
        <f t="shared" si="1"/>
        <v>0</v>
      </c>
      <c r="R35" s="326"/>
    </row>
    <row r="36" spans="1:20">
      <c r="A36" s="18">
        <v>26</v>
      </c>
      <c r="C36" s="18" t="str">
        <f t="shared" si="4"/>
        <v>CNGWA504</v>
      </c>
      <c r="D36" s="18" t="s">
        <v>413</v>
      </c>
      <c r="E36" s="327">
        <v>0</v>
      </c>
      <c r="F36" s="327">
        <v>0</v>
      </c>
      <c r="G36" s="327">
        <v>0</v>
      </c>
      <c r="H36" s="327">
        <v>0</v>
      </c>
      <c r="I36" s="327">
        <v>0</v>
      </c>
      <c r="J36" s="327">
        <v>0</v>
      </c>
      <c r="K36" s="327">
        <v>0</v>
      </c>
      <c r="L36" s="327">
        <v>0</v>
      </c>
      <c r="M36" s="327">
        <v>0</v>
      </c>
      <c r="N36" s="327">
        <v>0</v>
      </c>
      <c r="O36" s="327">
        <v>0</v>
      </c>
      <c r="P36" s="327">
        <v>0</v>
      </c>
      <c r="Q36" s="328">
        <f t="shared" si="1"/>
        <v>0</v>
      </c>
      <c r="R36" s="326"/>
    </row>
    <row r="37" spans="1:20">
      <c r="A37" s="18">
        <v>27</v>
      </c>
      <c r="C37" s="18" t="str">
        <f t="shared" si="4"/>
        <v>CNGWA504</v>
      </c>
      <c r="D37" s="18" t="s">
        <v>195</v>
      </c>
      <c r="E37" s="328">
        <f>SUM(E32:E36)</f>
        <v>15410603</v>
      </c>
      <c r="F37" s="328">
        <f t="shared" ref="F37:P37" si="5">SUM(F32:F36)</f>
        <v>11931831</v>
      </c>
      <c r="G37" s="328">
        <f t="shared" si="5"/>
        <v>11315518</v>
      </c>
      <c r="H37" s="328">
        <f t="shared" si="5"/>
        <v>7379375</v>
      </c>
      <c r="I37" s="328">
        <f t="shared" si="5"/>
        <v>3806360</v>
      </c>
      <c r="J37" s="328">
        <f t="shared" si="5"/>
        <v>3465968</v>
      </c>
      <c r="K37" s="328">
        <f t="shared" si="5"/>
        <v>1782753</v>
      </c>
      <c r="L37" s="328">
        <f t="shared" si="5"/>
        <v>2601122</v>
      </c>
      <c r="M37" s="328">
        <f t="shared" si="5"/>
        <v>3807801</v>
      </c>
      <c r="N37" s="328">
        <f t="shared" si="5"/>
        <v>6564511</v>
      </c>
      <c r="O37" s="328">
        <f t="shared" si="5"/>
        <v>10754826</v>
      </c>
      <c r="P37" s="328">
        <f t="shared" si="5"/>
        <v>12507209</v>
      </c>
      <c r="Q37" s="328">
        <f t="shared" si="1"/>
        <v>91327877</v>
      </c>
      <c r="R37" s="326"/>
    </row>
    <row r="38" spans="1:20">
      <c r="A38" s="18">
        <v>28</v>
      </c>
      <c r="C38" s="18" t="str">
        <f t="shared" si="4"/>
        <v>CNGWA504</v>
      </c>
      <c r="D38" s="637" t="s">
        <v>414</v>
      </c>
      <c r="E38" s="327"/>
      <c r="F38" s="327"/>
      <c r="G38" s="327"/>
      <c r="H38" s="327"/>
      <c r="I38" s="327"/>
      <c r="J38" s="327"/>
      <c r="K38" s="327"/>
      <c r="L38" s="327"/>
      <c r="M38" s="327"/>
      <c r="N38" s="327"/>
      <c r="O38" s="327"/>
      <c r="P38" s="327"/>
      <c r="Q38" s="328">
        <f t="shared" si="1"/>
        <v>0</v>
      </c>
      <c r="R38" s="326"/>
    </row>
    <row r="39" spans="1:20">
      <c r="A39" s="18">
        <v>29</v>
      </c>
      <c r="C39" s="18" t="str">
        <f t="shared" si="4"/>
        <v>CNGWA504</v>
      </c>
      <c r="D39" s="18" t="s">
        <v>415</v>
      </c>
      <c r="E39" s="3">
        <v>23670283.989999998</v>
      </c>
      <c r="F39" s="3">
        <v>17525867.27</v>
      </c>
      <c r="G39" s="3">
        <v>20086822.449999999</v>
      </c>
      <c r="H39" s="3">
        <v>13063440.529999999</v>
      </c>
      <c r="I39" s="3">
        <v>9339243.3699999992</v>
      </c>
      <c r="J39" s="3">
        <v>5128050.58</v>
      </c>
      <c r="K39" s="3">
        <v>4104931.36</v>
      </c>
      <c r="L39" s="3">
        <v>3988275.48</v>
      </c>
      <c r="M39" s="3">
        <v>3806973.29</v>
      </c>
      <c r="N39" s="3">
        <v>5340614.49</v>
      </c>
      <c r="O39" s="3">
        <v>9111644.8300000001</v>
      </c>
      <c r="P39" s="3">
        <v>15963240.220000001</v>
      </c>
      <c r="Q39" s="474">
        <f t="shared" si="1"/>
        <v>131129387.86</v>
      </c>
      <c r="R39" s="326"/>
    </row>
    <row r="40" spans="1:20">
      <c r="A40" s="18">
        <v>30</v>
      </c>
      <c r="C40" s="18" t="str">
        <f t="shared" si="4"/>
        <v>CNGWA504</v>
      </c>
      <c r="D40" s="18" t="s">
        <v>416</v>
      </c>
      <c r="E40" s="3">
        <v>14782606.630000001</v>
      </c>
      <c r="F40" s="3">
        <v>13830052.34</v>
      </c>
      <c r="G40" s="3">
        <v>9433928.8200000003</v>
      </c>
      <c r="H40" s="3">
        <v>6723739.8200000003</v>
      </c>
      <c r="I40" s="3">
        <v>3038390.62</v>
      </c>
      <c r="J40" s="3">
        <v>3066609.99</v>
      </c>
      <c r="K40" s="3">
        <f>1632277.59+156482.04+1.26</f>
        <v>1788760.8900000001</v>
      </c>
      <c r="L40" s="3">
        <v>1650346.93</v>
      </c>
      <c r="M40" s="3">
        <v>3197660.05</v>
      </c>
      <c r="N40" s="3">
        <v>6751973.0099999998</v>
      </c>
      <c r="O40" s="3">
        <v>11645046.9</v>
      </c>
      <c r="P40" s="3">
        <v>12277044.699999999</v>
      </c>
      <c r="Q40" s="474">
        <f t="shared" si="1"/>
        <v>88186160.700000003</v>
      </c>
      <c r="R40" s="326"/>
    </row>
    <row r="41" spans="1:20">
      <c r="A41" s="18">
        <v>31</v>
      </c>
      <c r="C41" s="18" t="str">
        <f t="shared" si="4"/>
        <v>CNGWA504</v>
      </c>
      <c r="D41" s="1" t="s">
        <v>417</v>
      </c>
      <c r="E41" s="3">
        <v>-17331668.98</v>
      </c>
      <c r="F41" s="3">
        <v>-14782606.630000001</v>
      </c>
      <c r="G41" s="3">
        <v>-13830052.34</v>
      </c>
      <c r="H41" s="3">
        <v>-9433928.8200000003</v>
      </c>
      <c r="I41" s="3">
        <v>-6723739.8200000003</v>
      </c>
      <c r="J41" s="3">
        <v>-3038390.62</v>
      </c>
      <c r="K41" s="3">
        <f>-(2910127.95+156482.04)</f>
        <v>-3066609.99</v>
      </c>
      <c r="L41" s="3">
        <v>-1788760.89</v>
      </c>
      <c r="M41" s="3">
        <v>-1650346.93</v>
      </c>
      <c r="N41" s="3">
        <v>-3197660.05</v>
      </c>
      <c r="O41" s="3">
        <f>-N40</f>
        <v>-6751973.0099999998</v>
      </c>
      <c r="P41" s="3">
        <f>-O40</f>
        <v>-11645046.9</v>
      </c>
      <c r="Q41" s="474">
        <f t="shared" si="1"/>
        <v>-93240784.980000019</v>
      </c>
      <c r="R41" s="326"/>
    </row>
    <row r="42" spans="1:20">
      <c r="A42" s="18">
        <v>32</v>
      </c>
      <c r="C42" s="18" t="str">
        <f t="shared" si="4"/>
        <v>CNGWA504</v>
      </c>
      <c r="D42" s="18" t="s">
        <v>418</v>
      </c>
      <c r="E42" s="3">
        <v>-376156.46</v>
      </c>
      <c r="F42" s="3">
        <v>-322758.45</v>
      </c>
      <c r="G42" s="3">
        <v>-541184.19999999995</v>
      </c>
      <c r="H42" s="3">
        <v>-393097.04</v>
      </c>
      <c r="I42" s="3">
        <v>100927.52</v>
      </c>
      <c r="J42" s="3">
        <v>-174778.73</v>
      </c>
      <c r="K42" s="3">
        <v>330693.48</v>
      </c>
      <c r="L42" s="3">
        <v>96628.2</v>
      </c>
      <c r="M42" s="3">
        <v>323.62</v>
      </c>
      <c r="N42" s="3">
        <v>124831.21</v>
      </c>
      <c r="O42" s="3">
        <v>-24010.15</v>
      </c>
      <c r="P42" s="3">
        <v>348859.92</v>
      </c>
      <c r="Q42" s="474">
        <f t="shared" si="1"/>
        <v>-829721.07999999984</v>
      </c>
      <c r="R42" s="326"/>
    </row>
    <row r="43" spans="1:20">
      <c r="A43" s="18">
        <v>33</v>
      </c>
      <c r="C43" s="18" t="str">
        <f t="shared" si="4"/>
        <v>CNGWA504</v>
      </c>
      <c r="D43" s="18" t="s">
        <v>419</v>
      </c>
      <c r="E43" s="3">
        <v>-610722.19999999995</v>
      </c>
      <c r="F43" s="3">
        <v>-515484.53</v>
      </c>
      <c r="G43" s="3">
        <v>-405807.91</v>
      </c>
      <c r="H43" s="3">
        <v>-292444.63</v>
      </c>
      <c r="I43" s="3">
        <v>-150846.04999999999</v>
      </c>
      <c r="J43" s="3">
        <v>-137356.32</v>
      </c>
      <c r="K43" s="3">
        <v>-70650.45</v>
      </c>
      <c r="L43" s="3">
        <v>-103082.5</v>
      </c>
      <c r="M43" s="3">
        <v>-150903.16</v>
      </c>
      <c r="N43" s="3">
        <v>-260151.57</v>
      </c>
      <c r="O43" s="3">
        <v>163692.68</v>
      </c>
      <c r="P43" s="3">
        <v>144333.19</v>
      </c>
      <c r="Q43" s="474">
        <f t="shared" si="1"/>
        <v>-2389423.4500000002</v>
      </c>
      <c r="R43" s="326"/>
    </row>
    <row r="44" spans="1:20">
      <c r="A44" s="18">
        <v>34</v>
      </c>
      <c r="C44" s="18" t="str">
        <f t="shared" si="4"/>
        <v>CNGWA504</v>
      </c>
      <c r="D44" s="18" t="s">
        <v>167</v>
      </c>
      <c r="E44" s="3">
        <v>0</v>
      </c>
      <c r="F44" s="3">
        <v>0</v>
      </c>
      <c r="G44" s="3"/>
      <c r="H44" s="3">
        <v>0</v>
      </c>
      <c r="I44" s="3">
        <v>0</v>
      </c>
      <c r="J44" s="3">
        <v>0</v>
      </c>
      <c r="K44" s="3">
        <v>0</v>
      </c>
      <c r="L44" s="3">
        <v>0</v>
      </c>
      <c r="M44" s="3">
        <v>0</v>
      </c>
      <c r="N44" s="3">
        <v>0</v>
      </c>
      <c r="O44" s="3">
        <v>0</v>
      </c>
      <c r="P44" s="3">
        <v>0</v>
      </c>
      <c r="Q44" s="474">
        <f t="shared" si="1"/>
        <v>0</v>
      </c>
      <c r="R44" s="326"/>
    </row>
    <row r="45" spans="1:20">
      <c r="A45" s="18">
        <v>35</v>
      </c>
      <c r="C45" s="18" t="str">
        <f t="shared" si="4"/>
        <v>CNGWA504</v>
      </c>
      <c r="D45" s="1" t="s">
        <v>420</v>
      </c>
      <c r="E45" s="3">
        <v>0</v>
      </c>
      <c r="F45" s="3">
        <v>0</v>
      </c>
      <c r="G45" s="3">
        <v>0</v>
      </c>
      <c r="H45" s="3">
        <v>0</v>
      </c>
      <c r="I45" s="3">
        <v>0</v>
      </c>
      <c r="J45" s="3">
        <v>0</v>
      </c>
      <c r="K45" s="3">
        <v>0</v>
      </c>
      <c r="L45" s="3">
        <v>0</v>
      </c>
      <c r="M45" s="3">
        <v>0</v>
      </c>
      <c r="N45" s="3">
        <v>0</v>
      </c>
      <c r="O45" s="3">
        <v>0</v>
      </c>
      <c r="P45" s="3">
        <v>0</v>
      </c>
      <c r="Q45" s="474">
        <f t="shared" si="1"/>
        <v>0</v>
      </c>
      <c r="R45" s="326"/>
    </row>
    <row r="46" spans="1:20">
      <c r="A46" s="18">
        <v>36</v>
      </c>
      <c r="C46" s="18" t="str">
        <f t="shared" si="4"/>
        <v>CNGWA504</v>
      </c>
      <c r="D46" s="18" t="s">
        <v>421</v>
      </c>
      <c r="E46" s="3">
        <v>0</v>
      </c>
      <c r="F46" s="3">
        <v>0</v>
      </c>
      <c r="G46" s="3">
        <v>0</v>
      </c>
      <c r="H46" s="3">
        <v>0</v>
      </c>
      <c r="I46" s="3">
        <v>0</v>
      </c>
      <c r="J46" s="3">
        <v>0</v>
      </c>
      <c r="K46" s="3">
        <v>0</v>
      </c>
      <c r="L46" s="3">
        <v>0</v>
      </c>
      <c r="M46" s="3">
        <v>0</v>
      </c>
      <c r="N46" s="3">
        <v>0</v>
      </c>
      <c r="O46" s="3">
        <v>0</v>
      </c>
      <c r="P46" s="3">
        <v>0</v>
      </c>
      <c r="Q46" s="474">
        <f t="shared" si="1"/>
        <v>0</v>
      </c>
      <c r="R46" s="326"/>
    </row>
    <row r="47" spans="1:20">
      <c r="A47" s="18">
        <v>37</v>
      </c>
      <c r="C47" s="18" t="str">
        <f t="shared" si="4"/>
        <v>CNGWA504</v>
      </c>
      <c r="D47" s="18" t="s">
        <v>422</v>
      </c>
      <c r="E47" s="3">
        <v>0</v>
      </c>
      <c r="F47" s="3">
        <v>0</v>
      </c>
      <c r="G47" s="3">
        <v>0</v>
      </c>
      <c r="H47" s="3">
        <v>0</v>
      </c>
      <c r="I47" s="3">
        <v>0</v>
      </c>
      <c r="J47" s="3">
        <v>0</v>
      </c>
      <c r="K47" s="3">
        <v>0</v>
      </c>
      <c r="L47" s="3">
        <v>0</v>
      </c>
      <c r="M47" s="3">
        <v>0</v>
      </c>
      <c r="N47" s="3">
        <v>0</v>
      </c>
      <c r="O47" s="3">
        <v>0</v>
      </c>
      <c r="P47" s="3">
        <v>0</v>
      </c>
      <c r="Q47" s="474">
        <f t="shared" si="1"/>
        <v>0</v>
      </c>
      <c r="R47" s="326"/>
    </row>
    <row r="48" spans="1:20">
      <c r="A48" s="18">
        <v>38</v>
      </c>
      <c r="C48" s="18" t="str">
        <f t="shared" si="4"/>
        <v>CNGWA504</v>
      </c>
      <c r="D48" s="18" t="s">
        <v>423</v>
      </c>
      <c r="E48" s="474">
        <f>SUM(E39:E47)</f>
        <v>20134342.979999997</v>
      </c>
      <c r="F48" s="474">
        <f t="shared" ref="F48:N48" si="6">SUM(F39:F47)</f>
        <v>15735070</v>
      </c>
      <c r="G48" s="474">
        <f t="shared" si="6"/>
        <v>14743706.82</v>
      </c>
      <c r="H48" s="474">
        <f t="shared" si="6"/>
        <v>9667709.8600000013</v>
      </c>
      <c r="I48" s="474">
        <f t="shared" si="6"/>
        <v>5603975.6399999978</v>
      </c>
      <c r="J48" s="474">
        <f t="shared" si="6"/>
        <v>4844134.8999999994</v>
      </c>
      <c r="K48" s="474">
        <f t="shared" si="6"/>
        <v>3087125.2899999996</v>
      </c>
      <c r="L48" s="474">
        <f t="shared" si="6"/>
        <v>3843407.2200000007</v>
      </c>
      <c r="M48" s="474">
        <f t="shared" si="6"/>
        <v>5203706.87</v>
      </c>
      <c r="N48" s="474">
        <f t="shared" si="6"/>
        <v>8759607.0899999999</v>
      </c>
      <c r="O48" s="474">
        <f>SUM(O39:O47)</f>
        <v>14144401.25</v>
      </c>
      <c r="P48" s="474">
        <f>SUM(P39:P47)</f>
        <v>17088431.130000003</v>
      </c>
      <c r="Q48" s="474">
        <f t="shared" si="1"/>
        <v>122855619.05000001</v>
      </c>
      <c r="R48" s="326"/>
    </row>
    <row r="49" spans="1:18">
      <c r="A49" s="18">
        <v>39</v>
      </c>
      <c r="D49" s="637" t="s">
        <v>414</v>
      </c>
      <c r="E49" s="329"/>
      <c r="F49" s="329"/>
      <c r="G49" s="329"/>
      <c r="H49" s="329"/>
      <c r="I49" s="329"/>
      <c r="J49" s="329"/>
      <c r="K49" s="331"/>
      <c r="L49" s="331"/>
      <c r="M49" s="329"/>
      <c r="N49" s="329"/>
      <c r="O49" s="329"/>
      <c r="P49" s="329"/>
      <c r="Q49" s="328"/>
      <c r="R49" s="326"/>
    </row>
    <row r="50" spans="1:18">
      <c r="A50" s="18">
        <v>40</v>
      </c>
      <c r="K50" s="330"/>
      <c r="Q50" s="328"/>
      <c r="R50" s="326"/>
    </row>
    <row r="51" spans="1:18">
      <c r="A51" s="18">
        <v>41</v>
      </c>
      <c r="C51" s="18" t="s">
        <v>425</v>
      </c>
      <c r="D51" s="325" t="s">
        <v>295</v>
      </c>
      <c r="E51" s="789"/>
      <c r="F51" s="789"/>
      <c r="G51" s="789"/>
      <c r="H51" s="789"/>
      <c r="I51" s="789"/>
      <c r="J51" s="789"/>
      <c r="K51" s="789"/>
      <c r="L51" s="789"/>
      <c r="M51" s="789"/>
      <c r="N51" s="789"/>
      <c r="O51" s="789"/>
      <c r="P51" s="789"/>
      <c r="Q51" s="328"/>
      <c r="R51" s="326"/>
    </row>
    <row r="52" spans="1:18">
      <c r="A52" s="18">
        <v>42</v>
      </c>
      <c r="C52" s="18" t="str">
        <f>$D$51</f>
        <v>CNGWA505</v>
      </c>
      <c r="D52" s="18" t="s">
        <v>380</v>
      </c>
      <c r="E52" s="327">
        <v>1847894</v>
      </c>
      <c r="F52" s="327">
        <v>1334925</v>
      </c>
      <c r="G52" s="327">
        <v>1649201</v>
      </c>
      <c r="H52" s="327">
        <v>1137710</v>
      </c>
      <c r="I52" s="327">
        <v>887724</v>
      </c>
      <c r="J52" s="327">
        <v>539445</v>
      </c>
      <c r="K52" s="327">
        <v>439676</v>
      </c>
      <c r="L52" s="327">
        <v>485379</v>
      </c>
      <c r="M52" s="327">
        <v>534789</v>
      </c>
      <c r="N52" s="327">
        <v>919554</v>
      </c>
      <c r="O52" s="327">
        <v>989405</v>
      </c>
      <c r="P52" s="327">
        <v>1357607</v>
      </c>
      <c r="Q52" s="328">
        <f t="shared" si="1"/>
        <v>12123309</v>
      </c>
      <c r="R52" s="326"/>
    </row>
    <row r="53" spans="1:18">
      <c r="A53" s="18">
        <v>43</v>
      </c>
      <c r="C53" s="18" t="str">
        <f t="shared" ref="C53:C68" si="7">$D$51</f>
        <v>CNGWA505</v>
      </c>
      <c r="D53" s="18" t="s">
        <v>410</v>
      </c>
      <c r="E53" s="327">
        <v>0</v>
      </c>
      <c r="F53" s="327">
        <v>0</v>
      </c>
      <c r="G53" s="327">
        <v>0</v>
      </c>
      <c r="H53" s="327">
        <v>0</v>
      </c>
      <c r="I53" s="327">
        <v>0</v>
      </c>
      <c r="J53" s="327">
        <v>0</v>
      </c>
      <c r="K53" s="327">
        <v>0</v>
      </c>
      <c r="L53" s="327">
        <v>0</v>
      </c>
      <c r="M53" s="327">
        <v>0</v>
      </c>
      <c r="N53" s="327">
        <v>0</v>
      </c>
      <c r="O53" s="327">
        <v>0</v>
      </c>
      <c r="P53" s="327">
        <v>0</v>
      </c>
      <c r="Q53" s="328">
        <f t="shared" si="1"/>
        <v>0</v>
      </c>
      <c r="R53" s="326"/>
    </row>
    <row r="54" spans="1:18">
      <c r="A54" s="18">
        <v>44</v>
      </c>
      <c r="C54" s="18" t="str">
        <f t="shared" si="7"/>
        <v>CNGWA505</v>
      </c>
      <c r="D54" s="18" t="s">
        <v>411</v>
      </c>
      <c r="E54" s="327">
        <v>0</v>
      </c>
      <c r="F54" s="327">
        <v>0</v>
      </c>
      <c r="G54" s="327">
        <v>0</v>
      </c>
      <c r="H54" s="327">
        <v>0</v>
      </c>
      <c r="I54" s="327">
        <v>0</v>
      </c>
      <c r="J54" s="327">
        <v>0</v>
      </c>
      <c r="K54" s="327">
        <v>0</v>
      </c>
      <c r="L54" s="327">
        <v>0</v>
      </c>
      <c r="M54" s="327">
        <v>0</v>
      </c>
      <c r="N54" s="327">
        <v>0</v>
      </c>
      <c r="O54" s="327">
        <v>0</v>
      </c>
      <c r="P54" s="327">
        <v>0</v>
      </c>
      <c r="Q54" s="328">
        <f t="shared" si="1"/>
        <v>0</v>
      </c>
      <c r="R54" s="326"/>
    </row>
    <row r="55" spans="1:18">
      <c r="A55" s="18">
        <v>45</v>
      </c>
      <c r="C55" s="18" t="str">
        <f t="shared" si="7"/>
        <v>CNGWA505</v>
      </c>
      <c r="D55" s="18" t="s">
        <v>412</v>
      </c>
      <c r="E55" s="327">
        <v>0</v>
      </c>
      <c r="F55" s="327">
        <v>0</v>
      </c>
      <c r="G55" s="327">
        <v>0</v>
      </c>
      <c r="H55" s="327">
        <v>0</v>
      </c>
      <c r="I55" s="327">
        <v>0</v>
      </c>
      <c r="J55" s="327">
        <v>0</v>
      </c>
      <c r="K55" s="327">
        <v>0</v>
      </c>
      <c r="L55" s="327">
        <v>0</v>
      </c>
      <c r="M55" s="327">
        <v>0</v>
      </c>
      <c r="N55" s="327">
        <v>0</v>
      </c>
      <c r="O55" s="327">
        <v>0</v>
      </c>
      <c r="P55" s="327">
        <v>0</v>
      </c>
      <c r="Q55" s="328">
        <f t="shared" si="1"/>
        <v>0</v>
      </c>
      <c r="R55" s="326"/>
    </row>
    <row r="56" spans="1:18">
      <c r="A56" s="18">
        <v>46</v>
      </c>
      <c r="C56" s="18" t="str">
        <f t="shared" si="7"/>
        <v>CNGWA505</v>
      </c>
      <c r="D56" s="18" t="s">
        <v>413</v>
      </c>
      <c r="E56" s="327">
        <v>0</v>
      </c>
      <c r="F56" s="327">
        <v>0</v>
      </c>
      <c r="G56" s="327">
        <v>0</v>
      </c>
      <c r="H56" s="327">
        <v>0</v>
      </c>
      <c r="I56" s="327">
        <v>0</v>
      </c>
      <c r="J56" s="327">
        <v>0</v>
      </c>
      <c r="K56" s="327">
        <v>0</v>
      </c>
      <c r="L56" s="327">
        <v>0</v>
      </c>
      <c r="M56" s="327">
        <v>0</v>
      </c>
      <c r="N56" s="327">
        <v>0</v>
      </c>
      <c r="O56" s="327">
        <v>0</v>
      </c>
      <c r="P56" s="327">
        <v>0</v>
      </c>
      <c r="Q56" s="328">
        <f t="shared" si="1"/>
        <v>0</v>
      </c>
      <c r="R56" s="326"/>
    </row>
    <row r="57" spans="1:18">
      <c r="A57" s="18">
        <v>47</v>
      </c>
      <c r="C57" s="18" t="str">
        <f t="shared" si="7"/>
        <v>CNGWA505</v>
      </c>
      <c r="D57" s="18" t="s">
        <v>195</v>
      </c>
      <c r="E57" s="328">
        <f>SUM(E52:E56)</f>
        <v>1847894</v>
      </c>
      <c r="F57" s="328">
        <f t="shared" ref="F57:P57" si="8">SUM(F52:F56)</f>
        <v>1334925</v>
      </c>
      <c r="G57" s="328">
        <f t="shared" si="8"/>
        <v>1649201</v>
      </c>
      <c r="H57" s="328">
        <f t="shared" si="8"/>
        <v>1137710</v>
      </c>
      <c r="I57" s="328">
        <f t="shared" si="8"/>
        <v>887724</v>
      </c>
      <c r="J57" s="328">
        <f t="shared" si="8"/>
        <v>539445</v>
      </c>
      <c r="K57" s="328">
        <f t="shared" si="8"/>
        <v>439676</v>
      </c>
      <c r="L57" s="328">
        <f t="shared" si="8"/>
        <v>485379</v>
      </c>
      <c r="M57" s="328">
        <f t="shared" si="8"/>
        <v>534789</v>
      </c>
      <c r="N57" s="328">
        <f t="shared" si="8"/>
        <v>919554</v>
      </c>
      <c r="O57" s="328">
        <f t="shared" si="8"/>
        <v>989405</v>
      </c>
      <c r="P57" s="328">
        <f t="shared" si="8"/>
        <v>1357607</v>
      </c>
      <c r="Q57" s="328">
        <f t="shared" si="1"/>
        <v>12123309</v>
      </c>
      <c r="R57" s="326"/>
    </row>
    <row r="58" spans="1:18">
      <c r="A58" s="18">
        <v>48</v>
      </c>
      <c r="C58" s="18" t="str">
        <f t="shared" si="7"/>
        <v>CNGWA505</v>
      </c>
      <c r="D58" s="637" t="s">
        <v>414</v>
      </c>
      <c r="E58" s="327"/>
      <c r="F58" s="327"/>
      <c r="G58" s="327"/>
      <c r="H58" s="327"/>
      <c r="I58" s="327"/>
      <c r="J58" s="327"/>
      <c r="K58" s="327"/>
      <c r="L58" s="327"/>
      <c r="M58" s="327"/>
      <c r="N58" s="327"/>
      <c r="O58" s="327"/>
      <c r="P58" s="327"/>
      <c r="Q58" s="328">
        <f t="shared" si="1"/>
        <v>0</v>
      </c>
      <c r="R58" s="326"/>
    </row>
    <row r="59" spans="1:18">
      <c r="A59" s="18">
        <v>49</v>
      </c>
      <c r="C59" s="18" t="str">
        <f t="shared" si="7"/>
        <v>CNGWA505</v>
      </c>
      <c r="D59" s="18" t="s">
        <v>415</v>
      </c>
      <c r="E59" s="3">
        <v>2195990.36</v>
      </c>
      <c r="F59" s="3">
        <v>1598054.91</v>
      </c>
      <c r="G59" s="3">
        <v>1966635.33</v>
      </c>
      <c r="H59" s="3">
        <v>1367290.01</v>
      </c>
      <c r="I59" s="3">
        <v>1072984.01</v>
      </c>
      <c r="J59" s="3">
        <v>663210.86</v>
      </c>
      <c r="K59" s="3">
        <v>545618.92000000004</v>
      </c>
      <c r="L59" s="3">
        <v>598478.71</v>
      </c>
      <c r="M59" s="3">
        <v>651496.18000000005</v>
      </c>
      <c r="N59" s="3">
        <v>1087473.3</v>
      </c>
      <c r="O59" s="3">
        <v>1187927</v>
      </c>
      <c r="P59" s="3">
        <v>1630959.07</v>
      </c>
      <c r="Q59" s="474">
        <f t="shared" si="1"/>
        <v>14566118.66</v>
      </c>
      <c r="R59" s="326"/>
    </row>
    <row r="60" spans="1:18">
      <c r="A60" s="18">
        <v>50</v>
      </c>
      <c r="C60" s="18" t="str">
        <f t="shared" si="7"/>
        <v>CNGWA505</v>
      </c>
      <c r="D60" s="18" t="s">
        <v>416</v>
      </c>
      <c r="E60" s="3">
        <v>0</v>
      </c>
      <c r="F60" s="3">
        <v>0</v>
      </c>
      <c r="G60" s="3">
        <v>0</v>
      </c>
      <c r="H60" s="3">
        <v>0</v>
      </c>
      <c r="I60" s="3">
        <v>0</v>
      </c>
      <c r="J60" s="3">
        <v>12936</v>
      </c>
      <c r="K60" s="3">
        <v>12936</v>
      </c>
      <c r="L60" s="3">
        <v>12936</v>
      </c>
      <c r="M60" s="3">
        <v>12936</v>
      </c>
      <c r="N60" s="3">
        <v>12936</v>
      </c>
      <c r="O60" s="3">
        <v>12936</v>
      </c>
      <c r="P60" s="3">
        <v>12936</v>
      </c>
      <c r="Q60" s="474">
        <f t="shared" si="1"/>
        <v>90552</v>
      </c>
      <c r="R60" s="326"/>
    </row>
    <row r="61" spans="1:18">
      <c r="A61" s="18">
        <v>51</v>
      </c>
      <c r="C61" s="18" t="str">
        <f t="shared" si="7"/>
        <v>CNGWA505</v>
      </c>
      <c r="D61" s="1" t="s">
        <v>417</v>
      </c>
      <c r="E61" s="3">
        <v>0</v>
      </c>
      <c r="F61" s="3">
        <v>0</v>
      </c>
      <c r="G61" s="3">
        <v>0</v>
      </c>
      <c r="H61" s="3">
        <v>0</v>
      </c>
      <c r="I61" s="3">
        <v>0</v>
      </c>
      <c r="J61" s="3">
        <v>0</v>
      </c>
      <c r="K61" s="3">
        <v>-12936</v>
      </c>
      <c r="L61" s="3">
        <v>-12936</v>
      </c>
      <c r="M61" s="3">
        <v>-12936</v>
      </c>
      <c r="N61" s="3">
        <v>-12936</v>
      </c>
      <c r="O61" s="3">
        <f>-N60</f>
        <v>-12936</v>
      </c>
      <c r="P61" s="3">
        <f>-O60</f>
        <v>-12936</v>
      </c>
      <c r="Q61" s="474">
        <f t="shared" si="1"/>
        <v>-77616</v>
      </c>
      <c r="R61" s="326"/>
    </row>
    <row r="62" spans="1:18">
      <c r="A62" s="18">
        <v>52</v>
      </c>
      <c r="C62" s="18" t="str">
        <f t="shared" si="7"/>
        <v>CNGWA505</v>
      </c>
      <c r="D62" s="18" t="s">
        <v>418</v>
      </c>
      <c r="E62" s="3">
        <v>-50014.53</v>
      </c>
      <c r="F62" s="3">
        <v>4559.96</v>
      </c>
      <c r="G62" s="3">
        <v>-55918.52</v>
      </c>
      <c r="H62" s="3">
        <v>2813.04</v>
      </c>
      <c r="I62" s="3">
        <v>-30997.49</v>
      </c>
      <c r="J62" s="3">
        <v>18963.21</v>
      </c>
      <c r="K62" s="3">
        <v>23150.31</v>
      </c>
      <c r="L62" s="3">
        <v>2782.63</v>
      </c>
      <c r="M62" s="3">
        <v>16605.12</v>
      </c>
      <c r="N62" s="3">
        <v>18657.95</v>
      </c>
      <c r="O62" s="3">
        <v>-21084.799999999999</v>
      </c>
      <c r="P62" s="3">
        <v>3132.9</v>
      </c>
      <c r="Q62" s="474">
        <f t="shared" si="1"/>
        <v>-67350.22000000003</v>
      </c>
      <c r="R62" s="326"/>
    </row>
    <row r="63" spans="1:18">
      <c r="A63" s="18">
        <v>53</v>
      </c>
      <c r="C63" s="18" t="str">
        <f t="shared" si="7"/>
        <v>CNGWA505</v>
      </c>
      <c r="D63" s="18" t="s">
        <v>419</v>
      </c>
      <c r="E63" s="3">
        <v>-32338.14</v>
      </c>
      <c r="F63" s="3">
        <v>-23361.18</v>
      </c>
      <c r="G63" s="3">
        <v>-28861.02</v>
      </c>
      <c r="H63" s="3">
        <v>-19909.93</v>
      </c>
      <c r="I63" s="3">
        <v>-15535.17</v>
      </c>
      <c r="J63" s="3">
        <v>-9440.2800000000007</v>
      </c>
      <c r="K63" s="3">
        <v>-7694.33</v>
      </c>
      <c r="L63" s="3">
        <v>-8494.14</v>
      </c>
      <c r="M63" s="3">
        <v>-9358.81</v>
      </c>
      <c r="N63" s="3">
        <v>-16092.19</v>
      </c>
      <c r="O63" s="3">
        <v>-13274.53</v>
      </c>
      <c r="P63" s="3">
        <v>-7942.01</v>
      </c>
      <c r="Q63" s="474">
        <f t="shared" si="1"/>
        <v>-192301.73</v>
      </c>
      <c r="R63" s="326"/>
    </row>
    <row r="64" spans="1:18">
      <c r="A64" s="18">
        <v>54</v>
      </c>
      <c r="C64" s="18" t="str">
        <f t="shared" si="7"/>
        <v>CNGWA505</v>
      </c>
      <c r="D64" s="18" t="s">
        <v>167</v>
      </c>
      <c r="E64" s="3">
        <v>0</v>
      </c>
      <c r="F64" s="3">
        <v>0</v>
      </c>
      <c r="G64" s="3">
        <v>0</v>
      </c>
      <c r="H64" s="3">
        <v>0</v>
      </c>
      <c r="I64" s="3">
        <v>0</v>
      </c>
      <c r="J64" s="3">
        <v>0</v>
      </c>
      <c r="K64" s="3">
        <v>0</v>
      </c>
      <c r="L64" s="3">
        <v>0</v>
      </c>
      <c r="M64" s="3">
        <v>0</v>
      </c>
      <c r="N64" s="3">
        <v>0</v>
      </c>
      <c r="O64" s="3">
        <v>0</v>
      </c>
      <c r="P64" s="3">
        <v>0</v>
      </c>
      <c r="Q64" s="474">
        <f t="shared" si="1"/>
        <v>0</v>
      </c>
      <c r="R64" s="326"/>
    </row>
    <row r="65" spans="1:21">
      <c r="A65" s="18">
        <v>55</v>
      </c>
      <c r="C65" s="18" t="str">
        <f t="shared" si="7"/>
        <v>CNGWA505</v>
      </c>
      <c r="D65" s="1" t="s">
        <v>420</v>
      </c>
      <c r="E65" s="3">
        <v>0</v>
      </c>
      <c r="F65" s="3">
        <v>0</v>
      </c>
      <c r="G65" s="3">
        <v>0</v>
      </c>
      <c r="H65" s="3">
        <v>0</v>
      </c>
      <c r="I65" s="3">
        <v>0</v>
      </c>
      <c r="J65" s="3">
        <v>0</v>
      </c>
      <c r="K65" s="3">
        <v>0</v>
      </c>
      <c r="L65" s="3">
        <v>0</v>
      </c>
      <c r="M65" s="3">
        <v>0</v>
      </c>
      <c r="N65" s="3">
        <v>0</v>
      </c>
      <c r="O65" s="3">
        <v>0</v>
      </c>
      <c r="P65" s="3">
        <v>0</v>
      </c>
      <c r="Q65" s="474">
        <f t="shared" si="1"/>
        <v>0</v>
      </c>
      <c r="R65" s="326"/>
    </row>
    <row r="66" spans="1:21">
      <c r="A66" s="18">
        <v>56</v>
      </c>
      <c r="C66" s="18" t="str">
        <f t="shared" si="7"/>
        <v>CNGWA505</v>
      </c>
      <c r="D66" s="18" t="s">
        <v>421</v>
      </c>
      <c r="E66" s="3">
        <v>0</v>
      </c>
      <c r="F66" s="3">
        <v>0</v>
      </c>
      <c r="G66" s="3">
        <v>0</v>
      </c>
      <c r="H66" s="3">
        <v>0</v>
      </c>
      <c r="I66" s="3">
        <v>0</v>
      </c>
      <c r="J66" s="3">
        <v>0</v>
      </c>
      <c r="K66" s="3">
        <v>0</v>
      </c>
      <c r="L66" s="3">
        <v>0</v>
      </c>
      <c r="M66" s="3">
        <v>0</v>
      </c>
      <c r="N66" s="3">
        <v>0</v>
      </c>
      <c r="O66" s="3">
        <v>0</v>
      </c>
      <c r="P66" s="3">
        <v>0</v>
      </c>
      <c r="Q66" s="474">
        <f t="shared" si="1"/>
        <v>0</v>
      </c>
      <c r="R66" s="326"/>
    </row>
    <row r="67" spans="1:21">
      <c r="A67" s="18">
        <v>57</v>
      </c>
      <c r="C67" s="18" t="str">
        <f t="shared" si="7"/>
        <v>CNGWA505</v>
      </c>
      <c r="D67" s="18" t="s">
        <v>422</v>
      </c>
      <c r="E67" s="3">
        <v>0</v>
      </c>
      <c r="F67" s="3">
        <v>0</v>
      </c>
      <c r="G67" s="3">
        <v>0</v>
      </c>
      <c r="H67" s="3">
        <v>0</v>
      </c>
      <c r="I67" s="3">
        <v>0</v>
      </c>
      <c r="J67" s="3">
        <v>0</v>
      </c>
      <c r="K67" s="3">
        <v>0</v>
      </c>
      <c r="L67" s="3">
        <v>0</v>
      </c>
      <c r="M67" s="3">
        <v>0</v>
      </c>
      <c r="N67" s="3">
        <v>0</v>
      </c>
      <c r="O67" s="3">
        <v>0</v>
      </c>
      <c r="P67" s="3">
        <v>0</v>
      </c>
      <c r="Q67" s="474">
        <f t="shared" si="1"/>
        <v>0</v>
      </c>
      <c r="R67" s="326"/>
    </row>
    <row r="68" spans="1:21">
      <c r="A68" s="18">
        <v>58</v>
      </c>
      <c r="C68" s="18" t="str">
        <f t="shared" si="7"/>
        <v>CNGWA505</v>
      </c>
      <c r="D68" s="18" t="s">
        <v>423</v>
      </c>
      <c r="E68" s="474">
        <f>SUM(E59:E67)</f>
        <v>2113637.69</v>
      </c>
      <c r="F68" s="474">
        <f t="shared" ref="F68:N68" si="9">SUM(F59:F67)</f>
        <v>1579253.69</v>
      </c>
      <c r="G68" s="474">
        <f t="shared" si="9"/>
        <v>1881855.79</v>
      </c>
      <c r="H68" s="474">
        <f t="shared" si="9"/>
        <v>1350193.12</v>
      </c>
      <c r="I68" s="474">
        <f t="shared" si="9"/>
        <v>1026451.35</v>
      </c>
      <c r="J68" s="474">
        <f t="shared" si="9"/>
        <v>685669.78999999992</v>
      </c>
      <c r="K68" s="474">
        <f>SUM(K59:K67)</f>
        <v>561074.90000000014</v>
      </c>
      <c r="L68" s="474">
        <f>SUM(L59:L67)</f>
        <v>592767.19999999995</v>
      </c>
      <c r="M68" s="474">
        <f t="shared" si="9"/>
        <v>658742.49</v>
      </c>
      <c r="N68" s="474">
        <f t="shared" si="9"/>
        <v>1090039.06</v>
      </c>
      <c r="O68" s="474">
        <f>SUM(O59:O67)</f>
        <v>1153567.67</v>
      </c>
      <c r="P68" s="474">
        <f>SUM(P59:P67)</f>
        <v>1626149.96</v>
      </c>
      <c r="Q68" s="474">
        <f>SUM(E68:P68)</f>
        <v>14319402.710000001</v>
      </c>
      <c r="R68" s="326"/>
      <c r="T68" s="474"/>
      <c r="U68" s="475"/>
    </row>
    <row r="69" spans="1:21">
      <c r="A69" s="18">
        <v>59</v>
      </c>
      <c r="D69" s="637" t="s">
        <v>414</v>
      </c>
      <c r="E69" s="327"/>
      <c r="F69" s="327"/>
      <c r="G69" s="327"/>
      <c r="H69" s="327"/>
      <c r="I69" s="327"/>
      <c r="J69" s="327"/>
      <c r="K69" s="327"/>
      <c r="L69" s="327"/>
      <c r="M69" s="327"/>
      <c r="N69" s="327"/>
      <c r="O69" s="327"/>
      <c r="P69" s="327"/>
      <c r="Q69" s="328">
        <f t="shared" si="1"/>
        <v>0</v>
      </c>
      <c r="R69" s="326"/>
    </row>
    <row r="70" spans="1:21">
      <c r="A70" s="18">
        <v>60</v>
      </c>
      <c r="Q70" s="328"/>
      <c r="R70" s="326"/>
    </row>
    <row r="71" spans="1:21">
      <c r="A71" s="18">
        <v>61</v>
      </c>
      <c r="D71" s="325" t="s">
        <v>297</v>
      </c>
      <c r="E71" s="789"/>
      <c r="F71" s="789"/>
      <c r="G71" s="789"/>
      <c r="H71" s="789"/>
      <c r="I71" s="789"/>
      <c r="J71" s="789"/>
      <c r="K71" s="789"/>
      <c r="L71" s="789"/>
      <c r="M71" s="789"/>
      <c r="N71" s="789"/>
      <c r="O71" s="789"/>
      <c r="P71" s="789"/>
      <c r="Q71" s="328"/>
      <c r="R71" s="326"/>
    </row>
    <row r="72" spans="1:21">
      <c r="A72" s="18">
        <v>62</v>
      </c>
      <c r="C72" s="18" t="str">
        <f>$D$71</f>
        <v>CNGWA511</v>
      </c>
      <c r="D72" s="18" t="s">
        <v>380</v>
      </c>
      <c r="E72" s="327">
        <v>2218058</v>
      </c>
      <c r="F72" s="327">
        <v>1924994</v>
      </c>
      <c r="G72" s="327">
        <v>1892537</v>
      </c>
      <c r="H72" s="327">
        <v>1277714</v>
      </c>
      <c r="I72" s="327">
        <v>1130313</v>
      </c>
      <c r="J72" s="327">
        <v>719208</v>
      </c>
      <c r="K72" s="327">
        <v>954403</v>
      </c>
      <c r="L72" s="327">
        <v>964189</v>
      </c>
      <c r="M72" s="327">
        <v>501157</v>
      </c>
      <c r="N72" s="327">
        <v>781610</v>
      </c>
      <c r="O72" s="327">
        <v>1013451</v>
      </c>
      <c r="P72" s="327">
        <v>1540349</v>
      </c>
      <c r="Q72" s="328">
        <f t="shared" si="1"/>
        <v>14917983</v>
      </c>
      <c r="R72" s="326"/>
    </row>
    <row r="73" spans="1:21">
      <c r="A73" s="18">
        <v>63</v>
      </c>
      <c r="C73" s="18" t="str">
        <f t="shared" ref="C73:C88" si="10">$D$71</f>
        <v>CNGWA511</v>
      </c>
      <c r="D73" s="18" t="s">
        <v>410</v>
      </c>
      <c r="E73" s="327">
        <v>0</v>
      </c>
      <c r="F73" s="327">
        <v>1075601</v>
      </c>
      <c r="G73" s="327">
        <v>717027</v>
      </c>
      <c r="H73" s="327">
        <v>544253</v>
      </c>
      <c r="I73" s="327">
        <v>297432</v>
      </c>
      <c r="J73" s="327">
        <v>282888</v>
      </c>
      <c r="K73" s="327">
        <v>160118</v>
      </c>
      <c r="L73" s="327">
        <v>158337</v>
      </c>
      <c r="M73" s="327">
        <v>263353</v>
      </c>
      <c r="N73" s="327">
        <v>620847</v>
      </c>
      <c r="O73" s="327">
        <v>1032585</v>
      </c>
      <c r="P73" s="327">
        <v>961366</v>
      </c>
      <c r="Q73" s="328">
        <f t="shared" si="1"/>
        <v>6113807</v>
      </c>
      <c r="R73" s="326"/>
    </row>
    <row r="74" spans="1:21">
      <c r="A74" s="18">
        <v>64</v>
      </c>
      <c r="C74" s="18" t="str">
        <f t="shared" si="10"/>
        <v>CNGWA511</v>
      </c>
      <c r="D74" s="18" t="s">
        <v>411</v>
      </c>
      <c r="E74" s="327">
        <v>0</v>
      </c>
      <c r="F74" s="327">
        <v>0</v>
      </c>
      <c r="G74" s="327">
        <v>-1075601</v>
      </c>
      <c r="H74" s="327">
        <v>-717027</v>
      </c>
      <c r="I74" s="327">
        <v>-544253</v>
      </c>
      <c r="J74" s="327">
        <v>-297432</v>
      </c>
      <c r="K74" s="327">
        <v>-282888</v>
      </c>
      <c r="L74" s="327">
        <v>-160118</v>
      </c>
      <c r="M74" s="327">
        <v>-158337</v>
      </c>
      <c r="N74" s="327">
        <v>-263353</v>
      </c>
      <c r="O74" s="327">
        <v>-620847</v>
      </c>
      <c r="P74" s="327">
        <f>-O73</f>
        <v>-1032585</v>
      </c>
      <c r="Q74" s="328">
        <f t="shared" si="1"/>
        <v>-5152441</v>
      </c>
      <c r="R74" s="326"/>
    </row>
    <row r="75" spans="1:21">
      <c r="A75" s="18">
        <v>65</v>
      </c>
      <c r="C75" s="18" t="str">
        <f t="shared" si="10"/>
        <v>CNGWA511</v>
      </c>
      <c r="D75" s="18" t="s">
        <v>412</v>
      </c>
      <c r="E75" s="327">
        <v>0</v>
      </c>
      <c r="F75" s="327">
        <v>0</v>
      </c>
      <c r="G75" s="327">
        <v>0</v>
      </c>
      <c r="H75" s="327">
        <v>0</v>
      </c>
      <c r="I75" s="327">
        <v>0</v>
      </c>
      <c r="J75" s="327">
        <v>0</v>
      </c>
      <c r="K75" s="327">
        <v>0</v>
      </c>
      <c r="L75" s="327">
        <v>0</v>
      </c>
      <c r="M75" s="327">
        <v>0</v>
      </c>
      <c r="N75" s="327">
        <v>0</v>
      </c>
      <c r="O75" s="327">
        <v>0</v>
      </c>
      <c r="P75" s="327">
        <v>0</v>
      </c>
      <c r="Q75" s="328">
        <f t="shared" si="1"/>
        <v>0</v>
      </c>
      <c r="R75" s="326"/>
    </row>
    <row r="76" spans="1:21">
      <c r="A76" s="18">
        <v>66</v>
      </c>
      <c r="C76" s="18" t="str">
        <f t="shared" si="10"/>
        <v>CNGWA511</v>
      </c>
      <c r="D76" s="18" t="s">
        <v>413</v>
      </c>
      <c r="E76" s="327">
        <v>0</v>
      </c>
      <c r="F76" s="327">
        <v>0</v>
      </c>
      <c r="G76" s="327">
        <v>0</v>
      </c>
      <c r="H76" s="327">
        <v>0</v>
      </c>
      <c r="I76" s="327">
        <v>0</v>
      </c>
      <c r="J76" s="327">
        <v>0</v>
      </c>
      <c r="K76" s="327">
        <v>0</v>
      </c>
      <c r="L76" s="327">
        <v>0</v>
      </c>
      <c r="M76" s="327">
        <v>0</v>
      </c>
      <c r="N76" s="327">
        <v>0</v>
      </c>
      <c r="O76" s="327">
        <v>0</v>
      </c>
      <c r="P76" s="327">
        <v>0</v>
      </c>
      <c r="Q76" s="328">
        <f t="shared" ref="Q76:Q119" si="11">SUM(E76:P76)</f>
        <v>0</v>
      </c>
      <c r="R76" s="326"/>
    </row>
    <row r="77" spans="1:21">
      <c r="A77" s="18">
        <v>67</v>
      </c>
      <c r="C77" s="18" t="str">
        <f t="shared" si="10"/>
        <v>CNGWA511</v>
      </c>
      <c r="D77" s="18" t="s">
        <v>195</v>
      </c>
      <c r="E77" s="328">
        <f>SUM(E72:E76)</f>
        <v>2218058</v>
      </c>
      <c r="F77" s="328">
        <f t="shared" ref="F77:P77" si="12">SUM(F72:F76)</f>
        <v>3000595</v>
      </c>
      <c r="G77" s="328">
        <f t="shared" si="12"/>
        <v>1533963</v>
      </c>
      <c r="H77" s="328">
        <f t="shared" si="12"/>
        <v>1104940</v>
      </c>
      <c r="I77" s="328">
        <f t="shared" si="12"/>
        <v>883492</v>
      </c>
      <c r="J77" s="328">
        <f t="shared" si="12"/>
        <v>704664</v>
      </c>
      <c r="K77" s="328">
        <f t="shared" si="12"/>
        <v>831633</v>
      </c>
      <c r="L77" s="328">
        <f t="shared" si="12"/>
        <v>962408</v>
      </c>
      <c r="M77" s="328">
        <f t="shared" si="12"/>
        <v>606173</v>
      </c>
      <c r="N77" s="328">
        <f t="shared" si="12"/>
        <v>1139104</v>
      </c>
      <c r="O77" s="328">
        <f t="shared" si="12"/>
        <v>1425189</v>
      </c>
      <c r="P77" s="328">
        <f t="shared" si="12"/>
        <v>1469130</v>
      </c>
      <c r="Q77" s="328">
        <f t="shared" si="11"/>
        <v>15879349</v>
      </c>
      <c r="R77" s="326"/>
    </row>
    <row r="78" spans="1:21">
      <c r="A78" s="18">
        <v>68</v>
      </c>
      <c r="C78" s="18" t="str">
        <f t="shared" si="10"/>
        <v>CNGWA511</v>
      </c>
      <c r="D78" s="637" t="s">
        <v>414</v>
      </c>
      <c r="E78" s="327"/>
      <c r="F78" s="327"/>
      <c r="G78" s="327"/>
      <c r="H78" s="327"/>
      <c r="I78" s="327"/>
      <c r="J78" s="327"/>
      <c r="K78" s="327"/>
      <c r="L78" s="327"/>
      <c r="M78" s="327"/>
      <c r="N78" s="327"/>
      <c r="O78" s="327"/>
      <c r="P78" s="327"/>
      <c r="Q78" s="328">
        <f t="shared" si="11"/>
        <v>0</v>
      </c>
      <c r="R78" s="326"/>
    </row>
    <row r="79" spans="1:21">
      <c r="A79" s="18">
        <v>69</v>
      </c>
      <c r="C79" s="18" t="str">
        <f t="shared" si="10"/>
        <v>CNGWA511</v>
      </c>
      <c r="D79" s="18" t="s">
        <v>415</v>
      </c>
      <c r="E79" s="3">
        <v>2408444.35</v>
      </c>
      <c r="F79" s="3">
        <v>2076238.01</v>
      </c>
      <c r="G79" s="3">
        <v>2068472.84</v>
      </c>
      <c r="H79" s="3">
        <v>1410408.05</v>
      </c>
      <c r="I79" s="3">
        <v>1246415.98</v>
      </c>
      <c r="J79" s="3">
        <v>794051.95</v>
      </c>
      <c r="K79" s="3">
        <v>1002654.56</v>
      </c>
      <c r="L79" s="3">
        <v>1010639.86</v>
      </c>
      <c r="M79" s="3">
        <v>555118.03</v>
      </c>
      <c r="N79" s="3">
        <v>859200.98</v>
      </c>
      <c r="O79" s="3">
        <v>1140488.67</v>
      </c>
      <c r="P79" s="3">
        <f>429239.52+1349442.52</f>
        <v>1778682.04</v>
      </c>
      <c r="Q79" s="474">
        <f t="shared" si="11"/>
        <v>16350815.32</v>
      </c>
      <c r="R79" s="326"/>
    </row>
    <row r="80" spans="1:21">
      <c r="A80" s="18">
        <v>70</v>
      </c>
      <c r="C80" s="18" t="str">
        <f t="shared" si="10"/>
        <v>CNGWA511</v>
      </c>
      <c r="D80" s="18" t="s">
        <v>416</v>
      </c>
      <c r="E80" s="3">
        <v>0</v>
      </c>
      <c r="F80" s="3">
        <v>1103028.83</v>
      </c>
      <c r="G80" s="3">
        <v>735490.45</v>
      </c>
      <c r="H80" s="3">
        <v>558267.51</v>
      </c>
      <c r="I80" s="3">
        <v>305090.87</v>
      </c>
      <c r="J80" s="3">
        <v>291547.37</v>
      </c>
      <c r="K80" s="3">
        <v>165616.04</v>
      </c>
      <c r="L80" s="3">
        <v>163789.18</v>
      </c>
      <c r="M80" s="3">
        <v>271509.34000000003</v>
      </c>
      <c r="N80" s="3">
        <v>638208.81000000006</v>
      </c>
      <c r="O80" s="3">
        <v>1114295.1100000001</v>
      </c>
      <c r="P80" s="3">
        <v>1037535.27</v>
      </c>
      <c r="Q80" s="474">
        <f t="shared" si="11"/>
        <v>6384378.7800000012</v>
      </c>
      <c r="R80" s="326"/>
    </row>
    <row r="81" spans="1:18">
      <c r="A81" s="18">
        <v>71</v>
      </c>
      <c r="C81" s="18" t="str">
        <f t="shared" si="10"/>
        <v>CNGWA511</v>
      </c>
      <c r="D81" s="1" t="s">
        <v>417</v>
      </c>
      <c r="E81" s="3">
        <v>0</v>
      </c>
      <c r="F81" s="3">
        <v>0</v>
      </c>
      <c r="G81" s="3">
        <v>-1103028.83</v>
      </c>
      <c r="H81" s="3">
        <v>-735490.45</v>
      </c>
      <c r="I81" s="3">
        <v>-558267.51</v>
      </c>
      <c r="J81" s="3">
        <v>-305090.87</v>
      </c>
      <c r="K81" s="3">
        <v>-291547.37</v>
      </c>
      <c r="L81" s="3">
        <v>-165616.04</v>
      </c>
      <c r="M81" s="3">
        <v>-163789.18</v>
      </c>
      <c r="N81" s="3">
        <v>-271509.34000000003</v>
      </c>
      <c r="O81" s="3">
        <v>-638208.81000000006</v>
      </c>
      <c r="P81" s="3">
        <f>-O80</f>
        <v>-1114295.1100000001</v>
      </c>
      <c r="Q81" s="474">
        <f t="shared" si="11"/>
        <v>-5346843.5100000007</v>
      </c>
      <c r="R81" s="326"/>
    </row>
    <row r="82" spans="1:18">
      <c r="A82" s="18">
        <v>72</v>
      </c>
      <c r="C82" s="18" t="str">
        <f t="shared" si="10"/>
        <v>CNGWA511</v>
      </c>
      <c r="D82" s="18" t="s">
        <v>418</v>
      </c>
      <c r="E82" s="3">
        <v>72333.97</v>
      </c>
      <c r="F82" s="3">
        <v>53593.5</v>
      </c>
      <c r="G82" s="3">
        <v>83657.11</v>
      </c>
      <c r="H82" s="3">
        <v>130321.87</v>
      </c>
      <c r="I82" s="3">
        <v>36274.61</v>
      </c>
      <c r="J82" s="3">
        <v>67830.7</v>
      </c>
      <c r="K82" s="3">
        <v>53385.36</v>
      </c>
      <c r="L82" s="3">
        <v>8227</v>
      </c>
      <c r="M82" s="3">
        <v>29771.19</v>
      </c>
      <c r="N82" s="3">
        <v>-26283.78</v>
      </c>
      <c r="O82" s="3">
        <v>-46762.030000000006</v>
      </c>
      <c r="P82" s="3">
        <f>15750.19+24728.34</f>
        <v>40478.53</v>
      </c>
      <c r="Q82" s="474">
        <f t="shared" si="11"/>
        <v>502828.02999999991</v>
      </c>
      <c r="R82" s="326"/>
    </row>
    <row r="83" spans="1:18">
      <c r="A83" s="18">
        <v>73</v>
      </c>
      <c r="C83" s="18" t="str">
        <f t="shared" si="10"/>
        <v>CNGWA511</v>
      </c>
      <c r="D83" s="18" t="s">
        <v>419</v>
      </c>
      <c r="E83" s="3">
        <v>60397.71</v>
      </c>
      <c r="F83" s="3">
        <v>52417.58</v>
      </c>
      <c r="G83" s="3">
        <v>71058.42</v>
      </c>
      <c r="H83" s="3">
        <v>30087.51</v>
      </c>
      <c r="I83" s="3">
        <v>24057.5</v>
      </c>
      <c r="J83" s="3">
        <v>19188</v>
      </c>
      <c r="K83" s="3">
        <v>22645.37</v>
      </c>
      <c r="L83" s="3">
        <v>26206.36</v>
      </c>
      <c r="M83" s="3">
        <v>16506.09</v>
      </c>
      <c r="N83" s="3">
        <v>31017.8</v>
      </c>
      <c r="O83" s="3">
        <v>-12511.57</v>
      </c>
      <c r="P83" s="3">
        <f>-3321.43-9695.06</f>
        <v>-13016.49</v>
      </c>
      <c r="Q83" s="474">
        <f t="shared" si="11"/>
        <v>328054.28000000003</v>
      </c>
      <c r="R83" s="326"/>
    </row>
    <row r="84" spans="1:18">
      <c r="A84" s="18">
        <v>74</v>
      </c>
      <c r="C84" s="18" t="str">
        <f t="shared" si="10"/>
        <v>CNGWA511</v>
      </c>
      <c r="D84" s="18" t="s">
        <v>167</v>
      </c>
      <c r="E84" s="3">
        <v>0</v>
      </c>
      <c r="F84" s="3">
        <v>0</v>
      </c>
      <c r="G84" s="3">
        <v>6420.45</v>
      </c>
      <c r="H84" s="3">
        <v>0</v>
      </c>
      <c r="I84" s="3">
        <v>0</v>
      </c>
      <c r="J84" s="3">
        <v>0</v>
      </c>
      <c r="K84" s="3">
        <v>16787.88</v>
      </c>
      <c r="L84" s="3">
        <v>0</v>
      </c>
      <c r="M84" s="3">
        <v>2812.13</v>
      </c>
      <c r="N84" s="3">
        <v>0</v>
      </c>
      <c r="O84" s="3">
        <v>0</v>
      </c>
      <c r="P84" s="3">
        <v>0</v>
      </c>
      <c r="Q84" s="474">
        <f t="shared" si="11"/>
        <v>26020.460000000003</v>
      </c>
      <c r="R84" s="326"/>
    </row>
    <row r="85" spans="1:18">
      <c r="A85" s="18">
        <v>75</v>
      </c>
      <c r="C85" s="18" t="str">
        <f t="shared" si="10"/>
        <v>CNGWA511</v>
      </c>
      <c r="D85" s="1" t="s">
        <v>420</v>
      </c>
      <c r="E85" s="3">
        <v>0</v>
      </c>
      <c r="F85" s="3">
        <v>0</v>
      </c>
      <c r="G85" s="3">
        <v>0</v>
      </c>
      <c r="H85" s="3">
        <v>0</v>
      </c>
      <c r="I85" s="3">
        <v>0</v>
      </c>
      <c r="J85" s="3">
        <v>0</v>
      </c>
      <c r="K85" s="3">
        <v>0</v>
      </c>
      <c r="L85" s="3">
        <v>0</v>
      </c>
      <c r="M85" s="3">
        <v>0</v>
      </c>
      <c r="N85" s="3">
        <v>0</v>
      </c>
      <c r="O85" s="3">
        <v>0</v>
      </c>
      <c r="P85" s="3">
        <v>0</v>
      </c>
      <c r="Q85" s="474">
        <f t="shared" si="11"/>
        <v>0</v>
      </c>
      <c r="R85" s="326"/>
    </row>
    <row r="86" spans="1:18">
      <c r="A86" s="18">
        <v>76</v>
      </c>
      <c r="C86" s="18" t="str">
        <f t="shared" si="10"/>
        <v>CNGWA511</v>
      </c>
      <c r="D86" s="18" t="s">
        <v>421</v>
      </c>
      <c r="E86" s="3">
        <v>0</v>
      </c>
      <c r="F86" s="3">
        <v>0</v>
      </c>
      <c r="G86" s="3">
        <v>0</v>
      </c>
      <c r="H86" s="3">
        <v>0</v>
      </c>
      <c r="I86" s="3">
        <v>0</v>
      </c>
      <c r="J86" s="3">
        <v>0</v>
      </c>
      <c r="K86" s="3">
        <v>0</v>
      </c>
      <c r="L86" s="3">
        <v>0</v>
      </c>
      <c r="M86" s="3">
        <v>0</v>
      </c>
      <c r="N86" s="3">
        <v>0</v>
      </c>
      <c r="O86" s="3">
        <v>0</v>
      </c>
      <c r="P86" s="3">
        <v>0</v>
      </c>
      <c r="Q86" s="474">
        <f t="shared" si="11"/>
        <v>0</v>
      </c>
      <c r="R86" s="326"/>
    </row>
    <row r="87" spans="1:18">
      <c r="A87" s="18">
        <v>77</v>
      </c>
      <c r="C87" s="18" t="str">
        <f t="shared" si="10"/>
        <v>CNGWA511</v>
      </c>
      <c r="D87" s="18" t="s">
        <v>422</v>
      </c>
      <c r="E87" s="3">
        <v>0</v>
      </c>
      <c r="F87" s="3">
        <v>0</v>
      </c>
      <c r="G87" s="3">
        <v>0</v>
      </c>
      <c r="H87" s="3">
        <v>0</v>
      </c>
      <c r="I87" s="3">
        <v>0</v>
      </c>
      <c r="J87" s="3">
        <v>0</v>
      </c>
      <c r="K87" s="3">
        <v>0</v>
      </c>
      <c r="L87" s="3">
        <v>0</v>
      </c>
      <c r="M87" s="3">
        <v>0</v>
      </c>
      <c r="N87" s="3">
        <v>0</v>
      </c>
      <c r="O87" s="3">
        <v>0</v>
      </c>
      <c r="P87" s="3">
        <v>0</v>
      </c>
      <c r="Q87" s="474">
        <f t="shared" si="11"/>
        <v>0</v>
      </c>
      <c r="R87" s="326"/>
    </row>
    <row r="88" spans="1:18">
      <c r="A88" s="18">
        <v>78</v>
      </c>
      <c r="C88" s="18" t="str">
        <f t="shared" si="10"/>
        <v>CNGWA511</v>
      </c>
      <c r="D88" s="18" t="s">
        <v>423</v>
      </c>
      <c r="E88" s="474">
        <f>SUM(E79:E87)</f>
        <v>2541176.0300000003</v>
      </c>
      <c r="F88" s="474">
        <f t="shared" ref="F88:P88" si="13">SUM(F79:F87)</f>
        <v>3285277.92</v>
      </c>
      <c r="G88" s="474">
        <f t="shared" si="13"/>
        <v>1862070.44</v>
      </c>
      <c r="H88" s="474">
        <f t="shared" si="13"/>
        <v>1393594.49</v>
      </c>
      <c r="I88" s="474">
        <f t="shared" si="13"/>
        <v>1053571.4500000002</v>
      </c>
      <c r="J88" s="474">
        <f t="shared" si="13"/>
        <v>867527.14999999979</v>
      </c>
      <c r="K88" s="474">
        <f t="shared" si="13"/>
        <v>969541.84000000008</v>
      </c>
      <c r="L88" s="474">
        <f t="shared" si="13"/>
        <v>1043246.36</v>
      </c>
      <c r="M88" s="474">
        <f t="shared" si="13"/>
        <v>711927.60000000009</v>
      </c>
      <c r="N88" s="474">
        <f t="shared" si="13"/>
        <v>1230634.47</v>
      </c>
      <c r="O88" s="474">
        <f t="shared" si="13"/>
        <v>1557301.37</v>
      </c>
      <c r="P88" s="474">
        <f t="shared" si="13"/>
        <v>1729384.24</v>
      </c>
      <c r="Q88" s="474">
        <f t="shared" si="11"/>
        <v>18245253.359999999</v>
      </c>
      <c r="R88" s="326"/>
    </row>
    <row r="89" spans="1:18">
      <c r="A89" s="18">
        <v>79</v>
      </c>
      <c r="D89" s="637" t="s">
        <v>414</v>
      </c>
      <c r="E89" s="327"/>
      <c r="F89" s="327"/>
      <c r="G89" s="327"/>
      <c r="H89" s="327"/>
      <c r="I89" s="327"/>
      <c r="J89" s="327"/>
      <c r="K89" s="327"/>
      <c r="L89" s="327"/>
      <c r="M89" s="327"/>
      <c r="N89" s="327"/>
      <c r="O89" s="327"/>
      <c r="P89" s="327"/>
      <c r="Q89" s="328">
        <f t="shared" si="11"/>
        <v>0</v>
      </c>
      <c r="R89" s="326"/>
    </row>
    <row r="90" spans="1:18">
      <c r="A90" s="18">
        <v>80</v>
      </c>
      <c r="D90" s="637"/>
      <c r="E90" s="327"/>
      <c r="F90" s="327"/>
      <c r="G90" s="327"/>
      <c r="H90" s="327"/>
      <c r="I90" s="327"/>
      <c r="J90" s="327"/>
      <c r="K90" s="327"/>
      <c r="L90" s="327"/>
      <c r="M90" s="327"/>
      <c r="N90" s="327"/>
      <c r="O90" s="327"/>
      <c r="P90" s="327"/>
      <c r="Q90" s="328"/>
      <c r="R90" s="326"/>
    </row>
    <row r="91" spans="1:18">
      <c r="A91" s="18">
        <v>81</v>
      </c>
      <c r="D91" s="325" t="s">
        <v>299</v>
      </c>
      <c r="E91" s="351"/>
      <c r="F91" s="351"/>
      <c r="G91" s="351"/>
      <c r="H91" s="351"/>
      <c r="I91" s="351"/>
      <c r="J91" s="351"/>
      <c r="K91" s="351"/>
      <c r="L91" s="351"/>
      <c r="M91" s="351"/>
      <c r="N91" s="351"/>
      <c r="O91" s="351"/>
      <c r="P91" s="351"/>
      <c r="Q91" s="328"/>
      <c r="R91" s="326"/>
    </row>
    <row r="92" spans="1:18">
      <c r="A92" s="18">
        <v>82</v>
      </c>
      <c r="C92" s="18" t="str">
        <f>$D$91</f>
        <v>CNGW04LV</v>
      </c>
      <c r="D92" s="18" t="s">
        <v>380</v>
      </c>
      <c r="E92" s="327">
        <v>9171</v>
      </c>
      <c r="F92" s="327">
        <v>7840</v>
      </c>
      <c r="G92" s="327">
        <v>7890</v>
      </c>
      <c r="H92" s="327">
        <v>8537</v>
      </c>
      <c r="I92" s="327">
        <v>4539</v>
      </c>
      <c r="J92" s="327">
        <v>2414</v>
      </c>
      <c r="K92" s="327">
        <v>949</v>
      </c>
      <c r="L92" s="327">
        <v>1692</v>
      </c>
      <c r="M92" s="327">
        <v>1335</v>
      </c>
      <c r="N92" s="327">
        <v>1458</v>
      </c>
      <c r="O92" s="327">
        <v>6015</v>
      </c>
      <c r="P92" s="327">
        <v>6637</v>
      </c>
      <c r="Q92" s="328">
        <f t="shared" si="11"/>
        <v>58477</v>
      </c>
      <c r="R92" s="326"/>
    </row>
    <row r="93" spans="1:18">
      <c r="A93" s="18">
        <v>83</v>
      </c>
      <c r="C93" s="18" t="str">
        <f t="shared" ref="C93:C108" si="14">$D$91</f>
        <v>CNGW04LV</v>
      </c>
      <c r="D93" s="18" t="s">
        <v>410</v>
      </c>
      <c r="E93" s="327">
        <v>0</v>
      </c>
      <c r="F93" s="327">
        <v>0</v>
      </c>
      <c r="G93" s="327">
        <v>0</v>
      </c>
      <c r="H93" s="327">
        <v>0</v>
      </c>
      <c r="I93" s="327">
        <v>0</v>
      </c>
      <c r="J93" s="327">
        <v>0</v>
      </c>
      <c r="K93" s="327">
        <v>0</v>
      </c>
      <c r="L93" s="327">
        <v>0</v>
      </c>
      <c r="M93" s="327">
        <v>0</v>
      </c>
      <c r="N93" s="327">
        <v>0</v>
      </c>
      <c r="O93" s="327">
        <v>0</v>
      </c>
      <c r="P93" s="327">
        <v>0</v>
      </c>
      <c r="Q93" s="328">
        <f t="shared" si="11"/>
        <v>0</v>
      </c>
      <c r="R93" s="326"/>
    </row>
    <row r="94" spans="1:18">
      <c r="A94" s="18">
        <v>84</v>
      </c>
      <c r="C94" s="18" t="str">
        <f t="shared" si="14"/>
        <v>CNGW04LV</v>
      </c>
      <c r="D94" s="18" t="s">
        <v>411</v>
      </c>
      <c r="E94" s="327">
        <v>0</v>
      </c>
      <c r="F94" s="327">
        <v>0</v>
      </c>
      <c r="G94" s="327">
        <v>0</v>
      </c>
      <c r="H94" s="327">
        <v>0</v>
      </c>
      <c r="I94" s="327">
        <v>0</v>
      </c>
      <c r="J94" s="327">
        <v>0</v>
      </c>
      <c r="K94" s="327">
        <v>0</v>
      </c>
      <c r="L94" s="327">
        <v>0</v>
      </c>
      <c r="M94" s="327">
        <v>0</v>
      </c>
      <c r="N94" s="327">
        <v>0</v>
      </c>
      <c r="O94" s="327">
        <v>0</v>
      </c>
      <c r="P94" s="327">
        <v>0</v>
      </c>
      <c r="Q94" s="328">
        <f t="shared" si="11"/>
        <v>0</v>
      </c>
      <c r="R94" s="326"/>
    </row>
    <row r="95" spans="1:18">
      <c r="A95" s="18">
        <v>85</v>
      </c>
      <c r="C95" s="18" t="str">
        <f t="shared" si="14"/>
        <v>CNGW04LV</v>
      </c>
      <c r="D95" s="18" t="s">
        <v>412</v>
      </c>
      <c r="E95" s="327">
        <v>-9171</v>
      </c>
      <c r="F95" s="327">
        <v>-7840</v>
      </c>
      <c r="G95" s="327">
        <v>-7890</v>
      </c>
      <c r="H95" s="327">
        <v>-8537</v>
      </c>
      <c r="I95" s="327">
        <v>-4539</v>
      </c>
      <c r="J95" s="327">
        <v>-2414</v>
      </c>
      <c r="K95" s="327">
        <v>-949</v>
      </c>
      <c r="L95" s="327">
        <v>-1692</v>
      </c>
      <c r="M95" s="327">
        <v>-1335</v>
      </c>
      <c r="N95" s="327">
        <v>-1458</v>
      </c>
      <c r="O95" s="327">
        <f>-N96</f>
        <v>-6015</v>
      </c>
      <c r="P95" s="327">
        <f>-O96</f>
        <v>-6637</v>
      </c>
      <c r="Q95" s="328">
        <f t="shared" si="11"/>
        <v>-58477</v>
      </c>
      <c r="R95" s="326"/>
    </row>
    <row r="96" spans="1:18">
      <c r="A96" s="18">
        <v>86</v>
      </c>
      <c r="C96" s="18" t="str">
        <f t="shared" si="14"/>
        <v>CNGW04LV</v>
      </c>
      <c r="D96" s="18" t="s">
        <v>413</v>
      </c>
      <c r="E96" s="327">
        <v>7840</v>
      </c>
      <c r="F96" s="327">
        <v>7890</v>
      </c>
      <c r="G96" s="327">
        <v>8537</v>
      </c>
      <c r="H96" s="327">
        <v>4539</v>
      </c>
      <c r="I96" s="327">
        <v>2414</v>
      </c>
      <c r="J96" s="327">
        <v>949</v>
      </c>
      <c r="K96" s="327">
        <v>1692</v>
      </c>
      <c r="L96" s="327">
        <v>1335</v>
      </c>
      <c r="M96" s="327">
        <v>1458</v>
      </c>
      <c r="N96" s="327">
        <v>6015</v>
      </c>
      <c r="O96" s="327">
        <v>6637</v>
      </c>
      <c r="P96" s="327">
        <v>6980</v>
      </c>
      <c r="Q96" s="328">
        <f t="shared" si="11"/>
        <v>56286</v>
      </c>
      <c r="R96" s="326"/>
    </row>
    <row r="97" spans="1:18">
      <c r="A97" s="18">
        <v>87</v>
      </c>
      <c r="C97" s="18" t="str">
        <f t="shared" si="14"/>
        <v>CNGW04LV</v>
      </c>
      <c r="D97" s="18" t="s">
        <v>195</v>
      </c>
      <c r="E97" s="328">
        <f>SUM(E92:E96)</f>
        <v>7840</v>
      </c>
      <c r="F97" s="328">
        <f t="shared" ref="F97:P97" si="15">SUM(F92:F96)</f>
        <v>7890</v>
      </c>
      <c r="G97" s="328">
        <f t="shared" si="15"/>
        <v>8537</v>
      </c>
      <c r="H97" s="328">
        <f t="shared" si="15"/>
        <v>4539</v>
      </c>
      <c r="I97" s="328">
        <f t="shared" si="15"/>
        <v>2414</v>
      </c>
      <c r="J97" s="328">
        <f t="shared" si="15"/>
        <v>949</v>
      </c>
      <c r="K97" s="328">
        <f t="shared" si="15"/>
        <v>1692</v>
      </c>
      <c r="L97" s="328">
        <f>SUM(L92:L96)</f>
        <v>1335</v>
      </c>
      <c r="M97" s="328">
        <f t="shared" si="15"/>
        <v>1458</v>
      </c>
      <c r="N97" s="328">
        <f t="shared" si="15"/>
        <v>6015</v>
      </c>
      <c r="O97" s="328">
        <f t="shared" si="15"/>
        <v>6637</v>
      </c>
      <c r="P97" s="328">
        <f t="shared" si="15"/>
        <v>6980</v>
      </c>
      <c r="Q97" s="328">
        <f t="shared" si="11"/>
        <v>56286</v>
      </c>
      <c r="R97" s="326"/>
    </row>
    <row r="98" spans="1:18">
      <c r="A98" s="18">
        <v>88</v>
      </c>
      <c r="C98" s="18" t="str">
        <f t="shared" si="14"/>
        <v>CNGW04LV</v>
      </c>
      <c r="D98" s="637" t="s">
        <v>414</v>
      </c>
      <c r="E98" s="327"/>
      <c r="F98" s="327"/>
      <c r="G98" s="327"/>
      <c r="H98" s="327"/>
      <c r="I98" s="327"/>
      <c r="J98" s="327"/>
      <c r="K98" s="327"/>
      <c r="L98" s="327"/>
      <c r="M98" s="327"/>
      <c r="N98" s="327"/>
      <c r="O98" s="327"/>
      <c r="P98" s="327"/>
      <c r="Q98" s="328">
        <f t="shared" si="11"/>
        <v>0</v>
      </c>
      <c r="R98" s="326"/>
    </row>
    <row r="99" spans="1:18">
      <c r="A99" s="18">
        <v>89</v>
      </c>
      <c r="C99" s="18" t="str">
        <f t="shared" si="14"/>
        <v>CNGW04LV</v>
      </c>
      <c r="D99" s="18" t="s">
        <v>415</v>
      </c>
      <c r="E99" s="3">
        <v>12236.12</v>
      </c>
      <c r="F99" s="3">
        <v>10462.280000000001</v>
      </c>
      <c r="G99" s="3">
        <v>10528.93</v>
      </c>
      <c r="H99" s="3">
        <v>11391.18</v>
      </c>
      <c r="I99" s="3">
        <v>6062.98</v>
      </c>
      <c r="J99" s="3">
        <v>3230.98</v>
      </c>
      <c r="K99" s="3">
        <v>1278.53</v>
      </c>
      <c r="L99" s="3">
        <v>2268.75</v>
      </c>
      <c r="M99" s="3">
        <v>1792.97</v>
      </c>
      <c r="N99" s="3">
        <v>1956.89</v>
      </c>
      <c r="O99" s="3">
        <v>8033.5</v>
      </c>
      <c r="P99" s="3">
        <v>8638.24</v>
      </c>
      <c r="Q99" s="474">
        <f t="shared" si="11"/>
        <v>77881.35000000002</v>
      </c>
      <c r="R99" s="326"/>
    </row>
    <row r="100" spans="1:18">
      <c r="A100" s="18">
        <v>90</v>
      </c>
      <c r="C100" s="18" t="str">
        <f t="shared" si="14"/>
        <v>CNGW04LV</v>
      </c>
      <c r="D100" s="18" t="s">
        <v>416</v>
      </c>
      <c r="E100" s="3">
        <v>0</v>
      </c>
      <c r="F100" s="3">
        <v>0</v>
      </c>
      <c r="G100" s="3">
        <v>0</v>
      </c>
      <c r="H100" s="3">
        <v>0</v>
      </c>
      <c r="I100" s="3">
        <v>0</v>
      </c>
      <c r="J100" s="3">
        <v>0</v>
      </c>
      <c r="K100" s="3">
        <v>0</v>
      </c>
      <c r="L100" s="3">
        <v>0</v>
      </c>
      <c r="M100" s="3">
        <v>0</v>
      </c>
      <c r="N100" s="3">
        <v>0</v>
      </c>
      <c r="O100" s="3">
        <v>0</v>
      </c>
      <c r="P100" s="3">
        <v>0</v>
      </c>
      <c r="Q100" s="474">
        <f t="shared" si="11"/>
        <v>0</v>
      </c>
      <c r="R100" s="326"/>
    </row>
    <row r="101" spans="1:18">
      <c r="A101" s="18">
        <v>91</v>
      </c>
      <c r="C101" s="18" t="str">
        <f t="shared" si="14"/>
        <v>CNGW04LV</v>
      </c>
      <c r="D101" s="18" t="s">
        <v>417</v>
      </c>
      <c r="E101" s="3">
        <v>0</v>
      </c>
      <c r="F101" s="3">
        <v>0</v>
      </c>
      <c r="G101" s="3">
        <v>0</v>
      </c>
      <c r="H101" s="3">
        <v>0</v>
      </c>
      <c r="I101" s="3">
        <v>0</v>
      </c>
      <c r="J101" s="3">
        <v>0</v>
      </c>
      <c r="K101" s="3">
        <v>0</v>
      </c>
      <c r="L101" s="3">
        <v>0</v>
      </c>
      <c r="M101" s="3">
        <v>0</v>
      </c>
      <c r="N101" s="3">
        <v>0</v>
      </c>
      <c r="O101" s="3">
        <v>0</v>
      </c>
      <c r="P101" s="3">
        <v>0</v>
      </c>
      <c r="Q101" s="474">
        <f t="shared" si="11"/>
        <v>0</v>
      </c>
      <c r="R101" s="326"/>
    </row>
    <row r="102" spans="1:18">
      <c r="A102" s="18">
        <v>92</v>
      </c>
      <c r="C102" s="18" t="str">
        <f t="shared" si="14"/>
        <v>CNGW04LV</v>
      </c>
      <c r="D102" s="18" t="s">
        <v>418</v>
      </c>
      <c r="E102" s="3">
        <v>-2122.0700000000002</v>
      </c>
      <c r="F102" s="3">
        <v>-2163.2199999999998</v>
      </c>
      <c r="G102" s="3">
        <v>-2330.44</v>
      </c>
      <c r="H102" s="3">
        <v>-1228.67</v>
      </c>
      <c r="I102" s="3">
        <v>-643.32000000000005</v>
      </c>
      <c r="J102" s="3">
        <v>-240.29</v>
      </c>
      <c r="K102" s="3">
        <v>-450.52</v>
      </c>
      <c r="L102" s="3">
        <v>-348.96</v>
      </c>
      <c r="M102" s="3">
        <v>-374.87</v>
      </c>
      <c r="N102" s="3">
        <v>-1637.65</v>
      </c>
      <c r="O102" s="3">
        <v>-1777.07</v>
      </c>
      <c r="P102" s="3">
        <v>-1843.34</v>
      </c>
      <c r="Q102" s="474">
        <f t="shared" si="11"/>
        <v>-15160.42</v>
      </c>
      <c r="R102" s="326"/>
    </row>
    <row r="103" spans="1:18">
      <c r="A103" s="18">
        <v>93</v>
      </c>
      <c r="C103" s="18" t="str">
        <f t="shared" si="14"/>
        <v>CNGW04LV</v>
      </c>
      <c r="D103" s="18" t="s">
        <v>419</v>
      </c>
      <c r="E103" s="3">
        <v>-310.7</v>
      </c>
      <c r="F103" s="3">
        <v>-312.69</v>
      </c>
      <c r="G103" s="3">
        <v>-338.33</v>
      </c>
      <c r="H103" s="3">
        <v>-179.88</v>
      </c>
      <c r="I103" s="3">
        <v>-95.67</v>
      </c>
      <c r="J103" s="3">
        <v>-37.61</v>
      </c>
      <c r="K103" s="3">
        <v>-67.06</v>
      </c>
      <c r="L103" s="3">
        <v>-52.91</v>
      </c>
      <c r="M103" s="3">
        <v>-57.78</v>
      </c>
      <c r="N103" s="3">
        <v>-238.38</v>
      </c>
      <c r="O103" s="3">
        <v>76.59</v>
      </c>
      <c r="P103" s="3">
        <v>80.55</v>
      </c>
      <c r="Q103" s="474">
        <f t="shared" si="11"/>
        <v>-1533.87</v>
      </c>
      <c r="R103" s="326"/>
    </row>
    <row r="104" spans="1:18">
      <c r="A104" s="18">
        <v>94</v>
      </c>
      <c r="C104" s="18" t="str">
        <f t="shared" si="14"/>
        <v>CNGW04LV</v>
      </c>
      <c r="D104" s="18" t="s">
        <v>167</v>
      </c>
      <c r="E104" s="3">
        <v>0</v>
      </c>
      <c r="F104" s="3">
        <v>0</v>
      </c>
      <c r="G104" s="3">
        <v>0</v>
      </c>
      <c r="H104" s="3">
        <v>0</v>
      </c>
      <c r="I104" s="3">
        <v>0</v>
      </c>
      <c r="J104" s="3">
        <v>0</v>
      </c>
      <c r="K104" s="3">
        <v>0</v>
      </c>
      <c r="L104" s="3">
        <v>0</v>
      </c>
      <c r="M104" s="3">
        <v>0</v>
      </c>
      <c r="N104" s="3">
        <v>0</v>
      </c>
      <c r="O104" s="3">
        <v>0</v>
      </c>
      <c r="P104" s="3">
        <v>0</v>
      </c>
      <c r="Q104" s="474">
        <f t="shared" si="11"/>
        <v>0</v>
      </c>
      <c r="R104" s="326"/>
    </row>
    <row r="105" spans="1:18">
      <c r="A105" s="18">
        <v>95</v>
      </c>
      <c r="C105" s="18" t="str">
        <f t="shared" si="14"/>
        <v>CNGW04LV</v>
      </c>
      <c r="D105" s="18" t="s">
        <v>426</v>
      </c>
      <c r="E105" s="3">
        <v>0</v>
      </c>
      <c r="F105" s="3">
        <v>0</v>
      </c>
      <c r="G105" s="3">
        <v>0</v>
      </c>
      <c r="H105" s="3">
        <v>0</v>
      </c>
      <c r="I105" s="3">
        <v>0</v>
      </c>
      <c r="J105" s="3">
        <v>0</v>
      </c>
      <c r="K105" s="3">
        <v>0</v>
      </c>
      <c r="L105" s="3">
        <v>0</v>
      </c>
      <c r="M105" s="3">
        <v>0</v>
      </c>
      <c r="N105" s="3">
        <v>0</v>
      </c>
      <c r="O105" s="3">
        <v>0</v>
      </c>
      <c r="P105" s="3">
        <v>0</v>
      </c>
      <c r="Q105" s="474">
        <f t="shared" si="11"/>
        <v>0</v>
      </c>
      <c r="R105" s="326"/>
    </row>
    <row r="106" spans="1:18">
      <c r="A106" s="18">
        <v>96</v>
      </c>
      <c r="C106" s="18" t="str">
        <f t="shared" si="14"/>
        <v>CNGW04LV</v>
      </c>
      <c r="D106" s="18" t="s">
        <v>421</v>
      </c>
      <c r="E106" s="3">
        <v>-12236.12</v>
      </c>
      <c r="F106" s="3">
        <v>-10462.280000000001</v>
      </c>
      <c r="G106" s="3">
        <v>-10528.93</v>
      </c>
      <c r="H106" s="3">
        <v>-11391.18</v>
      </c>
      <c r="I106" s="3">
        <v>-6062.98</v>
      </c>
      <c r="J106" s="3">
        <v>-3230.98</v>
      </c>
      <c r="K106" s="3">
        <v>-1278.53</v>
      </c>
      <c r="L106" s="3">
        <v>-2268.75</v>
      </c>
      <c r="M106" s="3">
        <v>-1792.97</v>
      </c>
      <c r="N106" s="3">
        <v>-1956.89</v>
      </c>
      <c r="O106" s="3">
        <f>-N107</f>
        <v>-8033.5</v>
      </c>
      <c r="P106" s="3">
        <f>-O107</f>
        <v>-8638.24</v>
      </c>
      <c r="Q106" s="474">
        <f t="shared" si="11"/>
        <v>-77881.35000000002</v>
      </c>
      <c r="R106" s="326"/>
    </row>
    <row r="107" spans="1:18">
      <c r="A107" s="18">
        <v>97</v>
      </c>
      <c r="C107" s="18" t="str">
        <f t="shared" si="14"/>
        <v>CNGW04LV</v>
      </c>
      <c r="D107" s="18" t="s">
        <v>422</v>
      </c>
      <c r="E107" s="3">
        <v>10462.280000000001</v>
      </c>
      <c r="F107" s="3">
        <v>10528.93</v>
      </c>
      <c r="G107" s="3">
        <v>11391.18</v>
      </c>
      <c r="H107" s="3">
        <v>6062.98</v>
      </c>
      <c r="I107" s="3">
        <v>3230.98</v>
      </c>
      <c r="J107" s="3">
        <v>1278.53</v>
      </c>
      <c r="K107" s="3">
        <v>2268.75</v>
      </c>
      <c r="L107" s="3">
        <v>1792.97</v>
      </c>
      <c r="M107" s="3">
        <v>1956.89</v>
      </c>
      <c r="N107" s="3">
        <v>8033.5</v>
      </c>
      <c r="O107" s="3">
        <v>8638.24</v>
      </c>
      <c r="P107" s="3">
        <v>9083.94</v>
      </c>
      <c r="Q107" s="474">
        <f t="shared" si="11"/>
        <v>74729.17</v>
      </c>
      <c r="R107" s="326"/>
    </row>
    <row r="108" spans="1:18">
      <c r="A108" s="18">
        <v>98</v>
      </c>
      <c r="C108" s="18" t="str">
        <f t="shared" si="14"/>
        <v>CNGW04LV</v>
      </c>
      <c r="D108" s="18" t="s">
        <v>423</v>
      </c>
      <c r="E108" s="474">
        <f>SUM(E99:E107)</f>
        <v>8029.51</v>
      </c>
      <c r="F108" s="474">
        <f t="shared" ref="F108:P108" si="16">SUM(F99:F107)</f>
        <v>8053.0200000000013</v>
      </c>
      <c r="G108" s="474">
        <f t="shared" si="16"/>
        <v>8722.41</v>
      </c>
      <c r="H108" s="474">
        <f t="shared" si="16"/>
        <v>4654.43</v>
      </c>
      <c r="I108" s="474">
        <f t="shared" si="16"/>
        <v>2491.9900000000002</v>
      </c>
      <c r="J108" s="474">
        <f t="shared" si="16"/>
        <v>1000.6299999999999</v>
      </c>
      <c r="K108" s="474">
        <f t="shared" si="16"/>
        <v>1751.17</v>
      </c>
      <c r="L108" s="474">
        <f t="shared" si="16"/>
        <v>1391.1</v>
      </c>
      <c r="M108" s="474">
        <f t="shared" si="16"/>
        <v>1524.24</v>
      </c>
      <c r="N108" s="474">
        <f t="shared" si="16"/>
        <v>6157.4699999999993</v>
      </c>
      <c r="O108" s="474">
        <f t="shared" si="16"/>
        <v>6937.76</v>
      </c>
      <c r="P108" s="474">
        <f t="shared" si="16"/>
        <v>7321.1500000000005</v>
      </c>
      <c r="Q108" s="474">
        <f t="shared" si="11"/>
        <v>58034.880000000005</v>
      </c>
      <c r="R108" s="326"/>
    </row>
    <row r="109" spans="1:18">
      <c r="A109" s="18">
        <v>99</v>
      </c>
      <c r="D109" s="637" t="s">
        <v>414</v>
      </c>
      <c r="E109" s="327"/>
      <c r="F109" s="327"/>
      <c r="G109" s="327"/>
      <c r="H109" s="327"/>
      <c r="Q109" s="328">
        <f t="shared" si="11"/>
        <v>0</v>
      </c>
      <c r="R109" s="326"/>
    </row>
    <row r="110" spans="1:18">
      <c r="A110" s="18">
        <v>100</v>
      </c>
      <c r="D110" s="637"/>
      <c r="E110" s="327"/>
      <c r="F110" s="327"/>
      <c r="G110" s="327"/>
      <c r="H110" s="327"/>
      <c r="I110" s="327"/>
      <c r="J110" s="327"/>
      <c r="K110" s="327"/>
      <c r="L110" s="327"/>
      <c r="M110" s="327"/>
      <c r="N110" s="327"/>
      <c r="O110" s="327"/>
      <c r="P110" s="327"/>
      <c r="Q110" s="328"/>
      <c r="R110" s="326"/>
    </row>
    <row r="111" spans="1:18">
      <c r="A111" s="18">
        <v>101</v>
      </c>
      <c r="D111" s="325" t="s">
        <v>310</v>
      </c>
      <c r="E111" s="789"/>
      <c r="F111" s="789"/>
      <c r="G111" s="789"/>
      <c r="H111" s="789"/>
      <c r="I111" s="789"/>
      <c r="J111" s="789"/>
      <c r="K111" s="789"/>
      <c r="L111" s="789"/>
      <c r="M111" s="789"/>
      <c r="N111" s="789"/>
      <c r="O111" s="789"/>
      <c r="P111" s="789"/>
      <c r="Q111" s="328"/>
      <c r="R111" s="326"/>
    </row>
    <row r="112" spans="1:18">
      <c r="A112" s="18">
        <v>102</v>
      </c>
      <c r="C112" s="18" t="str">
        <f>$D$111</f>
        <v>CNGWA570</v>
      </c>
      <c r="D112" s="18" t="s">
        <v>380</v>
      </c>
      <c r="E112" s="327">
        <v>283039</v>
      </c>
      <c r="F112" s="327">
        <v>254735</v>
      </c>
      <c r="G112" s="327">
        <v>233311</v>
      </c>
      <c r="H112" s="327">
        <v>244613</v>
      </c>
      <c r="I112" s="327">
        <v>207895</v>
      </c>
      <c r="J112" s="327">
        <v>123718</v>
      </c>
      <c r="K112" s="327">
        <v>98688</v>
      </c>
      <c r="L112" s="327">
        <v>86202</v>
      </c>
      <c r="M112" s="327">
        <v>85131</v>
      </c>
      <c r="N112" s="327">
        <v>107273</v>
      </c>
      <c r="O112" s="327">
        <v>169608</v>
      </c>
      <c r="P112" s="327">
        <v>236897</v>
      </c>
      <c r="Q112" s="328">
        <f t="shared" si="11"/>
        <v>2131110</v>
      </c>
      <c r="R112" s="326"/>
    </row>
    <row r="113" spans="1:18">
      <c r="A113" s="18">
        <v>103</v>
      </c>
      <c r="C113" s="18" t="str">
        <f t="shared" ref="C113:C128" si="17">$D$111</f>
        <v>CNGWA570</v>
      </c>
      <c r="D113" s="18" t="s">
        <v>410</v>
      </c>
      <c r="E113" s="327">
        <v>0</v>
      </c>
      <c r="F113" s="327">
        <v>0</v>
      </c>
      <c r="G113" s="327">
        <v>0</v>
      </c>
      <c r="H113" s="327">
        <v>0</v>
      </c>
      <c r="I113" s="327">
        <v>0</v>
      </c>
      <c r="J113" s="327">
        <v>0</v>
      </c>
      <c r="K113" s="327">
        <v>0</v>
      </c>
      <c r="L113" s="327">
        <v>0</v>
      </c>
      <c r="M113" s="327">
        <v>0</v>
      </c>
      <c r="N113" s="327">
        <v>0</v>
      </c>
      <c r="O113" s="327">
        <v>0</v>
      </c>
      <c r="P113" s="327">
        <v>0</v>
      </c>
      <c r="Q113" s="328">
        <f t="shared" si="11"/>
        <v>0</v>
      </c>
      <c r="R113" s="326"/>
    </row>
    <row r="114" spans="1:18">
      <c r="A114" s="18">
        <v>104</v>
      </c>
      <c r="C114" s="18" t="str">
        <f t="shared" si="17"/>
        <v>CNGWA570</v>
      </c>
      <c r="D114" s="18" t="s">
        <v>411</v>
      </c>
      <c r="E114" s="327">
        <v>0</v>
      </c>
      <c r="F114" s="327">
        <v>0</v>
      </c>
      <c r="G114" s="327">
        <v>0</v>
      </c>
      <c r="H114" s="327">
        <v>0</v>
      </c>
      <c r="I114" s="327">
        <v>0</v>
      </c>
      <c r="J114" s="327">
        <v>0</v>
      </c>
      <c r="K114" s="327">
        <v>0</v>
      </c>
      <c r="L114" s="327">
        <v>0</v>
      </c>
      <c r="M114" s="327">
        <v>0</v>
      </c>
      <c r="N114" s="327">
        <v>0</v>
      </c>
      <c r="O114" s="327">
        <v>0</v>
      </c>
      <c r="P114" s="327">
        <v>0</v>
      </c>
      <c r="Q114" s="328">
        <f t="shared" si="11"/>
        <v>0</v>
      </c>
      <c r="R114" s="326"/>
    </row>
    <row r="115" spans="1:18">
      <c r="A115" s="18">
        <v>105</v>
      </c>
      <c r="C115" s="18" t="str">
        <f t="shared" si="17"/>
        <v>CNGWA570</v>
      </c>
      <c r="D115" s="18" t="s">
        <v>412</v>
      </c>
      <c r="E115" s="327">
        <v>-283039</v>
      </c>
      <c r="F115" s="327">
        <v>-254735</v>
      </c>
      <c r="G115" s="327">
        <v>-233311</v>
      </c>
      <c r="H115" s="327">
        <v>-244613</v>
      </c>
      <c r="I115" s="327">
        <v>-207895</v>
      </c>
      <c r="J115" s="327">
        <v>-123718</v>
      </c>
      <c r="K115" s="327">
        <v>-98688</v>
      </c>
      <c r="L115" s="327">
        <v>-86202</v>
      </c>
      <c r="M115" s="327">
        <v>-85131</v>
      </c>
      <c r="N115" s="327">
        <v>-107273</v>
      </c>
      <c r="O115" s="327">
        <f>-N116</f>
        <v>-169608</v>
      </c>
      <c r="P115" s="327">
        <f>-O116</f>
        <v>-236897</v>
      </c>
      <c r="Q115" s="328">
        <f t="shared" si="11"/>
        <v>-2131110</v>
      </c>
      <c r="R115" s="326"/>
    </row>
    <row r="116" spans="1:18">
      <c r="A116" s="18">
        <v>106</v>
      </c>
      <c r="C116" s="18" t="str">
        <f t="shared" si="17"/>
        <v>CNGWA570</v>
      </c>
      <c r="D116" s="18" t="s">
        <v>413</v>
      </c>
      <c r="E116" s="327">
        <v>254735</v>
      </c>
      <c r="F116" s="327">
        <v>233311</v>
      </c>
      <c r="G116" s="327">
        <v>244613</v>
      </c>
      <c r="H116" s="327">
        <v>207895</v>
      </c>
      <c r="I116" s="327">
        <v>123718</v>
      </c>
      <c r="J116" s="327">
        <v>98688</v>
      </c>
      <c r="K116" s="327">
        <v>86202</v>
      </c>
      <c r="L116" s="327">
        <v>85131</v>
      </c>
      <c r="M116" s="327">
        <v>107273</v>
      </c>
      <c r="N116" s="327">
        <v>169608</v>
      </c>
      <c r="O116" s="327">
        <v>236897</v>
      </c>
      <c r="P116" s="327">
        <v>249527</v>
      </c>
      <c r="Q116" s="328">
        <f t="shared" si="11"/>
        <v>2097598</v>
      </c>
      <c r="R116" s="326"/>
    </row>
    <row r="117" spans="1:18">
      <c r="A117" s="18">
        <v>107</v>
      </c>
      <c r="C117" s="18" t="str">
        <f t="shared" si="17"/>
        <v>CNGWA570</v>
      </c>
      <c r="D117" s="18" t="s">
        <v>195</v>
      </c>
      <c r="E117" s="328">
        <f>SUM(E112:E116)</f>
        <v>254735</v>
      </c>
      <c r="F117" s="328">
        <f t="shared" ref="F117:P117" si="18">SUM(F112:F116)</f>
        <v>233311</v>
      </c>
      <c r="G117" s="328">
        <f t="shared" si="18"/>
        <v>244613</v>
      </c>
      <c r="H117" s="328">
        <f t="shared" si="18"/>
        <v>207895</v>
      </c>
      <c r="I117" s="328">
        <f t="shared" si="18"/>
        <v>123718</v>
      </c>
      <c r="J117" s="328">
        <f t="shared" si="18"/>
        <v>98688</v>
      </c>
      <c r="K117" s="328">
        <f t="shared" si="18"/>
        <v>86202</v>
      </c>
      <c r="L117" s="328">
        <f t="shared" si="18"/>
        <v>85131</v>
      </c>
      <c r="M117" s="328">
        <f t="shared" si="18"/>
        <v>107273</v>
      </c>
      <c r="N117" s="328">
        <f t="shared" si="18"/>
        <v>169608</v>
      </c>
      <c r="O117" s="328">
        <f t="shared" si="18"/>
        <v>236897</v>
      </c>
      <c r="P117" s="328">
        <f t="shared" si="18"/>
        <v>249527</v>
      </c>
      <c r="Q117" s="328">
        <f t="shared" si="11"/>
        <v>2097598</v>
      </c>
      <c r="R117" s="326"/>
    </row>
    <row r="118" spans="1:18">
      <c r="A118" s="18">
        <v>108</v>
      </c>
      <c r="C118" s="18" t="str">
        <f t="shared" si="17"/>
        <v>CNGWA570</v>
      </c>
      <c r="D118" s="637" t="s">
        <v>414</v>
      </c>
      <c r="E118" s="327"/>
      <c r="F118" s="327"/>
      <c r="G118" s="327"/>
      <c r="H118" s="327"/>
      <c r="I118" s="327"/>
      <c r="J118" s="327"/>
      <c r="K118" s="327"/>
      <c r="L118" s="327"/>
      <c r="M118" s="327"/>
      <c r="N118" s="327"/>
      <c r="O118" s="327"/>
      <c r="P118" s="327"/>
      <c r="Q118" s="328">
        <f t="shared" si="11"/>
        <v>0</v>
      </c>
      <c r="R118" s="326"/>
    </row>
    <row r="119" spans="1:18">
      <c r="A119" s="18">
        <v>109</v>
      </c>
      <c r="C119" s="18" t="str">
        <f t="shared" si="17"/>
        <v>CNGWA570</v>
      </c>
      <c r="D119" s="18" t="s">
        <v>415</v>
      </c>
      <c r="E119" s="3">
        <v>276175.05</v>
      </c>
      <c r="F119" s="3">
        <v>248623.68</v>
      </c>
      <c r="G119" s="3">
        <v>227979.32</v>
      </c>
      <c r="H119" s="3">
        <v>238498.68</v>
      </c>
      <c r="I119" s="3">
        <v>203395.62</v>
      </c>
      <c r="J119" s="3">
        <v>123262.79</v>
      </c>
      <c r="K119" s="3">
        <v>98759.89</v>
      </c>
      <c r="L119" s="3">
        <v>86675.02</v>
      </c>
      <c r="M119" s="3">
        <v>85915.15</v>
      </c>
      <c r="N119" s="3">
        <v>107354.61</v>
      </c>
      <c r="O119" s="3">
        <v>167158.79</v>
      </c>
      <c r="P119" s="3">
        <v>235831.97</v>
      </c>
      <c r="Q119" s="474">
        <f t="shared" si="11"/>
        <v>2099630.5700000003</v>
      </c>
      <c r="R119" s="326"/>
    </row>
    <row r="120" spans="1:18">
      <c r="A120" s="18">
        <v>110</v>
      </c>
      <c r="C120" s="18" t="str">
        <f t="shared" si="17"/>
        <v>CNGWA570</v>
      </c>
      <c r="D120" s="18" t="s">
        <v>416</v>
      </c>
      <c r="E120" s="3">
        <v>0</v>
      </c>
      <c r="F120" s="3">
        <v>0</v>
      </c>
      <c r="G120" s="3">
        <v>0</v>
      </c>
      <c r="H120" s="3">
        <v>0</v>
      </c>
      <c r="I120" s="3">
        <v>0</v>
      </c>
      <c r="J120" s="3">
        <v>0</v>
      </c>
      <c r="K120" s="3">
        <v>0</v>
      </c>
      <c r="L120" s="3">
        <v>0</v>
      </c>
      <c r="M120" s="3">
        <v>0</v>
      </c>
      <c r="N120" s="3">
        <v>0</v>
      </c>
      <c r="O120" s="3">
        <v>0</v>
      </c>
      <c r="P120" s="3">
        <v>0</v>
      </c>
      <c r="Q120" s="474">
        <f t="shared" ref="Q120:Q164" si="19">SUM(E120:P120)</f>
        <v>0</v>
      </c>
      <c r="R120" s="326"/>
    </row>
    <row r="121" spans="1:18">
      <c r="A121" s="18">
        <v>111</v>
      </c>
      <c r="C121" s="18" t="str">
        <f t="shared" si="17"/>
        <v>CNGWA570</v>
      </c>
      <c r="D121" s="18" t="s">
        <v>417</v>
      </c>
      <c r="E121" s="3">
        <v>0</v>
      </c>
      <c r="F121" s="3">
        <v>0</v>
      </c>
      <c r="G121" s="3">
        <v>0</v>
      </c>
      <c r="H121" s="3">
        <v>0</v>
      </c>
      <c r="I121" s="3">
        <v>0</v>
      </c>
      <c r="J121" s="3">
        <v>0</v>
      </c>
      <c r="K121" s="3">
        <v>0</v>
      </c>
      <c r="L121" s="3">
        <v>0</v>
      </c>
      <c r="M121" s="3">
        <v>0</v>
      </c>
      <c r="N121" s="3">
        <v>0</v>
      </c>
      <c r="O121" s="3">
        <v>0</v>
      </c>
      <c r="P121" s="3">
        <v>0</v>
      </c>
      <c r="Q121" s="474">
        <f t="shared" si="19"/>
        <v>0</v>
      </c>
      <c r="R121" s="326"/>
    </row>
    <row r="122" spans="1:18">
      <c r="A122" s="18">
        <v>112</v>
      </c>
      <c r="C122" s="18" t="str">
        <f t="shared" si="17"/>
        <v>CNGWA570</v>
      </c>
      <c r="D122" s="18" t="s">
        <v>418</v>
      </c>
      <c r="E122" s="3">
        <v>-153.68</v>
      </c>
      <c r="F122" s="3">
        <v>1071.25</v>
      </c>
      <c r="G122" s="3">
        <v>-978.96</v>
      </c>
      <c r="H122" s="3">
        <v>694.55</v>
      </c>
      <c r="I122" s="3">
        <v>1924.67</v>
      </c>
      <c r="J122" s="3">
        <v>922.64</v>
      </c>
      <c r="K122" s="3">
        <v>353.36</v>
      </c>
      <c r="L122" s="3">
        <v>40.72</v>
      </c>
      <c r="M122" s="3">
        <v>-1697.63</v>
      </c>
      <c r="N122" s="3">
        <v>-5140.33</v>
      </c>
      <c r="O122" s="3">
        <v>-1964.46</v>
      </c>
      <c r="P122" s="3">
        <v>229.46</v>
      </c>
      <c r="Q122" s="474">
        <f t="shared" si="19"/>
        <v>-4698.4100000000008</v>
      </c>
      <c r="R122" s="326"/>
    </row>
    <row r="123" spans="1:18">
      <c r="A123" s="18">
        <v>113</v>
      </c>
      <c r="C123" s="18" t="str">
        <f t="shared" si="17"/>
        <v>CNGWA570</v>
      </c>
      <c r="D123" s="18" t="s">
        <v>419</v>
      </c>
      <c r="E123" s="3">
        <v>1380.66</v>
      </c>
      <c r="F123" s="3">
        <v>1264.55</v>
      </c>
      <c r="G123" s="3">
        <v>1325.8</v>
      </c>
      <c r="H123" s="3">
        <v>1126.79</v>
      </c>
      <c r="I123" s="3">
        <v>670.55</v>
      </c>
      <c r="J123" s="3">
        <v>534.89</v>
      </c>
      <c r="K123" s="3">
        <v>467.21</v>
      </c>
      <c r="L123" s="3">
        <v>461.4</v>
      </c>
      <c r="M123" s="3">
        <v>581.41999999999996</v>
      </c>
      <c r="N123" s="3">
        <v>919.28</v>
      </c>
      <c r="O123" s="3">
        <v>488.01</v>
      </c>
      <c r="P123" s="3">
        <v>514.03</v>
      </c>
      <c r="Q123" s="474">
        <f t="shared" si="19"/>
        <v>9734.590000000002</v>
      </c>
      <c r="R123" s="326"/>
    </row>
    <row r="124" spans="1:18">
      <c r="A124" s="18">
        <v>114</v>
      </c>
      <c r="C124" s="18" t="str">
        <f t="shared" si="17"/>
        <v>CNGWA570</v>
      </c>
      <c r="D124" s="18" t="s">
        <v>167</v>
      </c>
      <c r="E124" s="3">
        <v>0</v>
      </c>
      <c r="F124" s="3">
        <v>0</v>
      </c>
      <c r="G124" s="3">
        <v>0</v>
      </c>
      <c r="H124" s="3">
        <v>0</v>
      </c>
      <c r="I124" s="3">
        <v>0</v>
      </c>
      <c r="J124" s="3">
        <v>0</v>
      </c>
      <c r="K124" s="3">
        <v>0</v>
      </c>
      <c r="L124" s="3">
        <v>0</v>
      </c>
      <c r="M124" s="3">
        <v>0</v>
      </c>
      <c r="N124" s="3">
        <v>0</v>
      </c>
      <c r="O124" s="3">
        <v>0</v>
      </c>
      <c r="P124" s="3">
        <v>0</v>
      </c>
      <c r="Q124" s="474">
        <f t="shared" si="19"/>
        <v>0</v>
      </c>
      <c r="R124" s="326"/>
    </row>
    <row r="125" spans="1:18">
      <c r="A125" s="18">
        <v>115</v>
      </c>
      <c r="C125" s="18" t="str">
        <f t="shared" si="17"/>
        <v>CNGWA570</v>
      </c>
      <c r="D125" s="18" t="s">
        <v>427</v>
      </c>
      <c r="E125" s="3">
        <v>0</v>
      </c>
      <c r="F125" s="3">
        <v>0</v>
      </c>
      <c r="G125" s="3">
        <v>0</v>
      </c>
      <c r="H125" s="3">
        <v>0</v>
      </c>
      <c r="I125" s="3">
        <v>0</v>
      </c>
      <c r="J125" s="3">
        <v>0</v>
      </c>
      <c r="K125" s="3">
        <v>0</v>
      </c>
      <c r="L125" s="3">
        <v>0</v>
      </c>
      <c r="M125" s="3">
        <v>0</v>
      </c>
      <c r="N125" s="3">
        <v>0</v>
      </c>
      <c r="O125" s="3">
        <v>0</v>
      </c>
      <c r="P125" s="3">
        <v>0</v>
      </c>
      <c r="Q125" s="474">
        <f t="shared" si="19"/>
        <v>0</v>
      </c>
      <c r="R125" s="326"/>
    </row>
    <row r="126" spans="1:18">
      <c r="A126" s="18">
        <v>116</v>
      </c>
      <c r="C126" s="18" t="str">
        <f t="shared" si="17"/>
        <v>CNGWA570</v>
      </c>
      <c r="D126" s="18" t="s">
        <v>421</v>
      </c>
      <c r="E126" s="3">
        <v>-276175.05</v>
      </c>
      <c r="F126" s="3">
        <v>-248623.68</v>
      </c>
      <c r="G126" s="3">
        <v>-227979.32</v>
      </c>
      <c r="H126" s="3">
        <v>-238498.68</v>
      </c>
      <c r="I126" s="3">
        <v>-203395.62</v>
      </c>
      <c r="J126" s="3">
        <v>-123262.79</v>
      </c>
      <c r="K126" s="3">
        <v>-98759.89</v>
      </c>
      <c r="L126" s="3">
        <v>-86675.02</v>
      </c>
      <c r="M126" s="3">
        <v>-85915.15</v>
      </c>
      <c r="N126" s="3">
        <v>-107354.61</v>
      </c>
      <c r="O126" s="3">
        <f>-N127</f>
        <v>-167158.79</v>
      </c>
      <c r="P126" s="3">
        <f>-O127</f>
        <v>-235831.97</v>
      </c>
      <c r="Q126" s="474">
        <f t="shared" si="19"/>
        <v>-2099630.5700000003</v>
      </c>
      <c r="R126" s="326"/>
    </row>
    <row r="127" spans="1:18">
      <c r="A127" s="18">
        <v>117</v>
      </c>
      <c r="C127" s="18" t="str">
        <f t="shared" si="17"/>
        <v>CNGWA570</v>
      </c>
      <c r="D127" s="18" t="s">
        <v>422</v>
      </c>
      <c r="E127" s="3">
        <v>248623.68</v>
      </c>
      <c r="F127" s="3">
        <v>227979.32</v>
      </c>
      <c r="G127" s="3">
        <v>238498.68</v>
      </c>
      <c r="H127" s="3">
        <v>203395.62</v>
      </c>
      <c r="I127" s="3">
        <v>123262.79</v>
      </c>
      <c r="J127" s="3">
        <v>98759.89</v>
      </c>
      <c r="K127" s="3">
        <v>86675.02</v>
      </c>
      <c r="L127" s="3">
        <v>85915.15</v>
      </c>
      <c r="M127" s="3">
        <v>107354.61</v>
      </c>
      <c r="N127" s="3">
        <v>167158.79</v>
      </c>
      <c r="O127" s="3">
        <v>235831.97</v>
      </c>
      <c r="P127" s="3">
        <v>248451.92</v>
      </c>
      <c r="Q127" s="474">
        <f t="shared" si="19"/>
        <v>2071907.44</v>
      </c>
      <c r="R127" s="326"/>
    </row>
    <row r="128" spans="1:18">
      <c r="A128" s="18">
        <v>118</v>
      </c>
      <c r="C128" s="18" t="str">
        <f t="shared" si="17"/>
        <v>CNGWA570</v>
      </c>
      <c r="D128" s="18" t="s">
        <v>423</v>
      </c>
      <c r="E128" s="474">
        <f>SUM(E119:E127)</f>
        <v>249850.65999999997</v>
      </c>
      <c r="F128" s="474">
        <f t="shared" ref="F128:P128" si="20">SUM(F119:F127)</f>
        <v>230315.12</v>
      </c>
      <c r="G128" s="474">
        <f t="shared" si="20"/>
        <v>238845.52</v>
      </c>
      <c r="H128" s="474">
        <f t="shared" si="20"/>
        <v>205216.96</v>
      </c>
      <c r="I128" s="474">
        <f t="shared" si="20"/>
        <v>125858.01</v>
      </c>
      <c r="J128" s="474">
        <f t="shared" si="20"/>
        <v>100217.42</v>
      </c>
      <c r="K128" s="474">
        <f t="shared" si="20"/>
        <v>87495.590000000011</v>
      </c>
      <c r="L128" s="474">
        <f t="shared" si="20"/>
        <v>86417.26999999999</v>
      </c>
      <c r="M128" s="474">
        <f t="shared" si="20"/>
        <v>106238.39999999999</v>
      </c>
      <c r="N128" s="474">
        <f t="shared" si="20"/>
        <v>162937.74</v>
      </c>
      <c r="O128" s="474">
        <f t="shared" si="20"/>
        <v>234355.52000000002</v>
      </c>
      <c r="P128" s="474">
        <f t="shared" si="20"/>
        <v>249195.41</v>
      </c>
      <c r="Q128" s="474">
        <f t="shared" si="19"/>
        <v>2076943.6199999996</v>
      </c>
      <c r="R128" s="326"/>
    </row>
    <row r="129" spans="1:18">
      <c r="A129" s="18">
        <v>119</v>
      </c>
      <c r="D129" s="637" t="s">
        <v>414</v>
      </c>
      <c r="E129" s="327"/>
      <c r="F129" s="327"/>
      <c r="G129" s="327"/>
      <c r="H129" s="327"/>
      <c r="I129" s="327"/>
      <c r="J129" s="327"/>
      <c r="K129" s="327"/>
      <c r="L129" s="327"/>
      <c r="M129" s="327"/>
      <c r="N129" s="327"/>
      <c r="O129" s="327"/>
      <c r="P129" s="327"/>
      <c r="Q129" s="328">
        <f t="shared" si="19"/>
        <v>0</v>
      </c>
      <c r="R129" s="326"/>
    </row>
    <row r="130" spans="1:18">
      <c r="A130" s="18">
        <v>120</v>
      </c>
      <c r="D130" s="637"/>
      <c r="Q130" s="328"/>
      <c r="R130" s="326"/>
    </row>
    <row r="131" spans="1:18">
      <c r="A131" s="18">
        <v>121</v>
      </c>
      <c r="B131" s="638" t="s">
        <v>428</v>
      </c>
      <c r="D131" s="325" t="s">
        <v>429</v>
      </c>
      <c r="E131" s="332"/>
      <c r="F131" s="332"/>
      <c r="G131" s="332"/>
      <c r="H131" s="332"/>
      <c r="I131" s="332"/>
      <c r="J131" s="332"/>
      <c r="K131" s="332"/>
      <c r="L131" s="332"/>
      <c r="M131" s="332"/>
      <c r="N131" s="332"/>
      <c r="O131" s="332"/>
      <c r="P131" s="332"/>
      <c r="Q131" s="328"/>
      <c r="R131" s="326"/>
    </row>
    <row r="132" spans="1:18">
      <c r="A132" s="18">
        <v>122</v>
      </c>
      <c r="B132" s="638" t="s">
        <v>430</v>
      </c>
      <c r="C132" s="18" t="str">
        <f>$D$131</f>
        <v>CNGWA6631-NC</v>
      </c>
      <c r="D132" s="18" t="s">
        <v>380</v>
      </c>
      <c r="E132" s="327">
        <v>29825304</v>
      </c>
      <c r="F132" s="327">
        <v>33531168</v>
      </c>
      <c r="G132" s="327">
        <v>30234305</v>
      </c>
      <c r="H132" s="327">
        <v>31401574</v>
      </c>
      <c r="I132" s="327">
        <v>26991895</v>
      </c>
      <c r="J132" s="327">
        <v>27018952</v>
      </c>
      <c r="K132" s="327">
        <v>28538160</v>
      </c>
      <c r="L132" s="327">
        <v>28709783</v>
      </c>
      <c r="M132" s="327">
        <v>29348242</v>
      </c>
      <c r="N132" s="327">
        <v>32266587</v>
      </c>
      <c r="O132" s="327">
        <v>37546739</v>
      </c>
      <c r="P132" s="327">
        <v>36252425</v>
      </c>
      <c r="Q132" s="328">
        <f t="shared" si="19"/>
        <v>371665134</v>
      </c>
      <c r="R132" s="326"/>
    </row>
    <row r="133" spans="1:18">
      <c r="A133" s="18">
        <v>123</v>
      </c>
      <c r="B133" s="639">
        <v>4861</v>
      </c>
      <c r="C133" s="18" t="str">
        <f t="shared" ref="C133:C149" si="21">$D$131</f>
        <v>CNGWA6631-NC</v>
      </c>
      <c r="D133" s="18" t="s">
        <v>410</v>
      </c>
      <c r="E133" s="327">
        <v>0</v>
      </c>
      <c r="F133" s="327">
        <v>0</v>
      </c>
      <c r="G133" s="327">
        <v>0</v>
      </c>
      <c r="H133" s="327">
        <v>0</v>
      </c>
      <c r="I133" s="327">
        <v>0</v>
      </c>
      <c r="J133" s="327">
        <v>0</v>
      </c>
      <c r="K133" s="327">
        <v>0</v>
      </c>
      <c r="L133" s="327">
        <v>0</v>
      </c>
      <c r="M133" s="327">
        <v>0</v>
      </c>
      <c r="N133" s="327">
        <v>0</v>
      </c>
      <c r="O133" s="327">
        <v>0</v>
      </c>
      <c r="P133" s="327">
        <v>0</v>
      </c>
      <c r="Q133" s="328">
        <f t="shared" si="19"/>
        <v>0</v>
      </c>
      <c r="R133" s="326"/>
    </row>
    <row r="134" spans="1:18">
      <c r="A134" s="18">
        <v>124</v>
      </c>
      <c r="C134" s="18" t="str">
        <f t="shared" si="21"/>
        <v>CNGWA6631-NC</v>
      </c>
      <c r="D134" s="18" t="s">
        <v>411</v>
      </c>
      <c r="E134" s="327">
        <v>0</v>
      </c>
      <c r="F134" s="327">
        <v>0</v>
      </c>
      <c r="G134" s="327">
        <v>0</v>
      </c>
      <c r="H134" s="327">
        <v>0</v>
      </c>
      <c r="I134" s="327">
        <v>0</v>
      </c>
      <c r="J134" s="327">
        <v>0</v>
      </c>
      <c r="K134" s="327">
        <v>0</v>
      </c>
      <c r="L134" s="327">
        <v>0</v>
      </c>
      <c r="M134" s="327">
        <v>0</v>
      </c>
      <c r="N134" s="327">
        <v>0</v>
      </c>
      <c r="O134" s="327">
        <v>0</v>
      </c>
      <c r="P134" s="327">
        <v>0</v>
      </c>
      <c r="Q134" s="328">
        <f t="shared" si="19"/>
        <v>0</v>
      </c>
      <c r="R134" s="326"/>
    </row>
    <row r="135" spans="1:18">
      <c r="A135" s="18">
        <v>125</v>
      </c>
      <c r="C135" s="18" t="str">
        <f>$D$131</f>
        <v>CNGWA6631-NC</v>
      </c>
      <c r="D135" s="18" t="s">
        <v>179</v>
      </c>
      <c r="E135" s="327">
        <v>3930478</v>
      </c>
      <c r="F135" s="327"/>
      <c r="G135" s="327"/>
      <c r="H135" s="327"/>
      <c r="I135" s="327"/>
      <c r="J135" s="327"/>
      <c r="K135" s="327"/>
      <c r="L135" s="327"/>
      <c r="M135" s="327"/>
      <c r="N135" s="327"/>
      <c r="O135" s="327">
        <v>0</v>
      </c>
      <c r="P135" s="327">
        <v>0</v>
      </c>
      <c r="Q135" s="328">
        <f t="shared" si="19"/>
        <v>3930478</v>
      </c>
      <c r="R135" s="326"/>
    </row>
    <row r="136" spans="1:18">
      <c r="A136" s="18">
        <v>126</v>
      </c>
      <c r="C136" s="18" t="str">
        <f t="shared" si="21"/>
        <v>CNGWA6631-NC</v>
      </c>
      <c r="D136" s="18" t="s">
        <v>412</v>
      </c>
      <c r="E136" s="327">
        <v>-33776850</v>
      </c>
      <c r="F136" s="327">
        <v>-33531168</v>
      </c>
      <c r="G136" s="327">
        <v>-30222568</v>
      </c>
      <c r="H136" s="327">
        <v>-31401574</v>
      </c>
      <c r="I136" s="327">
        <v>-26991895</v>
      </c>
      <c r="J136" s="327">
        <v>-27018952</v>
      </c>
      <c r="K136" s="327">
        <v>-28538160</v>
      </c>
      <c r="L136" s="327">
        <v>-28709783</v>
      </c>
      <c r="M136" s="327">
        <v>-29348242</v>
      </c>
      <c r="N136" s="327">
        <v>-32266587</v>
      </c>
      <c r="O136" s="327">
        <f>-N137</f>
        <v>-37546739</v>
      </c>
      <c r="P136" s="327">
        <f>-O137</f>
        <v>-36408472</v>
      </c>
      <c r="Q136" s="328">
        <f t="shared" si="19"/>
        <v>-375760990</v>
      </c>
      <c r="R136" s="326"/>
    </row>
    <row r="137" spans="1:18">
      <c r="A137" s="18">
        <v>127</v>
      </c>
      <c r="C137" s="18" t="str">
        <f t="shared" si="21"/>
        <v>CNGWA6631-NC</v>
      </c>
      <c r="D137" s="18" t="s">
        <v>413</v>
      </c>
      <c r="E137" s="327">
        <v>33531168</v>
      </c>
      <c r="F137" s="327">
        <v>30222568</v>
      </c>
      <c r="G137" s="327">
        <v>31401574</v>
      </c>
      <c r="H137" s="327">
        <v>26991895</v>
      </c>
      <c r="I137" s="327">
        <v>27018952</v>
      </c>
      <c r="J137" s="327">
        <v>28538160</v>
      </c>
      <c r="K137" s="327">
        <v>28709783</v>
      </c>
      <c r="L137" s="327">
        <v>29348242</v>
      </c>
      <c r="M137" s="327">
        <v>32266587</v>
      </c>
      <c r="N137" s="327">
        <v>37546739</v>
      </c>
      <c r="O137" s="327">
        <v>36408472</v>
      </c>
      <c r="P137" s="327">
        <v>36366163</v>
      </c>
      <c r="Q137" s="328">
        <f t="shared" si="19"/>
        <v>378350303</v>
      </c>
      <c r="R137" s="326"/>
    </row>
    <row r="138" spans="1:18">
      <c r="A138" s="18">
        <v>128</v>
      </c>
      <c r="C138" s="18" t="str">
        <f t="shared" si="21"/>
        <v>CNGWA6631-NC</v>
      </c>
      <c r="D138" s="18" t="s">
        <v>195</v>
      </c>
      <c r="E138" s="328">
        <f>SUM(E132:E137)</f>
        <v>33510100</v>
      </c>
      <c r="F138" s="328">
        <f t="shared" ref="F138:P138" si="22">SUM(F132:F137)</f>
        <v>30222568</v>
      </c>
      <c r="G138" s="328">
        <f t="shared" si="22"/>
        <v>31413311</v>
      </c>
      <c r="H138" s="328">
        <f t="shared" si="22"/>
        <v>26991895</v>
      </c>
      <c r="I138" s="328">
        <f t="shared" si="22"/>
        <v>27018952</v>
      </c>
      <c r="J138" s="328">
        <f t="shared" si="22"/>
        <v>28538160</v>
      </c>
      <c r="K138" s="328">
        <f t="shared" si="22"/>
        <v>28709783</v>
      </c>
      <c r="L138" s="328">
        <f t="shared" si="22"/>
        <v>29348242</v>
      </c>
      <c r="M138" s="328">
        <f t="shared" si="22"/>
        <v>32266587</v>
      </c>
      <c r="N138" s="328">
        <f t="shared" si="22"/>
        <v>37546739</v>
      </c>
      <c r="O138" s="328">
        <f t="shared" si="22"/>
        <v>36408472</v>
      </c>
      <c r="P138" s="328">
        <f t="shared" si="22"/>
        <v>36210116</v>
      </c>
      <c r="Q138" s="328">
        <f t="shared" si="19"/>
        <v>378184925</v>
      </c>
      <c r="R138" s="326"/>
    </row>
    <row r="139" spans="1:18">
      <c r="A139" s="18">
        <v>129</v>
      </c>
      <c r="C139" s="18" t="str">
        <f t="shared" si="21"/>
        <v>CNGWA6631-NC</v>
      </c>
      <c r="D139" s="637" t="s">
        <v>414</v>
      </c>
      <c r="E139" s="327"/>
      <c r="F139" s="327"/>
      <c r="G139" s="327"/>
      <c r="H139" s="327"/>
      <c r="I139" s="327"/>
      <c r="J139" s="327"/>
      <c r="K139" s="327"/>
      <c r="L139" s="327"/>
      <c r="M139" s="327"/>
      <c r="N139" s="327"/>
      <c r="O139" s="327"/>
      <c r="P139" s="327"/>
      <c r="Q139" s="328">
        <f t="shared" si="19"/>
        <v>0</v>
      </c>
      <c r="R139" s="326"/>
    </row>
    <row r="140" spans="1:18">
      <c r="A140" s="18">
        <v>130</v>
      </c>
      <c r="C140" s="18" t="str">
        <f t="shared" si="21"/>
        <v>CNGWA6631-NC</v>
      </c>
      <c r="D140" s="18" t="s">
        <v>415</v>
      </c>
      <c r="E140" s="3">
        <v>1332713.77</v>
      </c>
      <c r="F140" s="3">
        <v>1495512.64</v>
      </c>
      <c r="G140" s="3">
        <v>1440267.86</v>
      </c>
      <c r="H140" s="3">
        <v>1469448.9</v>
      </c>
      <c r="I140" s="3">
        <v>1362645.42</v>
      </c>
      <c r="J140" s="3">
        <v>1337681.5900000001</v>
      </c>
      <c r="K140" s="3">
        <v>1348563.21</v>
      </c>
      <c r="L140" s="3">
        <v>1315554.83</v>
      </c>
      <c r="M140" s="3">
        <v>1379543.4</v>
      </c>
      <c r="N140" s="3">
        <v>1475930.45</v>
      </c>
      <c r="O140" s="3">
        <v>1592094.33</v>
      </c>
      <c r="P140" s="3">
        <v>1605959</v>
      </c>
      <c r="Q140" s="474">
        <f t="shared" si="19"/>
        <v>17155915.399999999</v>
      </c>
      <c r="R140" s="326"/>
    </row>
    <row r="141" spans="1:18">
      <c r="A141" s="18">
        <v>131</v>
      </c>
      <c r="C141" s="18" t="str">
        <f t="shared" si="21"/>
        <v>CNGWA6631-NC</v>
      </c>
      <c r="D141" s="18" t="s">
        <v>416</v>
      </c>
      <c r="E141" s="3">
        <v>0</v>
      </c>
      <c r="F141" s="3">
        <v>0</v>
      </c>
      <c r="G141" s="3">
        <v>0</v>
      </c>
      <c r="H141" s="3">
        <v>0</v>
      </c>
      <c r="I141" s="3">
        <v>0</v>
      </c>
      <c r="J141" s="3">
        <v>0</v>
      </c>
      <c r="K141" s="3">
        <v>0</v>
      </c>
      <c r="L141" s="3">
        <v>0</v>
      </c>
      <c r="M141" s="3">
        <v>0</v>
      </c>
      <c r="N141" s="3">
        <v>0</v>
      </c>
      <c r="O141" s="3">
        <v>0</v>
      </c>
      <c r="P141" s="3">
        <v>0</v>
      </c>
      <c r="Q141" s="474">
        <f t="shared" si="19"/>
        <v>0</v>
      </c>
      <c r="R141" s="326"/>
    </row>
    <row r="142" spans="1:18">
      <c r="A142" s="18">
        <v>132</v>
      </c>
      <c r="C142" s="18" t="str">
        <f t="shared" si="21"/>
        <v>CNGWA6631-NC</v>
      </c>
      <c r="D142" s="18" t="s">
        <v>417</v>
      </c>
      <c r="E142" s="3">
        <v>0</v>
      </c>
      <c r="F142" s="3">
        <v>0</v>
      </c>
      <c r="G142" s="3">
        <v>0</v>
      </c>
      <c r="H142" s="3">
        <v>0</v>
      </c>
      <c r="I142" s="3">
        <v>0</v>
      </c>
      <c r="J142" s="3">
        <v>0</v>
      </c>
      <c r="K142" s="3">
        <v>0</v>
      </c>
      <c r="L142" s="3">
        <v>0</v>
      </c>
      <c r="M142" s="3">
        <v>0</v>
      </c>
      <c r="N142" s="3">
        <v>0</v>
      </c>
      <c r="O142" s="3">
        <v>0</v>
      </c>
      <c r="P142" s="3">
        <v>0</v>
      </c>
      <c r="Q142" s="474">
        <f t="shared" si="19"/>
        <v>0</v>
      </c>
      <c r="R142" s="326"/>
    </row>
    <row r="143" spans="1:18">
      <c r="A143" s="18">
        <v>133</v>
      </c>
      <c r="C143" s="18" t="str">
        <f t="shared" si="21"/>
        <v>CNGWA6631-NC</v>
      </c>
      <c r="D143" s="18" t="s">
        <v>418</v>
      </c>
      <c r="E143" s="3">
        <v>0</v>
      </c>
      <c r="F143" s="3">
        <v>0</v>
      </c>
      <c r="G143" s="3">
        <v>0</v>
      </c>
      <c r="H143" s="3">
        <v>0</v>
      </c>
      <c r="I143" s="3">
        <v>0</v>
      </c>
      <c r="J143" s="3">
        <v>0</v>
      </c>
      <c r="K143" s="3">
        <v>0</v>
      </c>
      <c r="L143" s="3">
        <v>0</v>
      </c>
      <c r="M143" s="3">
        <v>0</v>
      </c>
      <c r="N143" s="3">
        <v>0</v>
      </c>
      <c r="O143" s="3">
        <v>0</v>
      </c>
      <c r="P143" s="3">
        <v>0</v>
      </c>
      <c r="Q143" s="474">
        <f t="shared" si="19"/>
        <v>0</v>
      </c>
      <c r="R143" s="326"/>
    </row>
    <row r="144" spans="1:18">
      <c r="A144" s="18">
        <v>134</v>
      </c>
      <c r="C144" s="18" t="str">
        <f t="shared" si="21"/>
        <v>CNGWA6631-NC</v>
      </c>
      <c r="D144" s="18" t="s">
        <v>419</v>
      </c>
      <c r="E144" s="3">
        <v>-10352.870000000001</v>
      </c>
      <c r="F144" s="3">
        <v>-10577.9</v>
      </c>
      <c r="G144" s="3">
        <v>-10994.66</v>
      </c>
      <c r="H144" s="3">
        <v>-9447.16</v>
      </c>
      <c r="I144" s="3">
        <v>-9456.6299999999992</v>
      </c>
      <c r="J144" s="3">
        <v>-9988.36</v>
      </c>
      <c r="K144" s="3">
        <v>-10048.42</v>
      </c>
      <c r="L144" s="3">
        <v>-10271.879999999999</v>
      </c>
      <c r="M144" s="3">
        <v>-11293.31</v>
      </c>
      <c r="N144" s="3">
        <v>-13141.36</v>
      </c>
      <c r="O144" s="3">
        <v>-42962</v>
      </c>
      <c r="P144" s="3">
        <v>-42727.94</v>
      </c>
      <c r="Q144" s="474">
        <f t="shared" si="19"/>
        <v>-191262.49</v>
      </c>
      <c r="R144" s="326"/>
    </row>
    <row r="145" spans="1:19">
      <c r="A145" s="18">
        <v>135</v>
      </c>
      <c r="C145" s="18" t="str">
        <f t="shared" si="21"/>
        <v>CNGWA6631-NC</v>
      </c>
      <c r="D145" s="18" t="s">
        <v>167</v>
      </c>
      <c r="E145" s="3">
        <v>0</v>
      </c>
      <c r="F145" s="3">
        <v>0</v>
      </c>
      <c r="G145" s="3">
        <v>0</v>
      </c>
      <c r="H145" s="3">
        <v>0</v>
      </c>
      <c r="I145" s="3">
        <v>0</v>
      </c>
      <c r="J145" s="3">
        <v>0</v>
      </c>
      <c r="K145" s="3">
        <v>0</v>
      </c>
      <c r="L145" s="3">
        <v>0</v>
      </c>
      <c r="M145" s="3">
        <v>0</v>
      </c>
      <c r="N145" s="3">
        <v>0</v>
      </c>
      <c r="O145" s="3">
        <v>0</v>
      </c>
      <c r="P145" s="3">
        <v>0</v>
      </c>
      <c r="Q145" s="474">
        <f t="shared" si="19"/>
        <v>0</v>
      </c>
      <c r="R145" s="326"/>
    </row>
    <row r="146" spans="1:19">
      <c r="A146" s="18">
        <v>136</v>
      </c>
      <c r="C146" s="18" t="str">
        <f t="shared" si="21"/>
        <v>CNGWA6631-NC</v>
      </c>
      <c r="D146" s="18" t="s">
        <v>426</v>
      </c>
      <c r="E146" s="3">
        <v>262625.98</v>
      </c>
      <c r="F146" s="3">
        <v>0</v>
      </c>
      <c r="G146" s="3">
        <v>0</v>
      </c>
      <c r="H146" s="3">
        <v>0</v>
      </c>
      <c r="I146" s="3">
        <v>0</v>
      </c>
      <c r="J146" s="3">
        <v>0</v>
      </c>
      <c r="K146" s="3">
        <v>0</v>
      </c>
      <c r="L146" s="3">
        <v>0</v>
      </c>
      <c r="M146" s="3">
        <v>0</v>
      </c>
      <c r="N146" s="3">
        <v>0</v>
      </c>
      <c r="O146" s="3">
        <v>0</v>
      </c>
      <c r="P146" s="3">
        <v>0</v>
      </c>
      <c r="Q146" s="474">
        <f t="shared" si="19"/>
        <v>262625.98</v>
      </c>
      <c r="R146" s="326"/>
    </row>
    <row r="147" spans="1:19">
      <c r="A147" s="18">
        <v>137</v>
      </c>
      <c r="C147" s="18" t="str">
        <f t="shared" si="21"/>
        <v>CNGWA6631-NC</v>
      </c>
      <c r="D147" s="18" t="s">
        <v>421</v>
      </c>
      <c r="E147" s="3">
        <v>-1510728.81</v>
      </c>
      <c r="F147" s="3">
        <v>-1495512.64</v>
      </c>
      <c r="G147" s="3">
        <v>-1439417.75</v>
      </c>
      <c r="H147" s="3">
        <v>-1469448.9</v>
      </c>
      <c r="I147" s="3">
        <v>-1362645.42</v>
      </c>
      <c r="J147" s="3">
        <v>-1337681.5900000001</v>
      </c>
      <c r="K147" s="3">
        <v>-1348563.21</v>
      </c>
      <c r="L147" s="3">
        <v>-1315554.83</v>
      </c>
      <c r="M147" s="3">
        <v>-1379543.4</v>
      </c>
      <c r="N147" s="3">
        <v>-1475930.45</v>
      </c>
      <c r="O147" s="3">
        <f>-N148</f>
        <v>-1592094.3299999998</v>
      </c>
      <c r="P147" s="3">
        <f>-O148</f>
        <v>-1613933.26</v>
      </c>
      <c r="Q147" s="474">
        <f t="shared" si="19"/>
        <v>-17341054.59</v>
      </c>
      <c r="R147" s="326"/>
      <c r="S147" s="475"/>
    </row>
    <row r="148" spans="1:19">
      <c r="A148" s="18">
        <v>138</v>
      </c>
      <c r="C148" s="18" t="str">
        <f t="shared" si="21"/>
        <v>CNGWA6631-NC</v>
      </c>
      <c r="D148" s="18" t="s">
        <v>422</v>
      </c>
      <c r="E148" s="3">
        <v>1495512.64</v>
      </c>
      <c r="F148" s="3">
        <v>1439417.75</v>
      </c>
      <c r="G148" s="3">
        <v>1469448.9</v>
      </c>
      <c r="H148" s="3">
        <v>1362645.42</v>
      </c>
      <c r="I148" s="3">
        <v>1337681.5900000001</v>
      </c>
      <c r="J148" s="3">
        <v>1348563.21</v>
      </c>
      <c r="K148" s="3">
        <v>1315554.83</v>
      </c>
      <c r="L148" s="3">
        <v>1379543.4</v>
      </c>
      <c r="M148" s="3">
        <v>1475930.45</v>
      </c>
      <c r="N148" s="3">
        <v>1592094.3299999998</v>
      </c>
      <c r="O148" s="3">
        <v>1613933.26</v>
      </c>
      <c r="P148" s="3">
        <v>1569043.41</v>
      </c>
      <c r="Q148" s="474">
        <f t="shared" si="19"/>
        <v>17399369.189999998</v>
      </c>
      <c r="R148" s="326"/>
    </row>
    <row r="149" spans="1:19">
      <c r="A149" s="18">
        <v>139</v>
      </c>
      <c r="C149" s="18" t="str">
        <f t="shared" si="21"/>
        <v>CNGWA6631-NC</v>
      </c>
      <c r="D149" s="18" t="s">
        <v>423</v>
      </c>
      <c r="E149" s="474">
        <f>SUM(E140:E148)</f>
        <v>1569770.7099999997</v>
      </c>
      <c r="F149" s="474">
        <f t="shared" ref="F149:P149" si="23">SUM(F140:F148)</f>
        <v>1428839.85</v>
      </c>
      <c r="G149" s="474">
        <f t="shared" si="23"/>
        <v>1459304.35</v>
      </c>
      <c r="H149" s="474">
        <f t="shared" si="23"/>
        <v>1353198.26</v>
      </c>
      <c r="I149" s="474">
        <f t="shared" si="23"/>
        <v>1328224.9600000002</v>
      </c>
      <c r="J149" s="474">
        <f t="shared" si="23"/>
        <v>1338574.8499999999</v>
      </c>
      <c r="K149" s="474">
        <f t="shared" si="23"/>
        <v>1305506.4100000001</v>
      </c>
      <c r="L149" s="474">
        <f t="shared" si="23"/>
        <v>1369271.52</v>
      </c>
      <c r="M149" s="474">
        <f t="shared" si="23"/>
        <v>1464637.14</v>
      </c>
      <c r="N149" s="474">
        <f t="shared" si="23"/>
        <v>1578952.9699999997</v>
      </c>
      <c r="O149" s="474">
        <f t="shared" si="23"/>
        <v>1570971.2600000002</v>
      </c>
      <c r="P149" s="474">
        <f t="shared" si="23"/>
        <v>1518341.21</v>
      </c>
      <c r="Q149" s="474">
        <f t="shared" si="19"/>
        <v>17285593.489999998</v>
      </c>
      <c r="R149" s="326"/>
    </row>
    <row r="150" spans="1:19">
      <c r="A150" s="18">
        <v>140</v>
      </c>
      <c r="D150" s="637" t="s">
        <v>414</v>
      </c>
      <c r="E150" s="327"/>
      <c r="F150" s="327"/>
      <c r="G150" s="327"/>
      <c r="H150" s="327"/>
      <c r="I150" s="327"/>
      <c r="J150" s="327"/>
      <c r="K150" s="327"/>
      <c r="L150" s="327"/>
      <c r="M150" s="327"/>
      <c r="N150" s="327"/>
      <c r="O150" s="327"/>
      <c r="P150" s="327"/>
      <c r="Q150" s="328">
        <f t="shared" si="19"/>
        <v>0</v>
      </c>
      <c r="R150" s="326"/>
    </row>
    <row r="151" spans="1:19">
      <c r="A151" s="18">
        <v>141</v>
      </c>
      <c r="Q151" s="328"/>
      <c r="R151" s="326"/>
    </row>
    <row r="152" spans="1:19">
      <c r="A152" s="18">
        <v>142</v>
      </c>
      <c r="D152" s="325" t="s">
        <v>319</v>
      </c>
      <c r="E152" s="325"/>
      <c r="Q152" s="328"/>
      <c r="R152" s="326"/>
    </row>
    <row r="153" spans="1:19">
      <c r="A153" s="18">
        <v>143</v>
      </c>
      <c r="C153" s="18" t="str">
        <f>$D$152</f>
        <v>CNGWA909</v>
      </c>
      <c r="D153" s="18" t="s">
        <v>380</v>
      </c>
      <c r="E153" s="327">
        <v>3015692</v>
      </c>
      <c r="F153" s="327">
        <v>1772697</v>
      </c>
      <c r="G153" s="327">
        <v>2520846</v>
      </c>
      <c r="H153" s="327">
        <v>2518058</v>
      </c>
      <c r="I153" s="327">
        <v>2282542</v>
      </c>
      <c r="J153" s="327">
        <v>633683</v>
      </c>
      <c r="K153" s="327">
        <v>191049</v>
      </c>
      <c r="L153" s="327">
        <v>183124</v>
      </c>
      <c r="M153" s="327">
        <v>194593</v>
      </c>
      <c r="N153" s="327">
        <v>186081</v>
      </c>
      <c r="O153" s="327">
        <v>579135</v>
      </c>
      <c r="P153" s="327">
        <v>2129559</v>
      </c>
      <c r="Q153" s="328">
        <f t="shared" si="19"/>
        <v>16207059</v>
      </c>
      <c r="R153" s="326"/>
    </row>
    <row r="154" spans="1:19">
      <c r="A154" s="18">
        <v>144</v>
      </c>
      <c r="C154" s="18" t="str">
        <f t="shared" ref="C154:C169" si="24">$D$152</f>
        <v>CNGWA909</v>
      </c>
      <c r="D154" s="18" t="s">
        <v>410</v>
      </c>
      <c r="E154" s="327">
        <v>0</v>
      </c>
      <c r="F154" s="327">
        <v>0</v>
      </c>
      <c r="G154" s="327">
        <v>0</v>
      </c>
      <c r="H154" s="327">
        <v>0</v>
      </c>
      <c r="I154" s="327">
        <v>0</v>
      </c>
      <c r="J154" s="327">
        <v>0</v>
      </c>
      <c r="K154" s="327">
        <v>0</v>
      </c>
      <c r="L154" s="327">
        <v>0</v>
      </c>
      <c r="M154" s="327">
        <v>0</v>
      </c>
      <c r="N154" s="327">
        <v>0</v>
      </c>
      <c r="O154" s="327">
        <v>0</v>
      </c>
      <c r="P154" s="327">
        <v>0</v>
      </c>
      <c r="Q154" s="328">
        <f t="shared" si="19"/>
        <v>0</v>
      </c>
      <c r="R154" s="326"/>
    </row>
    <row r="155" spans="1:19">
      <c r="A155" s="18">
        <v>145</v>
      </c>
      <c r="C155" s="18" t="str">
        <f t="shared" si="24"/>
        <v>CNGWA909</v>
      </c>
      <c r="D155" s="18" t="s">
        <v>411</v>
      </c>
      <c r="E155" s="327">
        <v>0</v>
      </c>
      <c r="F155" s="327">
        <v>0</v>
      </c>
      <c r="G155" s="327">
        <v>0</v>
      </c>
      <c r="H155" s="327">
        <v>0</v>
      </c>
      <c r="I155" s="327">
        <v>0</v>
      </c>
      <c r="J155" s="327">
        <v>0</v>
      </c>
      <c r="K155" s="327">
        <v>0</v>
      </c>
      <c r="L155" s="327">
        <v>0</v>
      </c>
      <c r="M155" s="327">
        <v>0</v>
      </c>
      <c r="N155" s="327">
        <v>0</v>
      </c>
      <c r="O155" s="327">
        <v>0</v>
      </c>
      <c r="P155" s="327">
        <v>0</v>
      </c>
      <c r="Q155" s="328">
        <f t="shared" si="19"/>
        <v>0</v>
      </c>
      <c r="R155" s="326"/>
    </row>
    <row r="156" spans="1:19">
      <c r="A156" s="18">
        <v>146</v>
      </c>
      <c r="C156" s="18" t="str">
        <f t="shared" si="24"/>
        <v>CNGWA909</v>
      </c>
      <c r="D156" s="18" t="s">
        <v>412</v>
      </c>
      <c r="E156" s="327">
        <v>-3015692</v>
      </c>
      <c r="F156" s="327">
        <v>-1772697</v>
      </c>
      <c r="G156" s="327">
        <v>-2520846</v>
      </c>
      <c r="H156" s="327">
        <v>-2518058</v>
      </c>
      <c r="I156" s="327">
        <v>-2282542</v>
      </c>
      <c r="J156" s="327">
        <v>-633683</v>
      </c>
      <c r="K156" s="327">
        <v>-191049</v>
      </c>
      <c r="L156" s="327">
        <v>-183124</v>
      </c>
      <c r="M156" s="327">
        <v>-194593</v>
      </c>
      <c r="N156" s="327">
        <v>-186081</v>
      </c>
      <c r="O156" s="327">
        <f>-N157</f>
        <v>-579135</v>
      </c>
      <c r="P156" s="327">
        <f>-O157</f>
        <v>-2129599</v>
      </c>
      <c r="Q156" s="328">
        <f t="shared" si="19"/>
        <v>-16207099</v>
      </c>
      <c r="R156" s="326"/>
    </row>
    <row r="157" spans="1:19">
      <c r="A157" s="18">
        <v>147</v>
      </c>
      <c r="C157" s="18" t="str">
        <f t="shared" si="24"/>
        <v>CNGWA909</v>
      </c>
      <c r="D157" s="18" t="s">
        <v>413</v>
      </c>
      <c r="E157" s="327">
        <v>1772697</v>
      </c>
      <c r="F157" s="327">
        <v>2520846</v>
      </c>
      <c r="G157" s="327">
        <v>2518058</v>
      </c>
      <c r="H157" s="327">
        <v>2282542</v>
      </c>
      <c r="I157" s="327">
        <v>633683</v>
      </c>
      <c r="J157" s="327">
        <v>191049</v>
      </c>
      <c r="K157" s="327">
        <v>183124</v>
      </c>
      <c r="L157" s="327">
        <v>194593</v>
      </c>
      <c r="M157" s="327">
        <v>186081</v>
      </c>
      <c r="N157" s="327">
        <v>579135</v>
      </c>
      <c r="O157" s="327">
        <v>2129599</v>
      </c>
      <c r="P157" s="327">
        <v>2157634</v>
      </c>
      <c r="Q157" s="328">
        <f t="shared" si="19"/>
        <v>15349041</v>
      </c>
      <c r="R157" s="326"/>
    </row>
    <row r="158" spans="1:19">
      <c r="A158" s="18">
        <v>148</v>
      </c>
      <c r="C158" s="18" t="str">
        <f t="shared" si="24"/>
        <v>CNGWA909</v>
      </c>
      <c r="D158" s="18" t="s">
        <v>195</v>
      </c>
      <c r="E158" s="328">
        <f>SUM(E153:E157)</f>
        <v>1772697</v>
      </c>
      <c r="F158" s="328">
        <f t="shared" ref="F158:P158" si="25">SUM(F153:F157)</f>
        <v>2520846</v>
      </c>
      <c r="G158" s="328">
        <f t="shared" si="25"/>
        <v>2518058</v>
      </c>
      <c r="H158" s="328">
        <f t="shared" si="25"/>
        <v>2282542</v>
      </c>
      <c r="I158" s="328">
        <f t="shared" si="25"/>
        <v>633683</v>
      </c>
      <c r="J158" s="328">
        <f t="shared" si="25"/>
        <v>191049</v>
      </c>
      <c r="K158" s="328">
        <f t="shared" si="25"/>
        <v>183124</v>
      </c>
      <c r="L158" s="328">
        <f t="shared" si="25"/>
        <v>194593</v>
      </c>
      <c r="M158" s="328">
        <f t="shared" si="25"/>
        <v>186081</v>
      </c>
      <c r="N158" s="328">
        <f t="shared" si="25"/>
        <v>579135</v>
      </c>
      <c r="O158" s="328">
        <f t="shared" si="25"/>
        <v>2129599</v>
      </c>
      <c r="P158" s="328">
        <f t="shared" si="25"/>
        <v>2157594</v>
      </c>
      <c r="Q158" s="328">
        <f t="shared" si="19"/>
        <v>15349001</v>
      </c>
      <c r="R158" s="326"/>
    </row>
    <row r="159" spans="1:19">
      <c r="A159" s="18">
        <v>149</v>
      </c>
      <c r="C159" s="18" t="str">
        <f t="shared" si="24"/>
        <v>CNGWA909</v>
      </c>
      <c r="D159" s="637" t="s">
        <v>414</v>
      </c>
      <c r="E159" s="790"/>
      <c r="Q159" s="328">
        <f t="shared" si="19"/>
        <v>0</v>
      </c>
      <c r="R159" s="326"/>
    </row>
    <row r="160" spans="1:19">
      <c r="A160" s="18">
        <v>150</v>
      </c>
      <c r="C160" s="18" t="str">
        <f t="shared" si="24"/>
        <v>CNGWA909</v>
      </c>
      <c r="D160" s="18" t="s">
        <v>415</v>
      </c>
      <c r="E160" s="3">
        <v>74743.789999999994</v>
      </c>
      <c r="F160" s="3">
        <v>45066.03</v>
      </c>
      <c r="G160" s="3">
        <v>62928.84</v>
      </c>
      <c r="H160" s="3">
        <v>62862.27</v>
      </c>
      <c r="I160" s="3">
        <v>57239.09</v>
      </c>
      <c r="J160" s="3">
        <v>17870.919999999998</v>
      </c>
      <c r="K160" s="3">
        <v>7302.59</v>
      </c>
      <c r="L160" s="3">
        <v>7113.38</v>
      </c>
      <c r="M160" s="3">
        <v>7387.21</v>
      </c>
      <c r="N160" s="3">
        <v>7183.97</v>
      </c>
      <c r="O160" s="3">
        <v>15292.87</v>
      </c>
      <c r="P160" s="3">
        <v>48895.68</v>
      </c>
      <c r="Q160" s="474">
        <f t="shared" si="19"/>
        <v>413886.63999999996</v>
      </c>
      <c r="R160" s="326"/>
    </row>
    <row r="161" spans="1:18">
      <c r="A161" s="18">
        <v>151</v>
      </c>
      <c r="C161" s="18" t="str">
        <f t="shared" si="24"/>
        <v>CNGWA909</v>
      </c>
      <c r="D161" s="18" t="s">
        <v>416</v>
      </c>
      <c r="E161" s="3">
        <v>0</v>
      </c>
      <c r="F161" s="3">
        <v>0</v>
      </c>
      <c r="G161" s="3">
        <v>0</v>
      </c>
      <c r="H161" s="3">
        <v>0</v>
      </c>
      <c r="I161" s="3">
        <v>0</v>
      </c>
      <c r="J161" s="3">
        <v>0</v>
      </c>
      <c r="K161" s="3">
        <v>0</v>
      </c>
      <c r="L161" s="3">
        <v>0</v>
      </c>
      <c r="M161" s="3">
        <v>0</v>
      </c>
      <c r="N161" s="3">
        <v>0</v>
      </c>
      <c r="O161" s="3">
        <v>0</v>
      </c>
      <c r="P161" s="3">
        <v>0</v>
      </c>
      <c r="Q161" s="474">
        <f t="shared" si="19"/>
        <v>0</v>
      </c>
      <c r="R161" s="326"/>
    </row>
    <row r="162" spans="1:18">
      <c r="A162" s="18">
        <v>152</v>
      </c>
      <c r="C162" s="18" t="str">
        <f t="shared" si="24"/>
        <v>CNGWA909</v>
      </c>
      <c r="D162" s="18" t="s">
        <v>417</v>
      </c>
      <c r="E162" s="3">
        <v>0</v>
      </c>
      <c r="F162" s="3">
        <v>0</v>
      </c>
      <c r="G162" s="3">
        <v>0</v>
      </c>
      <c r="H162" s="3">
        <v>0</v>
      </c>
      <c r="I162" s="3">
        <v>0</v>
      </c>
      <c r="J162" s="3">
        <v>0</v>
      </c>
      <c r="K162" s="3">
        <v>0</v>
      </c>
      <c r="L162" s="3">
        <v>0</v>
      </c>
      <c r="M162" s="3">
        <v>0</v>
      </c>
      <c r="N162" s="3">
        <v>0</v>
      </c>
      <c r="O162" s="3">
        <v>0</v>
      </c>
      <c r="P162" s="3">
        <v>0</v>
      </c>
      <c r="Q162" s="474">
        <f t="shared" si="19"/>
        <v>0</v>
      </c>
      <c r="R162" s="326"/>
    </row>
    <row r="163" spans="1:18">
      <c r="A163" s="18">
        <v>153</v>
      </c>
      <c r="C163" s="18" t="str">
        <f t="shared" si="24"/>
        <v>CNGWA909</v>
      </c>
      <c r="D163" s="18" t="s">
        <v>418</v>
      </c>
      <c r="E163" s="3">
        <v>0</v>
      </c>
      <c r="F163" s="3">
        <v>0</v>
      </c>
      <c r="G163" s="3">
        <v>0</v>
      </c>
      <c r="H163" s="3">
        <v>0</v>
      </c>
      <c r="I163" s="3">
        <v>0</v>
      </c>
      <c r="J163" s="3">
        <v>0</v>
      </c>
      <c r="K163" s="3">
        <v>0</v>
      </c>
      <c r="L163" s="3">
        <v>0</v>
      </c>
      <c r="M163" s="3">
        <v>0</v>
      </c>
      <c r="N163" s="3">
        <v>0</v>
      </c>
      <c r="O163" s="3">
        <v>0</v>
      </c>
      <c r="P163" s="3">
        <v>0</v>
      </c>
      <c r="Q163" s="474">
        <f t="shared" si="19"/>
        <v>0</v>
      </c>
      <c r="R163" s="326"/>
    </row>
    <row r="164" spans="1:18">
      <c r="A164" s="18">
        <v>154</v>
      </c>
      <c r="C164" s="18" t="str">
        <f t="shared" si="24"/>
        <v>CNGWA909</v>
      </c>
      <c r="D164" s="18" t="s">
        <v>419</v>
      </c>
      <c r="E164" s="3">
        <v>0</v>
      </c>
      <c r="F164" s="3">
        <v>0</v>
      </c>
      <c r="G164" s="3">
        <v>0</v>
      </c>
      <c r="H164" s="3">
        <v>0</v>
      </c>
      <c r="I164" s="3">
        <v>0</v>
      </c>
      <c r="J164" s="3">
        <v>0</v>
      </c>
      <c r="K164" s="3">
        <v>0</v>
      </c>
      <c r="L164" s="3">
        <v>0</v>
      </c>
      <c r="M164" s="3">
        <v>0</v>
      </c>
      <c r="N164" s="3">
        <v>0</v>
      </c>
      <c r="O164" s="3">
        <v>0</v>
      </c>
      <c r="P164" s="3">
        <v>0</v>
      </c>
      <c r="Q164" s="474">
        <f t="shared" si="19"/>
        <v>0</v>
      </c>
      <c r="R164" s="326"/>
    </row>
    <row r="165" spans="1:18">
      <c r="A165" s="18">
        <v>155</v>
      </c>
      <c r="C165" s="18" t="str">
        <f t="shared" si="24"/>
        <v>CNGWA909</v>
      </c>
      <c r="D165" s="18" t="s">
        <v>167</v>
      </c>
      <c r="E165" s="3">
        <v>0</v>
      </c>
      <c r="F165" s="3">
        <v>0</v>
      </c>
      <c r="G165" s="3">
        <v>0</v>
      </c>
      <c r="H165" s="3">
        <v>0</v>
      </c>
      <c r="I165" s="3">
        <v>0</v>
      </c>
      <c r="J165" s="3">
        <v>0</v>
      </c>
      <c r="K165" s="3">
        <v>0</v>
      </c>
      <c r="L165" s="3">
        <v>0</v>
      </c>
      <c r="M165" s="3">
        <v>0</v>
      </c>
      <c r="N165" s="3">
        <v>0</v>
      </c>
      <c r="O165" s="3">
        <v>0</v>
      </c>
      <c r="P165" s="3">
        <v>0</v>
      </c>
      <c r="Q165" s="474">
        <f t="shared" ref="Q165:Q228" si="26">SUM(E165:P165)</f>
        <v>0</v>
      </c>
      <c r="R165" s="326"/>
    </row>
    <row r="166" spans="1:18">
      <c r="A166" s="18">
        <v>156</v>
      </c>
      <c r="C166" s="18" t="str">
        <f t="shared" si="24"/>
        <v>CNGWA909</v>
      </c>
      <c r="D166" s="18" t="s">
        <v>426</v>
      </c>
      <c r="E166" s="3">
        <v>0</v>
      </c>
      <c r="F166" s="3">
        <v>0</v>
      </c>
      <c r="G166" s="3">
        <v>0</v>
      </c>
      <c r="H166" s="3">
        <v>0</v>
      </c>
      <c r="I166" s="3">
        <v>0</v>
      </c>
      <c r="J166" s="3">
        <v>0</v>
      </c>
      <c r="K166" s="3">
        <v>0</v>
      </c>
      <c r="L166" s="3">
        <v>0</v>
      </c>
      <c r="M166" s="3">
        <v>0</v>
      </c>
      <c r="N166" s="3">
        <v>0</v>
      </c>
      <c r="O166" s="3">
        <v>0</v>
      </c>
      <c r="P166" s="3">
        <v>0</v>
      </c>
      <c r="Q166" s="474">
        <f t="shared" si="26"/>
        <v>0</v>
      </c>
      <c r="R166" s="326"/>
    </row>
    <row r="167" spans="1:18">
      <c r="A167" s="18">
        <v>157</v>
      </c>
      <c r="C167" s="18" t="str">
        <f t="shared" si="24"/>
        <v>CNGWA909</v>
      </c>
      <c r="D167" s="18" t="s">
        <v>421</v>
      </c>
      <c r="E167" s="3">
        <v>-74743.789999999994</v>
      </c>
      <c r="F167" s="3">
        <v>-45066.03</v>
      </c>
      <c r="G167" s="3">
        <v>-62928.84</v>
      </c>
      <c r="H167" s="3">
        <v>-62862.27</v>
      </c>
      <c r="I167" s="3">
        <v>-57239.09</v>
      </c>
      <c r="J167" s="3">
        <v>-17870.919999999998</v>
      </c>
      <c r="K167" s="3">
        <v>-7302.59</v>
      </c>
      <c r="L167" s="3">
        <v>-7113.38</v>
      </c>
      <c r="M167" s="3">
        <v>-7387.21</v>
      </c>
      <c r="N167" s="3">
        <v>-7183.97</v>
      </c>
      <c r="O167" s="3">
        <f>-N168</f>
        <v>-15292.87</v>
      </c>
      <c r="P167" s="3">
        <f>-O168</f>
        <v>-48895.68</v>
      </c>
      <c r="Q167" s="474">
        <f t="shared" si="26"/>
        <v>-413886.63999999996</v>
      </c>
      <c r="R167" s="326"/>
    </row>
    <row r="168" spans="1:18">
      <c r="A168" s="18">
        <v>158</v>
      </c>
      <c r="C168" s="18" t="str">
        <f t="shared" si="24"/>
        <v>CNGWA909</v>
      </c>
      <c r="D168" s="18" t="s">
        <v>422</v>
      </c>
      <c r="E168" s="3">
        <v>45066.03</v>
      </c>
      <c r="F168" s="3">
        <v>62928.84</v>
      </c>
      <c r="G168" s="3">
        <v>62862.27</v>
      </c>
      <c r="H168" s="3">
        <v>57239.09</v>
      </c>
      <c r="I168" s="3">
        <v>17870.919999999998</v>
      </c>
      <c r="J168" s="3">
        <v>7302.59</v>
      </c>
      <c r="K168" s="3">
        <v>7113.38</v>
      </c>
      <c r="L168" s="3">
        <v>7387.21</v>
      </c>
      <c r="M168" s="3">
        <v>7183.97</v>
      </c>
      <c r="N168" s="3">
        <v>15292.87</v>
      </c>
      <c r="O168" s="3">
        <v>48895.68</v>
      </c>
      <c r="P168" s="3">
        <v>49504.17</v>
      </c>
      <c r="Q168" s="474">
        <f t="shared" si="26"/>
        <v>388647.0199999999</v>
      </c>
      <c r="R168" s="326"/>
    </row>
    <row r="169" spans="1:18">
      <c r="A169" s="18">
        <v>159</v>
      </c>
      <c r="C169" s="18" t="str">
        <f t="shared" si="24"/>
        <v>CNGWA909</v>
      </c>
      <c r="D169" s="18" t="s">
        <v>423</v>
      </c>
      <c r="E169" s="474">
        <f>SUM(E160:E168)</f>
        <v>45066.03</v>
      </c>
      <c r="F169" s="474">
        <f t="shared" ref="F169:P169" si="27">SUM(F160:F168)</f>
        <v>62928.84</v>
      </c>
      <c r="G169" s="474">
        <f t="shared" si="27"/>
        <v>62862.27</v>
      </c>
      <c r="H169" s="474">
        <f t="shared" si="27"/>
        <v>57239.09</v>
      </c>
      <c r="I169" s="474">
        <f t="shared" si="27"/>
        <v>17870.919999999998</v>
      </c>
      <c r="J169" s="474">
        <f t="shared" si="27"/>
        <v>7302.59</v>
      </c>
      <c r="K169" s="474">
        <f t="shared" si="27"/>
        <v>7113.38</v>
      </c>
      <c r="L169" s="474">
        <f t="shared" si="27"/>
        <v>7387.21</v>
      </c>
      <c r="M169" s="474">
        <f t="shared" si="27"/>
        <v>7183.97</v>
      </c>
      <c r="N169" s="474">
        <f t="shared" si="27"/>
        <v>15292.87</v>
      </c>
      <c r="O169" s="474">
        <f t="shared" si="27"/>
        <v>48895.68</v>
      </c>
      <c r="P169" s="474">
        <f t="shared" si="27"/>
        <v>49504.17</v>
      </c>
      <c r="Q169" s="474">
        <f t="shared" si="26"/>
        <v>388647.0199999999</v>
      </c>
      <c r="R169" s="326"/>
    </row>
    <row r="170" spans="1:18">
      <c r="A170" s="18">
        <v>160</v>
      </c>
      <c r="D170" s="637" t="s">
        <v>414</v>
      </c>
      <c r="Q170" s="328">
        <f t="shared" si="26"/>
        <v>0</v>
      </c>
      <c r="R170" s="326"/>
    </row>
    <row r="171" spans="1:18">
      <c r="A171" s="18">
        <v>161</v>
      </c>
      <c r="E171" s="790"/>
      <c r="Q171" s="328"/>
      <c r="R171" s="326"/>
    </row>
    <row r="172" spans="1:18">
      <c r="A172" s="18">
        <v>162</v>
      </c>
      <c r="D172" s="325" t="s">
        <v>320</v>
      </c>
      <c r="F172" s="789"/>
      <c r="G172" s="789"/>
      <c r="H172" s="789"/>
      <c r="I172" s="789"/>
      <c r="J172" s="789"/>
      <c r="K172" s="789"/>
      <c r="L172" s="789"/>
      <c r="M172" s="789"/>
      <c r="N172" s="789"/>
      <c r="O172" s="789"/>
      <c r="P172" s="789"/>
      <c r="Q172" s="328"/>
      <c r="R172" s="326"/>
    </row>
    <row r="173" spans="1:18">
      <c r="A173" s="18">
        <v>163</v>
      </c>
      <c r="C173" s="18" t="str">
        <f>$D$172</f>
        <v>CNGWA910</v>
      </c>
      <c r="D173" s="18" t="s">
        <v>380</v>
      </c>
      <c r="E173" s="327">
        <v>620716</v>
      </c>
      <c r="F173" s="327">
        <v>620405</v>
      </c>
      <c r="G173" s="327">
        <v>654001</v>
      </c>
      <c r="H173" s="327">
        <v>779011</v>
      </c>
      <c r="I173" s="327">
        <v>680620</v>
      </c>
      <c r="J173" s="327">
        <v>442299</v>
      </c>
      <c r="K173" s="327">
        <v>222071</v>
      </c>
      <c r="L173" s="327">
        <v>478618</v>
      </c>
      <c r="M173" s="327">
        <v>545365</v>
      </c>
      <c r="N173" s="327">
        <v>564103</v>
      </c>
      <c r="O173" s="327">
        <v>647908</v>
      </c>
      <c r="P173" s="327">
        <v>554903</v>
      </c>
      <c r="Q173" s="328">
        <f t="shared" si="26"/>
        <v>6810020</v>
      </c>
      <c r="R173" s="326"/>
    </row>
    <row r="174" spans="1:18">
      <c r="A174" s="18">
        <v>164</v>
      </c>
      <c r="C174" s="18" t="str">
        <f t="shared" ref="C174:C189" si="28">$D$172</f>
        <v>CNGWA910</v>
      </c>
      <c r="D174" s="18" t="s">
        <v>410</v>
      </c>
      <c r="E174" s="327">
        <v>0</v>
      </c>
      <c r="F174" s="327">
        <v>0</v>
      </c>
      <c r="G174" s="327">
        <v>0</v>
      </c>
      <c r="H174" s="327">
        <v>0</v>
      </c>
      <c r="I174" s="327">
        <v>0</v>
      </c>
      <c r="J174" s="327">
        <v>0</v>
      </c>
      <c r="K174" s="327">
        <v>0</v>
      </c>
      <c r="L174" s="327">
        <v>0</v>
      </c>
      <c r="M174" s="327">
        <v>0</v>
      </c>
      <c r="N174" s="327">
        <v>0</v>
      </c>
      <c r="O174" s="327">
        <v>0</v>
      </c>
      <c r="P174" s="327">
        <v>0</v>
      </c>
      <c r="Q174" s="328">
        <f t="shared" si="26"/>
        <v>0</v>
      </c>
      <c r="R174" s="326"/>
    </row>
    <row r="175" spans="1:18">
      <c r="A175" s="18">
        <v>165</v>
      </c>
      <c r="C175" s="18" t="str">
        <f t="shared" si="28"/>
        <v>CNGWA910</v>
      </c>
      <c r="D175" s="18" t="s">
        <v>411</v>
      </c>
      <c r="E175" s="327">
        <v>0</v>
      </c>
      <c r="F175" s="327">
        <v>0</v>
      </c>
      <c r="G175" s="327">
        <v>0</v>
      </c>
      <c r="H175" s="327">
        <v>0</v>
      </c>
      <c r="I175" s="327">
        <v>0</v>
      </c>
      <c r="J175" s="327">
        <v>0</v>
      </c>
      <c r="K175" s="327">
        <v>0</v>
      </c>
      <c r="L175" s="327">
        <v>0</v>
      </c>
      <c r="M175" s="327">
        <v>0</v>
      </c>
      <c r="N175" s="327">
        <v>0</v>
      </c>
      <c r="O175" s="327">
        <v>0</v>
      </c>
      <c r="P175" s="327">
        <v>0</v>
      </c>
      <c r="Q175" s="328">
        <f t="shared" si="26"/>
        <v>0</v>
      </c>
      <c r="R175" s="326"/>
    </row>
    <row r="176" spans="1:18">
      <c r="A176" s="18">
        <v>166</v>
      </c>
      <c r="C176" s="18" t="str">
        <f t="shared" si="28"/>
        <v>CNGWA910</v>
      </c>
      <c r="D176" s="18" t="s">
        <v>412</v>
      </c>
      <c r="E176" s="327">
        <v>-620716</v>
      </c>
      <c r="F176" s="327">
        <v>-620405</v>
      </c>
      <c r="G176" s="327">
        <v>-654001</v>
      </c>
      <c r="H176" s="327">
        <v>-779011</v>
      </c>
      <c r="I176" s="327">
        <v>-680620</v>
      </c>
      <c r="J176" s="327">
        <v>-442299</v>
      </c>
      <c r="K176" s="327">
        <v>-222071</v>
      </c>
      <c r="L176" s="327">
        <v>-478618</v>
      </c>
      <c r="M176" s="327">
        <v>-545365</v>
      </c>
      <c r="N176" s="327">
        <v>-564103</v>
      </c>
      <c r="O176" s="327">
        <f>-N177</f>
        <v>-647908</v>
      </c>
      <c r="P176" s="327">
        <f>-O177</f>
        <v>-554903</v>
      </c>
      <c r="Q176" s="328">
        <f t="shared" si="26"/>
        <v>-6810020</v>
      </c>
      <c r="R176" s="326"/>
    </row>
    <row r="177" spans="1:18">
      <c r="A177" s="18">
        <v>167</v>
      </c>
      <c r="C177" s="18" t="str">
        <f t="shared" si="28"/>
        <v>CNGWA910</v>
      </c>
      <c r="D177" s="18" t="s">
        <v>413</v>
      </c>
      <c r="E177" s="327">
        <v>620405</v>
      </c>
      <c r="F177" s="327">
        <v>654001</v>
      </c>
      <c r="G177" s="327">
        <v>779011</v>
      </c>
      <c r="H177" s="327">
        <v>680620</v>
      </c>
      <c r="I177" s="327">
        <v>442299</v>
      </c>
      <c r="J177" s="327">
        <v>222071</v>
      </c>
      <c r="K177" s="327">
        <v>478618</v>
      </c>
      <c r="L177" s="327">
        <v>545365</v>
      </c>
      <c r="M177" s="327">
        <v>564103</v>
      </c>
      <c r="N177" s="327">
        <v>647908</v>
      </c>
      <c r="O177" s="327">
        <v>554903</v>
      </c>
      <c r="P177" s="327">
        <v>541421</v>
      </c>
      <c r="Q177" s="328">
        <f t="shared" si="26"/>
        <v>6730725</v>
      </c>
      <c r="R177" s="326"/>
    </row>
    <row r="178" spans="1:18">
      <c r="A178" s="18">
        <v>168</v>
      </c>
      <c r="C178" s="18" t="str">
        <f t="shared" si="28"/>
        <v>CNGWA910</v>
      </c>
      <c r="D178" s="18" t="s">
        <v>195</v>
      </c>
      <c r="E178" s="328">
        <f>SUM(E173:E177)</f>
        <v>620405</v>
      </c>
      <c r="F178" s="328">
        <f t="shared" ref="F178:P178" si="29">SUM(F173:F177)</f>
        <v>654001</v>
      </c>
      <c r="G178" s="328">
        <f t="shared" si="29"/>
        <v>779011</v>
      </c>
      <c r="H178" s="328">
        <f t="shared" si="29"/>
        <v>680620</v>
      </c>
      <c r="I178" s="328">
        <f t="shared" si="29"/>
        <v>442299</v>
      </c>
      <c r="J178" s="328">
        <f t="shared" si="29"/>
        <v>222071</v>
      </c>
      <c r="K178" s="328">
        <f t="shared" si="29"/>
        <v>478618</v>
      </c>
      <c r="L178" s="328">
        <f t="shared" si="29"/>
        <v>545365</v>
      </c>
      <c r="M178" s="328">
        <f t="shared" si="29"/>
        <v>564103</v>
      </c>
      <c r="N178" s="328">
        <f t="shared" si="29"/>
        <v>647908</v>
      </c>
      <c r="O178" s="328">
        <f t="shared" si="29"/>
        <v>554903</v>
      </c>
      <c r="P178" s="328">
        <f t="shared" si="29"/>
        <v>541421</v>
      </c>
      <c r="Q178" s="328">
        <f t="shared" si="26"/>
        <v>6730725</v>
      </c>
      <c r="R178" s="326"/>
    </row>
    <row r="179" spans="1:18">
      <c r="A179" s="18">
        <v>169</v>
      </c>
      <c r="C179" s="18" t="str">
        <f t="shared" si="28"/>
        <v>CNGWA910</v>
      </c>
      <c r="D179" s="637" t="s">
        <v>414</v>
      </c>
      <c r="F179" s="327"/>
      <c r="G179" s="327"/>
      <c r="H179" s="327"/>
      <c r="I179" s="327"/>
      <c r="J179" s="327"/>
      <c r="K179" s="327"/>
      <c r="L179" s="327"/>
      <c r="M179" s="327"/>
      <c r="N179" s="327"/>
      <c r="O179" s="327"/>
      <c r="P179" s="327"/>
      <c r="Q179" s="328">
        <f t="shared" si="26"/>
        <v>0</v>
      </c>
      <c r="R179" s="326"/>
    </row>
    <row r="180" spans="1:18">
      <c r="A180" s="18">
        <v>170</v>
      </c>
      <c r="C180" s="18" t="str">
        <f t="shared" si="28"/>
        <v>CNGWA910</v>
      </c>
      <c r="D180" s="18" t="s">
        <v>415</v>
      </c>
      <c r="E180" s="3">
        <v>12092.04</v>
      </c>
      <c r="F180" s="3">
        <v>12087.48</v>
      </c>
      <c r="G180" s="3">
        <v>12579.46</v>
      </c>
      <c r="H180" s="3">
        <v>14410.13</v>
      </c>
      <c r="I180" s="3">
        <v>12969.28</v>
      </c>
      <c r="J180" s="3">
        <v>9479.27</v>
      </c>
      <c r="K180" s="3">
        <v>6254.21</v>
      </c>
      <c r="L180" s="3">
        <v>10011.129999999999</v>
      </c>
      <c r="M180" s="3">
        <v>10988.59</v>
      </c>
      <c r="N180" s="3">
        <v>11262.98</v>
      </c>
      <c r="O180" s="3">
        <v>12766.75</v>
      </c>
      <c r="P180" s="3">
        <v>11365.08</v>
      </c>
      <c r="Q180" s="474">
        <f t="shared" si="26"/>
        <v>136266.4</v>
      </c>
      <c r="R180" s="326"/>
    </row>
    <row r="181" spans="1:18">
      <c r="A181" s="18">
        <v>171</v>
      </c>
      <c r="C181" s="18" t="str">
        <f t="shared" si="28"/>
        <v>CNGWA910</v>
      </c>
      <c r="D181" s="18" t="s">
        <v>416</v>
      </c>
      <c r="E181" s="3">
        <v>0</v>
      </c>
      <c r="F181" s="3">
        <v>0</v>
      </c>
      <c r="G181" s="3">
        <v>0</v>
      </c>
      <c r="H181" s="3">
        <v>0</v>
      </c>
      <c r="I181" s="3">
        <v>0</v>
      </c>
      <c r="J181" s="3">
        <v>0</v>
      </c>
      <c r="K181" s="3">
        <v>0</v>
      </c>
      <c r="L181" s="3">
        <v>0</v>
      </c>
      <c r="M181" s="3">
        <v>0</v>
      </c>
      <c r="N181" s="3">
        <v>0</v>
      </c>
      <c r="O181" s="3">
        <v>0</v>
      </c>
      <c r="P181" s="3">
        <v>0</v>
      </c>
      <c r="Q181" s="474">
        <f t="shared" si="26"/>
        <v>0</v>
      </c>
      <c r="R181" s="326"/>
    </row>
    <row r="182" spans="1:18">
      <c r="A182" s="18">
        <v>172</v>
      </c>
      <c r="C182" s="18" t="str">
        <f t="shared" si="28"/>
        <v>CNGWA910</v>
      </c>
      <c r="D182" s="18" t="s">
        <v>417</v>
      </c>
      <c r="E182" s="3">
        <v>0</v>
      </c>
      <c r="F182" s="3">
        <v>0</v>
      </c>
      <c r="G182" s="3">
        <v>0</v>
      </c>
      <c r="H182" s="3">
        <v>0</v>
      </c>
      <c r="I182" s="3">
        <v>0</v>
      </c>
      <c r="J182" s="3">
        <v>0</v>
      </c>
      <c r="K182" s="3">
        <v>0</v>
      </c>
      <c r="L182" s="3">
        <v>0</v>
      </c>
      <c r="M182" s="3">
        <v>0</v>
      </c>
      <c r="N182" s="3">
        <v>0</v>
      </c>
      <c r="O182" s="3">
        <v>0</v>
      </c>
      <c r="P182" s="3">
        <v>0</v>
      </c>
      <c r="Q182" s="474">
        <f t="shared" si="26"/>
        <v>0</v>
      </c>
      <c r="R182" s="326"/>
    </row>
    <row r="183" spans="1:18">
      <c r="A183" s="18">
        <v>173</v>
      </c>
      <c r="C183" s="18" t="str">
        <f t="shared" si="28"/>
        <v>CNGWA910</v>
      </c>
      <c r="D183" s="18" t="s">
        <v>418</v>
      </c>
      <c r="E183" s="3">
        <v>0</v>
      </c>
      <c r="F183" s="3">
        <v>0</v>
      </c>
      <c r="G183" s="3">
        <v>0</v>
      </c>
      <c r="H183" s="3">
        <v>0</v>
      </c>
      <c r="I183" s="3">
        <v>0</v>
      </c>
      <c r="J183" s="3">
        <v>0</v>
      </c>
      <c r="K183" s="3">
        <v>0</v>
      </c>
      <c r="L183" s="3">
        <v>0</v>
      </c>
      <c r="M183" s="3">
        <v>0</v>
      </c>
      <c r="N183" s="3">
        <v>0</v>
      </c>
      <c r="O183" s="3">
        <v>0</v>
      </c>
      <c r="P183" s="3">
        <v>0</v>
      </c>
      <c r="Q183" s="474">
        <f t="shared" si="26"/>
        <v>0</v>
      </c>
      <c r="R183" s="326"/>
    </row>
    <row r="184" spans="1:18">
      <c r="A184" s="18">
        <v>174</v>
      </c>
      <c r="C184" s="18" t="str">
        <f t="shared" si="28"/>
        <v>CNGWA910</v>
      </c>
      <c r="D184" s="18" t="s">
        <v>419</v>
      </c>
      <c r="E184" s="3">
        <v>0</v>
      </c>
      <c r="F184" s="3">
        <v>0</v>
      </c>
      <c r="G184" s="3">
        <v>0</v>
      </c>
      <c r="H184" s="3">
        <v>0</v>
      </c>
      <c r="I184" s="3">
        <v>0</v>
      </c>
      <c r="J184" s="3">
        <v>0</v>
      </c>
      <c r="K184" s="3">
        <v>0</v>
      </c>
      <c r="L184" s="3">
        <v>0</v>
      </c>
      <c r="M184" s="3">
        <v>0</v>
      </c>
      <c r="N184" s="3">
        <v>0</v>
      </c>
      <c r="O184" s="3">
        <v>0</v>
      </c>
      <c r="P184" s="3">
        <v>0</v>
      </c>
      <c r="Q184" s="474">
        <f t="shared" si="26"/>
        <v>0</v>
      </c>
      <c r="R184" s="326"/>
    </row>
    <row r="185" spans="1:18">
      <c r="A185" s="18">
        <v>175</v>
      </c>
      <c r="C185" s="18" t="str">
        <f t="shared" si="28"/>
        <v>CNGWA910</v>
      </c>
      <c r="D185" s="18" t="s">
        <v>167</v>
      </c>
      <c r="E185" s="3">
        <v>0</v>
      </c>
      <c r="F185" s="3">
        <v>0</v>
      </c>
      <c r="G185" s="3">
        <v>0</v>
      </c>
      <c r="H185" s="3">
        <v>0</v>
      </c>
      <c r="I185" s="3">
        <v>0</v>
      </c>
      <c r="J185" s="3">
        <v>0</v>
      </c>
      <c r="K185" s="3">
        <v>0</v>
      </c>
      <c r="L185" s="3">
        <v>0</v>
      </c>
      <c r="M185" s="3">
        <v>0</v>
      </c>
      <c r="N185" s="3">
        <v>0</v>
      </c>
      <c r="O185" s="3">
        <v>0</v>
      </c>
      <c r="P185" s="3">
        <v>0</v>
      </c>
      <c r="Q185" s="474">
        <f t="shared" si="26"/>
        <v>0</v>
      </c>
      <c r="R185" s="326"/>
    </row>
    <row r="186" spans="1:18">
      <c r="A186" s="18">
        <v>176</v>
      </c>
      <c r="C186" s="18" t="str">
        <f t="shared" si="28"/>
        <v>CNGWA910</v>
      </c>
      <c r="D186" s="18" t="s">
        <v>426</v>
      </c>
      <c r="E186" s="3">
        <v>0</v>
      </c>
      <c r="F186" s="3">
        <v>0</v>
      </c>
      <c r="G186" s="3">
        <v>0</v>
      </c>
      <c r="H186" s="3">
        <v>0</v>
      </c>
      <c r="I186" s="3">
        <v>0</v>
      </c>
      <c r="J186" s="3">
        <v>0</v>
      </c>
      <c r="K186" s="3">
        <v>0</v>
      </c>
      <c r="L186" s="3">
        <v>0</v>
      </c>
      <c r="M186" s="3">
        <v>0</v>
      </c>
      <c r="N186" s="3">
        <v>0</v>
      </c>
      <c r="O186" s="3">
        <v>0</v>
      </c>
      <c r="P186" s="3">
        <v>0</v>
      </c>
      <c r="Q186" s="474">
        <f t="shared" si="26"/>
        <v>0</v>
      </c>
      <c r="R186" s="326"/>
    </row>
    <row r="187" spans="1:18">
      <c r="A187" s="18">
        <v>177</v>
      </c>
      <c r="C187" s="18" t="str">
        <f t="shared" si="28"/>
        <v>CNGWA910</v>
      </c>
      <c r="D187" s="18" t="s">
        <v>421</v>
      </c>
      <c r="E187" s="3">
        <v>-12092.04</v>
      </c>
      <c r="F187" s="3">
        <v>-12087.48</v>
      </c>
      <c r="G187" s="3">
        <v>-12579.46</v>
      </c>
      <c r="H187" s="3">
        <v>-14410.13</v>
      </c>
      <c r="I187" s="3">
        <v>-12969.28</v>
      </c>
      <c r="J187" s="3">
        <v>-9479.27</v>
      </c>
      <c r="K187" s="3">
        <v>-6254.21</v>
      </c>
      <c r="L187" s="3">
        <v>-10011.129999999999</v>
      </c>
      <c r="M187" s="3">
        <v>-10988.59</v>
      </c>
      <c r="N187" s="3">
        <v>-11262.98</v>
      </c>
      <c r="O187" s="3">
        <f>-N188</f>
        <v>-12766.75</v>
      </c>
      <c r="P187" s="3">
        <f>-O188</f>
        <v>-11365.08</v>
      </c>
      <c r="Q187" s="474">
        <f t="shared" si="26"/>
        <v>-136266.4</v>
      </c>
      <c r="R187" s="326"/>
    </row>
    <row r="188" spans="1:18">
      <c r="A188" s="18">
        <v>178</v>
      </c>
      <c r="C188" s="18" t="str">
        <f t="shared" si="28"/>
        <v>CNGWA910</v>
      </c>
      <c r="D188" s="18" t="s">
        <v>422</v>
      </c>
      <c r="E188" s="3">
        <v>12087.48</v>
      </c>
      <c r="F188" s="3">
        <v>12579.46</v>
      </c>
      <c r="G188" s="3">
        <v>14410.13</v>
      </c>
      <c r="H188" s="3">
        <v>12969.28</v>
      </c>
      <c r="I188" s="3">
        <v>9479.27</v>
      </c>
      <c r="J188" s="3">
        <v>6254.21</v>
      </c>
      <c r="K188" s="3">
        <v>10011.129999999999</v>
      </c>
      <c r="L188" s="3">
        <v>10988.59</v>
      </c>
      <c r="M188" s="3">
        <v>11262.98</v>
      </c>
      <c r="N188" s="3">
        <v>12766.75</v>
      </c>
      <c r="O188" s="3">
        <v>11365.08</v>
      </c>
      <c r="P188" s="3">
        <v>11161.89</v>
      </c>
      <c r="Q188" s="474">
        <f t="shared" si="26"/>
        <v>135336.25</v>
      </c>
      <c r="R188" s="326"/>
    </row>
    <row r="189" spans="1:18">
      <c r="A189" s="18">
        <v>179</v>
      </c>
      <c r="C189" s="18" t="str">
        <f t="shared" si="28"/>
        <v>CNGWA910</v>
      </c>
      <c r="D189" s="18" t="s">
        <v>423</v>
      </c>
      <c r="E189" s="474">
        <f>SUM(E180:E188)</f>
        <v>12087.48</v>
      </c>
      <c r="F189" s="474">
        <f t="shared" ref="F189:P189" si="30">SUM(F180:F188)</f>
        <v>12579.46</v>
      </c>
      <c r="G189" s="474">
        <f t="shared" si="30"/>
        <v>14410.13</v>
      </c>
      <c r="H189" s="474">
        <f t="shared" si="30"/>
        <v>12969.28</v>
      </c>
      <c r="I189" s="474">
        <f t="shared" si="30"/>
        <v>9479.27</v>
      </c>
      <c r="J189" s="474">
        <f t="shared" si="30"/>
        <v>6254.21</v>
      </c>
      <c r="K189" s="474">
        <f t="shared" si="30"/>
        <v>10011.129999999999</v>
      </c>
      <c r="L189" s="474">
        <f t="shared" si="30"/>
        <v>10988.59</v>
      </c>
      <c r="M189" s="474">
        <f t="shared" si="30"/>
        <v>11262.98</v>
      </c>
      <c r="N189" s="474">
        <f t="shared" si="30"/>
        <v>12766.75</v>
      </c>
      <c r="O189" s="474">
        <f t="shared" si="30"/>
        <v>11365.08</v>
      </c>
      <c r="P189" s="474">
        <f t="shared" si="30"/>
        <v>11161.89</v>
      </c>
      <c r="Q189" s="474">
        <f t="shared" si="26"/>
        <v>135336.25</v>
      </c>
      <c r="R189" s="326"/>
    </row>
    <row r="190" spans="1:18">
      <c r="A190" s="18">
        <v>180</v>
      </c>
      <c r="D190" s="637" t="s">
        <v>414</v>
      </c>
      <c r="F190" s="327"/>
      <c r="G190" s="327"/>
      <c r="H190" s="327"/>
      <c r="I190" s="327"/>
      <c r="J190" s="327"/>
      <c r="K190" s="327"/>
      <c r="L190" s="327"/>
      <c r="M190" s="327"/>
      <c r="N190" s="327"/>
      <c r="O190" s="327"/>
      <c r="P190" s="327"/>
      <c r="Q190" s="328">
        <f t="shared" si="26"/>
        <v>0</v>
      </c>
      <c r="R190" s="326"/>
    </row>
    <row r="191" spans="1:18">
      <c r="A191" s="18">
        <v>181</v>
      </c>
      <c r="Q191" s="328"/>
      <c r="R191" s="326"/>
    </row>
    <row r="192" spans="1:18">
      <c r="A192" s="18">
        <v>182</v>
      </c>
      <c r="D192" s="325" t="s">
        <v>321</v>
      </c>
      <c r="F192" s="327"/>
      <c r="G192" s="327"/>
      <c r="H192" s="327"/>
      <c r="I192" s="327"/>
      <c r="J192" s="327"/>
      <c r="K192" s="327"/>
      <c r="L192" s="327"/>
      <c r="M192" s="327"/>
      <c r="N192" s="327"/>
      <c r="O192" s="327"/>
      <c r="P192" s="327"/>
      <c r="Q192" s="328"/>
      <c r="R192" s="326"/>
    </row>
    <row r="193" spans="1:18">
      <c r="A193" s="18">
        <v>183</v>
      </c>
      <c r="C193" s="18" t="str">
        <f>$D$192</f>
        <v>CNGWA911</v>
      </c>
      <c r="D193" s="18" t="s">
        <v>380</v>
      </c>
      <c r="E193" s="327">
        <v>375474</v>
      </c>
      <c r="F193" s="327">
        <v>200802</v>
      </c>
      <c r="G193" s="327">
        <v>110052</v>
      </c>
      <c r="H193" s="327">
        <v>168968</v>
      </c>
      <c r="I193" s="327">
        <v>340572</v>
      </c>
      <c r="J193" s="327">
        <v>306437</v>
      </c>
      <c r="K193" s="327">
        <v>242555</v>
      </c>
      <c r="L193" s="327">
        <v>299943</v>
      </c>
      <c r="M193" s="327">
        <v>369629</v>
      </c>
      <c r="N193" s="327">
        <v>282752</v>
      </c>
      <c r="O193" s="327">
        <v>390563</v>
      </c>
      <c r="P193" s="327">
        <v>361115</v>
      </c>
      <c r="Q193" s="328">
        <f t="shared" si="26"/>
        <v>3448862</v>
      </c>
      <c r="R193" s="326"/>
    </row>
    <row r="194" spans="1:18">
      <c r="A194" s="18">
        <v>184</v>
      </c>
      <c r="C194" s="18" t="str">
        <f t="shared" ref="C194:C209" si="31">$D$192</f>
        <v>CNGWA911</v>
      </c>
      <c r="D194" s="18" t="s">
        <v>410</v>
      </c>
      <c r="E194" s="327">
        <v>0</v>
      </c>
      <c r="F194" s="327">
        <v>0</v>
      </c>
      <c r="G194" s="327">
        <v>0</v>
      </c>
      <c r="H194" s="327">
        <v>0</v>
      </c>
      <c r="I194" s="327">
        <v>0</v>
      </c>
      <c r="J194" s="327">
        <v>0</v>
      </c>
      <c r="K194" s="327">
        <v>0</v>
      </c>
      <c r="L194" s="327">
        <v>0</v>
      </c>
      <c r="M194" s="327">
        <v>0</v>
      </c>
      <c r="N194" s="327">
        <v>0</v>
      </c>
      <c r="O194" s="327">
        <v>0</v>
      </c>
      <c r="P194" s="327">
        <v>0</v>
      </c>
      <c r="Q194" s="328">
        <f t="shared" si="26"/>
        <v>0</v>
      </c>
      <c r="R194" s="326"/>
    </row>
    <row r="195" spans="1:18">
      <c r="A195" s="18">
        <v>185</v>
      </c>
      <c r="C195" s="18" t="str">
        <f t="shared" si="31"/>
        <v>CNGWA911</v>
      </c>
      <c r="D195" s="18" t="s">
        <v>411</v>
      </c>
      <c r="E195" s="327">
        <v>0</v>
      </c>
      <c r="F195" s="327">
        <v>0</v>
      </c>
      <c r="G195" s="327">
        <v>0</v>
      </c>
      <c r="H195" s="327">
        <v>0</v>
      </c>
      <c r="I195" s="327">
        <v>0</v>
      </c>
      <c r="J195" s="327">
        <v>0</v>
      </c>
      <c r="K195" s="327">
        <v>0</v>
      </c>
      <c r="L195" s="327">
        <v>0</v>
      </c>
      <c r="M195" s="327">
        <v>0</v>
      </c>
      <c r="N195" s="327">
        <v>0</v>
      </c>
      <c r="O195" s="327">
        <v>0</v>
      </c>
      <c r="P195" s="327">
        <v>0</v>
      </c>
      <c r="Q195" s="328">
        <f t="shared" si="26"/>
        <v>0</v>
      </c>
      <c r="R195" s="326"/>
    </row>
    <row r="196" spans="1:18">
      <c r="A196" s="18">
        <v>186</v>
      </c>
      <c r="C196" s="18" t="str">
        <f t="shared" si="31"/>
        <v>CNGWA911</v>
      </c>
      <c r="D196" s="18" t="s">
        <v>412</v>
      </c>
      <c r="E196" s="327">
        <v>-375474</v>
      </c>
      <c r="F196" s="327">
        <v>-200802</v>
      </c>
      <c r="G196" s="327">
        <v>-110052</v>
      </c>
      <c r="H196" s="327">
        <v>-168968</v>
      </c>
      <c r="I196" s="327">
        <v>-340572</v>
      </c>
      <c r="J196" s="327">
        <v>-303215</v>
      </c>
      <c r="K196" s="327">
        <v>-242555</v>
      </c>
      <c r="L196" s="327">
        <v>-299943</v>
      </c>
      <c r="M196" s="327">
        <v>-369629</v>
      </c>
      <c r="N196" s="327">
        <v>-282752</v>
      </c>
      <c r="O196" s="327">
        <f>-N197</f>
        <v>-390563</v>
      </c>
      <c r="P196" s="327">
        <f>-O197</f>
        <v>-361115</v>
      </c>
      <c r="Q196" s="328">
        <f t="shared" si="26"/>
        <v>-3445640</v>
      </c>
      <c r="R196" s="326"/>
    </row>
    <row r="197" spans="1:18">
      <c r="A197" s="18">
        <v>187</v>
      </c>
      <c r="C197" s="18" t="str">
        <f t="shared" si="31"/>
        <v>CNGWA911</v>
      </c>
      <c r="D197" s="18" t="s">
        <v>413</v>
      </c>
      <c r="E197" s="327">
        <v>200802</v>
      </c>
      <c r="F197" s="327">
        <v>110052</v>
      </c>
      <c r="G197" s="327">
        <v>168968</v>
      </c>
      <c r="H197" s="327">
        <v>340572</v>
      </c>
      <c r="I197" s="327">
        <v>303215</v>
      </c>
      <c r="J197" s="327">
        <v>242555</v>
      </c>
      <c r="K197" s="327">
        <v>299943</v>
      </c>
      <c r="L197" s="327">
        <v>369629</v>
      </c>
      <c r="M197" s="327">
        <v>282752</v>
      </c>
      <c r="N197" s="327">
        <v>390563</v>
      </c>
      <c r="O197" s="327">
        <v>361115</v>
      </c>
      <c r="P197" s="327">
        <v>364903</v>
      </c>
      <c r="Q197" s="328">
        <f t="shared" si="26"/>
        <v>3435069</v>
      </c>
      <c r="R197" s="326"/>
    </row>
    <row r="198" spans="1:18">
      <c r="A198" s="18">
        <v>188</v>
      </c>
      <c r="C198" s="18" t="str">
        <f t="shared" si="31"/>
        <v>CNGWA911</v>
      </c>
      <c r="D198" s="18" t="s">
        <v>195</v>
      </c>
      <c r="E198" s="328">
        <f>SUM(E193:E197)</f>
        <v>200802</v>
      </c>
      <c r="F198" s="328">
        <f t="shared" ref="F198:P198" si="32">SUM(F193:F197)</f>
        <v>110052</v>
      </c>
      <c r="G198" s="328">
        <f t="shared" si="32"/>
        <v>168968</v>
      </c>
      <c r="H198" s="328">
        <f t="shared" si="32"/>
        <v>340572</v>
      </c>
      <c r="I198" s="328">
        <f t="shared" si="32"/>
        <v>303215</v>
      </c>
      <c r="J198" s="328">
        <f t="shared" si="32"/>
        <v>245777</v>
      </c>
      <c r="K198" s="328">
        <f t="shared" si="32"/>
        <v>299943</v>
      </c>
      <c r="L198" s="328">
        <f t="shared" si="32"/>
        <v>369629</v>
      </c>
      <c r="M198" s="328">
        <f t="shared" si="32"/>
        <v>282752</v>
      </c>
      <c r="N198" s="328">
        <f t="shared" si="32"/>
        <v>390563</v>
      </c>
      <c r="O198" s="328">
        <f t="shared" si="32"/>
        <v>361115</v>
      </c>
      <c r="P198" s="328">
        <f t="shared" si="32"/>
        <v>364903</v>
      </c>
      <c r="Q198" s="328">
        <f t="shared" si="26"/>
        <v>3438291</v>
      </c>
      <c r="R198" s="326"/>
    </row>
    <row r="199" spans="1:18">
      <c r="A199" s="18">
        <v>189</v>
      </c>
      <c r="C199" s="18" t="str">
        <f t="shared" si="31"/>
        <v>CNGWA911</v>
      </c>
      <c r="D199" s="637" t="s">
        <v>414</v>
      </c>
      <c r="F199" s="327"/>
      <c r="G199" s="327"/>
      <c r="H199" s="327"/>
      <c r="I199" s="327"/>
      <c r="J199" s="327"/>
      <c r="K199" s="327"/>
      <c r="L199" s="327"/>
      <c r="M199" s="327"/>
      <c r="N199" s="327"/>
      <c r="O199" s="327"/>
      <c r="P199" s="327"/>
      <c r="Q199" s="328">
        <f t="shared" si="26"/>
        <v>0</v>
      </c>
      <c r="R199" s="326"/>
    </row>
    <row r="200" spans="1:18">
      <c r="A200" s="18">
        <v>190</v>
      </c>
      <c r="C200" s="18" t="str">
        <f t="shared" si="31"/>
        <v>CNGWA911</v>
      </c>
      <c r="D200" s="18" t="s">
        <v>415</v>
      </c>
      <c r="E200" s="3">
        <v>13101.94</v>
      </c>
      <c r="F200" s="3">
        <v>9229.31</v>
      </c>
      <c r="G200" s="3">
        <v>7217.3</v>
      </c>
      <c r="H200" s="3">
        <v>8523.5300000000007</v>
      </c>
      <c r="I200" s="3">
        <v>12328.14</v>
      </c>
      <c r="J200" s="3">
        <v>11571.32</v>
      </c>
      <c r="K200" s="3">
        <v>10155.01</v>
      </c>
      <c r="L200" s="3">
        <v>11427.35</v>
      </c>
      <c r="M200" s="3">
        <v>12972.35</v>
      </c>
      <c r="N200" s="3">
        <v>11046.21</v>
      </c>
      <c r="O200" s="3">
        <v>13691.38</v>
      </c>
      <c r="P200" s="3">
        <v>13019.27</v>
      </c>
      <c r="Q200" s="474">
        <f t="shared" si="26"/>
        <v>134283.11000000002</v>
      </c>
      <c r="R200" s="326"/>
    </row>
    <row r="201" spans="1:18">
      <c r="A201" s="18">
        <v>191</v>
      </c>
      <c r="C201" s="18" t="str">
        <f t="shared" si="31"/>
        <v>CNGWA911</v>
      </c>
      <c r="D201" s="18" t="s">
        <v>416</v>
      </c>
      <c r="E201" s="3">
        <v>0</v>
      </c>
      <c r="F201" s="3">
        <v>0</v>
      </c>
      <c r="G201" s="3">
        <v>0</v>
      </c>
      <c r="H201" s="3">
        <v>0</v>
      </c>
      <c r="I201" s="3">
        <v>0</v>
      </c>
      <c r="J201" s="3">
        <v>0</v>
      </c>
      <c r="K201" s="3">
        <v>0</v>
      </c>
      <c r="L201" s="3">
        <v>0</v>
      </c>
      <c r="M201" s="3">
        <v>0</v>
      </c>
      <c r="N201" s="3">
        <v>0</v>
      </c>
      <c r="O201" s="3">
        <v>0</v>
      </c>
      <c r="P201" s="3">
        <v>0</v>
      </c>
      <c r="Q201" s="474">
        <f t="shared" si="26"/>
        <v>0</v>
      </c>
      <c r="R201" s="326"/>
    </row>
    <row r="202" spans="1:18">
      <c r="A202" s="18">
        <v>192</v>
      </c>
      <c r="C202" s="18" t="str">
        <f t="shared" si="31"/>
        <v>CNGWA911</v>
      </c>
      <c r="D202" s="18" t="s">
        <v>417</v>
      </c>
      <c r="E202" s="3">
        <v>0</v>
      </c>
      <c r="F202" s="3">
        <v>0</v>
      </c>
      <c r="G202" s="3">
        <v>0</v>
      </c>
      <c r="H202" s="3">
        <v>0</v>
      </c>
      <c r="I202" s="3">
        <v>0</v>
      </c>
      <c r="J202" s="3">
        <v>0</v>
      </c>
      <c r="K202" s="3">
        <v>0</v>
      </c>
      <c r="L202" s="3">
        <v>0</v>
      </c>
      <c r="M202" s="3">
        <v>0</v>
      </c>
      <c r="N202" s="3">
        <v>0</v>
      </c>
      <c r="O202" s="3">
        <v>0</v>
      </c>
      <c r="P202" s="3">
        <v>0</v>
      </c>
      <c r="Q202" s="474">
        <f t="shared" si="26"/>
        <v>0</v>
      </c>
      <c r="R202" s="326"/>
    </row>
    <row r="203" spans="1:18">
      <c r="A203" s="18">
        <v>193</v>
      </c>
      <c r="C203" s="18" t="str">
        <f t="shared" si="31"/>
        <v>CNGWA911</v>
      </c>
      <c r="D203" s="18" t="s">
        <v>418</v>
      </c>
      <c r="E203" s="3">
        <v>0</v>
      </c>
      <c r="F203" s="3">
        <v>0</v>
      </c>
      <c r="G203" s="3">
        <v>0</v>
      </c>
      <c r="H203" s="3">
        <v>0</v>
      </c>
      <c r="I203" s="3">
        <v>0</v>
      </c>
      <c r="J203" s="3">
        <v>0</v>
      </c>
      <c r="K203" s="3">
        <v>0</v>
      </c>
      <c r="L203" s="3">
        <v>0</v>
      </c>
      <c r="M203" s="3">
        <v>0</v>
      </c>
      <c r="N203" s="3">
        <v>0</v>
      </c>
      <c r="O203" s="3">
        <v>0</v>
      </c>
      <c r="P203" s="3">
        <v>0</v>
      </c>
      <c r="Q203" s="474">
        <f t="shared" si="26"/>
        <v>0</v>
      </c>
      <c r="R203" s="326"/>
    </row>
    <row r="204" spans="1:18">
      <c r="A204" s="18">
        <v>194</v>
      </c>
      <c r="C204" s="18" t="str">
        <f t="shared" si="31"/>
        <v>CNGWA911</v>
      </c>
      <c r="D204" s="18" t="s">
        <v>419</v>
      </c>
      <c r="E204" s="3">
        <v>0</v>
      </c>
      <c r="F204" s="3">
        <v>0</v>
      </c>
      <c r="G204" s="3">
        <v>0</v>
      </c>
      <c r="H204" s="3">
        <v>0</v>
      </c>
      <c r="I204" s="3">
        <v>0</v>
      </c>
      <c r="J204" s="3">
        <v>0</v>
      </c>
      <c r="K204" s="3">
        <v>0</v>
      </c>
      <c r="L204" s="3">
        <v>0</v>
      </c>
      <c r="M204" s="3">
        <v>0</v>
      </c>
      <c r="N204" s="3">
        <v>0</v>
      </c>
      <c r="O204" s="3">
        <v>0</v>
      </c>
      <c r="P204" s="3">
        <v>0</v>
      </c>
      <c r="Q204" s="474">
        <f t="shared" si="26"/>
        <v>0</v>
      </c>
      <c r="R204" s="326"/>
    </row>
    <row r="205" spans="1:18">
      <c r="A205" s="18">
        <v>195</v>
      </c>
      <c r="C205" s="18" t="str">
        <f t="shared" si="31"/>
        <v>CNGWA911</v>
      </c>
      <c r="D205" s="18" t="s">
        <v>167</v>
      </c>
      <c r="E205" s="3">
        <v>0</v>
      </c>
      <c r="F205" s="3">
        <v>0</v>
      </c>
      <c r="G205" s="3">
        <v>0</v>
      </c>
      <c r="H205" s="3">
        <v>0</v>
      </c>
      <c r="I205" s="3">
        <v>0</v>
      </c>
      <c r="J205" s="3">
        <v>0</v>
      </c>
      <c r="K205" s="3">
        <v>0</v>
      </c>
      <c r="L205" s="3">
        <v>0</v>
      </c>
      <c r="M205" s="3">
        <v>0</v>
      </c>
      <c r="N205" s="3">
        <v>0</v>
      </c>
      <c r="O205" s="3">
        <v>0</v>
      </c>
      <c r="P205" s="3">
        <v>0</v>
      </c>
      <c r="Q205" s="474">
        <f t="shared" si="26"/>
        <v>0</v>
      </c>
      <c r="R205" s="326"/>
    </row>
    <row r="206" spans="1:18">
      <c r="A206" s="18">
        <v>196</v>
      </c>
      <c r="C206" s="18" t="str">
        <f t="shared" si="31"/>
        <v>CNGWA911</v>
      </c>
      <c r="D206" s="18" t="s">
        <v>426</v>
      </c>
      <c r="E206" s="3">
        <v>0</v>
      </c>
      <c r="F206" s="3">
        <v>0</v>
      </c>
      <c r="G206" s="3">
        <v>0</v>
      </c>
      <c r="H206" s="3">
        <v>0</v>
      </c>
      <c r="I206" s="3">
        <v>0</v>
      </c>
      <c r="J206" s="3">
        <v>0</v>
      </c>
      <c r="K206" s="3">
        <v>0</v>
      </c>
      <c r="L206" s="3">
        <v>0</v>
      </c>
      <c r="M206" s="3">
        <v>0</v>
      </c>
      <c r="N206" s="3">
        <v>0</v>
      </c>
      <c r="O206" s="3">
        <v>0</v>
      </c>
      <c r="P206" s="3">
        <v>0</v>
      </c>
      <c r="Q206" s="474">
        <f t="shared" si="26"/>
        <v>0</v>
      </c>
      <c r="R206" s="326"/>
    </row>
    <row r="207" spans="1:18">
      <c r="A207" s="18">
        <v>197</v>
      </c>
      <c r="C207" s="18" t="str">
        <f t="shared" si="31"/>
        <v>CNGWA911</v>
      </c>
      <c r="D207" s="18" t="s">
        <v>421</v>
      </c>
      <c r="E207" s="3">
        <v>-13101.94</v>
      </c>
      <c r="F207" s="3">
        <v>-9229.31</v>
      </c>
      <c r="G207" s="3">
        <v>-7217.3</v>
      </c>
      <c r="H207" s="3">
        <v>-8523.5300000000007</v>
      </c>
      <c r="I207" s="3">
        <v>-12328.14</v>
      </c>
      <c r="J207" s="3">
        <v>-11499.9</v>
      </c>
      <c r="K207" s="3">
        <v>-10155.01</v>
      </c>
      <c r="L207" s="3">
        <v>-11427.35</v>
      </c>
      <c r="M207" s="3">
        <v>-12972.35</v>
      </c>
      <c r="N207" s="3">
        <v>-11046.21</v>
      </c>
      <c r="O207" s="3">
        <f>-N208</f>
        <v>-13691.38</v>
      </c>
      <c r="P207" s="3">
        <f>-O208</f>
        <v>-13019.27</v>
      </c>
      <c r="Q207" s="474">
        <f t="shared" si="26"/>
        <v>-134211.69</v>
      </c>
      <c r="R207" s="326"/>
    </row>
    <row r="208" spans="1:18">
      <c r="A208" s="18">
        <v>198</v>
      </c>
      <c r="C208" s="18" t="str">
        <f t="shared" si="31"/>
        <v>CNGWA911</v>
      </c>
      <c r="D208" s="18" t="s">
        <v>422</v>
      </c>
      <c r="E208" s="3">
        <v>9229.31</v>
      </c>
      <c r="F208" s="3">
        <v>7217.3</v>
      </c>
      <c r="G208" s="3">
        <v>8523.5300000000007</v>
      </c>
      <c r="H208" s="3">
        <v>12328.14</v>
      </c>
      <c r="I208" s="3">
        <v>11499.9</v>
      </c>
      <c r="J208" s="3">
        <v>10155.01</v>
      </c>
      <c r="K208" s="3">
        <v>11427.35</v>
      </c>
      <c r="L208" s="3">
        <v>12972.35</v>
      </c>
      <c r="M208" s="3">
        <v>11046.21</v>
      </c>
      <c r="N208" s="3">
        <v>13691.38</v>
      </c>
      <c r="O208" s="3">
        <v>13019.27</v>
      </c>
      <c r="P208" s="3">
        <v>13105.72</v>
      </c>
      <c r="Q208" s="474">
        <f t="shared" si="26"/>
        <v>134215.47</v>
      </c>
      <c r="R208" s="326"/>
    </row>
    <row r="209" spans="1:18">
      <c r="A209" s="18">
        <v>199</v>
      </c>
      <c r="C209" s="18" t="str">
        <f t="shared" si="31"/>
        <v>CNGWA911</v>
      </c>
      <c r="D209" s="18" t="s">
        <v>423</v>
      </c>
      <c r="E209" s="474">
        <f>SUM(E200:E208)</f>
        <v>9229.31</v>
      </c>
      <c r="F209" s="474">
        <f t="shared" ref="F209:P209" si="33">SUM(F200:F208)</f>
        <v>7217.3</v>
      </c>
      <c r="G209" s="474">
        <f t="shared" si="33"/>
        <v>8523.5300000000007</v>
      </c>
      <c r="H209" s="474">
        <f t="shared" si="33"/>
        <v>12328.14</v>
      </c>
      <c r="I209" s="474">
        <f t="shared" si="33"/>
        <v>11499.9</v>
      </c>
      <c r="J209" s="474">
        <f t="shared" si="33"/>
        <v>10226.43</v>
      </c>
      <c r="K209" s="474">
        <f t="shared" si="33"/>
        <v>11427.35</v>
      </c>
      <c r="L209" s="474">
        <f t="shared" si="33"/>
        <v>12972.35</v>
      </c>
      <c r="M209" s="474">
        <f t="shared" si="33"/>
        <v>11046.21</v>
      </c>
      <c r="N209" s="474">
        <f t="shared" si="33"/>
        <v>13691.38</v>
      </c>
      <c r="O209" s="474">
        <f t="shared" si="33"/>
        <v>13019.27</v>
      </c>
      <c r="P209" s="474">
        <f t="shared" si="33"/>
        <v>13105.72</v>
      </c>
      <c r="Q209" s="474">
        <f t="shared" si="26"/>
        <v>134286.89000000001</v>
      </c>
      <c r="R209" s="326"/>
    </row>
    <row r="210" spans="1:18">
      <c r="A210" s="18">
        <v>200</v>
      </c>
      <c r="D210" s="637" t="s">
        <v>414</v>
      </c>
      <c r="F210" s="327"/>
      <c r="G210" s="327"/>
      <c r="H210" s="327"/>
      <c r="I210" s="327"/>
      <c r="J210" s="327"/>
      <c r="K210" s="327"/>
      <c r="L210" s="327"/>
      <c r="M210" s="327"/>
      <c r="N210" s="327"/>
      <c r="O210" s="327"/>
      <c r="P210" s="327"/>
      <c r="Q210" s="328">
        <f t="shared" si="26"/>
        <v>0</v>
      </c>
      <c r="R210" s="326"/>
    </row>
    <row r="211" spans="1:18">
      <c r="A211" s="18">
        <v>201</v>
      </c>
      <c r="Q211" s="328"/>
      <c r="R211" s="326"/>
    </row>
    <row r="212" spans="1:18">
      <c r="A212" s="18">
        <v>202</v>
      </c>
      <c r="D212" s="325" t="s">
        <v>322</v>
      </c>
      <c r="F212" s="327"/>
      <c r="G212" s="327"/>
      <c r="H212" s="327"/>
      <c r="I212" s="327"/>
      <c r="J212" s="327"/>
      <c r="K212" s="327"/>
      <c r="L212" s="327"/>
      <c r="M212" s="327"/>
      <c r="N212" s="327"/>
      <c r="O212" s="327"/>
      <c r="P212" s="327"/>
      <c r="Q212" s="328"/>
      <c r="R212" s="326"/>
    </row>
    <row r="213" spans="1:18">
      <c r="A213" s="18">
        <v>203</v>
      </c>
      <c r="C213" s="18" t="str">
        <f>$D$212</f>
        <v>CNGWA914</v>
      </c>
      <c r="D213" s="18" t="s">
        <v>380</v>
      </c>
      <c r="E213" s="327">
        <v>891714</v>
      </c>
      <c r="F213" s="327">
        <v>988263</v>
      </c>
      <c r="G213" s="327">
        <v>907096</v>
      </c>
      <c r="H213" s="327">
        <v>987670</v>
      </c>
      <c r="I213" s="327">
        <v>1012389</v>
      </c>
      <c r="J213" s="327">
        <v>1018341</v>
      </c>
      <c r="K213" s="327">
        <v>876285</v>
      </c>
      <c r="L213" s="327">
        <v>918913</v>
      </c>
      <c r="M213" s="327">
        <v>930198</v>
      </c>
      <c r="N213" s="327">
        <v>936589</v>
      </c>
      <c r="O213" s="327">
        <v>742775</v>
      </c>
      <c r="P213" s="327">
        <v>1005088</v>
      </c>
      <c r="Q213" s="328">
        <f t="shared" si="26"/>
        <v>11215321</v>
      </c>
      <c r="R213" s="326"/>
    </row>
    <row r="214" spans="1:18">
      <c r="A214" s="18">
        <v>204</v>
      </c>
      <c r="C214" s="18" t="str">
        <f t="shared" ref="C214:C229" si="34">$D$212</f>
        <v>CNGWA914</v>
      </c>
      <c r="D214" s="18" t="s">
        <v>410</v>
      </c>
      <c r="E214" s="327">
        <v>0</v>
      </c>
      <c r="F214" s="327">
        <v>0</v>
      </c>
      <c r="G214" s="327">
        <v>0</v>
      </c>
      <c r="H214" s="327">
        <v>0</v>
      </c>
      <c r="I214" s="327">
        <v>0</v>
      </c>
      <c r="J214" s="327">
        <v>0</v>
      </c>
      <c r="K214" s="327">
        <v>0</v>
      </c>
      <c r="L214" s="327">
        <v>0</v>
      </c>
      <c r="M214" s="327">
        <v>0</v>
      </c>
      <c r="N214" s="327">
        <v>0</v>
      </c>
      <c r="O214" s="327">
        <v>0</v>
      </c>
      <c r="P214" s="327">
        <v>0</v>
      </c>
      <c r="Q214" s="328">
        <f t="shared" si="26"/>
        <v>0</v>
      </c>
      <c r="R214" s="326"/>
    </row>
    <row r="215" spans="1:18">
      <c r="A215" s="18">
        <v>205</v>
      </c>
      <c r="C215" s="18" t="str">
        <f t="shared" si="34"/>
        <v>CNGWA914</v>
      </c>
      <c r="D215" s="18" t="s">
        <v>411</v>
      </c>
      <c r="E215" s="327">
        <v>0</v>
      </c>
      <c r="F215" s="327">
        <v>0</v>
      </c>
      <c r="G215" s="327">
        <v>0</v>
      </c>
      <c r="H215" s="327">
        <v>0</v>
      </c>
      <c r="I215" s="327">
        <v>0</v>
      </c>
      <c r="J215" s="327">
        <v>0</v>
      </c>
      <c r="K215" s="327">
        <v>0</v>
      </c>
      <c r="L215" s="327">
        <v>0</v>
      </c>
      <c r="M215" s="327">
        <v>0</v>
      </c>
      <c r="N215" s="327">
        <v>0</v>
      </c>
      <c r="O215" s="327">
        <v>0</v>
      </c>
      <c r="P215" s="327">
        <v>0</v>
      </c>
      <c r="Q215" s="328">
        <f t="shared" si="26"/>
        <v>0</v>
      </c>
      <c r="R215" s="326"/>
    </row>
    <row r="216" spans="1:18">
      <c r="A216" s="18">
        <v>206</v>
      </c>
      <c r="C216" s="18" t="str">
        <f t="shared" si="34"/>
        <v>CNGWA914</v>
      </c>
      <c r="D216" s="18" t="s">
        <v>412</v>
      </c>
      <c r="E216" s="327">
        <v>-891714</v>
      </c>
      <c r="F216" s="327">
        <v>-988263</v>
      </c>
      <c r="G216" s="327">
        <v>-907096</v>
      </c>
      <c r="H216" s="327">
        <v>-987670</v>
      </c>
      <c r="I216" s="327">
        <v>-1012389</v>
      </c>
      <c r="J216" s="327">
        <v>-1018341</v>
      </c>
      <c r="K216" s="327">
        <v>-876285</v>
      </c>
      <c r="L216" s="327">
        <v>-918913</v>
      </c>
      <c r="M216" s="327">
        <v>-930198</v>
      </c>
      <c r="N216" s="327">
        <v>-936589</v>
      </c>
      <c r="O216" s="327">
        <f>-N217</f>
        <v>-742775</v>
      </c>
      <c r="P216" s="327">
        <f>-O217</f>
        <v>-1005088</v>
      </c>
      <c r="Q216" s="328">
        <f t="shared" si="26"/>
        <v>-11215321</v>
      </c>
      <c r="R216" s="326"/>
    </row>
    <row r="217" spans="1:18">
      <c r="A217" s="18">
        <v>207</v>
      </c>
      <c r="C217" s="18" t="str">
        <f t="shared" si="34"/>
        <v>CNGWA914</v>
      </c>
      <c r="D217" s="18" t="s">
        <v>413</v>
      </c>
      <c r="E217" s="327">
        <v>988263</v>
      </c>
      <c r="F217" s="327">
        <v>907096</v>
      </c>
      <c r="G217" s="327">
        <v>987670</v>
      </c>
      <c r="H217" s="327">
        <v>1012389</v>
      </c>
      <c r="I217" s="327">
        <v>1018341</v>
      </c>
      <c r="J217" s="327">
        <v>876285</v>
      </c>
      <c r="K217" s="327">
        <v>918913</v>
      </c>
      <c r="L217" s="327">
        <v>930198</v>
      </c>
      <c r="M217" s="327">
        <v>936589</v>
      </c>
      <c r="N217" s="327">
        <v>742775</v>
      </c>
      <c r="O217" s="327">
        <v>1005088</v>
      </c>
      <c r="P217" s="327">
        <v>1058252</v>
      </c>
      <c r="Q217" s="328">
        <f t="shared" si="26"/>
        <v>11381859</v>
      </c>
      <c r="R217" s="326"/>
    </row>
    <row r="218" spans="1:18">
      <c r="A218" s="18">
        <v>208</v>
      </c>
      <c r="C218" s="18" t="str">
        <f t="shared" si="34"/>
        <v>CNGWA914</v>
      </c>
      <c r="D218" s="18" t="s">
        <v>195</v>
      </c>
      <c r="E218" s="328">
        <f>SUM(E213:E217)</f>
        <v>988263</v>
      </c>
      <c r="F218" s="328">
        <f t="shared" ref="F218:P218" si="35">SUM(F213:F217)</f>
        <v>907096</v>
      </c>
      <c r="G218" s="328">
        <f t="shared" si="35"/>
        <v>987670</v>
      </c>
      <c r="H218" s="328">
        <f t="shared" si="35"/>
        <v>1012389</v>
      </c>
      <c r="I218" s="328">
        <f t="shared" si="35"/>
        <v>1018341</v>
      </c>
      <c r="J218" s="328">
        <f t="shared" si="35"/>
        <v>876285</v>
      </c>
      <c r="K218" s="328">
        <f t="shared" si="35"/>
        <v>918913</v>
      </c>
      <c r="L218" s="328">
        <f t="shared" si="35"/>
        <v>930198</v>
      </c>
      <c r="M218" s="328">
        <f t="shared" si="35"/>
        <v>936589</v>
      </c>
      <c r="N218" s="328">
        <f t="shared" si="35"/>
        <v>742775</v>
      </c>
      <c r="O218" s="328">
        <f t="shared" si="35"/>
        <v>1005088</v>
      </c>
      <c r="P218" s="328">
        <f t="shared" si="35"/>
        <v>1058252</v>
      </c>
      <c r="Q218" s="328">
        <f t="shared" si="26"/>
        <v>11381859</v>
      </c>
      <c r="R218" s="326"/>
    </row>
    <row r="219" spans="1:18">
      <c r="A219" s="18">
        <v>209</v>
      </c>
      <c r="C219" s="18" t="str">
        <f t="shared" si="34"/>
        <v>CNGWA914</v>
      </c>
      <c r="D219" s="637" t="s">
        <v>414</v>
      </c>
      <c r="F219" s="327"/>
      <c r="G219" s="327"/>
      <c r="H219" s="327"/>
      <c r="I219" s="327"/>
      <c r="J219" s="327"/>
      <c r="K219" s="327"/>
      <c r="L219" s="327"/>
      <c r="M219" s="327"/>
      <c r="N219" s="327"/>
      <c r="O219" s="327"/>
      <c r="P219" s="327"/>
      <c r="Q219" s="328">
        <f t="shared" si="26"/>
        <v>0</v>
      </c>
      <c r="R219" s="326"/>
    </row>
    <row r="220" spans="1:18">
      <c r="A220" s="18">
        <v>210</v>
      </c>
      <c r="C220" s="18" t="str">
        <f t="shared" si="34"/>
        <v>CNGWA914</v>
      </c>
      <c r="D220" s="18" t="s">
        <v>415</v>
      </c>
      <c r="E220" s="3">
        <v>19912.23</v>
      </c>
      <c r="F220" s="3">
        <v>21237.19</v>
      </c>
      <c r="G220" s="3">
        <v>20123.330000000002</v>
      </c>
      <c r="H220" s="3">
        <v>21229.05</v>
      </c>
      <c r="I220" s="3">
        <v>21568.28</v>
      </c>
      <c r="J220" s="3">
        <v>21649.96</v>
      </c>
      <c r="K220" s="3">
        <v>19700.5</v>
      </c>
      <c r="L220" s="3">
        <v>20285.490000000002</v>
      </c>
      <c r="M220" s="3">
        <v>20440.349999999999</v>
      </c>
      <c r="N220" s="3">
        <v>20528.060000000001</v>
      </c>
      <c r="O220" s="3">
        <v>18164.84</v>
      </c>
      <c r="P220" s="3">
        <v>21869.33</v>
      </c>
      <c r="Q220" s="474">
        <f t="shared" si="26"/>
        <v>246708.61</v>
      </c>
      <c r="R220" s="326"/>
    </row>
    <row r="221" spans="1:18">
      <c r="A221" s="18">
        <v>211</v>
      </c>
      <c r="C221" s="18" t="str">
        <f t="shared" si="34"/>
        <v>CNGWA914</v>
      </c>
      <c r="D221" s="18" t="s">
        <v>416</v>
      </c>
      <c r="E221" s="3">
        <v>0</v>
      </c>
      <c r="F221" s="3">
        <v>0</v>
      </c>
      <c r="G221" s="3">
        <v>0</v>
      </c>
      <c r="H221" s="3">
        <v>0</v>
      </c>
      <c r="I221" s="3">
        <v>0</v>
      </c>
      <c r="J221" s="3">
        <v>0</v>
      </c>
      <c r="K221" s="3">
        <v>0</v>
      </c>
      <c r="L221" s="3">
        <v>0</v>
      </c>
      <c r="M221" s="3">
        <v>0</v>
      </c>
      <c r="N221" s="3">
        <v>0</v>
      </c>
      <c r="O221" s="3">
        <v>0</v>
      </c>
      <c r="P221" s="3">
        <v>0</v>
      </c>
      <c r="Q221" s="474">
        <f t="shared" si="26"/>
        <v>0</v>
      </c>
      <c r="R221" s="326"/>
    </row>
    <row r="222" spans="1:18">
      <c r="A222" s="18">
        <v>212</v>
      </c>
      <c r="C222" s="18" t="str">
        <f t="shared" si="34"/>
        <v>CNGWA914</v>
      </c>
      <c r="D222" s="18" t="s">
        <v>417</v>
      </c>
      <c r="E222" s="3">
        <v>0</v>
      </c>
      <c r="F222" s="3">
        <v>0</v>
      </c>
      <c r="G222" s="3">
        <v>0</v>
      </c>
      <c r="H222" s="3">
        <v>0</v>
      </c>
      <c r="I222" s="3">
        <v>0</v>
      </c>
      <c r="J222" s="3">
        <v>0</v>
      </c>
      <c r="K222" s="3">
        <v>0</v>
      </c>
      <c r="L222" s="3">
        <v>0</v>
      </c>
      <c r="M222" s="3">
        <v>0</v>
      </c>
      <c r="N222" s="3">
        <v>0</v>
      </c>
      <c r="O222" s="3">
        <v>0</v>
      </c>
      <c r="P222" s="3">
        <v>0</v>
      </c>
      <c r="Q222" s="474">
        <f t="shared" si="26"/>
        <v>0</v>
      </c>
      <c r="R222" s="326"/>
    </row>
    <row r="223" spans="1:18">
      <c r="A223" s="18">
        <v>213</v>
      </c>
      <c r="C223" s="18" t="str">
        <f t="shared" si="34"/>
        <v>CNGWA914</v>
      </c>
      <c r="D223" s="18" t="s">
        <v>418</v>
      </c>
      <c r="E223" s="3">
        <v>0</v>
      </c>
      <c r="F223" s="3">
        <v>0</v>
      </c>
      <c r="G223" s="3">
        <v>0</v>
      </c>
      <c r="H223" s="3">
        <v>0</v>
      </c>
      <c r="I223" s="3">
        <v>0</v>
      </c>
      <c r="J223" s="3">
        <v>0</v>
      </c>
      <c r="K223" s="3">
        <v>0</v>
      </c>
      <c r="L223" s="3">
        <v>0</v>
      </c>
      <c r="M223" s="3">
        <v>0</v>
      </c>
      <c r="N223" s="3">
        <v>0</v>
      </c>
      <c r="O223" s="3">
        <v>0</v>
      </c>
      <c r="P223" s="3">
        <v>0</v>
      </c>
      <c r="Q223" s="474">
        <f t="shared" si="26"/>
        <v>0</v>
      </c>
      <c r="R223" s="326"/>
    </row>
    <row r="224" spans="1:18">
      <c r="A224" s="18">
        <v>214</v>
      </c>
      <c r="C224" s="18" t="str">
        <f t="shared" si="34"/>
        <v>CNGWA914</v>
      </c>
      <c r="D224" s="18" t="s">
        <v>419</v>
      </c>
      <c r="E224" s="3">
        <v>0</v>
      </c>
      <c r="F224" s="3">
        <v>0</v>
      </c>
      <c r="G224" s="3">
        <v>0</v>
      </c>
      <c r="H224" s="3">
        <v>0</v>
      </c>
      <c r="I224" s="3">
        <v>0</v>
      </c>
      <c r="J224" s="3">
        <v>0</v>
      </c>
      <c r="K224" s="3">
        <v>0</v>
      </c>
      <c r="L224" s="3">
        <v>0</v>
      </c>
      <c r="M224" s="3">
        <v>0</v>
      </c>
      <c r="N224" s="3">
        <v>0</v>
      </c>
      <c r="O224" s="3">
        <v>0</v>
      </c>
      <c r="P224" s="3">
        <v>0</v>
      </c>
      <c r="Q224" s="474">
        <f t="shared" si="26"/>
        <v>0</v>
      </c>
      <c r="R224" s="326"/>
    </row>
    <row r="225" spans="1:18">
      <c r="A225" s="18">
        <v>215</v>
      </c>
      <c r="C225" s="18" t="str">
        <f t="shared" si="34"/>
        <v>CNGWA914</v>
      </c>
      <c r="D225" s="18" t="s">
        <v>167</v>
      </c>
      <c r="E225" s="3">
        <v>0</v>
      </c>
      <c r="F225" s="3">
        <v>0</v>
      </c>
      <c r="G225" s="3">
        <v>0</v>
      </c>
      <c r="H225" s="3">
        <v>0</v>
      </c>
      <c r="I225" s="3">
        <v>0</v>
      </c>
      <c r="J225" s="3">
        <v>0</v>
      </c>
      <c r="K225" s="3">
        <v>0</v>
      </c>
      <c r="L225" s="3">
        <v>0</v>
      </c>
      <c r="M225" s="3">
        <v>0</v>
      </c>
      <c r="N225" s="3">
        <v>0</v>
      </c>
      <c r="O225" s="3">
        <v>0</v>
      </c>
      <c r="P225" s="3">
        <v>0</v>
      </c>
      <c r="Q225" s="474">
        <f t="shared" si="26"/>
        <v>0</v>
      </c>
      <c r="R225" s="326"/>
    </row>
    <row r="226" spans="1:18">
      <c r="A226" s="18">
        <v>216</v>
      </c>
      <c r="C226" s="18" t="str">
        <f t="shared" si="34"/>
        <v>CNGWA914</v>
      </c>
      <c r="D226" s="18" t="s">
        <v>426</v>
      </c>
      <c r="E226" s="3">
        <v>0</v>
      </c>
      <c r="F226" s="3">
        <v>0</v>
      </c>
      <c r="G226" s="3">
        <v>0</v>
      </c>
      <c r="H226" s="3">
        <v>0</v>
      </c>
      <c r="I226" s="3">
        <v>0</v>
      </c>
      <c r="J226" s="3">
        <v>0</v>
      </c>
      <c r="K226" s="3">
        <v>0</v>
      </c>
      <c r="L226" s="3">
        <v>0</v>
      </c>
      <c r="M226" s="3">
        <v>0</v>
      </c>
      <c r="N226" s="3">
        <v>0</v>
      </c>
      <c r="O226" s="3">
        <v>0</v>
      </c>
      <c r="P226" s="3">
        <v>0</v>
      </c>
      <c r="Q226" s="474">
        <f t="shared" si="26"/>
        <v>0</v>
      </c>
      <c r="R226" s="326"/>
    </row>
    <row r="227" spans="1:18">
      <c r="A227" s="18">
        <v>217</v>
      </c>
      <c r="C227" s="18" t="str">
        <f t="shared" si="34"/>
        <v>CNGWA914</v>
      </c>
      <c r="D227" s="18" t="s">
        <v>421</v>
      </c>
      <c r="E227" s="3">
        <v>-19912.23</v>
      </c>
      <c r="F227" s="3">
        <v>-21237.19</v>
      </c>
      <c r="G227" s="3">
        <v>-20123.330000000002</v>
      </c>
      <c r="H227" s="3">
        <v>-21229.05</v>
      </c>
      <c r="I227" s="3">
        <v>-21568.28</v>
      </c>
      <c r="J227" s="3">
        <v>-21649.96</v>
      </c>
      <c r="K227" s="3">
        <v>-19700.5</v>
      </c>
      <c r="L227" s="3">
        <v>-20285.490000000002</v>
      </c>
      <c r="M227" s="3">
        <v>-20440.349999999999</v>
      </c>
      <c r="N227" s="3">
        <v>-20528.060000000001</v>
      </c>
      <c r="O227" s="3">
        <f>-N228</f>
        <v>-18164.84</v>
      </c>
      <c r="P227" s="3">
        <f>-O228</f>
        <v>-21869.33</v>
      </c>
      <c r="Q227" s="474">
        <f t="shared" si="26"/>
        <v>-246708.61</v>
      </c>
      <c r="R227" s="326"/>
    </row>
    <row r="228" spans="1:18">
      <c r="A228" s="18">
        <v>218</v>
      </c>
      <c r="C228" s="18" t="str">
        <f t="shared" si="34"/>
        <v>CNGWA914</v>
      </c>
      <c r="D228" s="18" t="s">
        <v>422</v>
      </c>
      <c r="E228" s="3">
        <v>21237.19</v>
      </c>
      <c r="F228" s="3">
        <v>20123.330000000002</v>
      </c>
      <c r="G228" s="3">
        <v>21229.05</v>
      </c>
      <c r="H228" s="3">
        <v>21568.28</v>
      </c>
      <c r="I228" s="3">
        <v>21649.96</v>
      </c>
      <c r="J228" s="3">
        <v>19700.5</v>
      </c>
      <c r="K228" s="3">
        <v>20285.490000000002</v>
      </c>
      <c r="L228" s="3">
        <v>20440.349999999999</v>
      </c>
      <c r="M228" s="3">
        <v>20528.060000000001</v>
      </c>
      <c r="N228" s="3">
        <v>18164.84</v>
      </c>
      <c r="O228" s="3">
        <v>21869.33</v>
      </c>
      <c r="P228" s="3">
        <v>22620.12</v>
      </c>
      <c r="Q228" s="474">
        <f t="shared" si="26"/>
        <v>249416.5</v>
      </c>
      <c r="R228" s="326"/>
    </row>
    <row r="229" spans="1:18">
      <c r="A229" s="18">
        <v>219</v>
      </c>
      <c r="C229" s="18" t="str">
        <f t="shared" si="34"/>
        <v>CNGWA914</v>
      </c>
      <c r="D229" s="18" t="s">
        <v>423</v>
      </c>
      <c r="E229" s="474">
        <f>SUM(E220:E228)</f>
        <v>21237.19</v>
      </c>
      <c r="F229" s="474">
        <f t="shared" ref="F229:P229" si="36">SUM(F220:F228)</f>
        <v>20123.330000000002</v>
      </c>
      <c r="G229" s="474">
        <f t="shared" si="36"/>
        <v>21229.05</v>
      </c>
      <c r="H229" s="474">
        <f t="shared" si="36"/>
        <v>21568.28</v>
      </c>
      <c r="I229" s="474">
        <f t="shared" si="36"/>
        <v>21649.96</v>
      </c>
      <c r="J229" s="474">
        <f t="shared" si="36"/>
        <v>19700.5</v>
      </c>
      <c r="K229" s="474">
        <f t="shared" si="36"/>
        <v>20285.490000000002</v>
      </c>
      <c r="L229" s="474">
        <f t="shared" si="36"/>
        <v>20440.349999999999</v>
      </c>
      <c r="M229" s="474">
        <f t="shared" si="36"/>
        <v>20528.060000000001</v>
      </c>
      <c r="N229" s="474">
        <f t="shared" si="36"/>
        <v>18164.84</v>
      </c>
      <c r="O229" s="474">
        <f t="shared" si="36"/>
        <v>21869.33</v>
      </c>
      <c r="P229" s="474">
        <f t="shared" si="36"/>
        <v>22620.12</v>
      </c>
      <c r="Q229" s="474">
        <f t="shared" ref="Q229:Q290" si="37">SUM(E229:P229)</f>
        <v>249416.5</v>
      </c>
      <c r="R229" s="326"/>
    </row>
    <row r="230" spans="1:18">
      <c r="A230" s="18">
        <v>220</v>
      </c>
      <c r="D230" s="637" t="s">
        <v>414</v>
      </c>
      <c r="F230" s="327"/>
      <c r="G230" s="327"/>
      <c r="H230" s="327"/>
      <c r="I230" s="327"/>
      <c r="J230" s="327"/>
      <c r="K230" s="327"/>
      <c r="L230" s="327"/>
      <c r="M230" s="327"/>
      <c r="N230" s="327"/>
      <c r="O230" s="327"/>
      <c r="P230" s="327"/>
      <c r="Q230" s="328">
        <f t="shared" si="37"/>
        <v>0</v>
      </c>
      <c r="R230" s="326"/>
    </row>
    <row r="231" spans="1:18">
      <c r="A231" s="18">
        <v>221</v>
      </c>
      <c r="D231" s="637"/>
      <c r="F231" s="327"/>
      <c r="G231" s="327"/>
      <c r="H231" s="327"/>
      <c r="I231" s="327"/>
      <c r="J231" s="327"/>
      <c r="K231" s="327"/>
      <c r="L231" s="327"/>
      <c r="M231" s="327"/>
      <c r="N231" s="327"/>
      <c r="O231" s="327"/>
      <c r="P231" s="327"/>
      <c r="Q231" s="328"/>
      <c r="R231" s="326"/>
    </row>
    <row r="232" spans="1:18">
      <c r="A232" s="18">
        <v>222</v>
      </c>
      <c r="D232" s="325" t="s">
        <v>323</v>
      </c>
      <c r="F232" s="327"/>
      <c r="G232" s="327"/>
      <c r="H232" s="327"/>
      <c r="I232" s="327"/>
      <c r="J232" s="327"/>
      <c r="K232" s="327"/>
      <c r="L232" s="327"/>
      <c r="M232" s="327"/>
      <c r="N232" s="327"/>
      <c r="O232" s="327"/>
      <c r="P232" s="327"/>
      <c r="Q232" s="328"/>
      <c r="R232" s="326"/>
    </row>
    <row r="233" spans="1:18">
      <c r="A233" s="18">
        <v>223</v>
      </c>
      <c r="C233" s="18" t="str">
        <f>$D$232</f>
        <v>CNGWA917</v>
      </c>
      <c r="D233" s="18" t="s">
        <v>380</v>
      </c>
      <c r="E233" s="327">
        <v>628834</v>
      </c>
      <c r="F233" s="327">
        <v>570804</v>
      </c>
      <c r="G233" s="327">
        <v>571151</v>
      </c>
      <c r="H233" s="327">
        <v>625606</v>
      </c>
      <c r="I233" s="327">
        <v>573548</v>
      </c>
      <c r="J233" s="327">
        <v>578576</v>
      </c>
      <c r="K233" s="327">
        <v>559636</v>
      </c>
      <c r="L233" s="327">
        <v>556660</v>
      </c>
      <c r="M233" s="327">
        <v>547708</v>
      </c>
      <c r="N233" s="327">
        <v>566840</v>
      </c>
      <c r="O233" s="327">
        <v>579828</v>
      </c>
      <c r="P233" s="327">
        <v>568729</v>
      </c>
      <c r="Q233" s="328">
        <f t="shared" ref="Q233:Q250" si="38">SUM(E233:P233)</f>
        <v>6927920</v>
      </c>
      <c r="R233" s="326"/>
    </row>
    <row r="234" spans="1:18">
      <c r="A234" s="18">
        <v>224</v>
      </c>
      <c r="C234" s="18" t="str">
        <f t="shared" ref="C234:C249" si="39">$D$232</f>
        <v>CNGWA917</v>
      </c>
      <c r="D234" s="18" t="s">
        <v>410</v>
      </c>
      <c r="E234" s="327">
        <v>0</v>
      </c>
      <c r="F234" s="327">
        <v>0</v>
      </c>
      <c r="G234" s="327">
        <v>0</v>
      </c>
      <c r="H234" s="327">
        <v>0</v>
      </c>
      <c r="I234" s="327">
        <v>0</v>
      </c>
      <c r="J234" s="327">
        <v>0</v>
      </c>
      <c r="K234" s="327">
        <v>0</v>
      </c>
      <c r="L234" s="327">
        <v>0</v>
      </c>
      <c r="M234" s="327">
        <v>0</v>
      </c>
      <c r="N234" s="327">
        <v>0</v>
      </c>
      <c r="O234" s="327">
        <v>0</v>
      </c>
      <c r="P234" s="327">
        <v>0</v>
      </c>
      <c r="Q234" s="328">
        <f t="shared" si="38"/>
        <v>0</v>
      </c>
      <c r="R234" s="326"/>
    </row>
    <row r="235" spans="1:18">
      <c r="A235" s="18">
        <v>225</v>
      </c>
      <c r="C235" s="18" t="str">
        <f t="shared" si="39"/>
        <v>CNGWA917</v>
      </c>
      <c r="D235" s="18" t="s">
        <v>411</v>
      </c>
      <c r="E235" s="327">
        <v>0</v>
      </c>
      <c r="F235" s="327">
        <v>0</v>
      </c>
      <c r="G235" s="327">
        <v>0</v>
      </c>
      <c r="H235" s="327">
        <v>0</v>
      </c>
      <c r="I235" s="327">
        <v>0</v>
      </c>
      <c r="J235" s="327">
        <v>0</v>
      </c>
      <c r="K235" s="327">
        <v>0</v>
      </c>
      <c r="L235" s="327">
        <v>0</v>
      </c>
      <c r="M235" s="327">
        <v>0</v>
      </c>
      <c r="N235" s="327">
        <v>0</v>
      </c>
      <c r="O235" s="327">
        <v>0</v>
      </c>
      <c r="P235" s="327">
        <v>0</v>
      </c>
      <c r="Q235" s="328">
        <f t="shared" si="38"/>
        <v>0</v>
      </c>
      <c r="R235" s="326"/>
    </row>
    <row r="236" spans="1:18">
      <c r="A236" s="18">
        <v>226</v>
      </c>
      <c r="C236" s="18" t="str">
        <f t="shared" si="39"/>
        <v>CNGWA917</v>
      </c>
      <c r="D236" s="18" t="s">
        <v>412</v>
      </c>
      <c r="E236" s="327">
        <v>-628834</v>
      </c>
      <c r="F236" s="327">
        <v>-570804</v>
      </c>
      <c r="G236" s="327">
        <v>-571151</v>
      </c>
      <c r="H236" s="327">
        <v>-625606</v>
      </c>
      <c r="I236" s="327">
        <v>-573548</v>
      </c>
      <c r="J236" s="327">
        <v>-578576</v>
      </c>
      <c r="K236" s="327">
        <v>-559636</v>
      </c>
      <c r="L236" s="327">
        <v>-556660</v>
      </c>
      <c r="M236" s="327">
        <v>-547708</v>
      </c>
      <c r="N236" s="327">
        <v>-566840</v>
      </c>
      <c r="O236" s="327">
        <f>-N237</f>
        <v>-579828</v>
      </c>
      <c r="P236" s="327">
        <f>-O237</f>
        <v>-568729</v>
      </c>
      <c r="Q236" s="328">
        <f t="shared" si="38"/>
        <v>-6927920</v>
      </c>
      <c r="R236" s="326"/>
    </row>
    <row r="237" spans="1:18">
      <c r="A237" s="18">
        <v>227</v>
      </c>
      <c r="C237" s="18" t="str">
        <f t="shared" si="39"/>
        <v>CNGWA917</v>
      </c>
      <c r="D237" s="18" t="s">
        <v>413</v>
      </c>
      <c r="E237" s="327">
        <v>570804</v>
      </c>
      <c r="F237" s="327">
        <v>571151</v>
      </c>
      <c r="G237" s="327">
        <v>625606</v>
      </c>
      <c r="H237" s="327">
        <v>573548</v>
      </c>
      <c r="I237" s="327">
        <v>578576</v>
      </c>
      <c r="J237" s="327">
        <v>559636</v>
      </c>
      <c r="K237" s="327">
        <v>556660</v>
      </c>
      <c r="L237" s="327">
        <v>547708</v>
      </c>
      <c r="M237" s="327">
        <v>566840</v>
      </c>
      <c r="N237" s="327">
        <v>579828</v>
      </c>
      <c r="O237" s="327">
        <v>568729</v>
      </c>
      <c r="P237" s="327">
        <v>612495</v>
      </c>
      <c r="Q237" s="328">
        <f t="shared" si="38"/>
        <v>6911581</v>
      </c>
      <c r="R237" s="326"/>
    </row>
    <row r="238" spans="1:18">
      <c r="A238" s="18">
        <v>228</v>
      </c>
      <c r="C238" s="18" t="str">
        <f t="shared" si="39"/>
        <v>CNGWA917</v>
      </c>
      <c r="D238" s="18" t="s">
        <v>195</v>
      </c>
      <c r="E238" s="328">
        <f>SUM(E233:E237)</f>
        <v>570804</v>
      </c>
      <c r="F238" s="328">
        <f t="shared" ref="F238:P238" si="40">SUM(F233:F237)</f>
        <v>571151</v>
      </c>
      <c r="G238" s="328">
        <f t="shared" si="40"/>
        <v>625606</v>
      </c>
      <c r="H238" s="328">
        <f t="shared" si="40"/>
        <v>573548</v>
      </c>
      <c r="I238" s="328">
        <f t="shared" si="40"/>
        <v>578576</v>
      </c>
      <c r="J238" s="328">
        <f t="shared" si="40"/>
        <v>559636</v>
      </c>
      <c r="K238" s="328">
        <f t="shared" si="40"/>
        <v>556660</v>
      </c>
      <c r="L238" s="328">
        <f t="shared" si="40"/>
        <v>547708</v>
      </c>
      <c r="M238" s="328">
        <f t="shared" si="40"/>
        <v>566840</v>
      </c>
      <c r="N238" s="328">
        <f t="shared" si="40"/>
        <v>579828</v>
      </c>
      <c r="O238" s="328">
        <f t="shared" si="40"/>
        <v>568729</v>
      </c>
      <c r="P238" s="328">
        <f t="shared" si="40"/>
        <v>612495</v>
      </c>
      <c r="Q238" s="328">
        <f t="shared" si="38"/>
        <v>6911581</v>
      </c>
      <c r="R238" s="326"/>
    </row>
    <row r="239" spans="1:18">
      <c r="A239" s="18">
        <v>229</v>
      </c>
      <c r="C239" s="18" t="str">
        <f t="shared" si="39"/>
        <v>CNGWA917</v>
      </c>
      <c r="D239" s="637" t="s">
        <v>414</v>
      </c>
      <c r="F239" s="327"/>
      <c r="G239" s="327"/>
      <c r="H239" s="327"/>
      <c r="I239" s="327"/>
      <c r="J239" s="327"/>
      <c r="K239" s="327"/>
      <c r="L239" s="327"/>
      <c r="M239" s="327"/>
      <c r="N239" s="327"/>
      <c r="O239" s="327"/>
      <c r="P239" s="327"/>
      <c r="Q239" s="328">
        <f t="shared" si="38"/>
        <v>0</v>
      </c>
      <c r="R239" s="326"/>
    </row>
    <row r="240" spans="1:18">
      <c r="A240" s="18">
        <v>230</v>
      </c>
      <c r="C240" s="18" t="str">
        <f t="shared" si="39"/>
        <v>CNGWA917</v>
      </c>
      <c r="D240" s="18" t="s">
        <v>415</v>
      </c>
      <c r="E240" s="3">
        <v>14970.52</v>
      </c>
      <c r="F240" s="3">
        <v>14163.57</v>
      </c>
      <c r="G240" s="3">
        <v>14168.41</v>
      </c>
      <c r="H240" s="3">
        <v>14925.62</v>
      </c>
      <c r="I240" s="3">
        <v>14201.73</v>
      </c>
      <c r="J240" s="3">
        <v>14271.64</v>
      </c>
      <c r="K240" s="3">
        <v>14008.28</v>
      </c>
      <c r="L240" s="3">
        <v>13966.89</v>
      </c>
      <c r="M240" s="3">
        <v>13842.41</v>
      </c>
      <c r="N240" s="3">
        <v>14108.45</v>
      </c>
      <c r="O240" s="3">
        <v>14289.05</v>
      </c>
      <c r="P240" s="3">
        <v>14134.72</v>
      </c>
      <c r="Q240" s="474">
        <f t="shared" si="38"/>
        <v>171051.29</v>
      </c>
      <c r="R240" s="326"/>
    </row>
    <row r="241" spans="1:18">
      <c r="A241" s="18">
        <v>231</v>
      </c>
      <c r="C241" s="18" t="str">
        <f t="shared" si="39"/>
        <v>CNGWA917</v>
      </c>
      <c r="D241" s="18" t="s">
        <v>416</v>
      </c>
      <c r="E241" s="3">
        <v>0</v>
      </c>
      <c r="F241" s="3">
        <v>0</v>
      </c>
      <c r="G241" s="3">
        <v>0</v>
      </c>
      <c r="H241" s="3">
        <v>0</v>
      </c>
      <c r="I241" s="3">
        <v>0</v>
      </c>
      <c r="J241" s="3">
        <v>0</v>
      </c>
      <c r="K241" s="3">
        <v>0</v>
      </c>
      <c r="L241" s="3">
        <v>0</v>
      </c>
      <c r="M241" s="3">
        <v>0</v>
      </c>
      <c r="N241" s="3">
        <v>0</v>
      </c>
      <c r="O241" s="3">
        <v>0</v>
      </c>
      <c r="P241" s="3">
        <v>0</v>
      </c>
      <c r="Q241" s="474">
        <f t="shared" si="38"/>
        <v>0</v>
      </c>
      <c r="R241" s="326"/>
    </row>
    <row r="242" spans="1:18">
      <c r="A242" s="18">
        <v>232</v>
      </c>
      <c r="C242" s="18" t="str">
        <f t="shared" si="39"/>
        <v>CNGWA917</v>
      </c>
      <c r="D242" s="18" t="s">
        <v>417</v>
      </c>
      <c r="E242" s="3">
        <v>0</v>
      </c>
      <c r="F242" s="3">
        <v>0</v>
      </c>
      <c r="G242" s="3">
        <v>0</v>
      </c>
      <c r="H242" s="3">
        <v>0</v>
      </c>
      <c r="I242" s="3">
        <v>0</v>
      </c>
      <c r="J242" s="3">
        <v>0</v>
      </c>
      <c r="K242" s="3">
        <v>0</v>
      </c>
      <c r="L242" s="3">
        <v>0</v>
      </c>
      <c r="M242" s="3">
        <v>0</v>
      </c>
      <c r="N242" s="3">
        <v>0</v>
      </c>
      <c r="O242" s="3">
        <v>0</v>
      </c>
      <c r="P242" s="3">
        <v>0</v>
      </c>
      <c r="Q242" s="474">
        <f t="shared" si="38"/>
        <v>0</v>
      </c>
      <c r="R242" s="326"/>
    </row>
    <row r="243" spans="1:18">
      <c r="A243" s="18">
        <v>233</v>
      </c>
      <c r="C243" s="18" t="str">
        <f t="shared" si="39"/>
        <v>CNGWA917</v>
      </c>
      <c r="D243" s="18" t="s">
        <v>418</v>
      </c>
      <c r="E243" s="3">
        <v>0</v>
      </c>
      <c r="F243" s="3">
        <v>0</v>
      </c>
      <c r="G243" s="3">
        <v>0</v>
      </c>
      <c r="H243" s="3">
        <v>0</v>
      </c>
      <c r="I243" s="3">
        <v>0</v>
      </c>
      <c r="J243" s="3">
        <v>0</v>
      </c>
      <c r="K243" s="3">
        <v>0</v>
      </c>
      <c r="L243" s="3">
        <v>0</v>
      </c>
      <c r="M243" s="3">
        <v>0</v>
      </c>
      <c r="N243" s="3">
        <v>0</v>
      </c>
      <c r="O243" s="3">
        <v>0</v>
      </c>
      <c r="P243" s="3">
        <v>0</v>
      </c>
      <c r="Q243" s="474">
        <f t="shared" si="38"/>
        <v>0</v>
      </c>
      <c r="R243" s="326"/>
    </row>
    <row r="244" spans="1:18">
      <c r="A244" s="18">
        <v>234</v>
      </c>
      <c r="C244" s="18" t="str">
        <f t="shared" si="39"/>
        <v>CNGWA917</v>
      </c>
      <c r="D244" s="18" t="s">
        <v>419</v>
      </c>
      <c r="E244" s="3">
        <v>0</v>
      </c>
      <c r="F244" s="3">
        <v>0</v>
      </c>
      <c r="G244" s="3">
        <v>0</v>
      </c>
      <c r="H244" s="3">
        <v>0</v>
      </c>
      <c r="I244" s="3">
        <v>0</v>
      </c>
      <c r="J244" s="3">
        <v>0</v>
      </c>
      <c r="K244" s="3">
        <v>0</v>
      </c>
      <c r="L244" s="3">
        <v>0</v>
      </c>
      <c r="M244" s="3">
        <v>0</v>
      </c>
      <c r="N244" s="3">
        <v>0</v>
      </c>
      <c r="O244" s="3">
        <v>0</v>
      </c>
      <c r="P244" s="3">
        <v>0</v>
      </c>
      <c r="Q244" s="474">
        <f t="shared" si="38"/>
        <v>0</v>
      </c>
      <c r="R244" s="326"/>
    </row>
    <row r="245" spans="1:18">
      <c r="A245" s="18">
        <v>235</v>
      </c>
      <c r="C245" s="18" t="str">
        <f t="shared" si="39"/>
        <v>CNGWA917</v>
      </c>
      <c r="D245" s="18" t="s">
        <v>167</v>
      </c>
      <c r="E245" s="3">
        <v>0</v>
      </c>
      <c r="F245" s="3">
        <v>0</v>
      </c>
      <c r="G245" s="3">
        <v>0</v>
      </c>
      <c r="H245" s="3">
        <v>0</v>
      </c>
      <c r="I245" s="3">
        <v>0</v>
      </c>
      <c r="J245" s="3">
        <v>0</v>
      </c>
      <c r="K245" s="3">
        <v>0</v>
      </c>
      <c r="L245" s="3">
        <v>0</v>
      </c>
      <c r="M245" s="3">
        <v>0</v>
      </c>
      <c r="N245" s="3">
        <v>0</v>
      </c>
      <c r="O245" s="3">
        <v>0</v>
      </c>
      <c r="P245" s="3">
        <v>0</v>
      </c>
      <c r="Q245" s="474">
        <f t="shared" si="38"/>
        <v>0</v>
      </c>
      <c r="R245" s="326"/>
    </row>
    <row r="246" spans="1:18">
      <c r="A246" s="18">
        <v>236</v>
      </c>
      <c r="C246" s="18" t="str">
        <f t="shared" si="39"/>
        <v>CNGWA917</v>
      </c>
      <c r="D246" s="18" t="s">
        <v>426</v>
      </c>
      <c r="E246" s="3">
        <v>0</v>
      </c>
      <c r="F246" s="3">
        <v>0</v>
      </c>
      <c r="G246" s="3">
        <v>0</v>
      </c>
      <c r="H246" s="3">
        <v>0</v>
      </c>
      <c r="I246" s="3">
        <v>0</v>
      </c>
      <c r="J246" s="3">
        <v>0</v>
      </c>
      <c r="K246" s="3">
        <v>0</v>
      </c>
      <c r="L246" s="3">
        <v>0</v>
      </c>
      <c r="M246" s="3">
        <v>0</v>
      </c>
      <c r="N246" s="3">
        <v>0</v>
      </c>
      <c r="O246" s="3">
        <v>0</v>
      </c>
      <c r="P246" s="3">
        <v>0</v>
      </c>
      <c r="Q246" s="474">
        <f t="shared" si="38"/>
        <v>0</v>
      </c>
      <c r="R246" s="326"/>
    </row>
    <row r="247" spans="1:18">
      <c r="A247" s="18">
        <v>237</v>
      </c>
      <c r="C247" s="18" t="str">
        <f t="shared" si="39"/>
        <v>CNGWA917</v>
      </c>
      <c r="D247" s="18" t="s">
        <v>421</v>
      </c>
      <c r="E247" s="3">
        <v>-14970.52</v>
      </c>
      <c r="F247" s="3">
        <v>-14163.57</v>
      </c>
      <c r="G247" s="3">
        <v>-14168.41</v>
      </c>
      <c r="H247" s="3">
        <v>-14925.62</v>
      </c>
      <c r="I247" s="3">
        <v>-14201.73</v>
      </c>
      <c r="J247" s="3">
        <v>-14271.64</v>
      </c>
      <c r="K247" s="3">
        <v>-14008.28</v>
      </c>
      <c r="L247" s="3">
        <v>-13966.89</v>
      </c>
      <c r="M247" s="3">
        <v>-13842.41</v>
      </c>
      <c r="N247" s="3">
        <v>-14108.45</v>
      </c>
      <c r="O247" s="3">
        <f>-N248</f>
        <v>-14289.05</v>
      </c>
      <c r="P247" s="3">
        <f>-O248</f>
        <v>-14134.72</v>
      </c>
      <c r="Q247" s="474">
        <f t="shared" si="38"/>
        <v>-171051.29</v>
      </c>
      <c r="R247" s="326"/>
    </row>
    <row r="248" spans="1:18">
      <c r="A248" s="18">
        <v>238</v>
      </c>
      <c r="C248" s="18" t="str">
        <f t="shared" si="39"/>
        <v>CNGWA917</v>
      </c>
      <c r="D248" s="18" t="s">
        <v>422</v>
      </c>
      <c r="E248" s="3">
        <v>14163.57</v>
      </c>
      <c r="F248" s="3">
        <v>14168.41</v>
      </c>
      <c r="G248" s="3">
        <v>14925.62</v>
      </c>
      <c r="H248" s="3">
        <v>14201.73</v>
      </c>
      <c r="I248" s="3">
        <v>14271.64</v>
      </c>
      <c r="J248" s="3">
        <v>14008.28</v>
      </c>
      <c r="K248" s="3">
        <v>13966.89</v>
      </c>
      <c r="L248" s="3">
        <v>13842.41</v>
      </c>
      <c r="M248" s="3">
        <v>14108.45</v>
      </c>
      <c r="N248" s="3">
        <v>14289.05</v>
      </c>
      <c r="O248" s="3">
        <v>14134.72</v>
      </c>
      <c r="P248" s="3">
        <v>15058.42</v>
      </c>
      <c r="Q248" s="474">
        <f t="shared" si="38"/>
        <v>171139.19</v>
      </c>
      <c r="R248" s="326"/>
    </row>
    <row r="249" spans="1:18">
      <c r="A249" s="18">
        <v>239</v>
      </c>
      <c r="C249" s="18" t="str">
        <f t="shared" si="39"/>
        <v>CNGWA917</v>
      </c>
      <c r="D249" s="18" t="s">
        <v>423</v>
      </c>
      <c r="E249" s="474">
        <f>SUM(E240:E248)</f>
        <v>14163.57</v>
      </c>
      <c r="F249" s="474">
        <f t="shared" ref="F249:P249" si="41">SUM(F240:F248)</f>
        <v>14168.41</v>
      </c>
      <c r="G249" s="474">
        <f t="shared" si="41"/>
        <v>14925.62</v>
      </c>
      <c r="H249" s="474">
        <f t="shared" si="41"/>
        <v>14201.73</v>
      </c>
      <c r="I249" s="474">
        <f t="shared" si="41"/>
        <v>14271.64</v>
      </c>
      <c r="J249" s="474">
        <f t="shared" si="41"/>
        <v>14008.28</v>
      </c>
      <c r="K249" s="474">
        <f t="shared" si="41"/>
        <v>13966.89</v>
      </c>
      <c r="L249" s="474">
        <f t="shared" si="41"/>
        <v>13842.41</v>
      </c>
      <c r="M249" s="474">
        <f t="shared" si="41"/>
        <v>14108.45</v>
      </c>
      <c r="N249" s="474">
        <f t="shared" si="41"/>
        <v>14289.05</v>
      </c>
      <c r="O249" s="474">
        <f t="shared" si="41"/>
        <v>14134.72</v>
      </c>
      <c r="P249" s="474">
        <f t="shared" si="41"/>
        <v>15058.42</v>
      </c>
      <c r="Q249" s="474">
        <f t="shared" si="38"/>
        <v>171139.19</v>
      </c>
      <c r="R249" s="326"/>
    </row>
    <row r="250" spans="1:18">
      <c r="A250" s="18">
        <v>240</v>
      </c>
      <c r="D250" s="637" t="s">
        <v>414</v>
      </c>
      <c r="F250" s="327"/>
      <c r="G250" s="327"/>
      <c r="H250" s="327"/>
      <c r="I250" s="327"/>
      <c r="J250" s="327"/>
      <c r="K250" s="327"/>
      <c r="L250" s="327"/>
      <c r="M250" s="327"/>
      <c r="N250" s="327"/>
      <c r="O250" s="327"/>
      <c r="P250" s="327"/>
      <c r="Q250" s="328">
        <f t="shared" si="38"/>
        <v>0</v>
      </c>
      <c r="R250" s="326"/>
    </row>
    <row r="251" spans="1:18">
      <c r="A251" s="18">
        <v>241</v>
      </c>
      <c r="Q251" s="328"/>
      <c r="R251" s="326"/>
    </row>
    <row r="252" spans="1:18">
      <c r="A252" s="18">
        <v>242</v>
      </c>
      <c r="B252" s="638" t="s">
        <v>428</v>
      </c>
      <c r="D252" s="325" t="s">
        <v>431</v>
      </c>
      <c r="F252" s="327"/>
      <c r="G252" s="327"/>
      <c r="H252" s="327"/>
      <c r="I252" s="327"/>
      <c r="J252" s="327"/>
      <c r="K252" s="327"/>
      <c r="L252" s="327"/>
      <c r="M252" s="327"/>
      <c r="N252" s="327"/>
      <c r="O252" s="327"/>
      <c r="P252" s="327"/>
      <c r="Q252" s="328"/>
      <c r="R252" s="326"/>
    </row>
    <row r="253" spans="1:18">
      <c r="A253" s="18">
        <v>243</v>
      </c>
      <c r="B253" s="638" t="s">
        <v>432</v>
      </c>
      <c r="C253" s="18" t="str">
        <f t="shared" ref="C253:C269" si="42">$D$252</f>
        <v>CNGWA6631</v>
      </c>
      <c r="D253" s="18" t="s">
        <v>380</v>
      </c>
      <c r="E253" s="327">
        <v>16998545</v>
      </c>
      <c r="F253" s="327">
        <v>16168335</v>
      </c>
      <c r="G253" s="327">
        <v>15338934</v>
      </c>
      <c r="H253" s="327">
        <v>26526366</v>
      </c>
      <c r="I253" s="327">
        <v>29942020</v>
      </c>
      <c r="J253" s="327">
        <v>3694367</v>
      </c>
      <c r="K253" s="327">
        <v>4712722</v>
      </c>
      <c r="L253" s="327">
        <v>22459988</v>
      </c>
      <c r="M253" s="327">
        <v>29338005</v>
      </c>
      <c r="N253" s="327">
        <v>30594564</v>
      </c>
      <c r="O253" s="327">
        <v>26546461</v>
      </c>
      <c r="P253" s="327">
        <v>24781156</v>
      </c>
      <c r="Q253" s="328">
        <f t="shared" si="37"/>
        <v>247101463</v>
      </c>
      <c r="R253" s="326"/>
    </row>
    <row r="254" spans="1:18">
      <c r="A254" s="18">
        <v>244</v>
      </c>
      <c r="B254" s="639">
        <v>4863</v>
      </c>
      <c r="C254" s="18" t="str">
        <f t="shared" si="42"/>
        <v>CNGWA6631</v>
      </c>
      <c r="D254" s="18" t="s">
        <v>410</v>
      </c>
      <c r="E254" s="327">
        <v>0</v>
      </c>
      <c r="F254" s="327">
        <v>0</v>
      </c>
      <c r="G254" s="327">
        <v>0</v>
      </c>
      <c r="H254" s="327">
        <v>0</v>
      </c>
      <c r="I254" s="327">
        <v>0</v>
      </c>
      <c r="J254" s="327">
        <v>0</v>
      </c>
      <c r="K254" s="327">
        <v>0</v>
      </c>
      <c r="L254" s="327">
        <v>0</v>
      </c>
      <c r="M254" s="327">
        <v>0</v>
      </c>
      <c r="N254" s="327">
        <v>0</v>
      </c>
      <c r="O254" s="327">
        <v>0</v>
      </c>
      <c r="P254" s="327">
        <v>0</v>
      </c>
      <c r="Q254" s="328">
        <f t="shared" si="37"/>
        <v>0</v>
      </c>
      <c r="R254" s="326"/>
    </row>
    <row r="255" spans="1:18">
      <c r="A255" s="18">
        <v>245</v>
      </c>
      <c r="C255" s="18" t="str">
        <f t="shared" si="42"/>
        <v>CNGWA6631</v>
      </c>
      <c r="D255" s="18" t="s">
        <v>411</v>
      </c>
      <c r="E255" s="327">
        <v>0</v>
      </c>
      <c r="F255" s="327">
        <v>0</v>
      </c>
      <c r="G255" s="327">
        <v>0</v>
      </c>
      <c r="H255" s="327">
        <v>0</v>
      </c>
      <c r="I255" s="327">
        <v>0</v>
      </c>
      <c r="J255" s="327">
        <v>0</v>
      </c>
      <c r="K255" s="327">
        <v>0</v>
      </c>
      <c r="L255" s="327">
        <v>0</v>
      </c>
      <c r="M255" s="327">
        <v>0</v>
      </c>
      <c r="N255" s="327">
        <v>0</v>
      </c>
      <c r="O255" s="327">
        <v>0</v>
      </c>
      <c r="P255" s="327">
        <v>0</v>
      </c>
      <c r="Q255" s="328">
        <f t="shared" si="37"/>
        <v>0</v>
      </c>
      <c r="R255" s="326"/>
    </row>
    <row r="256" spans="1:18">
      <c r="A256" s="18">
        <v>246</v>
      </c>
      <c r="C256" s="18" t="str">
        <f t="shared" si="42"/>
        <v>CNGWA6631</v>
      </c>
      <c r="D256" s="18" t="s">
        <v>412</v>
      </c>
      <c r="E256" s="327">
        <v>-16998545</v>
      </c>
      <c r="F256" s="327">
        <v>-16168335</v>
      </c>
      <c r="G256" s="327">
        <v>-15338934</v>
      </c>
      <c r="H256" s="327">
        <v>-26526366</v>
      </c>
      <c r="I256" s="327">
        <v>-29942020</v>
      </c>
      <c r="J256" s="327">
        <v>-3694367</v>
      </c>
      <c r="K256" s="327">
        <v>-4712722</v>
      </c>
      <c r="L256" s="327">
        <v>-22459988</v>
      </c>
      <c r="M256" s="327">
        <v>-29338005</v>
      </c>
      <c r="N256" s="327">
        <v>-30594564</v>
      </c>
      <c r="O256" s="327">
        <f>-N257</f>
        <v>-26546461</v>
      </c>
      <c r="P256" s="327">
        <f>-O257</f>
        <v>-24781156</v>
      </c>
      <c r="Q256" s="328">
        <f t="shared" si="37"/>
        <v>-247101463</v>
      </c>
      <c r="R256" s="326"/>
    </row>
    <row r="257" spans="1:18">
      <c r="A257" s="18">
        <v>247</v>
      </c>
      <c r="C257" s="18" t="str">
        <f t="shared" si="42"/>
        <v>CNGWA6631</v>
      </c>
      <c r="D257" s="18" t="s">
        <v>413</v>
      </c>
      <c r="E257" s="327">
        <v>16168335</v>
      </c>
      <c r="F257" s="327">
        <v>15338934</v>
      </c>
      <c r="G257" s="327">
        <v>26526366</v>
      </c>
      <c r="H257" s="327">
        <v>29942020</v>
      </c>
      <c r="I257" s="327">
        <v>3694367</v>
      </c>
      <c r="J257" s="327">
        <v>4712722</v>
      </c>
      <c r="K257" s="327">
        <v>22459988</v>
      </c>
      <c r="L257" s="327">
        <v>29338005</v>
      </c>
      <c r="M257" s="327">
        <v>30594564</v>
      </c>
      <c r="N257" s="327">
        <v>26546461</v>
      </c>
      <c r="O257" s="327">
        <v>24781156</v>
      </c>
      <c r="P257" s="327">
        <v>28014872</v>
      </c>
      <c r="Q257" s="328">
        <f t="shared" si="37"/>
        <v>258117790</v>
      </c>
      <c r="R257" s="326"/>
    </row>
    <row r="258" spans="1:18">
      <c r="A258" s="18">
        <v>248</v>
      </c>
      <c r="C258" s="18" t="str">
        <f t="shared" si="42"/>
        <v>CNGWA6631</v>
      </c>
      <c r="D258" s="18" t="s">
        <v>195</v>
      </c>
      <c r="E258" s="328">
        <f>SUM(E253:E257)</f>
        <v>16168335</v>
      </c>
      <c r="F258" s="328">
        <f t="shared" ref="F258:P258" si="43">SUM(F253:F257)</f>
        <v>15338934</v>
      </c>
      <c r="G258" s="328">
        <f t="shared" si="43"/>
        <v>26526366</v>
      </c>
      <c r="H258" s="328">
        <f t="shared" si="43"/>
        <v>29942020</v>
      </c>
      <c r="I258" s="328">
        <f t="shared" si="43"/>
        <v>3694367</v>
      </c>
      <c r="J258" s="328">
        <f t="shared" si="43"/>
        <v>4712722</v>
      </c>
      <c r="K258" s="328">
        <f t="shared" si="43"/>
        <v>22459988</v>
      </c>
      <c r="L258" s="328">
        <f t="shared" si="43"/>
        <v>29338005</v>
      </c>
      <c r="M258" s="328">
        <f t="shared" si="43"/>
        <v>30594564</v>
      </c>
      <c r="N258" s="328">
        <f t="shared" si="43"/>
        <v>26546461</v>
      </c>
      <c r="O258" s="328">
        <f t="shared" si="43"/>
        <v>24781156</v>
      </c>
      <c r="P258" s="328">
        <f t="shared" si="43"/>
        <v>28014872</v>
      </c>
      <c r="Q258" s="328">
        <f t="shared" si="37"/>
        <v>258117790</v>
      </c>
      <c r="R258" s="326"/>
    </row>
    <row r="259" spans="1:18">
      <c r="A259" s="18">
        <v>249</v>
      </c>
      <c r="C259" s="18" t="str">
        <f t="shared" si="42"/>
        <v>CNGWA6631</v>
      </c>
      <c r="D259" s="637" t="s">
        <v>414</v>
      </c>
      <c r="F259" s="327"/>
      <c r="G259" s="327"/>
      <c r="H259" s="327"/>
      <c r="I259" s="327"/>
      <c r="J259" s="327"/>
      <c r="K259" s="327"/>
      <c r="L259" s="327"/>
      <c r="M259" s="327"/>
      <c r="N259" s="327"/>
      <c r="O259" s="327"/>
      <c r="P259" s="327"/>
      <c r="Q259" s="328">
        <f t="shared" si="37"/>
        <v>0</v>
      </c>
      <c r="R259" s="326"/>
    </row>
    <row r="260" spans="1:18">
      <c r="A260" s="18">
        <v>250</v>
      </c>
      <c r="C260" s="18" t="str">
        <f t="shared" si="42"/>
        <v>CNGWA6631</v>
      </c>
      <c r="D260" s="18" t="s">
        <v>415</v>
      </c>
      <c r="E260" s="3">
        <v>387517.75</v>
      </c>
      <c r="F260" s="3">
        <v>378440.08</v>
      </c>
      <c r="G260" s="3">
        <v>369872.29</v>
      </c>
      <c r="H260" s="3">
        <v>500118.74</v>
      </c>
      <c r="I260" s="3">
        <v>537943.35</v>
      </c>
      <c r="J260" s="3">
        <v>247279.57</v>
      </c>
      <c r="K260" s="3">
        <v>247947.33</v>
      </c>
      <c r="L260" s="3">
        <v>455088.12</v>
      </c>
      <c r="M260" s="3">
        <v>531254.53</v>
      </c>
      <c r="N260" s="3">
        <v>545169.54</v>
      </c>
      <c r="O260" s="3">
        <v>501538.91</v>
      </c>
      <c r="P260" s="3">
        <v>520321.26</v>
      </c>
      <c r="Q260" s="474">
        <f t="shared" si="37"/>
        <v>5222491.47</v>
      </c>
      <c r="R260" s="326"/>
    </row>
    <row r="261" spans="1:18">
      <c r="A261" s="18">
        <v>251</v>
      </c>
      <c r="C261" s="18" t="str">
        <f t="shared" si="42"/>
        <v>CNGWA6631</v>
      </c>
      <c r="D261" s="18" t="s">
        <v>416</v>
      </c>
      <c r="E261" s="3">
        <v>0</v>
      </c>
      <c r="F261" s="3">
        <v>0</v>
      </c>
      <c r="G261" s="3">
        <v>0</v>
      </c>
      <c r="H261" s="3">
        <v>0</v>
      </c>
      <c r="I261" s="3">
        <v>0</v>
      </c>
      <c r="J261" s="3">
        <v>0</v>
      </c>
      <c r="K261" s="3">
        <v>0</v>
      </c>
      <c r="L261" s="3">
        <v>0</v>
      </c>
      <c r="M261" s="3">
        <v>0</v>
      </c>
      <c r="N261" s="3">
        <v>0</v>
      </c>
      <c r="O261" s="3">
        <v>0</v>
      </c>
      <c r="P261" s="3">
        <v>0</v>
      </c>
      <c r="Q261" s="474">
        <f t="shared" si="37"/>
        <v>0</v>
      </c>
      <c r="R261" s="326"/>
    </row>
    <row r="262" spans="1:18">
      <c r="A262" s="18">
        <v>252</v>
      </c>
      <c r="C262" s="18" t="str">
        <f t="shared" si="42"/>
        <v>CNGWA6631</v>
      </c>
      <c r="D262" s="18" t="s">
        <v>417</v>
      </c>
      <c r="E262" s="3">
        <v>0</v>
      </c>
      <c r="F262" s="3">
        <v>0</v>
      </c>
      <c r="G262" s="3">
        <v>0</v>
      </c>
      <c r="H262" s="3">
        <v>0</v>
      </c>
      <c r="I262" s="3">
        <v>0</v>
      </c>
      <c r="J262" s="3">
        <v>0</v>
      </c>
      <c r="K262" s="3">
        <v>0</v>
      </c>
      <c r="L262" s="3">
        <v>0</v>
      </c>
      <c r="M262" s="3">
        <v>0</v>
      </c>
      <c r="N262" s="3">
        <v>0</v>
      </c>
      <c r="O262" s="3">
        <v>0</v>
      </c>
      <c r="P262" s="3">
        <v>0</v>
      </c>
      <c r="Q262" s="474">
        <f t="shared" si="37"/>
        <v>0</v>
      </c>
    </row>
    <row r="263" spans="1:18">
      <c r="A263" s="18">
        <v>253</v>
      </c>
      <c r="C263" s="18" t="str">
        <f t="shared" si="42"/>
        <v>CNGWA6631</v>
      </c>
      <c r="D263" s="18" t="s">
        <v>418</v>
      </c>
      <c r="E263" s="3">
        <v>0</v>
      </c>
      <c r="F263" s="3">
        <v>0</v>
      </c>
      <c r="G263" s="3">
        <v>0</v>
      </c>
      <c r="H263" s="3">
        <v>0</v>
      </c>
      <c r="I263" s="3">
        <v>0</v>
      </c>
      <c r="J263" s="3">
        <v>0</v>
      </c>
      <c r="K263" s="3">
        <v>0</v>
      </c>
      <c r="L263" s="3">
        <v>0</v>
      </c>
      <c r="M263" s="3">
        <v>0</v>
      </c>
      <c r="N263" s="3">
        <v>0</v>
      </c>
      <c r="O263" s="3">
        <v>0</v>
      </c>
      <c r="P263" s="3">
        <v>0</v>
      </c>
      <c r="Q263" s="474">
        <f t="shared" si="37"/>
        <v>0</v>
      </c>
    </row>
    <row r="264" spans="1:18">
      <c r="A264" s="18">
        <v>254</v>
      </c>
      <c r="C264" s="18" t="str">
        <f t="shared" si="42"/>
        <v>CNGWA6631</v>
      </c>
      <c r="D264" s="18" t="s">
        <v>419</v>
      </c>
      <c r="E264" s="3">
        <v>-13984.56</v>
      </c>
      <c r="F264" s="3">
        <v>-11042.99</v>
      </c>
      <c r="G264" s="3">
        <v>-16971.93</v>
      </c>
      <c r="H264" s="3">
        <v>-15509.83</v>
      </c>
      <c r="I264" s="3">
        <v>-3683.38</v>
      </c>
      <c r="J264" s="3">
        <v>-4315.29</v>
      </c>
      <c r="K264" s="3">
        <v>-15047.67</v>
      </c>
      <c r="L264" s="3">
        <v>-18302.77</v>
      </c>
      <c r="M264" s="3">
        <v>-18501.98</v>
      </c>
      <c r="N264" s="3">
        <v>-16240.15</v>
      </c>
      <c r="O264" s="3">
        <v>-56229.25</v>
      </c>
      <c r="P264" s="3">
        <v>-59208.14</v>
      </c>
      <c r="Q264" s="474">
        <f t="shared" si="37"/>
        <v>-249037.94</v>
      </c>
    </row>
    <row r="265" spans="1:18">
      <c r="A265" s="18">
        <v>255</v>
      </c>
      <c r="C265" s="18" t="str">
        <f t="shared" si="42"/>
        <v>CNGWA6631</v>
      </c>
      <c r="D265" s="18" t="s">
        <v>167</v>
      </c>
      <c r="E265" s="3">
        <v>0</v>
      </c>
      <c r="F265" s="3">
        <v>0</v>
      </c>
      <c r="G265" s="3">
        <v>0</v>
      </c>
      <c r="H265" s="3">
        <v>0</v>
      </c>
      <c r="I265" s="3">
        <v>0</v>
      </c>
      <c r="J265" s="3">
        <v>0</v>
      </c>
      <c r="K265" s="3">
        <v>0</v>
      </c>
      <c r="L265" s="3">
        <v>0</v>
      </c>
      <c r="M265" s="3">
        <v>0</v>
      </c>
      <c r="N265" s="3">
        <v>0</v>
      </c>
      <c r="O265" s="3">
        <v>0</v>
      </c>
      <c r="P265" s="3">
        <v>0</v>
      </c>
      <c r="Q265" s="474">
        <f t="shared" si="37"/>
        <v>0</v>
      </c>
    </row>
    <row r="266" spans="1:18">
      <c r="A266" s="18">
        <v>256</v>
      </c>
      <c r="C266" s="18" t="str">
        <f t="shared" si="42"/>
        <v>CNGWA6631</v>
      </c>
      <c r="D266" s="18" t="s">
        <v>426</v>
      </c>
      <c r="E266" s="3">
        <v>0</v>
      </c>
      <c r="F266" s="3">
        <v>0</v>
      </c>
      <c r="G266" s="3">
        <v>0</v>
      </c>
      <c r="H266" s="3">
        <v>0</v>
      </c>
      <c r="I266" s="3">
        <v>0</v>
      </c>
      <c r="J266" s="3">
        <v>0</v>
      </c>
      <c r="K266" s="3">
        <v>0</v>
      </c>
      <c r="L266" s="3">
        <v>0</v>
      </c>
      <c r="M266" s="3">
        <v>0</v>
      </c>
      <c r="N266" s="3">
        <v>0</v>
      </c>
      <c r="O266" s="3">
        <v>0</v>
      </c>
      <c r="P266" s="3">
        <v>0</v>
      </c>
      <c r="Q266" s="474">
        <f t="shared" si="37"/>
        <v>0</v>
      </c>
    </row>
    <row r="267" spans="1:18">
      <c r="A267" s="18">
        <v>257</v>
      </c>
      <c r="C267" s="18" t="str">
        <f t="shared" si="42"/>
        <v>CNGWA6631</v>
      </c>
      <c r="D267" s="18" t="s">
        <v>421</v>
      </c>
      <c r="E267" s="3">
        <v>-387517.75</v>
      </c>
      <c r="F267" s="3">
        <v>-378440.08</v>
      </c>
      <c r="G267" s="3">
        <v>-369872.29</v>
      </c>
      <c r="H267" s="3">
        <v>-500118.74</v>
      </c>
      <c r="I267" s="3">
        <v>-537943.35</v>
      </c>
      <c r="J267" s="3">
        <v>-247279.57</v>
      </c>
      <c r="K267" s="3">
        <v>-247947.33</v>
      </c>
      <c r="L267" s="3">
        <v>-455088.12</v>
      </c>
      <c r="M267" s="3">
        <v>-531254.53</v>
      </c>
      <c r="N267" s="3">
        <v>-545169.54</v>
      </c>
      <c r="O267" s="3">
        <f>-N268</f>
        <v>-501538.91000000003</v>
      </c>
      <c r="P267" s="3">
        <f>-O268</f>
        <v>-520321.26</v>
      </c>
      <c r="Q267" s="474">
        <f t="shared" si="37"/>
        <v>-5222491.47</v>
      </c>
    </row>
    <row r="268" spans="1:18">
      <c r="A268" s="18">
        <v>258</v>
      </c>
      <c r="C268" s="18" t="str">
        <f t="shared" si="42"/>
        <v>CNGWA6631</v>
      </c>
      <c r="D268" s="18" t="s">
        <v>422</v>
      </c>
      <c r="E268" s="3">
        <v>378440.08</v>
      </c>
      <c r="F268" s="3">
        <v>369872.29</v>
      </c>
      <c r="G268" s="3">
        <v>500118.74</v>
      </c>
      <c r="H268" s="3">
        <v>537943.35</v>
      </c>
      <c r="I268" s="3">
        <v>247279.57</v>
      </c>
      <c r="J268" s="3">
        <v>247947.33</v>
      </c>
      <c r="K268" s="3">
        <v>455088.12</v>
      </c>
      <c r="L268" s="3">
        <v>531254.53</v>
      </c>
      <c r="M268" s="3">
        <v>545169.54</v>
      </c>
      <c r="N268" s="3">
        <v>501538.91000000003</v>
      </c>
      <c r="O268" s="3">
        <v>520321.26</v>
      </c>
      <c r="P268" s="3">
        <v>561289.23</v>
      </c>
      <c r="Q268" s="474">
        <f t="shared" si="37"/>
        <v>5396262.9499999993</v>
      </c>
    </row>
    <row r="269" spans="1:18">
      <c r="A269" s="18">
        <v>259</v>
      </c>
      <c r="C269" s="18" t="str">
        <f t="shared" si="42"/>
        <v>CNGWA6631</v>
      </c>
      <c r="D269" s="18" t="s">
        <v>423</v>
      </c>
      <c r="E269" s="474">
        <f>SUM(E260:E268)</f>
        <v>364455.52</v>
      </c>
      <c r="F269" s="474">
        <f t="shared" ref="F269:P269" si="44">SUM(F260:F268)</f>
        <v>358829.3</v>
      </c>
      <c r="G269" s="474">
        <f t="shared" si="44"/>
        <v>483146.81</v>
      </c>
      <c r="H269" s="474">
        <f t="shared" si="44"/>
        <v>522433.51999999996</v>
      </c>
      <c r="I269" s="474">
        <f t="shared" si="44"/>
        <v>243596.19</v>
      </c>
      <c r="J269" s="474">
        <f t="shared" si="44"/>
        <v>243632.03999999998</v>
      </c>
      <c r="K269" s="474">
        <f t="shared" si="44"/>
        <v>440040.44999999995</v>
      </c>
      <c r="L269" s="474">
        <f t="shared" si="44"/>
        <v>512951.76</v>
      </c>
      <c r="M269" s="474">
        <f t="shared" si="44"/>
        <v>526667.56000000006</v>
      </c>
      <c r="N269" s="474">
        <f t="shared" si="44"/>
        <v>485298.76</v>
      </c>
      <c r="O269" s="474">
        <f t="shared" si="44"/>
        <v>464092.00999999995</v>
      </c>
      <c r="P269" s="474">
        <f t="shared" si="44"/>
        <v>502081.08999999997</v>
      </c>
      <c r="Q269" s="474">
        <f t="shared" si="37"/>
        <v>5147225.01</v>
      </c>
    </row>
    <row r="270" spans="1:18">
      <c r="A270" s="18">
        <v>260</v>
      </c>
      <c r="D270" s="637" t="s">
        <v>414</v>
      </c>
      <c r="E270" s="791"/>
      <c r="F270" s="791"/>
      <c r="G270" s="791"/>
      <c r="H270" s="791"/>
      <c r="I270" s="791"/>
      <c r="J270" s="791"/>
      <c r="K270" s="791"/>
      <c r="L270" s="791"/>
      <c r="M270" s="791"/>
      <c r="N270" s="791"/>
      <c r="O270" s="791"/>
      <c r="P270" s="791"/>
      <c r="Q270" s="328">
        <f t="shared" si="37"/>
        <v>0</v>
      </c>
    </row>
    <row r="271" spans="1:18">
      <c r="A271" s="18">
        <v>261</v>
      </c>
      <c r="D271" s="637"/>
      <c r="E271" s="791"/>
      <c r="F271" s="791"/>
      <c r="G271" s="791"/>
      <c r="H271" s="791"/>
      <c r="I271" s="791"/>
      <c r="J271" s="791"/>
      <c r="K271" s="791"/>
      <c r="L271" s="791"/>
      <c r="M271" s="791"/>
      <c r="N271" s="791"/>
      <c r="O271" s="791"/>
      <c r="P271" s="791"/>
      <c r="Q271" s="328"/>
    </row>
    <row r="272" spans="1:18">
      <c r="A272" s="18">
        <v>262</v>
      </c>
      <c r="D272" s="325" t="s">
        <v>433</v>
      </c>
      <c r="E272" s="792"/>
      <c r="F272" s="792"/>
      <c r="G272" s="792"/>
      <c r="H272" s="792"/>
      <c r="I272" s="792"/>
      <c r="J272" s="792"/>
      <c r="K272" s="792"/>
      <c r="L272" s="792"/>
      <c r="M272" s="792"/>
      <c r="N272" s="792"/>
      <c r="O272" s="792"/>
      <c r="P272" s="792"/>
      <c r="Q272" s="328"/>
    </row>
    <row r="273" spans="1:17">
      <c r="A273" s="18">
        <v>263</v>
      </c>
      <c r="C273" s="18" t="str">
        <f>$D$272</f>
        <v>CNGWA6633</v>
      </c>
      <c r="D273" s="18" t="s">
        <v>380</v>
      </c>
      <c r="E273" s="327">
        <v>11673772</v>
      </c>
      <c r="F273" s="327">
        <v>23787542</v>
      </c>
      <c r="G273" s="327">
        <v>16212465</v>
      </c>
      <c r="H273" s="327">
        <v>21964868</v>
      </c>
      <c r="I273" s="327">
        <v>14371774</v>
      </c>
      <c r="J273" s="327">
        <v>6829590</v>
      </c>
      <c r="K273" s="327">
        <v>7616678</v>
      </c>
      <c r="L273" s="327">
        <v>20533368</v>
      </c>
      <c r="M273" s="327">
        <v>22955610</v>
      </c>
      <c r="N273" s="327">
        <v>22268232</v>
      </c>
      <c r="O273" s="327">
        <v>19853962</v>
      </c>
      <c r="P273" s="327">
        <v>22870749</v>
      </c>
      <c r="Q273" s="328">
        <f t="shared" si="37"/>
        <v>210938610</v>
      </c>
    </row>
    <row r="274" spans="1:17">
      <c r="A274" s="18">
        <v>264</v>
      </c>
      <c r="C274" s="18" t="str">
        <f t="shared" ref="C274:C289" si="45">$D$272</f>
        <v>CNGWA6633</v>
      </c>
      <c r="D274" s="18" t="s">
        <v>410</v>
      </c>
      <c r="E274" s="327">
        <v>0</v>
      </c>
      <c r="F274" s="327">
        <v>0</v>
      </c>
      <c r="G274" s="327">
        <v>0</v>
      </c>
      <c r="H274" s="327">
        <v>0</v>
      </c>
      <c r="I274" s="327">
        <v>0</v>
      </c>
      <c r="J274" s="327">
        <v>0</v>
      </c>
      <c r="K274" s="327">
        <v>0</v>
      </c>
      <c r="L274" s="327">
        <v>0</v>
      </c>
      <c r="M274" s="327">
        <v>0</v>
      </c>
      <c r="N274" s="327">
        <v>0</v>
      </c>
      <c r="O274" s="327">
        <v>0</v>
      </c>
      <c r="P274" s="327">
        <v>0</v>
      </c>
      <c r="Q274" s="328">
        <f t="shared" si="37"/>
        <v>0</v>
      </c>
    </row>
    <row r="275" spans="1:17">
      <c r="A275" s="18">
        <v>265</v>
      </c>
      <c r="C275" s="18" t="str">
        <f t="shared" si="45"/>
        <v>CNGWA6633</v>
      </c>
      <c r="D275" s="18" t="s">
        <v>411</v>
      </c>
      <c r="E275" s="327">
        <v>0</v>
      </c>
      <c r="F275" s="327">
        <v>0</v>
      </c>
      <c r="G275" s="327">
        <v>0</v>
      </c>
      <c r="H275" s="327">
        <v>0</v>
      </c>
      <c r="I275" s="327">
        <v>0</v>
      </c>
      <c r="J275" s="327">
        <v>0</v>
      </c>
      <c r="K275" s="327">
        <v>0</v>
      </c>
      <c r="L275" s="327">
        <v>0</v>
      </c>
      <c r="M275" s="327">
        <v>0</v>
      </c>
      <c r="N275" s="327">
        <v>0</v>
      </c>
      <c r="O275" s="327">
        <v>0</v>
      </c>
      <c r="P275" s="327">
        <v>0</v>
      </c>
      <c r="Q275" s="328">
        <f t="shared" si="37"/>
        <v>0</v>
      </c>
    </row>
    <row r="276" spans="1:17">
      <c r="A276" s="18">
        <v>266</v>
      </c>
      <c r="C276" s="18" t="str">
        <f t="shared" si="45"/>
        <v>CNGWA6633</v>
      </c>
      <c r="D276" s="18" t="s">
        <v>412</v>
      </c>
      <c r="E276" s="327">
        <v>-11673772</v>
      </c>
      <c r="F276" s="327">
        <v>-23787542</v>
      </c>
      <c r="G276" s="327">
        <v>-16212465</v>
      </c>
      <c r="H276" s="327">
        <v>-21964868</v>
      </c>
      <c r="I276" s="327">
        <v>-14371774</v>
      </c>
      <c r="J276" s="327">
        <v>-6829590</v>
      </c>
      <c r="K276" s="327">
        <v>-7616678</v>
      </c>
      <c r="L276" s="327">
        <v>-20533368</v>
      </c>
      <c r="M276" s="327">
        <v>-22955610</v>
      </c>
      <c r="N276" s="327">
        <v>-22268232</v>
      </c>
      <c r="O276" s="327">
        <f>-N277</f>
        <v>-19853962</v>
      </c>
      <c r="P276" s="327">
        <f>-O277</f>
        <v>-22870749</v>
      </c>
      <c r="Q276" s="328">
        <f t="shared" si="37"/>
        <v>-210938610</v>
      </c>
    </row>
    <row r="277" spans="1:17">
      <c r="A277" s="18">
        <v>267</v>
      </c>
      <c r="C277" s="18" t="str">
        <f t="shared" si="45"/>
        <v>CNGWA6633</v>
      </c>
      <c r="D277" s="18" t="s">
        <v>413</v>
      </c>
      <c r="E277" s="327">
        <v>23787542</v>
      </c>
      <c r="F277" s="327">
        <v>16212465</v>
      </c>
      <c r="G277" s="327">
        <v>21964868</v>
      </c>
      <c r="H277" s="327">
        <v>14371774</v>
      </c>
      <c r="I277" s="327">
        <v>6829590</v>
      </c>
      <c r="J277" s="327">
        <v>7616678</v>
      </c>
      <c r="K277" s="327">
        <v>20533368</v>
      </c>
      <c r="L277" s="327">
        <v>22955610</v>
      </c>
      <c r="M277" s="327">
        <v>22268232</v>
      </c>
      <c r="N277" s="327">
        <v>19853962</v>
      </c>
      <c r="O277" s="327">
        <v>22870749</v>
      </c>
      <c r="P277" s="327">
        <v>22161518</v>
      </c>
      <c r="Q277" s="328">
        <f t="shared" si="37"/>
        <v>221426356</v>
      </c>
    </row>
    <row r="278" spans="1:17">
      <c r="A278" s="18">
        <v>268</v>
      </c>
      <c r="C278" s="18" t="str">
        <f t="shared" si="45"/>
        <v>CNGWA6633</v>
      </c>
      <c r="D278" s="18" t="s">
        <v>195</v>
      </c>
      <c r="E278" s="328">
        <f>SUM(E273:E277)</f>
        <v>23787542</v>
      </c>
      <c r="F278" s="328">
        <f t="shared" ref="F278:P278" si="46">SUM(F273:F277)</f>
        <v>16212465</v>
      </c>
      <c r="G278" s="328">
        <f t="shared" si="46"/>
        <v>21964868</v>
      </c>
      <c r="H278" s="328">
        <f t="shared" si="46"/>
        <v>14371774</v>
      </c>
      <c r="I278" s="328">
        <f t="shared" si="46"/>
        <v>6829590</v>
      </c>
      <c r="J278" s="328">
        <f t="shared" si="46"/>
        <v>7616678</v>
      </c>
      <c r="K278" s="328">
        <f t="shared" si="46"/>
        <v>20533368</v>
      </c>
      <c r="L278" s="328">
        <f t="shared" si="46"/>
        <v>22955610</v>
      </c>
      <c r="M278" s="328">
        <f t="shared" si="46"/>
        <v>22268232</v>
      </c>
      <c r="N278" s="328">
        <f t="shared" si="46"/>
        <v>19853962</v>
      </c>
      <c r="O278" s="328">
        <f t="shared" si="46"/>
        <v>22870749</v>
      </c>
      <c r="P278" s="328">
        <f t="shared" si="46"/>
        <v>22161518</v>
      </c>
      <c r="Q278" s="328">
        <f t="shared" si="37"/>
        <v>221426356</v>
      </c>
    </row>
    <row r="279" spans="1:17">
      <c r="A279" s="18">
        <v>269</v>
      </c>
      <c r="C279" s="18" t="str">
        <f t="shared" si="45"/>
        <v>CNGWA6633</v>
      </c>
      <c r="D279" s="637" t="s">
        <v>414</v>
      </c>
      <c r="E279" s="791"/>
      <c r="F279" s="791"/>
      <c r="G279" s="791"/>
      <c r="H279" s="791"/>
      <c r="I279" s="791"/>
      <c r="J279" s="791"/>
      <c r="K279" s="791"/>
      <c r="L279" s="791"/>
      <c r="M279" s="791"/>
      <c r="N279" s="791"/>
      <c r="O279" s="791"/>
      <c r="P279" s="791"/>
      <c r="Q279" s="328">
        <f t="shared" si="37"/>
        <v>0</v>
      </c>
    </row>
    <row r="280" spans="1:17">
      <c r="A280" s="18">
        <v>270</v>
      </c>
      <c r="C280" s="18" t="str">
        <f t="shared" si="45"/>
        <v>CNGWA6633</v>
      </c>
      <c r="D280" s="18" t="s">
        <v>415</v>
      </c>
      <c r="E280" s="3">
        <v>244188.79999999999</v>
      </c>
      <c r="F280" s="3">
        <v>467994.24</v>
      </c>
      <c r="G280" s="3">
        <v>387453.75</v>
      </c>
      <c r="H280" s="3">
        <v>457899.04</v>
      </c>
      <c r="I280" s="3">
        <v>373813.9</v>
      </c>
      <c r="J280" s="3">
        <v>279683.15000000002</v>
      </c>
      <c r="K280" s="3">
        <v>288399.28000000003</v>
      </c>
      <c r="L280" s="3">
        <v>442046.74</v>
      </c>
      <c r="M280" s="3">
        <v>468870.41</v>
      </c>
      <c r="N280" s="3">
        <v>461258.45</v>
      </c>
      <c r="O280" s="3">
        <v>435418.77</v>
      </c>
      <c r="P280" s="3">
        <v>504412.12</v>
      </c>
      <c r="Q280" s="474">
        <f t="shared" si="37"/>
        <v>4811438.6500000013</v>
      </c>
    </row>
    <row r="281" spans="1:17">
      <c r="A281" s="18">
        <v>271</v>
      </c>
      <c r="C281" s="18" t="str">
        <f t="shared" si="45"/>
        <v>CNGWA6633</v>
      </c>
      <c r="D281" s="18" t="s">
        <v>416</v>
      </c>
      <c r="E281" s="3">
        <v>0</v>
      </c>
      <c r="F281" s="3">
        <v>0</v>
      </c>
      <c r="G281" s="3">
        <v>0</v>
      </c>
      <c r="H281" s="3">
        <v>0</v>
      </c>
      <c r="I281" s="3">
        <v>0</v>
      </c>
      <c r="J281" s="3">
        <v>0</v>
      </c>
      <c r="K281" s="3">
        <v>0</v>
      </c>
      <c r="L281" s="3">
        <v>0</v>
      </c>
      <c r="M281" s="3">
        <v>0</v>
      </c>
      <c r="N281" s="3">
        <v>0</v>
      </c>
      <c r="O281" s="3">
        <v>0</v>
      </c>
      <c r="P281" s="3">
        <v>0</v>
      </c>
      <c r="Q281" s="474">
        <f t="shared" si="37"/>
        <v>0</v>
      </c>
    </row>
    <row r="282" spans="1:17">
      <c r="A282" s="18">
        <v>272</v>
      </c>
      <c r="C282" s="18" t="str">
        <f t="shared" si="45"/>
        <v>CNGWA6633</v>
      </c>
      <c r="D282" s="18" t="s">
        <v>417</v>
      </c>
      <c r="E282" s="3">
        <v>0</v>
      </c>
      <c r="F282" s="3">
        <v>0</v>
      </c>
      <c r="G282" s="3">
        <v>0</v>
      </c>
      <c r="H282" s="3">
        <v>0</v>
      </c>
      <c r="I282" s="3">
        <v>0</v>
      </c>
      <c r="J282" s="3">
        <v>0</v>
      </c>
      <c r="K282" s="3">
        <v>0</v>
      </c>
      <c r="L282" s="3">
        <v>0</v>
      </c>
      <c r="M282" s="3">
        <v>0</v>
      </c>
      <c r="N282" s="3">
        <v>0</v>
      </c>
      <c r="O282" s="3">
        <v>0</v>
      </c>
      <c r="P282" s="3">
        <v>0</v>
      </c>
      <c r="Q282" s="474">
        <f t="shared" si="37"/>
        <v>0</v>
      </c>
    </row>
    <row r="283" spans="1:17">
      <c r="A283" s="18">
        <v>273</v>
      </c>
      <c r="C283" s="18" t="str">
        <f t="shared" si="45"/>
        <v>CNGWA6633</v>
      </c>
      <c r="D283" s="18" t="s">
        <v>418</v>
      </c>
      <c r="E283" s="3">
        <v>0</v>
      </c>
      <c r="F283" s="3">
        <v>0</v>
      </c>
      <c r="G283" s="3">
        <v>0</v>
      </c>
      <c r="H283" s="3">
        <v>0</v>
      </c>
      <c r="I283" s="3">
        <v>0</v>
      </c>
      <c r="J283" s="3">
        <v>0</v>
      </c>
      <c r="K283" s="3">
        <v>0</v>
      </c>
      <c r="L283" s="3">
        <v>0</v>
      </c>
      <c r="M283" s="3">
        <v>0</v>
      </c>
      <c r="N283" s="3">
        <v>0</v>
      </c>
      <c r="O283" s="3">
        <v>0</v>
      </c>
      <c r="P283" s="3">
        <v>0</v>
      </c>
      <c r="Q283" s="474">
        <f t="shared" si="37"/>
        <v>0</v>
      </c>
    </row>
    <row r="284" spans="1:17">
      <c r="A284" s="18">
        <v>274</v>
      </c>
      <c r="C284" s="18" t="str">
        <f t="shared" si="45"/>
        <v>CNGWA6633</v>
      </c>
      <c r="D284" s="18" t="s">
        <v>419</v>
      </c>
      <c r="E284" s="3">
        <v>0</v>
      </c>
      <c r="F284" s="3">
        <v>0</v>
      </c>
      <c r="G284" s="3">
        <v>0</v>
      </c>
      <c r="H284" s="3">
        <v>0</v>
      </c>
      <c r="I284" s="3">
        <v>0</v>
      </c>
      <c r="J284" s="3">
        <v>0</v>
      </c>
      <c r="K284" s="3">
        <v>0</v>
      </c>
      <c r="L284" s="3">
        <v>0</v>
      </c>
      <c r="M284" s="3">
        <v>0</v>
      </c>
      <c r="N284" s="3">
        <v>0</v>
      </c>
      <c r="O284" s="3">
        <v>0</v>
      </c>
      <c r="P284" s="3">
        <v>0</v>
      </c>
      <c r="Q284" s="474">
        <f t="shared" si="37"/>
        <v>0</v>
      </c>
    </row>
    <row r="285" spans="1:17">
      <c r="A285" s="18">
        <v>275</v>
      </c>
      <c r="C285" s="18" t="str">
        <f t="shared" si="45"/>
        <v>CNGWA6633</v>
      </c>
      <c r="D285" s="18" t="s">
        <v>167</v>
      </c>
      <c r="E285" s="3">
        <v>0</v>
      </c>
      <c r="F285" s="3">
        <v>0</v>
      </c>
      <c r="G285" s="3">
        <v>0</v>
      </c>
      <c r="H285" s="3">
        <v>0</v>
      </c>
      <c r="I285" s="3">
        <v>0</v>
      </c>
      <c r="J285" s="3">
        <v>0</v>
      </c>
      <c r="K285" s="3">
        <v>0</v>
      </c>
      <c r="L285" s="3">
        <v>0</v>
      </c>
      <c r="M285" s="3">
        <v>0</v>
      </c>
      <c r="N285" s="3">
        <v>0</v>
      </c>
      <c r="O285" s="3">
        <v>0</v>
      </c>
      <c r="P285" s="3">
        <v>0</v>
      </c>
      <c r="Q285" s="474">
        <f t="shared" si="37"/>
        <v>0</v>
      </c>
    </row>
    <row r="286" spans="1:17">
      <c r="A286" s="18">
        <v>276</v>
      </c>
      <c r="C286" s="18" t="str">
        <f t="shared" si="45"/>
        <v>CNGWA6633</v>
      </c>
      <c r="D286" s="18" t="s">
        <v>426</v>
      </c>
      <c r="E286" s="3">
        <v>0</v>
      </c>
      <c r="F286" s="3">
        <v>0</v>
      </c>
      <c r="G286" s="3">
        <v>0</v>
      </c>
      <c r="H286" s="3">
        <v>0</v>
      </c>
      <c r="I286" s="3">
        <v>0</v>
      </c>
      <c r="J286" s="3">
        <v>0</v>
      </c>
      <c r="K286" s="3">
        <v>0</v>
      </c>
      <c r="L286" s="3">
        <v>0</v>
      </c>
      <c r="M286" s="3">
        <v>0</v>
      </c>
      <c r="N286" s="3">
        <v>0</v>
      </c>
      <c r="O286" s="3">
        <v>0</v>
      </c>
      <c r="P286" s="3">
        <v>0</v>
      </c>
      <c r="Q286" s="474">
        <f t="shared" si="37"/>
        <v>0</v>
      </c>
    </row>
    <row r="287" spans="1:17">
      <c r="A287" s="18">
        <v>277</v>
      </c>
      <c r="C287" s="18" t="str">
        <f t="shared" si="45"/>
        <v>CNGWA6633</v>
      </c>
      <c r="D287" s="18" t="s">
        <v>421</v>
      </c>
      <c r="E287" s="3">
        <v>-244188.79999999999</v>
      </c>
      <c r="F287" s="3">
        <v>-467994.24</v>
      </c>
      <c r="G287" s="3">
        <v>-387453.75</v>
      </c>
      <c r="H287" s="3">
        <v>-457899.04</v>
      </c>
      <c r="I287" s="3">
        <v>-373813.9</v>
      </c>
      <c r="J287" s="3">
        <v>-279683.15000000002</v>
      </c>
      <c r="K287" s="3">
        <v>-288399.28000000003</v>
      </c>
      <c r="L287" s="3">
        <v>-442046.74</v>
      </c>
      <c r="M287" s="3">
        <v>-468870.41</v>
      </c>
      <c r="N287" s="3">
        <v>-461258.45</v>
      </c>
      <c r="O287" s="3">
        <f>-N288</f>
        <v>-435418.77</v>
      </c>
      <c r="P287" s="3">
        <f>-O288</f>
        <v>-504412.12</v>
      </c>
      <c r="Q287" s="474">
        <f t="shared" si="37"/>
        <v>-4811438.6500000013</v>
      </c>
    </row>
    <row r="288" spans="1:17">
      <c r="A288" s="18">
        <v>278</v>
      </c>
      <c r="C288" s="18" t="str">
        <f t="shared" si="45"/>
        <v>CNGWA6633</v>
      </c>
      <c r="D288" s="18" t="s">
        <v>422</v>
      </c>
      <c r="E288" s="3">
        <v>467994.24</v>
      </c>
      <c r="F288" s="3">
        <v>387453.75</v>
      </c>
      <c r="G288" s="3">
        <v>457899.04</v>
      </c>
      <c r="H288" s="3">
        <v>373813.9</v>
      </c>
      <c r="I288" s="3">
        <v>279683.15000000002</v>
      </c>
      <c r="J288" s="3">
        <v>288399.28000000003</v>
      </c>
      <c r="K288" s="3">
        <v>442046.74</v>
      </c>
      <c r="L288" s="3">
        <v>468870.41</v>
      </c>
      <c r="M288" s="3">
        <v>461258.45</v>
      </c>
      <c r="N288" s="3">
        <v>435418.77</v>
      </c>
      <c r="O288" s="3">
        <v>504412.12</v>
      </c>
      <c r="P288" s="3">
        <v>495426.86</v>
      </c>
      <c r="Q288" s="474">
        <f t="shared" si="37"/>
        <v>5062676.7100000009</v>
      </c>
    </row>
    <row r="289" spans="1:17">
      <c r="A289" s="18">
        <v>279</v>
      </c>
      <c r="C289" s="18" t="str">
        <f t="shared" si="45"/>
        <v>CNGWA6633</v>
      </c>
      <c r="D289" s="18" t="s">
        <v>423</v>
      </c>
      <c r="E289" s="474">
        <f>SUM(E280:E288)</f>
        <v>467994.24</v>
      </c>
      <c r="F289" s="474">
        <f t="shared" ref="F289:P289" si="47">SUM(F280:F288)</f>
        <v>387453.75</v>
      </c>
      <c r="G289" s="474">
        <f t="shared" si="47"/>
        <v>457899.04</v>
      </c>
      <c r="H289" s="474">
        <f t="shared" si="47"/>
        <v>373813.9</v>
      </c>
      <c r="I289" s="474">
        <f t="shared" si="47"/>
        <v>279683.15000000002</v>
      </c>
      <c r="J289" s="474">
        <f t="shared" si="47"/>
        <v>288399.28000000003</v>
      </c>
      <c r="K289" s="474">
        <f t="shared" si="47"/>
        <v>442046.74</v>
      </c>
      <c r="L289" s="474">
        <f t="shared" si="47"/>
        <v>468870.41</v>
      </c>
      <c r="M289" s="474">
        <f t="shared" si="47"/>
        <v>461258.45</v>
      </c>
      <c r="N289" s="474">
        <f t="shared" si="47"/>
        <v>435418.77</v>
      </c>
      <c r="O289" s="474">
        <f t="shared" si="47"/>
        <v>504412.12</v>
      </c>
      <c r="P289" s="474">
        <f t="shared" si="47"/>
        <v>495426.86</v>
      </c>
      <c r="Q289" s="474">
        <f t="shared" si="37"/>
        <v>5062676.7100000009</v>
      </c>
    </row>
    <row r="290" spans="1:17">
      <c r="A290" s="18">
        <v>280</v>
      </c>
      <c r="D290" s="637" t="s">
        <v>414</v>
      </c>
      <c r="E290" s="791"/>
      <c r="F290" s="791"/>
      <c r="G290" s="791"/>
      <c r="H290" s="791"/>
      <c r="I290" s="791"/>
      <c r="J290" s="791"/>
      <c r="K290" s="791"/>
      <c r="L290" s="791"/>
      <c r="M290" s="791"/>
      <c r="N290" s="791"/>
      <c r="O290" s="791"/>
      <c r="P290" s="791"/>
      <c r="Q290" s="328">
        <f t="shared" si="37"/>
        <v>0</v>
      </c>
    </row>
    <row r="291" spans="1:17">
      <c r="A291" s="18">
        <v>281</v>
      </c>
      <c r="Q291" s="328"/>
    </row>
    <row r="292" spans="1:17">
      <c r="A292" s="18">
        <v>282</v>
      </c>
      <c r="D292" s="325" t="s">
        <v>311</v>
      </c>
      <c r="E292" s="791"/>
      <c r="F292" s="791"/>
      <c r="G292" s="791"/>
      <c r="H292" s="791"/>
      <c r="I292" s="791"/>
      <c r="J292" s="791"/>
      <c r="K292" s="791"/>
      <c r="L292" s="791"/>
      <c r="M292" s="791"/>
      <c r="N292" s="791"/>
      <c r="O292" s="791"/>
      <c r="P292" s="791"/>
      <c r="Q292" s="328"/>
    </row>
    <row r="293" spans="1:17">
      <c r="A293" s="18">
        <v>283</v>
      </c>
      <c r="C293" s="18" t="str">
        <f>$D$292</f>
        <v>CNGWA901</v>
      </c>
      <c r="D293" s="18" t="s">
        <v>380</v>
      </c>
      <c r="E293" s="327">
        <v>8150970</v>
      </c>
      <c r="F293" s="327">
        <v>0</v>
      </c>
      <c r="G293" s="327">
        <v>0</v>
      </c>
      <c r="H293" s="327">
        <v>0</v>
      </c>
      <c r="I293" s="327">
        <v>0</v>
      </c>
      <c r="J293" s="327">
        <v>0</v>
      </c>
      <c r="K293" s="327">
        <v>0</v>
      </c>
      <c r="L293" s="327">
        <v>0</v>
      </c>
      <c r="M293" s="327">
        <v>0</v>
      </c>
      <c r="N293" s="327">
        <v>0</v>
      </c>
      <c r="O293" s="327">
        <v>0</v>
      </c>
      <c r="P293" s="327">
        <v>0</v>
      </c>
      <c r="Q293" s="328">
        <f t="shared" ref="Q293:Q356" si="48">SUM(E293:P293)</f>
        <v>8150970</v>
      </c>
    </row>
    <row r="294" spans="1:17">
      <c r="A294" s="18">
        <v>284</v>
      </c>
      <c r="C294" s="18" t="str">
        <f t="shared" ref="C294:C309" si="49">$D$292</f>
        <v>CNGWA901</v>
      </c>
      <c r="D294" s="18" t="s">
        <v>410</v>
      </c>
      <c r="E294" s="327">
        <v>0</v>
      </c>
      <c r="F294" s="327">
        <v>0</v>
      </c>
      <c r="G294" s="327">
        <v>0</v>
      </c>
      <c r="H294" s="327">
        <v>0</v>
      </c>
      <c r="I294" s="327">
        <v>0</v>
      </c>
      <c r="J294" s="327">
        <v>0</v>
      </c>
      <c r="K294" s="327">
        <v>0</v>
      </c>
      <c r="L294" s="327">
        <v>0</v>
      </c>
      <c r="M294" s="327">
        <v>0</v>
      </c>
      <c r="N294" s="327">
        <v>0</v>
      </c>
      <c r="O294" s="327">
        <v>0</v>
      </c>
      <c r="P294" s="327">
        <v>0</v>
      </c>
      <c r="Q294" s="328">
        <f t="shared" si="48"/>
        <v>0</v>
      </c>
    </row>
    <row r="295" spans="1:17">
      <c r="A295" s="18">
        <v>285</v>
      </c>
      <c r="C295" s="18" t="str">
        <f t="shared" si="49"/>
        <v>CNGWA901</v>
      </c>
      <c r="D295" s="18" t="s">
        <v>411</v>
      </c>
      <c r="E295" s="327">
        <v>0</v>
      </c>
      <c r="F295" s="327">
        <v>0</v>
      </c>
      <c r="G295" s="327">
        <v>0</v>
      </c>
      <c r="H295" s="327">
        <v>0</v>
      </c>
      <c r="I295" s="327">
        <v>0</v>
      </c>
      <c r="J295" s="327">
        <v>0</v>
      </c>
      <c r="K295" s="327">
        <v>0</v>
      </c>
      <c r="L295" s="327">
        <v>0</v>
      </c>
      <c r="M295" s="327">
        <v>0</v>
      </c>
      <c r="N295" s="327">
        <v>0</v>
      </c>
      <c r="O295" s="327">
        <v>0</v>
      </c>
      <c r="P295" s="327">
        <v>0</v>
      </c>
      <c r="Q295" s="328">
        <f t="shared" si="48"/>
        <v>0</v>
      </c>
    </row>
    <row r="296" spans="1:17">
      <c r="A296" s="18">
        <v>286</v>
      </c>
      <c r="C296" s="18" t="str">
        <f t="shared" si="49"/>
        <v>CNGWA901</v>
      </c>
      <c r="D296" s="18" t="s">
        <v>412</v>
      </c>
      <c r="E296" s="327">
        <v>-8150970</v>
      </c>
      <c r="F296" s="327">
        <v>0</v>
      </c>
      <c r="G296" s="327">
        <v>0</v>
      </c>
      <c r="H296" s="327">
        <v>0</v>
      </c>
      <c r="I296" s="327">
        <v>0</v>
      </c>
      <c r="J296" s="327">
        <v>0</v>
      </c>
      <c r="K296" s="327">
        <v>0</v>
      </c>
      <c r="L296" s="327">
        <v>0</v>
      </c>
      <c r="M296" s="327">
        <v>0</v>
      </c>
      <c r="N296" s="327">
        <v>0</v>
      </c>
      <c r="O296" s="327">
        <v>0</v>
      </c>
      <c r="P296" s="327">
        <v>0</v>
      </c>
      <c r="Q296" s="328">
        <f t="shared" si="48"/>
        <v>-8150970</v>
      </c>
    </row>
    <row r="297" spans="1:17">
      <c r="A297" s="18">
        <v>287</v>
      </c>
      <c r="C297" s="18" t="str">
        <f t="shared" si="49"/>
        <v>CNGWA901</v>
      </c>
      <c r="D297" s="18" t="s">
        <v>413</v>
      </c>
      <c r="E297" s="327">
        <v>0</v>
      </c>
      <c r="F297" s="327">
        <v>0</v>
      </c>
      <c r="G297" s="327">
        <v>0</v>
      </c>
      <c r="H297" s="327">
        <v>0</v>
      </c>
      <c r="I297" s="327">
        <v>0</v>
      </c>
      <c r="J297" s="327">
        <v>0</v>
      </c>
      <c r="K297" s="327">
        <v>0</v>
      </c>
      <c r="L297" s="327">
        <v>0</v>
      </c>
      <c r="M297" s="327">
        <v>0</v>
      </c>
      <c r="N297" s="327">
        <v>0</v>
      </c>
      <c r="O297" s="327">
        <v>0</v>
      </c>
      <c r="P297" s="327">
        <v>0</v>
      </c>
      <c r="Q297" s="328">
        <f t="shared" si="48"/>
        <v>0</v>
      </c>
    </row>
    <row r="298" spans="1:17">
      <c r="A298" s="18">
        <v>288</v>
      </c>
      <c r="C298" s="18" t="str">
        <f t="shared" si="49"/>
        <v>CNGWA901</v>
      </c>
      <c r="D298" s="18" t="s">
        <v>195</v>
      </c>
      <c r="E298" s="328">
        <f>SUM(E293:E297)</f>
        <v>0</v>
      </c>
      <c r="F298" s="328">
        <f t="shared" ref="F298:P298" si="50">SUM(F293:F297)</f>
        <v>0</v>
      </c>
      <c r="G298" s="328">
        <f t="shared" si="50"/>
        <v>0</v>
      </c>
      <c r="H298" s="328">
        <f t="shared" si="50"/>
        <v>0</v>
      </c>
      <c r="I298" s="328">
        <f t="shared" si="50"/>
        <v>0</v>
      </c>
      <c r="J298" s="328">
        <f t="shared" si="50"/>
        <v>0</v>
      </c>
      <c r="K298" s="328">
        <f t="shared" si="50"/>
        <v>0</v>
      </c>
      <c r="L298" s="328">
        <f t="shared" si="50"/>
        <v>0</v>
      </c>
      <c r="M298" s="328">
        <f t="shared" si="50"/>
        <v>0</v>
      </c>
      <c r="N298" s="328">
        <f t="shared" si="50"/>
        <v>0</v>
      </c>
      <c r="O298" s="328">
        <f t="shared" si="50"/>
        <v>0</v>
      </c>
      <c r="P298" s="328">
        <f t="shared" si="50"/>
        <v>0</v>
      </c>
      <c r="Q298" s="328">
        <f t="shared" si="48"/>
        <v>0</v>
      </c>
    </row>
    <row r="299" spans="1:17">
      <c r="A299" s="18">
        <v>289</v>
      </c>
      <c r="C299" s="18" t="str">
        <f t="shared" si="49"/>
        <v>CNGWA901</v>
      </c>
      <c r="D299" s="637" t="s">
        <v>414</v>
      </c>
      <c r="E299" s="791"/>
      <c r="F299" s="791"/>
      <c r="G299" s="791"/>
      <c r="H299" s="791"/>
      <c r="I299" s="791"/>
      <c r="J299" s="791"/>
      <c r="K299" s="791"/>
      <c r="L299" s="791"/>
      <c r="M299" s="791"/>
      <c r="N299" s="791"/>
      <c r="O299" s="791"/>
      <c r="P299" s="791"/>
      <c r="Q299" s="328">
        <f t="shared" si="48"/>
        <v>0</v>
      </c>
    </row>
    <row r="300" spans="1:17">
      <c r="A300" s="18">
        <v>290</v>
      </c>
      <c r="C300" s="18" t="str">
        <f t="shared" si="49"/>
        <v>CNGWA901</v>
      </c>
      <c r="D300" s="18" t="s">
        <v>415</v>
      </c>
      <c r="E300" s="3">
        <v>164465.1</v>
      </c>
      <c r="F300" s="3">
        <v>0</v>
      </c>
      <c r="G300" s="3">
        <v>0</v>
      </c>
      <c r="H300" s="3">
        <v>0</v>
      </c>
      <c r="I300" s="3">
        <v>0</v>
      </c>
      <c r="J300" s="3">
        <v>0</v>
      </c>
      <c r="K300" s="3">
        <v>0</v>
      </c>
      <c r="L300" s="3">
        <v>0</v>
      </c>
      <c r="M300" s="3">
        <v>0</v>
      </c>
      <c r="N300" s="3">
        <v>0</v>
      </c>
      <c r="O300" s="3">
        <v>0</v>
      </c>
      <c r="P300" s="3">
        <v>0</v>
      </c>
      <c r="Q300" s="474">
        <f t="shared" si="48"/>
        <v>164465.1</v>
      </c>
    </row>
    <row r="301" spans="1:17">
      <c r="A301" s="18">
        <v>291</v>
      </c>
      <c r="C301" s="18" t="str">
        <f t="shared" si="49"/>
        <v>CNGWA901</v>
      </c>
      <c r="D301" s="18" t="s">
        <v>416</v>
      </c>
      <c r="E301" s="3">
        <v>0</v>
      </c>
      <c r="F301" s="3">
        <v>0</v>
      </c>
      <c r="G301" s="3">
        <v>0</v>
      </c>
      <c r="H301" s="3">
        <v>0</v>
      </c>
      <c r="I301" s="3">
        <v>0</v>
      </c>
      <c r="J301" s="3">
        <v>0</v>
      </c>
      <c r="K301" s="3">
        <v>0</v>
      </c>
      <c r="L301" s="3">
        <v>0</v>
      </c>
      <c r="M301" s="3">
        <v>0</v>
      </c>
      <c r="N301" s="3">
        <v>0</v>
      </c>
      <c r="O301" s="3">
        <v>0</v>
      </c>
      <c r="P301" s="3">
        <v>0</v>
      </c>
      <c r="Q301" s="474">
        <f t="shared" si="48"/>
        <v>0</v>
      </c>
    </row>
    <row r="302" spans="1:17">
      <c r="A302" s="18">
        <v>292</v>
      </c>
      <c r="C302" s="18" t="str">
        <f t="shared" si="49"/>
        <v>CNGWA901</v>
      </c>
      <c r="D302" s="18" t="s">
        <v>417</v>
      </c>
      <c r="E302" s="3">
        <v>0</v>
      </c>
      <c r="F302" s="3">
        <v>0</v>
      </c>
      <c r="G302" s="3">
        <v>0</v>
      </c>
      <c r="H302" s="3">
        <v>0</v>
      </c>
      <c r="I302" s="3">
        <v>0</v>
      </c>
      <c r="J302" s="3">
        <v>0</v>
      </c>
      <c r="K302" s="3">
        <v>0</v>
      </c>
      <c r="L302" s="3">
        <v>0</v>
      </c>
      <c r="M302" s="3">
        <v>0</v>
      </c>
      <c r="N302" s="3">
        <v>0</v>
      </c>
      <c r="O302" s="3">
        <v>0</v>
      </c>
      <c r="P302" s="3">
        <v>0</v>
      </c>
      <c r="Q302" s="474">
        <f t="shared" si="48"/>
        <v>0</v>
      </c>
    </row>
    <row r="303" spans="1:17">
      <c r="A303" s="18">
        <v>293</v>
      </c>
      <c r="C303" s="18" t="str">
        <f t="shared" si="49"/>
        <v>CNGWA901</v>
      </c>
      <c r="D303" s="18" t="s">
        <v>418</v>
      </c>
      <c r="E303" s="3">
        <v>0</v>
      </c>
      <c r="F303" s="3">
        <v>0</v>
      </c>
      <c r="G303" s="3">
        <v>0</v>
      </c>
      <c r="H303" s="3">
        <v>0</v>
      </c>
      <c r="I303" s="3">
        <v>0</v>
      </c>
      <c r="J303" s="3">
        <v>0</v>
      </c>
      <c r="K303" s="3">
        <v>0</v>
      </c>
      <c r="L303" s="3">
        <v>0</v>
      </c>
      <c r="M303" s="3">
        <v>0</v>
      </c>
      <c r="N303" s="3">
        <v>0</v>
      </c>
      <c r="O303" s="3">
        <v>0</v>
      </c>
      <c r="P303" s="3">
        <v>0</v>
      </c>
      <c r="Q303" s="474">
        <f t="shared" si="48"/>
        <v>0</v>
      </c>
    </row>
    <row r="304" spans="1:17">
      <c r="A304" s="18">
        <v>294</v>
      </c>
      <c r="C304" s="18" t="str">
        <f t="shared" si="49"/>
        <v>CNGWA901</v>
      </c>
      <c r="D304" s="18" t="s">
        <v>419</v>
      </c>
      <c r="E304" s="3">
        <v>0</v>
      </c>
      <c r="F304" s="3">
        <v>0</v>
      </c>
      <c r="G304" s="3">
        <v>0</v>
      </c>
      <c r="H304" s="3">
        <v>0</v>
      </c>
      <c r="I304" s="3">
        <v>0</v>
      </c>
      <c r="J304" s="3">
        <v>0</v>
      </c>
      <c r="K304" s="3">
        <v>0</v>
      </c>
      <c r="L304" s="3">
        <v>0</v>
      </c>
      <c r="M304" s="3">
        <v>0</v>
      </c>
      <c r="N304" s="3">
        <v>0</v>
      </c>
      <c r="O304" s="3">
        <v>0</v>
      </c>
      <c r="P304" s="3">
        <v>0</v>
      </c>
      <c r="Q304" s="474">
        <f t="shared" si="48"/>
        <v>0</v>
      </c>
    </row>
    <row r="305" spans="1:17">
      <c r="A305" s="18">
        <v>295</v>
      </c>
      <c r="C305" s="18" t="str">
        <f t="shared" si="49"/>
        <v>CNGWA901</v>
      </c>
      <c r="D305" s="18" t="s">
        <v>167</v>
      </c>
      <c r="E305" s="3">
        <v>0</v>
      </c>
      <c r="F305" s="3">
        <v>0</v>
      </c>
      <c r="G305" s="3">
        <v>0</v>
      </c>
      <c r="H305" s="3">
        <v>0</v>
      </c>
      <c r="I305" s="3">
        <v>0</v>
      </c>
      <c r="J305" s="3">
        <v>0</v>
      </c>
      <c r="K305" s="3">
        <v>0</v>
      </c>
      <c r="L305" s="3">
        <v>0</v>
      </c>
      <c r="M305" s="3">
        <v>0</v>
      </c>
      <c r="N305" s="3">
        <v>0</v>
      </c>
      <c r="O305" s="3">
        <v>0</v>
      </c>
      <c r="P305" s="3">
        <v>0</v>
      </c>
      <c r="Q305" s="474">
        <f t="shared" si="48"/>
        <v>0</v>
      </c>
    </row>
    <row r="306" spans="1:17">
      <c r="A306" s="18">
        <v>296</v>
      </c>
      <c r="C306" s="18" t="str">
        <f t="shared" si="49"/>
        <v>CNGWA901</v>
      </c>
      <c r="D306" s="18" t="s">
        <v>426</v>
      </c>
      <c r="E306" s="3">
        <v>0</v>
      </c>
      <c r="F306" s="3">
        <v>0</v>
      </c>
      <c r="G306" s="3">
        <v>0</v>
      </c>
      <c r="H306" s="3">
        <v>0</v>
      </c>
      <c r="I306" s="3">
        <v>0</v>
      </c>
      <c r="J306" s="3">
        <v>0</v>
      </c>
      <c r="K306" s="3">
        <v>0</v>
      </c>
      <c r="L306" s="3">
        <v>0</v>
      </c>
      <c r="M306" s="3">
        <v>0</v>
      </c>
      <c r="N306" s="3">
        <v>0</v>
      </c>
      <c r="O306" s="3">
        <v>0</v>
      </c>
      <c r="P306" s="3">
        <v>0</v>
      </c>
      <c r="Q306" s="474">
        <f t="shared" si="48"/>
        <v>0</v>
      </c>
    </row>
    <row r="307" spans="1:17">
      <c r="A307" s="18">
        <v>297</v>
      </c>
      <c r="C307" s="18" t="str">
        <f t="shared" si="49"/>
        <v>CNGWA901</v>
      </c>
      <c r="D307" s="18" t="s">
        <v>421</v>
      </c>
      <c r="E307" s="3">
        <v>-164465.1</v>
      </c>
      <c r="F307" s="3">
        <v>0</v>
      </c>
      <c r="G307" s="3">
        <v>0</v>
      </c>
      <c r="H307" s="3">
        <v>0</v>
      </c>
      <c r="I307" s="3">
        <v>0</v>
      </c>
      <c r="J307" s="3">
        <v>0</v>
      </c>
      <c r="K307" s="3">
        <v>0</v>
      </c>
      <c r="L307" s="3">
        <v>0</v>
      </c>
      <c r="M307" s="3">
        <v>0</v>
      </c>
      <c r="N307" s="3">
        <v>0</v>
      </c>
      <c r="O307" s="3">
        <v>0</v>
      </c>
      <c r="P307" s="3">
        <v>0</v>
      </c>
      <c r="Q307" s="474">
        <f t="shared" si="48"/>
        <v>-164465.1</v>
      </c>
    </row>
    <row r="308" spans="1:17">
      <c r="A308" s="18">
        <v>298</v>
      </c>
      <c r="C308" s="18" t="str">
        <f t="shared" si="49"/>
        <v>CNGWA901</v>
      </c>
      <c r="D308" s="18" t="s">
        <v>422</v>
      </c>
      <c r="E308" s="3">
        <v>0</v>
      </c>
      <c r="F308" s="3">
        <v>0</v>
      </c>
      <c r="G308" s="3">
        <v>0</v>
      </c>
      <c r="H308" s="3">
        <v>0</v>
      </c>
      <c r="I308" s="3">
        <v>0</v>
      </c>
      <c r="J308" s="3">
        <v>0</v>
      </c>
      <c r="K308" s="3">
        <v>0</v>
      </c>
      <c r="L308" s="3">
        <v>0</v>
      </c>
      <c r="M308" s="3">
        <v>0</v>
      </c>
      <c r="N308" s="3">
        <v>0</v>
      </c>
      <c r="O308" s="3">
        <v>0</v>
      </c>
      <c r="P308" s="3">
        <v>0</v>
      </c>
      <c r="Q308" s="474">
        <f t="shared" si="48"/>
        <v>0</v>
      </c>
    </row>
    <row r="309" spans="1:17">
      <c r="A309" s="18">
        <v>299</v>
      </c>
      <c r="C309" s="18" t="str">
        <f t="shared" si="49"/>
        <v>CNGWA901</v>
      </c>
      <c r="D309" s="18" t="s">
        <v>423</v>
      </c>
      <c r="E309" s="474">
        <f>SUM(E300:E308)</f>
        <v>0</v>
      </c>
      <c r="F309" s="474">
        <f t="shared" ref="F309:P309" si="51">SUM(F300:F308)</f>
        <v>0</v>
      </c>
      <c r="G309" s="474">
        <f t="shared" si="51"/>
        <v>0</v>
      </c>
      <c r="H309" s="474">
        <f t="shared" si="51"/>
        <v>0</v>
      </c>
      <c r="I309" s="474">
        <f t="shared" si="51"/>
        <v>0</v>
      </c>
      <c r="J309" s="474">
        <f t="shared" si="51"/>
        <v>0</v>
      </c>
      <c r="K309" s="474">
        <f t="shared" si="51"/>
        <v>0</v>
      </c>
      <c r="L309" s="474">
        <f t="shared" si="51"/>
        <v>0</v>
      </c>
      <c r="M309" s="474">
        <f t="shared" si="51"/>
        <v>0</v>
      </c>
      <c r="N309" s="474">
        <f t="shared" si="51"/>
        <v>0</v>
      </c>
      <c r="O309" s="474">
        <f t="shared" si="51"/>
        <v>0</v>
      </c>
      <c r="P309" s="474">
        <f t="shared" si="51"/>
        <v>0</v>
      </c>
      <c r="Q309" s="474">
        <f t="shared" si="48"/>
        <v>0</v>
      </c>
    </row>
    <row r="310" spans="1:17">
      <c r="A310" s="18">
        <v>300</v>
      </c>
      <c r="D310" s="637" t="s">
        <v>414</v>
      </c>
      <c r="E310" s="791"/>
      <c r="F310" s="791"/>
      <c r="G310" s="791"/>
      <c r="H310" s="791"/>
      <c r="I310" s="791"/>
      <c r="J310" s="791"/>
      <c r="K310" s="791"/>
      <c r="L310" s="791"/>
      <c r="M310" s="791"/>
      <c r="N310" s="791"/>
      <c r="O310" s="791"/>
      <c r="P310" s="791"/>
      <c r="Q310" s="328">
        <f t="shared" si="48"/>
        <v>0</v>
      </c>
    </row>
    <row r="311" spans="1:17">
      <c r="A311" s="18">
        <v>301</v>
      </c>
      <c r="Q311" s="328"/>
    </row>
    <row r="312" spans="1:17">
      <c r="A312" s="18">
        <v>302</v>
      </c>
      <c r="D312" s="325" t="s">
        <v>313</v>
      </c>
      <c r="E312" s="791"/>
      <c r="F312" s="791"/>
      <c r="G312" s="791"/>
      <c r="H312" s="791"/>
      <c r="I312" s="791"/>
      <c r="J312" s="791"/>
      <c r="K312" s="791"/>
      <c r="L312" s="791"/>
      <c r="M312" s="791"/>
      <c r="N312" s="791"/>
      <c r="O312" s="791"/>
      <c r="P312" s="791"/>
      <c r="Q312" s="328"/>
    </row>
    <row r="313" spans="1:17">
      <c r="A313" s="18">
        <v>303</v>
      </c>
      <c r="C313" s="18" t="str">
        <f>$D$312</f>
        <v>CNGWA903</v>
      </c>
      <c r="D313" s="18" t="s">
        <v>380</v>
      </c>
      <c r="E313" s="327">
        <v>5770935</v>
      </c>
      <c r="F313" s="327">
        <v>3871684</v>
      </c>
      <c r="G313" s="327">
        <v>3343791</v>
      </c>
      <c r="H313" s="327">
        <v>8847522</v>
      </c>
      <c r="I313" s="327">
        <v>4324956</v>
      </c>
      <c r="J313" s="327">
        <v>298588</v>
      </c>
      <c r="K313" s="327">
        <v>7608999</v>
      </c>
      <c r="L313" s="327">
        <v>9684006</v>
      </c>
      <c r="M313" s="327">
        <v>8797931</v>
      </c>
      <c r="N313" s="327">
        <v>9093738</v>
      </c>
      <c r="O313" s="327">
        <v>4409709</v>
      </c>
      <c r="P313" s="327">
        <v>9538856</v>
      </c>
      <c r="Q313" s="328">
        <f t="shared" si="48"/>
        <v>75590715</v>
      </c>
    </row>
    <row r="314" spans="1:17">
      <c r="A314" s="18">
        <v>304</v>
      </c>
      <c r="C314" s="18" t="str">
        <f t="shared" ref="C314:C329" si="52">$D$312</f>
        <v>CNGWA903</v>
      </c>
      <c r="D314" s="18" t="s">
        <v>410</v>
      </c>
      <c r="E314" s="327">
        <v>0</v>
      </c>
      <c r="F314" s="327">
        <v>0</v>
      </c>
      <c r="G314" s="327">
        <v>0</v>
      </c>
      <c r="H314" s="327">
        <v>0</v>
      </c>
      <c r="I314" s="327">
        <v>0</v>
      </c>
      <c r="J314" s="327">
        <v>0</v>
      </c>
      <c r="K314" s="327">
        <v>0</v>
      </c>
      <c r="L314" s="327">
        <v>0</v>
      </c>
      <c r="M314" s="327">
        <v>0</v>
      </c>
      <c r="N314" s="327">
        <v>0</v>
      </c>
      <c r="O314" s="327">
        <v>0</v>
      </c>
      <c r="P314" s="327">
        <v>0</v>
      </c>
      <c r="Q314" s="328">
        <f t="shared" si="48"/>
        <v>0</v>
      </c>
    </row>
    <row r="315" spans="1:17">
      <c r="A315" s="18">
        <v>305</v>
      </c>
      <c r="C315" s="18" t="str">
        <f t="shared" si="52"/>
        <v>CNGWA903</v>
      </c>
      <c r="D315" s="18" t="s">
        <v>411</v>
      </c>
      <c r="E315" s="327">
        <v>0</v>
      </c>
      <c r="F315" s="327">
        <v>0</v>
      </c>
      <c r="G315" s="327">
        <v>0</v>
      </c>
      <c r="H315" s="327">
        <v>0</v>
      </c>
      <c r="I315" s="327">
        <v>0</v>
      </c>
      <c r="J315" s="327">
        <v>0</v>
      </c>
      <c r="K315" s="327">
        <v>0</v>
      </c>
      <c r="L315" s="327">
        <v>0</v>
      </c>
      <c r="M315" s="327">
        <v>0</v>
      </c>
      <c r="N315" s="327">
        <v>0</v>
      </c>
      <c r="O315" s="327">
        <v>0</v>
      </c>
      <c r="P315" s="327">
        <v>0</v>
      </c>
      <c r="Q315" s="328">
        <f t="shared" si="48"/>
        <v>0</v>
      </c>
    </row>
    <row r="316" spans="1:17">
      <c r="A316" s="18">
        <v>306</v>
      </c>
      <c r="C316" s="18" t="str">
        <f t="shared" si="52"/>
        <v>CNGWA903</v>
      </c>
      <c r="D316" s="18" t="s">
        <v>412</v>
      </c>
      <c r="E316" s="327">
        <v>-5770935</v>
      </c>
      <c r="F316" s="327">
        <v>-3871684</v>
      </c>
      <c r="G316" s="327">
        <v>-3343791</v>
      </c>
      <c r="H316" s="327">
        <v>-8847522</v>
      </c>
      <c r="I316" s="327">
        <v>-4324956</v>
      </c>
      <c r="J316" s="327">
        <v>-298588</v>
      </c>
      <c r="K316" s="327">
        <v>-7608999</v>
      </c>
      <c r="L316" s="327">
        <v>-9684006</v>
      </c>
      <c r="M316" s="327">
        <v>-8797931</v>
      </c>
      <c r="N316" s="327">
        <v>-9093738</v>
      </c>
      <c r="O316" s="327">
        <f>-N317</f>
        <v>-4409709</v>
      </c>
      <c r="P316" s="327">
        <f>-O317</f>
        <v>-9538856</v>
      </c>
      <c r="Q316" s="328">
        <f t="shared" si="48"/>
        <v>-75590715</v>
      </c>
    </row>
    <row r="317" spans="1:17">
      <c r="A317" s="18">
        <v>307</v>
      </c>
      <c r="C317" s="18" t="str">
        <f t="shared" si="52"/>
        <v>CNGWA903</v>
      </c>
      <c r="D317" s="18" t="s">
        <v>413</v>
      </c>
      <c r="E317" s="327">
        <v>3871684</v>
      </c>
      <c r="F317" s="327">
        <v>3343791</v>
      </c>
      <c r="G317" s="327">
        <v>8847522</v>
      </c>
      <c r="H317" s="327">
        <v>4324956</v>
      </c>
      <c r="I317" s="327">
        <v>298588</v>
      </c>
      <c r="J317" s="327">
        <v>7608999</v>
      </c>
      <c r="K317" s="327">
        <v>9684006</v>
      </c>
      <c r="L317" s="327">
        <v>8797931</v>
      </c>
      <c r="M317" s="327">
        <v>9093738</v>
      </c>
      <c r="N317" s="327">
        <v>4409709</v>
      </c>
      <c r="O317" s="327">
        <v>9538856</v>
      </c>
      <c r="P317" s="327">
        <v>10049655</v>
      </c>
      <c r="Q317" s="328">
        <f t="shared" si="48"/>
        <v>79869435</v>
      </c>
    </row>
    <row r="318" spans="1:17">
      <c r="A318" s="18">
        <v>308</v>
      </c>
      <c r="C318" s="18" t="str">
        <f t="shared" si="52"/>
        <v>CNGWA903</v>
      </c>
      <c r="D318" s="18" t="s">
        <v>195</v>
      </c>
      <c r="E318" s="328">
        <f>SUM(E313:E317)</f>
        <v>3871684</v>
      </c>
      <c r="F318" s="328">
        <f t="shared" ref="F318:P318" si="53">SUM(F313:F317)</f>
        <v>3343791</v>
      </c>
      <c r="G318" s="328">
        <f t="shared" si="53"/>
        <v>8847522</v>
      </c>
      <c r="H318" s="328">
        <f t="shared" si="53"/>
        <v>4324956</v>
      </c>
      <c r="I318" s="328">
        <f t="shared" si="53"/>
        <v>298588</v>
      </c>
      <c r="J318" s="328">
        <f t="shared" si="53"/>
        <v>7608999</v>
      </c>
      <c r="K318" s="328">
        <f>SUM(K313:K317)</f>
        <v>9684006</v>
      </c>
      <c r="L318" s="328">
        <f t="shared" si="53"/>
        <v>8797931</v>
      </c>
      <c r="M318" s="328">
        <f t="shared" si="53"/>
        <v>9093738</v>
      </c>
      <c r="N318" s="328">
        <f t="shared" si="53"/>
        <v>4409709</v>
      </c>
      <c r="O318" s="328">
        <f t="shared" si="53"/>
        <v>9538856</v>
      </c>
      <c r="P318" s="328">
        <f t="shared" si="53"/>
        <v>10049655</v>
      </c>
      <c r="Q318" s="328">
        <f t="shared" si="48"/>
        <v>79869435</v>
      </c>
    </row>
    <row r="319" spans="1:17">
      <c r="A319" s="18">
        <v>309</v>
      </c>
      <c r="C319" s="18" t="str">
        <f t="shared" si="52"/>
        <v>CNGWA903</v>
      </c>
      <c r="D319" s="637" t="s">
        <v>414</v>
      </c>
      <c r="E319" s="791"/>
      <c r="F319" s="791"/>
      <c r="G319" s="791"/>
      <c r="H319" s="791"/>
      <c r="I319" s="791"/>
      <c r="J319" s="791"/>
      <c r="K319" s="791"/>
      <c r="L319" s="791"/>
      <c r="M319" s="791"/>
      <c r="N319" s="791"/>
      <c r="O319" s="791"/>
      <c r="P319" s="791"/>
      <c r="Q319" s="328">
        <f t="shared" si="48"/>
        <v>0</v>
      </c>
    </row>
    <row r="320" spans="1:17">
      <c r="A320" s="18">
        <v>310</v>
      </c>
      <c r="C320" s="18" t="str">
        <f t="shared" si="52"/>
        <v>CNGWA903</v>
      </c>
      <c r="D320" s="18" t="s">
        <v>415</v>
      </c>
      <c r="E320" s="3">
        <v>120735.92</v>
      </c>
      <c r="F320" s="3">
        <v>86939.56</v>
      </c>
      <c r="G320" s="3">
        <v>77545.94</v>
      </c>
      <c r="H320" s="3">
        <v>175482.47</v>
      </c>
      <c r="I320" s="3">
        <v>95005.34</v>
      </c>
      <c r="J320" s="3">
        <v>23357.87</v>
      </c>
      <c r="K320" s="3">
        <v>153443.49</v>
      </c>
      <c r="L320" s="3">
        <v>195002.02</v>
      </c>
      <c r="M320" s="3">
        <v>178850.32</v>
      </c>
      <c r="N320" s="3">
        <v>184242.4</v>
      </c>
      <c r="O320" s="3">
        <v>98860.17</v>
      </c>
      <c r="P320" s="3">
        <v>192356.17</v>
      </c>
      <c r="Q320" s="474">
        <f t="shared" si="48"/>
        <v>1581821.6699999997</v>
      </c>
    </row>
    <row r="321" spans="1:18">
      <c r="A321" s="18">
        <v>311</v>
      </c>
      <c r="C321" s="18" t="str">
        <f t="shared" si="52"/>
        <v>CNGWA903</v>
      </c>
      <c r="D321" s="18" t="s">
        <v>416</v>
      </c>
      <c r="E321" s="3">
        <v>0</v>
      </c>
      <c r="F321" s="3">
        <v>0</v>
      </c>
      <c r="G321" s="3">
        <v>0</v>
      </c>
      <c r="H321" s="3">
        <v>0</v>
      </c>
      <c r="I321" s="3">
        <v>0</v>
      </c>
      <c r="J321" s="3">
        <v>0</v>
      </c>
      <c r="K321" s="3">
        <v>0</v>
      </c>
      <c r="L321" s="3">
        <v>0</v>
      </c>
      <c r="M321" s="3">
        <v>0</v>
      </c>
      <c r="N321" s="3">
        <v>0</v>
      </c>
      <c r="O321" s="3">
        <v>0</v>
      </c>
      <c r="P321" s="3">
        <v>0</v>
      </c>
      <c r="Q321" s="474">
        <f t="shared" si="48"/>
        <v>0</v>
      </c>
    </row>
    <row r="322" spans="1:18">
      <c r="A322" s="18">
        <v>312</v>
      </c>
      <c r="C322" s="18" t="str">
        <f t="shared" si="52"/>
        <v>CNGWA903</v>
      </c>
      <c r="D322" s="18" t="s">
        <v>417</v>
      </c>
      <c r="E322" s="3">
        <v>0</v>
      </c>
      <c r="F322" s="3">
        <v>0</v>
      </c>
      <c r="G322" s="3">
        <v>0</v>
      </c>
      <c r="H322" s="3">
        <v>0</v>
      </c>
      <c r="I322" s="3">
        <v>0</v>
      </c>
      <c r="J322" s="3">
        <v>0</v>
      </c>
      <c r="K322" s="3">
        <v>0</v>
      </c>
      <c r="L322" s="3">
        <v>0</v>
      </c>
      <c r="M322" s="3">
        <v>0</v>
      </c>
      <c r="N322" s="3">
        <v>0</v>
      </c>
      <c r="O322" s="3">
        <v>0</v>
      </c>
      <c r="P322" s="3">
        <v>0</v>
      </c>
      <c r="Q322" s="474">
        <f t="shared" si="48"/>
        <v>0</v>
      </c>
    </row>
    <row r="323" spans="1:18">
      <c r="A323" s="18">
        <v>313</v>
      </c>
      <c r="C323" s="18" t="str">
        <f t="shared" si="52"/>
        <v>CNGWA903</v>
      </c>
      <c r="D323" s="18" t="s">
        <v>418</v>
      </c>
      <c r="E323" s="3">
        <v>0</v>
      </c>
      <c r="F323" s="3">
        <v>0</v>
      </c>
      <c r="G323" s="3">
        <v>0</v>
      </c>
      <c r="H323" s="3">
        <v>0</v>
      </c>
      <c r="I323" s="3">
        <v>0</v>
      </c>
      <c r="J323" s="3">
        <v>0</v>
      </c>
      <c r="K323" s="3">
        <v>0</v>
      </c>
      <c r="L323" s="3">
        <v>0</v>
      </c>
      <c r="M323" s="3">
        <v>0</v>
      </c>
      <c r="N323" s="3">
        <v>0</v>
      </c>
      <c r="O323" s="3">
        <v>0</v>
      </c>
      <c r="P323" s="3">
        <v>0</v>
      </c>
      <c r="Q323" s="474">
        <f t="shared" si="48"/>
        <v>0</v>
      </c>
    </row>
    <row r="324" spans="1:18">
      <c r="A324" s="18">
        <v>314</v>
      </c>
      <c r="C324" s="18" t="str">
        <f t="shared" si="52"/>
        <v>CNGWA903</v>
      </c>
      <c r="D324" s="18" t="s">
        <v>419</v>
      </c>
      <c r="E324" s="3">
        <v>0</v>
      </c>
      <c r="F324" s="3">
        <v>0</v>
      </c>
      <c r="G324" s="3">
        <v>0</v>
      </c>
      <c r="H324" s="3">
        <v>0</v>
      </c>
      <c r="I324" s="3">
        <v>0</v>
      </c>
      <c r="J324" s="3">
        <v>0</v>
      </c>
      <c r="K324" s="3">
        <v>0</v>
      </c>
      <c r="L324" s="3">
        <v>0</v>
      </c>
      <c r="M324" s="3">
        <v>0</v>
      </c>
      <c r="N324" s="3">
        <v>0</v>
      </c>
      <c r="O324" s="3">
        <v>0</v>
      </c>
      <c r="P324" s="3">
        <v>0</v>
      </c>
      <c r="Q324" s="474">
        <f t="shared" si="48"/>
        <v>0</v>
      </c>
    </row>
    <row r="325" spans="1:18">
      <c r="A325" s="18">
        <v>315</v>
      </c>
      <c r="C325" s="18" t="str">
        <f t="shared" si="52"/>
        <v>CNGWA903</v>
      </c>
      <c r="D325" s="18" t="s">
        <v>167</v>
      </c>
      <c r="E325" s="3">
        <v>0</v>
      </c>
      <c r="F325" s="3">
        <v>0</v>
      </c>
      <c r="G325" s="3">
        <v>0</v>
      </c>
      <c r="H325" s="3">
        <v>0</v>
      </c>
      <c r="I325" s="3">
        <v>0</v>
      </c>
      <c r="J325" s="3">
        <v>0</v>
      </c>
      <c r="K325" s="3">
        <v>0</v>
      </c>
      <c r="L325" s="3">
        <v>0</v>
      </c>
      <c r="M325" s="3">
        <v>0</v>
      </c>
      <c r="N325" s="3">
        <v>0</v>
      </c>
      <c r="O325" s="3">
        <v>0</v>
      </c>
      <c r="P325" s="3">
        <v>0</v>
      </c>
      <c r="Q325" s="474">
        <f t="shared" si="48"/>
        <v>0</v>
      </c>
    </row>
    <row r="326" spans="1:18">
      <c r="A326" s="18">
        <v>316</v>
      </c>
      <c r="C326" s="18" t="str">
        <f t="shared" si="52"/>
        <v>CNGWA903</v>
      </c>
      <c r="D326" s="18" t="s">
        <v>426</v>
      </c>
      <c r="E326" s="3">
        <v>0</v>
      </c>
      <c r="F326" s="3">
        <v>0</v>
      </c>
      <c r="G326" s="3">
        <v>0</v>
      </c>
      <c r="H326" s="3">
        <v>0</v>
      </c>
      <c r="I326" s="3">
        <v>0</v>
      </c>
      <c r="J326" s="3">
        <v>0</v>
      </c>
      <c r="K326" s="3">
        <v>0</v>
      </c>
      <c r="L326" s="3">
        <v>0</v>
      </c>
      <c r="M326" s="3">
        <v>0</v>
      </c>
      <c r="N326" s="3">
        <v>0</v>
      </c>
      <c r="O326" s="3">
        <v>0</v>
      </c>
      <c r="P326" s="3">
        <v>0</v>
      </c>
      <c r="Q326" s="474">
        <f t="shared" si="48"/>
        <v>0</v>
      </c>
    </row>
    <row r="327" spans="1:18">
      <c r="A327" s="18">
        <v>317</v>
      </c>
      <c r="C327" s="18" t="str">
        <f t="shared" si="52"/>
        <v>CNGWA903</v>
      </c>
      <c r="D327" s="18" t="s">
        <v>421</v>
      </c>
      <c r="E327" s="3">
        <v>-120735.92</v>
      </c>
      <c r="F327" s="3">
        <v>-86939.56</v>
      </c>
      <c r="G327" s="3">
        <v>-77545.94</v>
      </c>
      <c r="H327" s="3">
        <v>-175482.47</v>
      </c>
      <c r="I327" s="3">
        <v>-95005.34</v>
      </c>
      <c r="J327" s="3">
        <v>-23357.87</v>
      </c>
      <c r="K327" s="3">
        <v>-153443.49</v>
      </c>
      <c r="L327" s="3">
        <v>-195002.02</v>
      </c>
      <c r="M327" s="3">
        <v>-178850.32</v>
      </c>
      <c r="N327" s="3">
        <v>-184242.4</v>
      </c>
      <c r="O327" s="3">
        <f>-N328</f>
        <v>-98860.17</v>
      </c>
      <c r="P327" s="3">
        <f>-O328</f>
        <v>-192356.17</v>
      </c>
      <c r="Q327" s="474">
        <f t="shared" si="48"/>
        <v>-1581821.6699999997</v>
      </c>
    </row>
    <row r="328" spans="1:18">
      <c r="A328" s="18">
        <v>318</v>
      </c>
      <c r="C328" s="18" t="str">
        <f t="shared" si="52"/>
        <v>CNGWA903</v>
      </c>
      <c r="D328" s="18" t="s">
        <v>422</v>
      </c>
      <c r="E328" s="3">
        <v>86939.56</v>
      </c>
      <c r="F328" s="3">
        <v>77545.94</v>
      </c>
      <c r="G328" s="3">
        <v>175482.47</v>
      </c>
      <c r="H328" s="3">
        <v>95005.34</v>
      </c>
      <c r="I328" s="3">
        <v>23357.87</v>
      </c>
      <c r="J328" s="3">
        <v>153443.49</v>
      </c>
      <c r="K328" s="3">
        <v>195002.02</v>
      </c>
      <c r="L328" s="3">
        <v>178850.32</v>
      </c>
      <c r="M328" s="3">
        <v>184242.4</v>
      </c>
      <c r="N328" s="3">
        <v>98860.17</v>
      </c>
      <c r="O328" s="3">
        <v>192356.17</v>
      </c>
      <c r="P328" s="3">
        <v>201667.20000000001</v>
      </c>
      <c r="Q328" s="474">
        <f t="shared" si="48"/>
        <v>1662752.9499999997</v>
      </c>
    </row>
    <row r="329" spans="1:18">
      <c r="A329" s="18">
        <v>319</v>
      </c>
      <c r="C329" s="18" t="str">
        <f t="shared" si="52"/>
        <v>CNGWA903</v>
      </c>
      <c r="D329" s="18" t="s">
        <v>423</v>
      </c>
      <c r="E329" s="474">
        <f>SUM(E320:E328)</f>
        <v>86939.56</v>
      </c>
      <c r="F329" s="474">
        <f t="shared" ref="F329:P329" si="54">SUM(F320:F328)</f>
        <v>77545.94</v>
      </c>
      <c r="G329" s="474">
        <f t="shared" si="54"/>
        <v>175482.47</v>
      </c>
      <c r="H329" s="474">
        <f t="shared" si="54"/>
        <v>95005.34</v>
      </c>
      <c r="I329" s="474">
        <f t="shared" si="54"/>
        <v>23357.87</v>
      </c>
      <c r="J329" s="474">
        <f t="shared" si="54"/>
        <v>153443.49</v>
      </c>
      <c r="K329" s="474">
        <f t="shared" si="54"/>
        <v>195002.02</v>
      </c>
      <c r="L329" s="474">
        <f t="shared" si="54"/>
        <v>178850.32</v>
      </c>
      <c r="M329" s="474">
        <f t="shared" si="54"/>
        <v>184242.4</v>
      </c>
      <c r="N329" s="474">
        <f t="shared" si="54"/>
        <v>98860.17</v>
      </c>
      <c r="O329" s="474">
        <f t="shared" si="54"/>
        <v>192356.17</v>
      </c>
      <c r="P329" s="474">
        <f t="shared" si="54"/>
        <v>201667.20000000001</v>
      </c>
      <c r="Q329" s="474">
        <f t="shared" si="48"/>
        <v>1662752.9499999997</v>
      </c>
    </row>
    <row r="330" spans="1:18">
      <c r="A330" s="18">
        <v>320</v>
      </c>
      <c r="D330" s="637" t="s">
        <v>414</v>
      </c>
      <c r="E330" s="791"/>
      <c r="F330" s="791"/>
      <c r="G330" s="791"/>
      <c r="H330" s="791"/>
      <c r="I330" s="791"/>
      <c r="J330" s="791"/>
      <c r="K330" s="791"/>
      <c r="L330" s="791"/>
      <c r="M330" s="791"/>
      <c r="N330" s="791"/>
      <c r="O330" s="791"/>
      <c r="P330" s="791"/>
      <c r="Q330" s="328">
        <f t="shared" si="48"/>
        <v>0</v>
      </c>
    </row>
    <row r="331" spans="1:18">
      <c r="A331" s="18">
        <v>321</v>
      </c>
      <c r="Q331" s="328"/>
    </row>
    <row r="332" spans="1:18">
      <c r="A332" s="18">
        <v>322</v>
      </c>
      <c r="D332" s="325" t="s">
        <v>314</v>
      </c>
      <c r="E332" s="791"/>
      <c r="F332" s="791"/>
      <c r="G332" s="791"/>
      <c r="H332" s="791"/>
      <c r="I332" s="791"/>
      <c r="J332" s="791"/>
      <c r="K332" s="791"/>
      <c r="L332" s="791"/>
      <c r="M332" s="791"/>
      <c r="N332" s="791"/>
      <c r="O332" s="791"/>
      <c r="P332" s="791"/>
      <c r="Q332" s="328"/>
    </row>
    <row r="333" spans="1:18">
      <c r="A333" s="18">
        <v>323</v>
      </c>
      <c r="C333" s="18" t="str">
        <f>$D$332</f>
        <v>CNGWA908</v>
      </c>
      <c r="D333" s="18" t="s">
        <v>380</v>
      </c>
      <c r="E333" s="327">
        <v>207811</v>
      </c>
      <c r="F333" s="327">
        <v>312704</v>
      </c>
      <c r="G333" s="327">
        <v>440113</v>
      </c>
      <c r="H333" s="327">
        <v>4083890</v>
      </c>
      <c r="I333" s="327">
        <v>7080932</v>
      </c>
      <c r="J333" s="327">
        <v>495903</v>
      </c>
      <c r="K333" s="327">
        <v>5275915</v>
      </c>
      <c r="L333" s="327">
        <v>11597150</v>
      </c>
      <c r="M333" s="327">
        <v>9383229</v>
      </c>
      <c r="N333" s="327">
        <v>10642199</v>
      </c>
      <c r="O333" s="327">
        <v>0</v>
      </c>
      <c r="P333" s="327">
        <v>3859695</v>
      </c>
      <c r="Q333" s="328">
        <f t="shared" si="48"/>
        <v>53379541</v>
      </c>
      <c r="R333" s="351"/>
    </row>
    <row r="334" spans="1:18">
      <c r="A334" s="18">
        <v>324</v>
      </c>
      <c r="C334" s="18" t="str">
        <f t="shared" ref="C334:C349" si="55">$D$332</f>
        <v>CNGWA908</v>
      </c>
      <c r="D334" s="18" t="s">
        <v>410</v>
      </c>
      <c r="E334" s="327">
        <v>0</v>
      </c>
      <c r="F334" s="327">
        <v>0</v>
      </c>
      <c r="G334" s="327">
        <v>0</v>
      </c>
      <c r="H334" s="327">
        <v>0</v>
      </c>
      <c r="I334" s="327">
        <v>0</v>
      </c>
      <c r="J334" s="327">
        <v>0</v>
      </c>
      <c r="K334" s="327">
        <v>0</v>
      </c>
      <c r="L334" s="327">
        <v>0</v>
      </c>
      <c r="M334" s="327">
        <v>0</v>
      </c>
      <c r="N334" s="327">
        <v>0</v>
      </c>
      <c r="O334" s="327">
        <v>0</v>
      </c>
      <c r="P334" s="327">
        <v>0</v>
      </c>
      <c r="Q334" s="328">
        <f t="shared" si="48"/>
        <v>0</v>
      </c>
    </row>
    <row r="335" spans="1:18">
      <c r="A335" s="18">
        <v>325</v>
      </c>
      <c r="C335" s="18" t="str">
        <f t="shared" si="55"/>
        <v>CNGWA908</v>
      </c>
      <c r="D335" s="18" t="s">
        <v>411</v>
      </c>
      <c r="E335" s="327">
        <v>0</v>
      </c>
      <c r="F335" s="327">
        <v>0</v>
      </c>
      <c r="G335" s="327">
        <v>0</v>
      </c>
      <c r="H335" s="327">
        <v>0</v>
      </c>
      <c r="I335" s="327">
        <v>0</v>
      </c>
      <c r="J335" s="327">
        <v>0</v>
      </c>
      <c r="K335" s="327">
        <v>0</v>
      </c>
      <c r="L335" s="327">
        <v>0</v>
      </c>
      <c r="M335" s="327">
        <v>0</v>
      </c>
      <c r="N335" s="327">
        <v>0</v>
      </c>
      <c r="O335" s="327">
        <v>0</v>
      </c>
      <c r="P335" s="327">
        <v>0</v>
      </c>
      <c r="Q335" s="328">
        <f t="shared" si="48"/>
        <v>0</v>
      </c>
    </row>
    <row r="336" spans="1:18">
      <c r="A336" s="18">
        <v>326</v>
      </c>
      <c r="C336" s="18" t="str">
        <f t="shared" si="55"/>
        <v>CNGWA908</v>
      </c>
      <c r="D336" s="18" t="s">
        <v>412</v>
      </c>
      <c r="E336" s="327">
        <v>-207811</v>
      </c>
      <c r="F336" s="327">
        <v>-312704</v>
      </c>
      <c r="G336" s="327">
        <v>-440113</v>
      </c>
      <c r="H336" s="327">
        <v>-4083890</v>
      </c>
      <c r="I336" s="327">
        <v>-7080932</v>
      </c>
      <c r="J336" s="327">
        <v>-495903</v>
      </c>
      <c r="K336" s="327">
        <v>-5275915</v>
      </c>
      <c r="L336" s="327">
        <v>-11597150</v>
      </c>
      <c r="M336" s="327">
        <v>-9383229</v>
      </c>
      <c r="N336" s="327">
        <v>-10642199</v>
      </c>
      <c r="O336" s="327">
        <v>0</v>
      </c>
      <c r="P336" s="327">
        <f>-O337</f>
        <v>-3859695</v>
      </c>
      <c r="Q336" s="328">
        <f t="shared" si="48"/>
        <v>-53379541</v>
      </c>
    </row>
    <row r="337" spans="1:18">
      <c r="A337" s="18">
        <v>327</v>
      </c>
      <c r="C337" s="18" t="str">
        <f t="shared" si="55"/>
        <v>CNGWA908</v>
      </c>
      <c r="D337" s="18" t="s">
        <v>413</v>
      </c>
      <c r="E337" s="327">
        <v>312704</v>
      </c>
      <c r="F337" s="327">
        <v>440113</v>
      </c>
      <c r="G337" s="327">
        <v>4083890</v>
      </c>
      <c r="H337" s="327">
        <v>7080932</v>
      </c>
      <c r="I337" s="327">
        <v>495903</v>
      </c>
      <c r="J337" s="327">
        <v>5275915</v>
      </c>
      <c r="K337" s="327">
        <v>11597150</v>
      </c>
      <c r="L337" s="327">
        <v>9383229</v>
      </c>
      <c r="M337" s="327">
        <v>10642199</v>
      </c>
      <c r="N337" s="327">
        <v>0</v>
      </c>
      <c r="O337" s="327">
        <v>3859695</v>
      </c>
      <c r="P337" s="327">
        <v>5703662</v>
      </c>
      <c r="Q337" s="328">
        <f t="shared" si="48"/>
        <v>58875392</v>
      </c>
    </row>
    <row r="338" spans="1:18">
      <c r="A338" s="18">
        <v>328</v>
      </c>
      <c r="C338" s="18" t="str">
        <f t="shared" si="55"/>
        <v>CNGWA908</v>
      </c>
      <c r="D338" s="18" t="s">
        <v>195</v>
      </c>
      <c r="E338" s="328">
        <f>SUM(E333:E337)</f>
        <v>312704</v>
      </c>
      <c r="F338" s="328">
        <f t="shared" ref="F338:P338" si="56">SUM(F333:F337)</f>
        <v>440113</v>
      </c>
      <c r="G338" s="328">
        <f t="shared" si="56"/>
        <v>4083890</v>
      </c>
      <c r="H338" s="328">
        <f t="shared" si="56"/>
        <v>7080932</v>
      </c>
      <c r="I338" s="328">
        <f t="shared" si="56"/>
        <v>495903</v>
      </c>
      <c r="J338" s="328">
        <f t="shared" si="56"/>
        <v>5275915</v>
      </c>
      <c r="K338" s="328">
        <f t="shared" si="56"/>
        <v>11597150</v>
      </c>
      <c r="L338" s="328">
        <f t="shared" si="56"/>
        <v>9383229</v>
      </c>
      <c r="M338" s="328">
        <f t="shared" si="56"/>
        <v>10642199</v>
      </c>
      <c r="N338" s="328">
        <f t="shared" si="56"/>
        <v>0</v>
      </c>
      <c r="O338" s="328">
        <f t="shared" si="56"/>
        <v>3859695</v>
      </c>
      <c r="P338" s="328">
        <f t="shared" si="56"/>
        <v>5703662</v>
      </c>
      <c r="Q338" s="328">
        <f t="shared" si="48"/>
        <v>58875392</v>
      </c>
    </row>
    <row r="339" spans="1:18">
      <c r="A339" s="18">
        <v>329</v>
      </c>
      <c r="C339" s="18" t="str">
        <f t="shared" si="55"/>
        <v>CNGWA908</v>
      </c>
      <c r="D339" s="637" t="s">
        <v>414</v>
      </c>
      <c r="E339" s="791"/>
      <c r="F339" s="791"/>
      <c r="G339" s="791"/>
      <c r="H339" s="791"/>
      <c r="I339" s="791"/>
      <c r="J339" s="791"/>
      <c r="K339" s="791"/>
      <c r="L339" s="791"/>
      <c r="M339" s="791"/>
      <c r="N339" s="791"/>
      <c r="O339" s="791"/>
      <c r="P339" s="791"/>
      <c r="Q339" s="328">
        <f t="shared" si="48"/>
        <v>0</v>
      </c>
    </row>
    <row r="340" spans="1:18">
      <c r="A340" s="18">
        <v>330</v>
      </c>
      <c r="C340" s="18" t="str">
        <f t="shared" si="55"/>
        <v>CNGWA908</v>
      </c>
      <c r="D340" s="18" t="s">
        <v>415</v>
      </c>
      <c r="E340" s="3">
        <v>15254.24</v>
      </c>
      <c r="F340" s="3">
        <v>15298.05</v>
      </c>
      <c r="G340" s="3">
        <v>15351.28</v>
      </c>
      <c r="H340" s="3">
        <v>45003.66</v>
      </c>
      <c r="I340" s="3">
        <v>77551.509999999995</v>
      </c>
      <c r="J340" s="3">
        <v>15374.57</v>
      </c>
      <c r="K340" s="3">
        <v>57949.04</v>
      </c>
      <c r="L340" s="3">
        <v>109068.7</v>
      </c>
      <c r="M340" s="3">
        <v>82957.929999999993</v>
      </c>
      <c r="N340" s="3">
        <v>116226.84</v>
      </c>
      <c r="O340" s="3">
        <v>15167.44</v>
      </c>
      <c r="P340" s="3">
        <v>42568.9</v>
      </c>
      <c r="Q340" s="474">
        <f t="shared" si="48"/>
        <v>607772.15999999992</v>
      </c>
    </row>
    <row r="341" spans="1:18">
      <c r="A341" s="18">
        <v>331</v>
      </c>
      <c r="C341" s="18" t="str">
        <f t="shared" si="55"/>
        <v>CNGWA908</v>
      </c>
      <c r="D341" s="18" t="s">
        <v>416</v>
      </c>
      <c r="E341" s="3">
        <v>0</v>
      </c>
      <c r="F341" s="3">
        <v>0</v>
      </c>
      <c r="G341" s="3">
        <v>0</v>
      </c>
      <c r="H341" s="3">
        <v>0</v>
      </c>
      <c r="I341" s="3">
        <v>0</v>
      </c>
      <c r="J341" s="3">
        <v>0</v>
      </c>
      <c r="K341" s="3">
        <v>0</v>
      </c>
      <c r="L341" s="3">
        <v>0</v>
      </c>
      <c r="M341" s="3">
        <v>0</v>
      </c>
      <c r="N341" s="3">
        <v>0</v>
      </c>
      <c r="O341" s="3">
        <v>0</v>
      </c>
      <c r="P341" s="3">
        <v>0</v>
      </c>
      <c r="Q341" s="474">
        <f t="shared" si="48"/>
        <v>0</v>
      </c>
    </row>
    <row r="342" spans="1:18">
      <c r="A342" s="18">
        <v>332</v>
      </c>
      <c r="C342" s="18" t="str">
        <f t="shared" si="55"/>
        <v>CNGWA908</v>
      </c>
      <c r="D342" s="18" t="s">
        <v>417</v>
      </c>
      <c r="E342" s="3">
        <v>0</v>
      </c>
      <c r="F342" s="3">
        <v>0</v>
      </c>
      <c r="G342" s="3">
        <v>0</v>
      </c>
      <c r="H342" s="3">
        <v>0</v>
      </c>
      <c r="I342" s="3">
        <v>0</v>
      </c>
      <c r="J342" s="3">
        <v>0</v>
      </c>
      <c r="K342" s="3">
        <v>0</v>
      </c>
      <c r="L342" s="3">
        <v>0</v>
      </c>
      <c r="M342" s="3">
        <v>0</v>
      </c>
      <c r="N342" s="3">
        <v>0</v>
      </c>
      <c r="O342" s="3">
        <v>0</v>
      </c>
      <c r="P342" s="3">
        <v>0</v>
      </c>
      <c r="Q342" s="474">
        <f t="shared" si="48"/>
        <v>0</v>
      </c>
    </row>
    <row r="343" spans="1:18">
      <c r="A343" s="18">
        <v>333</v>
      </c>
      <c r="C343" s="18" t="str">
        <f t="shared" si="55"/>
        <v>CNGWA908</v>
      </c>
      <c r="D343" s="18" t="s">
        <v>418</v>
      </c>
      <c r="E343" s="3">
        <v>0</v>
      </c>
      <c r="F343" s="3">
        <v>0</v>
      </c>
      <c r="G343" s="3">
        <v>0</v>
      </c>
      <c r="H343" s="3">
        <v>0</v>
      </c>
      <c r="I343" s="3">
        <v>0</v>
      </c>
      <c r="J343" s="3">
        <v>0</v>
      </c>
      <c r="K343" s="3">
        <v>0</v>
      </c>
      <c r="L343" s="3">
        <v>0</v>
      </c>
      <c r="M343" s="3">
        <v>0</v>
      </c>
      <c r="N343" s="3">
        <v>0</v>
      </c>
      <c r="O343" s="3">
        <v>0</v>
      </c>
      <c r="P343" s="3">
        <v>0</v>
      </c>
      <c r="Q343" s="474">
        <f t="shared" si="48"/>
        <v>0</v>
      </c>
    </row>
    <row r="344" spans="1:18">
      <c r="A344" s="18">
        <v>334</v>
      </c>
      <c r="C344" s="18" t="str">
        <f t="shared" si="55"/>
        <v>CNGWA908</v>
      </c>
      <c r="D344" s="18" t="s">
        <v>419</v>
      </c>
      <c r="E344" s="3">
        <v>0</v>
      </c>
      <c r="F344" s="3">
        <v>0</v>
      </c>
      <c r="G344" s="3">
        <v>0</v>
      </c>
      <c r="H344" s="3">
        <v>0</v>
      </c>
      <c r="I344" s="3">
        <v>0</v>
      </c>
      <c r="J344" s="3">
        <v>0</v>
      </c>
      <c r="K344" s="3">
        <v>0</v>
      </c>
      <c r="L344" s="3">
        <v>0</v>
      </c>
      <c r="M344" s="3">
        <v>0</v>
      </c>
      <c r="N344" s="3">
        <v>0</v>
      </c>
      <c r="O344" s="3">
        <v>0</v>
      </c>
      <c r="P344" s="3">
        <v>0</v>
      </c>
      <c r="Q344" s="474">
        <f t="shared" si="48"/>
        <v>0</v>
      </c>
    </row>
    <row r="345" spans="1:18">
      <c r="A345" s="18">
        <v>335</v>
      </c>
      <c r="C345" s="18" t="str">
        <f t="shared" si="55"/>
        <v>CNGWA908</v>
      </c>
      <c r="D345" s="18" t="s">
        <v>167</v>
      </c>
      <c r="E345" s="3">
        <v>0</v>
      </c>
      <c r="F345" s="3">
        <v>0</v>
      </c>
      <c r="G345" s="3">
        <v>0</v>
      </c>
      <c r="H345" s="3">
        <v>0</v>
      </c>
      <c r="I345" s="3">
        <v>0</v>
      </c>
      <c r="J345" s="3">
        <v>0</v>
      </c>
      <c r="K345" s="3">
        <v>0</v>
      </c>
      <c r="L345" s="3">
        <v>0</v>
      </c>
      <c r="M345" s="3">
        <v>0</v>
      </c>
      <c r="N345" s="3">
        <v>0</v>
      </c>
      <c r="O345" s="3">
        <v>0</v>
      </c>
      <c r="P345" s="3">
        <v>0</v>
      </c>
      <c r="Q345" s="474">
        <f t="shared" si="48"/>
        <v>0</v>
      </c>
    </row>
    <row r="346" spans="1:18">
      <c r="A346" s="18">
        <v>336</v>
      </c>
      <c r="C346" s="18" t="str">
        <f t="shared" si="55"/>
        <v>CNGWA908</v>
      </c>
      <c r="D346" s="18" t="s">
        <v>426</v>
      </c>
      <c r="E346" s="3">
        <v>0</v>
      </c>
      <c r="F346" s="3">
        <v>0</v>
      </c>
      <c r="G346" s="3">
        <v>0</v>
      </c>
      <c r="H346" s="3">
        <v>0</v>
      </c>
      <c r="I346" s="3">
        <v>0</v>
      </c>
      <c r="J346" s="3">
        <v>0</v>
      </c>
      <c r="K346" s="3">
        <v>0</v>
      </c>
      <c r="L346" s="3">
        <v>0</v>
      </c>
      <c r="M346" s="3">
        <v>0</v>
      </c>
      <c r="N346" s="3">
        <v>0</v>
      </c>
      <c r="O346" s="3">
        <v>0</v>
      </c>
      <c r="P346" s="3">
        <v>0</v>
      </c>
      <c r="Q346" s="474">
        <f t="shared" si="48"/>
        <v>0</v>
      </c>
    </row>
    <row r="347" spans="1:18">
      <c r="A347" s="18">
        <v>337</v>
      </c>
      <c r="C347" s="18" t="str">
        <f t="shared" si="55"/>
        <v>CNGWA908</v>
      </c>
      <c r="D347" s="18" t="s">
        <v>421</v>
      </c>
      <c r="E347" s="3">
        <v>-15254.24</v>
      </c>
      <c r="F347" s="3">
        <v>-15298.05</v>
      </c>
      <c r="G347" s="3">
        <v>-15351.28</v>
      </c>
      <c r="H347" s="3">
        <v>-45003.66</v>
      </c>
      <c r="I347" s="3">
        <v>-77551.509999999995</v>
      </c>
      <c r="J347" s="3">
        <v>-15374.57</v>
      </c>
      <c r="K347" s="3">
        <v>-57949.04</v>
      </c>
      <c r="L347" s="3">
        <v>-109068.7</v>
      </c>
      <c r="M347" s="3">
        <v>-82957.929999999993</v>
      </c>
      <c r="N347" s="3">
        <v>-116226.84</v>
      </c>
      <c r="O347" s="3">
        <f>-N348</f>
        <v>-15167.44</v>
      </c>
      <c r="P347" s="3">
        <f>-O348</f>
        <v>-42568.9</v>
      </c>
      <c r="Q347" s="474">
        <f t="shared" si="48"/>
        <v>-607772.15999999992</v>
      </c>
    </row>
    <row r="348" spans="1:18">
      <c r="A348" s="18">
        <v>338</v>
      </c>
      <c r="C348" s="18" t="str">
        <f t="shared" si="55"/>
        <v>CNGWA908</v>
      </c>
      <c r="D348" s="18" t="s">
        <v>422</v>
      </c>
      <c r="E348" s="3">
        <v>15298.05</v>
      </c>
      <c r="F348" s="3">
        <v>15351.28</v>
      </c>
      <c r="G348" s="3">
        <v>45003.66</v>
      </c>
      <c r="H348" s="3">
        <v>77551.509999999995</v>
      </c>
      <c r="I348" s="3">
        <v>15374.57</v>
      </c>
      <c r="J348" s="3">
        <v>57949.04</v>
      </c>
      <c r="K348" s="3">
        <v>109068.7</v>
      </c>
      <c r="L348" s="3">
        <v>82957.929999999993</v>
      </c>
      <c r="M348" s="3">
        <v>116226.84</v>
      </c>
      <c r="N348" s="3">
        <v>15167.44</v>
      </c>
      <c r="O348" s="3">
        <v>42568.9</v>
      </c>
      <c r="P348" s="3">
        <v>62594.36</v>
      </c>
      <c r="Q348" s="474">
        <f t="shared" si="48"/>
        <v>655112.27999999991</v>
      </c>
    </row>
    <row r="349" spans="1:18">
      <c r="A349" s="18">
        <v>339</v>
      </c>
      <c r="C349" s="18" t="str">
        <f t="shared" si="55"/>
        <v>CNGWA908</v>
      </c>
      <c r="D349" s="18" t="s">
        <v>423</v>
      </c>
      <c r="E349" s="474">
        <f>SUM(E340:E348)</f>
        <v>15298.05</v>
      </c>
      <c r="F349" s="474">
        <f t="shared" ref="F349:P349" si="57">SUM(F340:F348)</f>
        <v>15351.28</v>
      </c>
      <c r="G349" s="474">
        <f t="shared" si="57"/>
        <v>45003.66</v>
      </c>
      <c r="H349" s="474">
        <f t="shared" si="57"/>
        <v>77551.509999999995</v>
      </c>
      <c r="I349" s="474">
        <f t="shared" si="57"/>
        <v>15374.57</v>
      </c>
      <c r="J349" s="474">
        <f t="shared" si="57"/>
        <v>57949.04</v>
      </c>
      <c r="K349" s="474">
        <f t="shared" si="57"/>
        <v>109068.7</v>
      </c>
      <c r="L349" s="474">
        <f t="shared" si="57"/>
        <v>82957.929999999993</v>
      </c>
      <c r="M349" s="474">
        <f t="shared" si="57"/>
        <v>116226.84</v>
      </c>
      <c r="N349" s="474">
        <f t="shared" si="57"/>
        <v>15167.44</v>
      </c>
      <c r="O349" s="474">
        <f t="shared" si="57"/>
        <v>42568.9</v>
      </c>
      <c r="P349" s="474">
        <f t="shared" si="57"/>
        <v>62594.36</v>
      </c>
      <c r="Q349" s="474">
        <f t="shared" si="48"/>
        <v>655112.27999999991</v>
      </c>
    </row>
    <row r="350" spans="1:18">
      <c r="A350" s="18">
        <v>340</v>
      </c>
      <c r="D350" s="637" t="s">
        <v>414</v>
      </c>
      <c r="E350" s="791"/>
      <c r="F350" s="791"/>
      <c r="G350" s="791"/>
      <c r="H350" s="791"/>
      <c r="I350" s="791"/>
      <c r="J350" s="791"/>
      <c r="K350" s="791"/>
      <c r="L350" s="791"/>
      <c r="M350" s="791"/>
      <c r="N350" s="791"/>
      <c r="O350" s="791"/>
      <c r="P350" s="791"/>
      <c r="Q350" s="328">
        <f t="shared" si="48"/>
        <v>0</v>
      </c>
    </row>
    <row r="351" spans="1:18">
      <c r="A351" s="18">
        <v>341</v>
      </c>
      <c r="Q351" s="328"/>
      <c r="R351" s="327"/>
    </row>
    <row r="352" spans="1:18">
      <c r="A352" s="18">
        <v>342</v>
      </c>
      <c r="D352" s="325" t="s">
        <v>300</v>
      </c>
      <c r="E352" s="789"/>
      <c r="F352" s="789"/>
      <c r="G352" s="351"/>
      <c r="H352" s="351"/>
      <c r="I352" s="351"/>
      <c r="J352" s="351"/>
      <c r="K352" s="351"/>
      <c r="L352" s="351"/>
      <c r="M352" s="351"/>
      <c r="N352" s="351"/>
      <c r="O352" s="351"/>
      <c r="P352" s="351"/>
      <c r="Q352" s="328"/>
    </row>
    <row r="353" spans="1:17">
      <c r="A353" s="18">
        <v>343</v>
      </c>
      <c r="C353" s="18" t="str">
        <f>$D$352</f>
        <v>CNGW11LV</v>
      </c>
      <c r="D353" s="18" t="s">
        <v>380</v>
      </c>
      <c r="E353" s="327">
        <v>208781</v>
      </c>
      <c r="F353" s="327">
        <v>155113</v>
      </c>
      <c r="G353" s="327">
        <v>126746</v>
      </c>
      <c r="H353" s="327">
        <v>103024</v>
      </c>
      <c r="I353" s="327">
        <v>64650</v>
      </c>
      <c r="J353" s="327">
        <v>22585</v>
      </c>
      <c r="K353" s="327">
        <v>9634</v>
      </c>
      <c r="L353" s="327">
        <v>7235</v>
      </c>
      <c r="M353" s="327">
        <v>6090</v>
      </c>
      <c r="N353" s="327">
        <v>9932</v>
      </c>
      <c r="O353" s="327">
        <v>52254</v>
      </c>
      <c r="P353" s="327">
        <v>120295</v>
      </c>
      <c r="Q353" s="328">
        <f t="shared" si="48"/>
        <v>886339</v>
      </c>
    </row>
    <row r="354" spans="1:17">
      <c r="A354" s="18">
        <v>344</v>
      </c>
      <c r="C354" s="18" t="str">
        <f t="shared" ref="C354:C369" si="58">$D$352</f>
        <v>CNGW11LV</v>
      </c>
      <c r="D354" s="18" t="s">
        <v>410</v>
      </c>
      <c r="E354" s="327">
        <v>0</v>
      </c>
      <c r="F354" s="327">
        <v>0</v>
      </c>
      <c r="G354" s="327">
        <v>0</v>
      </c>
      <c r="H354" s="327">
        <v>0</v>
      </c>
      <c r="I354" s="327">
        <v>0</v>
      </c>
      <c r="J354" s="327">
        <v>0</v>
      </c>
      <c r="K354" s="327">
        <v>0</v>
      </c>
      <c r="L354" s="327">
        <v>0</v>
      </c>
      <c r="M354" s="327">
        <v>0</v>
      </c>
      <c r="N354" s="327">
        <v>0</v>
      </c>
      <c r="O354" s="327">
        <v>0</v>
      </c>
      <c r="P354" s="327">
        <v>0</v>
      </c>
      <c r="Q354" s="328">
        <f t="shared" si="48"/>
        <v>0</v>
      </c>
    </row>
    <row r="355" spans="1:17">
      <c r="A355" s="18">
        <v>345</v>
      </c>
      <c r="C355" s="18" t="str">
        <f t="shared" si="58"/>
        <v>CNGW11LV</v>
      </c>
      <c r="D355" s="18" t="s">
        <v>411</v>
      </c>
      <c r="E355" s="327">
        <v>0</v>
      </c>
      <c r="F355" s="327">
        <v>0</v>
      </c>
      <c r="G355" s="327">
        <v>0</v>
      </c>
      <c r="H355" s="327">
        <v>0</v>
      </c>
      <c r="I355" s="327">
        <v>0</v>
      </c>
      <c r="J355" s="327">
        <v>0</v>
      </c>
      <c r="K355" s="327">
        <v>0</v>
      </c>
      <c r="L355" s="327">
        <v>0</v>
      </c>
      <c r="M355" s="327">
        <v>0</v>
      </c>
      <c r="N355" s="327">
        <v>0</v>
      </c>
      <c r="O355" s="327">
        <v>0</v>
      </c>
      <c r="P355" s="327">
        <v>0</v>
      </c>
      <c r="Q355" s="328">
        <f t="shared" si="48"/>
        <v>0</v>
      </c>
    </row>
    <row r="356" spans="1:17">
      <c r="A356" s="18">
        <v>346</v>
      </c>
      <c r="C356" s="18" t="str">
        <f t="shared" si="58"/>
        <v>CNGW11LV</v>
      </c>
      <c r="D356" s="18" t="s">
        <v>412</v>
      </c>
      <c r="E356" s="327">
        <v>-208781</v>
      </c>
      <c r="F356" s="327">
        <v>-155113</v>
      </c>
      <c r="G356" s="327">
        <v>-126746</v>
      </c>
      <c r="H356" s="327">
        <v>-103024</v>
      </c>
      <c r="I356" s="327">
        <v>-64650</v>
      </c>
      <c r="J356" s="327">
        <v>-22585</v>
      </c>
      <c r="K356" s="327">
        <v>-9634</v>
      </c>
      <c r="L356" s="327">
        <v>-7235</v>
      </c>
      <c r="M356" s="327">
        <v>-6090</v>
      </c>
      <c r="N356" s="327">
        <v>-9932</v>
      </c>
      <c r="O356" s="327">
        <f>-N357</f>
        <v>-52254</v>
      </c>
      <c r="P356" s="327">
        <f>-O357</f>
        <v>-120295</v>
      </c>
      <c r="Q356" s="328">
        <f t="shared" si="48"/>
        <v>-886339</v>
      </c>
    </row>
    <row r="357" spans="1:17">
      <c r="A357" s="18">
        <v>347</v>
      </c>
      <c r="C357" s="18" t="str">
        <f t="shared" si="58"/>
        <v>CNGW11LV</v>
      </c>
      <c r="D357" s="18" t="s">
        <v>413</v>
      </c>
      <c r="E357" s="327">
        <v>155113</v>
      </c>
      <c r="F357" s="327">
        <v>126746</v>
      </c>
      <c r="G357" s="327">
        <v>103024</v>
      </c>
      <c r="H357" s="327">
        <v>64650</v>
      </c>
      <c r="I357" s="327">
        <v>22585</v>
      </c>
      <c r="J357" s="327">
        <v>9634</v>
      </c>
      <c r="K357" s="327">
        <v>7235</v>
      </c>
      <c r="L357" s="327">
        <v>6090</v>
      </c>
      <c r="M357" s="327">
        <v>9932</v>
      </c>
      <c r="N357" s="327">
        <v>52254</v>
      </c>
      <c r="O357" s="327">
        <v>120295</v>
      </c>
      <c r="P357" s="327">
        <v>131711</v>
      </c>
      <c r="Q357" s="328">
        <f t="shared" ref="Q357:Q395" si="59">SUM(E357:P357)</f>
        <v>809269</v>
      </c>
    </row>
    <row r="358" spans="1:17">
      <c r="A358" s="18">
        <v>348</v>
      </c>
      <c r="C358" s="18" t="str">
        <f t="shared" si="58"/>
        <v>CNGW11LV</v>
      </c>
      <c r="D358" s="18" t="s">
        <v>195</v>
      </c>
      <c r="E358" s="328">
        <f>SUM(E353:E357)</f>
        <v>155113</v>
      </c>
      <c r="F358" s="328">
        <f t="shared" ref="F358:P358" si="60">SUM(F353:F357)</f>
        <v>126746</v>
      </c>
      <c r="G358" s="328">
        <f t="shared" si="60"/>
        <v>103024</v>
      </c>
      <c r="H358" s="328">
        <f t="shared" si="60"/>
        <v>64650</v>
      </c>
      <c r="I358" s="328">
        <f t="shared" si="60"/>
        <v>22585</v>
      </c>
      <c r="J358" s="328">
        <f t="shared" si="60"/>
        <v>9634</v>
      </c>
      <c r="K358" s="328">
        <f t="shared" si="60"/>
        <v>7235</v>
      </c>
      <c r="L358" s="328">
        <f t="shared" si="60"/>
        <v>6090</v>
      </c>
      <c r="M358" s="328">
        <f t="shared" si="60"/>
        <v>9932</v>
      </c>
      <c r="N358" s="328">
        <f t="shared" si="60"/>
        <v>52254</v>
      </c>
      <c r="O358" s="328">
        <f t="shared" si="60"/>
        <v>120295</v>
      </c>
      <c r="P358" s="328">
        <f t="shared" si="60"/>
        <v>131711</v>
      </c>
      <c r="Q358" s="328">
        <f t="shared" si="59"/>
        <v>809269</v>
      </c>
    </row>
    <row r="359" spans="1:17">
      <c r="A359" s="18">
        <v>349</v>
      </c>
      <c r="C359" s="18" t="str">
        <f t="shared" si="58"/>
        <v>CNGW11LV</v>
      </c>
      <c r="D359" s="637" t="s">
        <v>414</v>
      </c>
      <c r="E359" s="327"/>
      <c r="F359" s="327"/>
      <c r="G359" s="327"/>
      <c r="H359" s="327"/>
      <c r="I359" s="327"/>
      <c r="J359" s="327"/>
      <c r="K359" s="327"/>
      <c r="L359" s="327"/>
      <c r="M359" s="327"/>
      <c r="N359" s="327"/>
      <c r="O359" s="327"/>
      <c r="P359" s="327"/>
      <c r="Q359" s="328">
        <f t="shared" si="59"/>
        <v>0</v>
      </c>
    </row>
    <row r="360" spans="1:17">
      <c r="A360" s="18">
        <v>350</v>
      </c>
      <c r="C360" s="18" t="str">
        <f t="shared" si="58"/>
        <v>CNGW11LV</v>
      </c>
      <c r="D360" s="18" t="s">
        <v>415</v>
      </c>
      <c r="E360" s="3">
        <v>223305.8</v>
      </c>
      <c r="F360" s="3">
        <v>167104.37</v>
      </c>
      <c r="G360" s="3">
        <v>137518.34</v>
      </c>
      <c r="H360" s="3">
        <v>112645.12</v>
      </c>
      <c r="I360" s="3">
        <v>72188.28</v>
      </c>
      <c r="J360" s="3">
        <v>25377.9</v>
      </c>
      <c r="K360" s="3">
        <v>11026.14</v>
      </c>
      <c r="L360" s="3">
        <v>8356.3700000000008</v>
      </c>
      <c r="M360" s="3">
        <v>7163.71</v>
      </c>
      <c r="N360" s="3">
        <v>11360.1</v>
      </c>
      <c r="O360" s="3">
        <v>58769.66</v>
      </c>
      <c r="P360" s="3">
        <v>137376.26</v>
      </c>
      <c r="Q360" s="474">
        <f t="shared" si="59"/>
        <v>972192.05</v>
      </c>
    </row>
    <row r="361" spans="1:17">
      <c r="A361" s="18">
        <v>351</v>
      </c>
      <c r="C361" s="18" t="str">
        <f t="shared" si="58"/>
        <v>CNGW11LV</v>
      </c>
      <c r="D361" s="18" t="s">
        <v>416</v>
      </c>
      <c r="E361" s="3">
        <v>0</v>
      </c>
      <c r="F361" s="3"/>
      <c r="G361" s="3">
        <v>0</v>
      </c>
      <c r="H361" s="3">
        <v>0</v>
      </c>
      <c r="I361" s="3">
        <v>0</v>
      </c>
      <c r="J361" s="3">
        <v>0</v>
      </c>
      <c r="K361" s="3">
        <v>0</v>
      </c>
      <c r="L361" s="3">
        <v>0</v>
      </c>
      <c r="M361" s="3">
        <v>0</v>
      </c>
      <c r="N361" s="3">
        <v>0</v>
      </c>
      <c r="O361" s="3">
        <v>0</v>
      </c>
      <c r="P361" s="3">
        <v>0</v>
      </c>
      <c r="Q361" s="474">
        <f t="shared" si="59"/>
        <v>0</v>
      </c>
    </row>
    <row r="362" spans="1:17">
      <c r="A362" s="18">
        <v>352</v>
      </c>
      <c r="C362" s="18" t="str">
        <f t="shared" si="58"/>
        <v>CNGW11LV</v>
      </c>
      <c r="D362" s="18" t="s">
        <v>417</v>
      </c>
      <c r="E362" s="3">
        <v>0</v>
      </c>
      <c r="F362" s="3"/>
      <c r="G362" s="3">
        <v>0</v>
      </c>
      <c r="H362" s="3">
        <v>0</v>
      </c>
      <c r="I362" s="3">
        <v>0</v>
      </c>
      <c r="J362" s="3">
        <v>0</v>
      </c>
      <c r="K362" s="3">
        <v>0</v>
      </c>
      <c r="L362" s="3">
        <v>0</v>
      </c>
      <c r="M362" s="3">
        <v>0</v>
      </c>
      <c r="N362" s="3">
        <v>0</v>
      </c>
      <c r="O362" s="3">
        <v>0</v>
      </c>
      <c r="P362" s="3">
        <v>0</v>
      </c>
      <c r="Q362" s="474">
        <f t="shared" si="59"/>
        <v>0</v>
      </c>
    </row>
    <row r="363" spans="1:17">
      <c r="A363" s="18">
        <v>353</v>
      </c>
      <c r="C363" s="18" t="str">
        <f t="shared" si="58"/>
        <v>CNGW11LV</v>
      </c>
      <c r="D363" s="18" t="s">
        <v>418</v>
      </c>
      <c r="E363" s="3">
        <v>-12297.67</v>
      </c>
      <c r="F363" s="3">
        <v>-9276.91</v>
      </c>
      <c r="G363" s="3">
        <v>-6039.13</v>
      </c>
      <c r="H363" s="3">
        <v>-1107.79</v>
      </c>
      <c r="I363" s="3">
        <v>1793.84</v>
      </c>
      <c r="J363" s="3">
        <v>3887.39</v>
      </c>
      <c r="K363" s="3">
        <v>3537.99</v>
      </c>
      <c r="L363" s="3">
        <v>2830.53</v>
      </c>
      <c r="M363" s="3">
        <v>2157.2399999999998</v>
      </c>
      <c r="N363" s="3">
        <v>-4397.6400000000003</v>
      </c>
      <c r="O363" s="3">
        <v>-13137.97</v>
      </c>
      <c r="P363" s="3">
        <v>-11570.77</v>
      </c>
      <c r="Q363" s="474">
        <f t="shared" si="59"/>
        <v>-43620.890000000014</v>
      </c>
    </row>
    <row r="364" spans="1:17">
      <c r="A364" s="18">
        <v>354</v>
      </c>
      <c r="C364" s="18" t="str">
        <f t="shared" si="58"/>
        <v>CNGW11LV</v>
      </c>
      <c r="D364" s="18" t="s">
        <v>419</v>
      </c>
      <c r="E364" s="3">
        <v>4223.72</v>
      </c>
      <c r="F364" s="3">
        <v>3451.29</v>
      </c>
      <c r="G364" s="3">
        <v>2805.35</v>
      </c>
      <c r="H364" s="3">
        <v>1760.41</v>
      </c>
      <c r="I364" s="3">
        <v>614.99</v>
      </c>
      <c r="J364" s="3">
        <v>262.33</v>
      </c>
      <c r="K364" s="3">
        <v>197</v>
      </c>
      <c r="L364" s="3">
        <v>165.82</v>
      </c>
      <c r="M364" s="3">
        <v>270.45</v>
      </c>
      <c r="N364" s="3">
        <v>1422.88</v>
      </c>
      <c r="O364" s="3">
        <v>-1065.81</v>
      </c>
      <c r="P364" s="3">
        <v>-1166.96</v>
      </c>
      <c r="Q364" s="474">
        <f t="shared" si="59"/>
        <v>12941.470000000001</v>
      </c>
    </row>
    <row r="365" spans="1:17">
      <c r="A365" s="18">
        <v>355</v>
      </c>
      <c r="C365" s="18" t="str">
        <f t="shared" si="58"/>
        <v>CNGW11LV</v>
      </c>
      <c r="D365" s="18" t="s">
        <v>167</v>
      </c>
      <c r="E365" s="3">
        <v>0</v>
      </c>
      <c r="F365" s="3">
        <v>0</v>
      </c>
      <c r="G365" s="3">
        <v>0</v>
      </c>
      <c r="H365" s="3">
        <v>0</v>
      </c>
      <c r="I365" s="3">
        <v>0</v>
      </c>
      <c r="J365" s="3">
        <v>0</v>
      </c>
      <c r="K365" s="3">
        <v>0</v>
      </c>
      <c r="L365" s="3">
        <v>0</v>
      </c>
      <c r="M365" s="3">
        <v>0</v>
      </c>
      <c r="N365" s="3">
        <v>0</v>
      </c>
      <c r="O365" s="3">
        <v>0</v>
      </c>
      <c r="P365" s="3">
        <v>0</v>
      </c>
      <c r="Q365" s="474">
        <f t="shared" si="59"/>
        <v>0</v>
      </c>
    </row>
    <row r="366" spans="1:17">
      <c r="A366" s="18">
        <v>356</v>
      </c>
      <c r="C366" s="18" t="str">
        <f t="shared" si="58"/>
        <v>CNGW11LV</v>
      </c>
      <c r="D366" s="18" t="s">
        <v>427</v>
      </c>
      <c r="E366" s="3">
        <v>0</v>
      </c>
      <c r="F366" s="3">
        <v>0</v>
      </c>
      <c r="G366" s="3">
        <v>0</v>
      </c>
      <c r="H366" s="3">
        <v>0</v>
      </c>
      <c r="I366" s="3">
        <v>0</v>
      </c>
      <c r="J366" s="3">
        <v>0</v>
      </c>
      <c r="K366" s="3">
        <v>0</v>
      </c>
      <c r="L366" s="3">
        <v>0</v>
      </c>
      <c r="M366" s="3">
        <v>0</v>
      </c>
      <c r="N366" s="3">
        <v>0</v>
      </c>
      <c r="O366" s="3">
        <v>0</v>
      </c>
      <c r="P366" s="3">
        <v>0</v>
      </c>
      <c r="Q366" s="474">
        <f t="shared" si="59"/>
        <v>0</v>
      </c>
    </row>
    <row r="367" spans="1:17">
      <c r="A367" s="18">
        <v>357</v>
      </c>
      <c r="C367" s="18" t="str">
        <f t="shared" si="58"/>
        <v>CNGW11LV</v>
      </c>
      <c r="D367" s="18" t="s">
        <v>421</v>
      </c>
      <c r="E367" s="3">
        <v>-223305.8</v>
      </c>
      <c r="F367" s="3">
        <v>-167104.37</v>
      </c>
      <c r="G367" s="3">
        <v>-137518.34</v>
      </c>
      <c r="H367" s="3">
        <v>-112645.12</v>
      </c>
      <c r="I367" s="3">
        <v>-72188.28</v>
      </c>
      <c r="J367" s="3">
        <v>-25377.9</v>
      </c>
      <c r="K367" s="3">
        <v>-11026.14</v>
      </c>
      <c r="L367" s="3">
        <v>-8356.3700000000008</v>
      </c>
      <c r="M367" s="3">
        <v>-7163.71</v>
      </c>
      <c r="N367" s="3">
        <v>-11360.1</v>
      </c>
      <c r="O367" s="3">
        <f>-N368</f>
        <v>-58769.66</v>
      </c>
      <c r="P367" s="3">
        <f>-O368</f>
        <v>-137376.26</v>
      </c>
      <c r="Q367" s="474">
        <f t="shared" si="59"/>
        <v>-972192.05</v>
      </c>
    </row>
    <row r="368" spans="1:17">
      <c r="A368" s="18">
        <v>358</v>
      </c>
      <c r="C368" s="18" t="str">
        <f t="shared" si="58"/>
        <v>CNGW11LV</v>
      </c>
      <c r="D368" s="18" t="s">
        <v>422</v>
      </c>
      <c r="E368" s="3">
        <v>167104.37</v>
      </c>
      <c r="F368" s="3">
        <v>137518.34</v>
      </c>
      <c r="G368" s="3">
        <v>112645.12</v>
      </c>
      <c r="H368" s="3">
        <v>72188.28</v>
      </c>
      <c r="I368" s="3">
        <v>25377.9</v>
      </c>
      <c r="J368" s="3">
        <v>11026.14</v>
      </c>
      <c r="K368" s="3">
        <v>8356.3700000000008</v>
      </c>
      <c r="L368" s="3">
        <v>7163.71</v>
      </c>
      <c r="M368" s="3">
        <v>11360.1</v>
      </c>
      <c r="N368" s="3">
        <v>58769.66</v>
      </c>
      <c r="O368" s="3">
        <v>137376.26</v>
      </c>
      <c r="P368" s="3">
        <v>150022.32</v>
      </c>
      <c r="Q368" s="474">
        <f t="shared" si="59"/>
        <v>898908.57000000007</v>
      </c>
    </row>
    <row r="369" spans="1:19">
      <c r="A369" s="18">
        <v>359</v>
      </c>
      <c r="C369" s="18" t="str">
        <f t="shared" si="58"/>
        <v>CNGW11LV</v>
      </c>
      <c r="D369" s="18" t="s">
        <v>423</v>
      </c>
      <c r="E369" s="474">
        <f>SUM(E360:E368)</f>
        <v>159030.41999999998</v>
      </c>
      <c r="F369" s="474">
        <f t="shared" ref="F369:P369" si="61">SUM(F360:F368)</f>
        <v>131692.72</v>
      </c>
      <c r="G369" s="474">
        <f t="shared" si="61"/>
        <v>109411.34</v>
      </c>
      <c r="H369" s="474">
        <f>SUM(H360:H368)</f>
        <v>72840.900000000009</v>
      </c>
      <c r="I369" s="474">
        <f t="shared" si="61"/>
        <v>27786.730000000003</v>
      </c>
      <c r="J369" s="474">
        <f t="shared" si="61"/>
        <v>15175.86</v>
      </c>
      <c r="K369" s="474">
        <f t="shared" si="61"/>
        <v>12091.36</v>
      </c>
      <c r="L369" s="474">
        <f t="shared" si="61"/>
        <v>10160.060000000001</v>
      </c>
      <c r="M369" s="474">
        <f t="shared" si="61"/>
        <v>13787.79</v>
      </c>
      <c r="N369" s="474">
        <f t="shared" si="61"/>
        <v>55794.9</v>
      </c>
      <c r="O369" s="474">
        <f t="shared" si="61"/>
        <v>123172.48000000001</v>
      </c>
      <c r="P369" s="474">
        <f t="shared" si="61"/>
        <v>137284.59</v>
      </c>
      <c r="Q369" s="474">
        <f t="shared" si="59"/>
        <v>868229.15</v>
      </c>
    </row>
    <row r="370" spans="1:19">
      <c r="A370" s="18">
        <v>360</v>
      </c>
      <c r="D370" s="637" t="s">
        <v>414</v>
      </c>
      <c r="E370" s="789"/>
      <c r="F370" s="789"/>
      <c r="G370" s="327"/>
      <c r="H370" s="327"/>
      <c r="I370" s="327"/>
      <c r="J370" s="327"/>
      <c r="K370" s="327"/>
      <c r="L370" s="327"/>
      <c r="M370" s="327"/>
      <c r="N370" s="327"/>
      <c r="O370" s="327"/>
      <c r="P370" s="327"/>
      <c r="Q370" s="328">
        <f t="shared" si="59"/>
        <v>0</v>
      </c>
    </row>
    <row r="371" spans="1:19">
      <c r="A371" s="18">
        <v>361</v>
      </c>
      <c r="Q371" s="328"/>
    </row>
    <row r="372" spans="1:19">
      <c r="A372" s="18">
        <v>362</v>
      </c>
      <c r="B372" s="638"/>
      <c r="D372" s="325" t="s">
        <v>434</v>
      </c>
      <c r="G372" s="326"/>
      <c r="Q372" s="328"/>
    </row>
    <row r="373" spans="1:19">
      <c r="A373" s="18">
        <v>363</v>
      </c>
      <c r="B373" s="638"/>
      <c r="C373" s="18" t="str">
        <f>$D$372</f>
        <v>CNGWA6631-COMBINED</v>
      </c>
      <c r="D373" s="18" t="s">
        <v>380</v>
      </c>
      <c r="E373" s="327">
        <f t="shared" ref="E373:P373" si="62">E253+E132</f>
        <v>46823849</v>
      </c>
      <c r="F373" s="327">
        <f t="shared" si="62"/>
        <v>49699503</v>
      </c>
      <c r="G373" s="327">
        <f t="shared" si="62"/>
        <v>45573239</v>
      </c>
      <c r="H373" s="327">
        <f t="shared" si="62"/>
        <v>57927940</v>
      </c>
      <c r="I373" s="327">
        <f t="shared" si="62"/>
        <v>56933915</v>
      </c>
      <c r="J373" s="327">
        <f t="shared" si="62"/>
        <v>30713319</v>
      </c>
      <c r="K373" s="327">
        <f t="shared" si="62"/>
        <v>33250882</v>
      </c>
      <c r="L373" s="327">
        <f t="shared" si="62"/>
        <v>51169771</v>
      </c>
      <c r="M373" s="327">
        <f t="shared" si="62"/>
        <v>58686247</v>
      </c>
      <c r="N373" s="327">
        <f t="shared" si="62"/>
        <v>62861151</v>
      </c>
      <c r="O373" s="327">
        <f t="shared" si="62"/>
        <v>64093200</v>
      </c>
      <c r="P373" s="327">
        <f t="shared" si="62"/>
        <v>61033581</v>
      </c>
      <c r="Q373" s="328">
        <f t="shared" si="59"/>
        <v>618766597</v>
      </c>
    </row>
    <row r="374" spans="1:19">
      <c r="A374" s="18">
        <v>364</v>
      </c>
      <c r="B374" s="639"/>
      <c r="C374" s="18" t="str">
        <f t="shared" ref="C374:C390" si="63">$D$372</f>
        <v>CNGWA6631-COMBINED</v>
      </c>
      <c r="D374" s="18" t="s">
        <v>410</v>
      </c>
      <c r="E374" s="327">
        <f t="shared" ref="E374:P374" si="64">E254+E133</f>
        <v>0</v>
      </c>
      <c r="F374" s="327">
        <f t="shared" si="64"/>
        <v>0</v>
      </c>
      <c r="G374" s="327">
        <f t="shared" si="64"/>
        <v>0</v>
      </c>
      <c r="H374" s="327">
        <f t="shared" si="64"/>
        <v>0</v>
      </c>
      <c r="I374" s="327">
        <f t="shared" si="64"/>
        <v>0</v>
      </c>
      <c r="J374" s="327">
        <f t="shared" si="64"/>
        <v>0</v>
      </c>
      <c r="K374" s="327">
        <f t="shared" si="64"/>
        <v>0</v>
      </c>
      <c r="L374" s="327">
        <f t="shared" si="64"/>
        <v>0</v>
      </c>
      <c r="M374" s="327">
        <f t="shared" si="64"/>
        <v>0</v>
      </c>
      <c r="N374" s="327">
        <f t="shared" si="64"/>
        <v>0</v>
      </c>
      <c r="O374" s="327">
        <f t="shared" si="64"/>
        <v>0</v>
      </c>
      <c r="P374" s="327">
        <f t="shared" si="64"/>
        <v>0</v>
      </c>
      <c r="Q374" s="328">
        <f t="shared" si="59"/>
        <v>0</v>
      </c>
      <c r="S374" s="326"/>
    </row>
    <row r="375" spans="1:19">
      <c r="A375" s="18">
        <v>365</v>
      </c>
      <c r="C375" s="18" t="str">
        <f t="shared" si="63"/>
        <v>CNGWA6631-COMBINED</v>
      </c>
      <c r="D375" s="18" t="s">
        <v>411</v>
      </c>
      <c r="E375" s="327">
        <f t="shared" ref="E375:P375" si="65">E255+E134</f>
        <v>0</v>
      </c>
      <c r="F375" s="327">
        <f t="shared" si="65"/>
        <v>0</v>
      </c>
      <c r="G375" s="327">
        <f t="shared" si="65"/>
        <v>0</v>
      </c>
      <c r="H375" s="327">
        <f t="shared" si="65"/>
        <v>0</v>
      </c>
      <c r="I375" s="327">
        <f t="shared" si="65"/>
        <v>0</v>
      </c>
      <c r="J375" s="327">
        <f t="shared" si="65"/>
        <v>0</v>
      </c>
      <c r="K375" s="327">
        <f t="shared" si="65"/>
        <v>0</v>
      </c>
      <c r="L375" s="327">
        <f t="shared" si="65"/>
        <v>0</v>
      </c>
      <c r="M375" s="327">
        <f t="shared" si="65"/>
        <v>0</v>
      </c>
      <c r="N375" s="327">
        <f t="shared" si="65"/>
        <v>0</v>
      </c>
      <c r="O375" s="327">
        <f t="shared" si="65"/>
        <v>0</v>
      </c>
      <c r="P375" s="327">
        <f t="shared" si="65"/>
        <v>0</v>
      </c>
      <c r="Q375" s="328">
        <f t="shared" si="59"/>
        <v>0</v>
      </c>
    </row>
    <row r="376" spans="1:19">
      <c r="A376" s="18">
        <v>366</v>
      </c>
      <c r="C376" s="18" t="str">
        <f t="shared" si="63"/>
        <v>CNGWA6631-COMBINED</v>
      </c>
      <c r="D376" s="18" t="s">
        <v>426</v>
      </c>
      <c r="E376" s="327">
        <f t="shared" ref="E376:P376" si="66">E135</f>
        <v>3930478</v>
      </c>
      <c r="F376" s="327">
        <f t="shared" si="66"/>
        <v>0</v>
      </c>
      <c r="G376" s="327">
        <f t="shared" si="66"/>
        <v>0</v>
      </c>
      <c r="H376" s="327">
        <f t="shared" si="66"/>
        <v>0</v>
      </c>
      <c r="I376" s="327">
        <f t="shared" si="66"/>
        <v>0</v>
      </c>
      <c r="J376" s="327">
        <f t="shared" si="66"/>
        <v>0</v>
      </c>
      <c r="K376" s="327">
        <f t="shared" si="66"/>
        <v>0</v>
      </c>
      <c r="L376" s="327">
        <f t="shared" si="66"/>
        <v>0</v>
      </c>
      <c r="M376" s="327">
        <f t="shared" si="66"/>
        <v>0</v>
      </c>
      <c r="N376" s="327">
        <f t="shared" si="66"/>
        <v>0</v>
      </c>
      <c r="O376" s="327">
        <f t="shared" si="66"/>
        <v>0</v>
      </c>
      <c r="P376" s="327">
        <f t="shared" si="66"/>
        <v>0</v>
      </c>
      <c r="Q376" s="328">
        <f t="shared" si="59"/>
        <v>3930478</v>
      </c>
    </row>
    <row r="377" spans="1:19">
      <c r="A377" s="18">
        <v>367</v>
      </c>
      <c r="C377" s="18" t="str">
        <f t="shared" si="63"/>
        <v>CNGWA6631-COMBINED</v>
      </c>
      <c r="D377" s="18" t="s">
        <v>412</v>
      </c>
      <c r="E377" s="327">
        <f t="shared" ref="E377:P377" si="67">E256+E136</f>
        <v>-50775395</v>
      </c>
      <c r="F377" s="327">
        <f t="shared" si="67"/>
        <v>-49699503</v>
      </c>
      <c r="G377" s="327">
        <f t="shared" si="67"/>
        <v>-45561502</v>
      </c>
      <c r="H377" s="327">
        <f t="shared" si="67"/>
        <v>-57927940</v>
      </c>
      <c r="I377" s="327">
        <f t="shared" si="67"/>
        <v>-56933915</v>
      </c>
      <c r="J377" s="327">
        <f t="shared" si="67"/>
        <v>-30713319</v>
      </c>
      <c r="K377" s="327">
        <f t="shared" si="67"/>
        <v>-33250882</v>
      </c>
      <c r="L377" s="327">
        <f t="shared" si="67"/>
        <v>-51169771</v>
      </c>
      <c r="M377" s="327">
        <f t="shared" si="67"/>
        <v>-58686247</v>
      </c>
      <c r="N377" s="327">
        <f t="shared" si="67"/>
        <v>-62861151</v>
      </c>
      <c r="O377" s="327">
        <f t="shared" si="67"/>
        <v>-64093200</v>
      </c>
      <c r="P377" s="327">
        <f t="shared" si="67"/>
        <v>-61189628</v>
      </c>
      <c r="Q377" s="328">
        <f t="shared" si="59"/>
        <v>-622862453</v>
      </c>
    </row>
    <row r="378" spans="1:19">
      <c r="A378" s="18">
        <v>368</v>
      </c>
      <c r="C378" s="18" t="str">
        <f t="shared" si="63"/>
        <v>CNGWA6631-COMBINED</v>
      </c>
      <c r="D378" s="18" t="s">
        <v>413</v>
      </c>
      <c r="E378" s="327">
        <f t="shared" ref="E378:P378" si="68">E257+E137</f>
        <v>49699503</v>
      </c>
      <c r="F378" s="327">
        <f t="shared" si="68"/>
        <v>45561502</v>
      </c>
      <c r="G378" s="327">
        <f t="shared" si="68"/>
        <v>57927940</v>
      </c>
      <c r="H378" s="327">
        <f t="shared" si="68"/>
        <v>56933915</v>
      </c>
      <c r="I378" s="327">
        <f t="shared" si="68"/>
        <v>30713319</v>
      </c>
      <c r="J378" s="327">
        <f t="shared" si="68"/>
        <v>33250882</v>
      </c>
      <c r="K378" s="327">
        <f t="shared" si="68"/>
        <v>51169771</v>
      </c>
      <c r="L378" s="327">
        <f t="shared" si="68"/>
        <v>58686247</v>
      </c>
      <c r="M378" s="327">
        <f t="shared" si="68"/>
        <v>62861151</v>
      </c>
      <c r="N378" s="327">
        <f t="shared" si="68"/>
        <v>64093200</v>
      </c>
      <c r="O378" s="327">
        <f t="shared" si="68"/>
        <v>61189628</v>
      </c>
      <c r="P378" s="327">
        <f t="shared" si="68"/>
        <v>64381035</v>
      </c>
      <c r="Q378" s="328">
        <f t="shared" si="59"/>
        <v>636468093</v>
      </c>
    </row>
    <row r="379" spans="1:19">
      <c r="A379" s="18">
        <v>369</v>
      </c>
      <c r="C379" s="18" t="str">
        <f t="shared" si="63"/>
        <v>CNGWA6631-COMBINED</v>
      </c>
      <c r="D379" s="18" t="s">
        <v>195</v>
      </c>
      <c r="E379" s="328">
        <f>SUM(E373:E378)</f>
        <v>49678435</v>
      </c>
      <c r="F379" s="328">
        <f t="shared" ref="F379:P379" si="69">SUM(F373:F378)</f>
        <v>45561502</v>
      </c>
      <c r="G379" s="328">
        <f t="shared" si="69"/>
        <v>57939677</v>
      </c>
      <c r="H379" s="328">
        <f t="shared" si="69"/>
        <v>56933915</v>
      </c>
      <c r="I379" s="328">
        <f t="shared" si="69"/>
        <v>30713319</v>
      </c>
      <c r="J379" s="328">
        <f t="shared" si="69"/>
        <v>33250882</v>
      </c>
      <c r="K379" s="328">
        <f t="shared" si="69"/>
        <v>51169771</v>
      </c>
      <c r="L379" s="328">
        <f t="shared" si="69"/>
        <v>58686247</v>
      </c>
      <c r="M379" s="328">
        <f t="shared" si="69"/>
        <v>62861151</v>
      </c>
      <c r="N379" s="328">
        <f t="shared" si="69"/>
        <v>64093200</v>
      </c>
      <c r="O379" s="328">
        <f t="shared" si="69"/>
        <v>61189628</v>
      </c>
      <c r="P379" s="328">
        <f t="shared" si="69"/>
        <v>64224988</v>
      </c>
      <c r="Q379" s="328">
        <f t="shared" si="59"/>
        <v>636302715</v>
      </c>
      <c r="S379" s="326"/>
    </row>
    <row r="380" spans="1:19">
      <c r="A380" s="18">
        <v>370</v>
      </c>
      <c r="C380" s="18" t="str">
        <f t="shared" si="63"/>
        <v>CNGWA6631-COMBINED</v>
      </c>
      <c r="D380" s="637" t="s">
        <v>414</v>
      </c>
      <c r="E380" s="326">
        <f t="shared" ref="E380:P380" si="70">E259+E139</f>
        <v>0</v>
      </c>
      <c r="F380" s="326">
        <f t="shared" si="70"/>
        <v>0</v>
      </c>
      <c r="G380" s="326">
        <f t="shared" si="70"/>
        <v>0</v>
      </c>
      <c r="H380" s="326">
        <f t="shared" si="70"/>
        <v>0</v>
      </c>
      <c r="I380" s="326">
        <f t="shared" si="70"/>
        <v>0</v>
      </c>
      <c r="J380" s="326">
        <f t="shared" si="70"/>
        <v>0</v>
      </c>
      <c r="K380" s="326">
        <f t="shared" si="70"/>
        <v>0</v>
      </c>
      <c r="L380" s="326">
        <f t="shared" si="70"/>
        <v>0</v>
      </c>
      <c r="M380" s="326">
        <f t="shared" si="70"/>
        <v>0</v>
      </c>
      <c r="N380" s="326">
        <f t="shared" si="70"/>
        <v>0</v>
      </c>
      <c r="O380" s="326">
        <f t="shared" si="70"/>
        <v>0</v>
      </c>
      <c r="P380" s="326">
        <f t="shared" si="70"/>
        <v>0</v>
      </c>
      <c r="Q380" s="328">
        <f t="shared" si="59"/>
        <v>0</v>
      </c>
    </row>
    <row r="381" spans="1:19">
      <c r="A381" s="18">
        <v>371</v>
      </c>
      <c r="C381" s="18" t="str">
        <f t="shared" si="63"/>
        <v>CNGWA6631-COMBINED</v>
      </c>
      <c r="D381" s="18" t="s">
        <v>415</v>
      </c>
      <c r="E381" s="3">
        <f t="shared" ref="E381:P381" si="71">E260+E140</f>
        <v>1720231.52</v>
      </c>
      <c r="F381" s="3">
        <f t="shared" si="71"/>
        <v>1873952.72</v>
      </c>
      <c r="G381" s="3">
        <f t="shared" si="71"/>
        <v>1810140.1500000001</v>
      </c>
      <c r="H381" s="3">
        <f t="shared" si="71"/>
        <v>1969567.64</v>
      </c>
      <c r="I381" s="3">
        <f t="shared" si="71"/>
        <v>1900588.77</v>
      </c>
      <c r="J381" s="3">
        <f t="shared" si="71"/>
        <v>1584961.1600000001</v>
      </c>
      <c r="K381" s="3">
        <f t="shared" si="71"/>
        <v>1596510.54</v>
      </c>
      <c r="L381" s="3">
        <f t="shared" si="71"/>
        <v>1770642.9500000002</v>
      </c>
      <c r="M381" s="3">
        <f t="shared" si="71"/>
        <v>1910797.93</v>
      </c>
      <c r="N381" s="3">
        <f t="shared" si="71"/>
        <v>2021099.99</v>
      </c>
      <c r="O381" s="3">
        <f t="shared" si="71"/>
        <v>2093633.24</v>
      </c>
      <c r="P381" s="3">
        <f t="shared" si="71"/>
        <v>2126280.2599999998</v>
      </c>
      <c r="Q381" s="474">
        <f t="shared" si="59"/>
        <v>22378406.869999997</v>
      </c>
    </row>
    <row r="382" spans="1:19">
      <c r="A382" s="18">
        <v>372</v>
      </c>
      <c r="C382" s="18" t="str">
        <f t="shared" si="63"/>
        <v>CNGWA6631-COMBINED</v>
      </c>
      <c r="D382" s="18" t="s">
        <v>416</v>
      </c>
      <c r="E382" s="3">
        <f t="shared" ref="E382:P382" si="72">E261+E141</f>
        <v>0</v>
      </c>
      <c r="F382" s="3">
        <f t="shared" si="72"/>
        <v>0</v>
      </c>
      <c r="G382" s="3">
        <f t="shared" si="72"/>
        <v>0</v>
      </c>
      <c r="H382" s="3">
        <f t="shared" si="72"/>
        <v>0</v>
      </c>
      <c r="I382" s="3">
        <f t="shared" si="72"/>
        <v>0</v>
      </c>
      <c r="J382" s="3">
        <f t="shared" si="72"/>
        <v>0</v>
      </c>
      <c r="K382" s="3">
        <f t="shared" si="72"/>
        <v>0</v>
      </c>
      <c r="L382" s="3">
        <f t="shared" si="72"/>
        <v>0</v>
      </c>
      <c r="M382" s="3">
        <f t="shared" si="72"/>
        <v>0</v>
      </c>
      <c r="N382" s="3">
        <f t="shared" si="72"/>
        <v>0</v>
      </c>
      <c r="O382" s="3">
        <f t="shared" si="72"/>
        <v>0</v>
      </c>
      <c r="P382" s="3">
        <f t="shared" si="72"/>
        <v>0</v>
      </c>
      <c r="Q382" s="474">
        <f t="shared" si="59"/>
        <v>0</v>
      </c>
    </row>
    <row r="383" spans="1:19">
      <c r="A383" s="18">
        <v>373</v>
      </c>
      <c r="C383" s="18" t="str">
        <f t="shared" si="63"/>
        <v>CNGWA6631-COMBINED</v>
      </c>
      <c r="D383" s="18" t="s">
        <v>417</v>
      </c>
      <c r="E383" s="3">
        <f t="shared" ref="E383:P383" si="73">E262+E142</f>
        <v>0</v>
      </c>
      <c r="F383" s="3">
        <f t="shared" si="73"/>
        <v>0</v>
      </c>
      <c r="G383" s="3">
        <f t="shared" si="73"/>
        <v>0</v>
      </c>
      <c r="H383" s="3">
        <f t="shared" si="73"/>
        <v>0</v>
      </c>
      <c r="I383" s="3">
        <f t="shared" si="73"/>
        <v>0</v>
      </c>
      <c r="J383" s="3">
        <f t="shared" si="73"/>
        <v>0</v>
      </c>
      <c r="K383" s="3">
        <f t="shared" si="73"/>
        <v>0</v>
      </c>
      <c r="L383" s="3">
        <f t="shared" si="73"/>
        <v>0</v>
      </c>
      <c r="M383" s="3">
        <f t="shared" si="73"/>
        <v>0</v>
      </c>
      <c r="N383" s="3">
        <f t="shared" si="73"/>
        <v>0</v>
      </c>
      <c r="O383" s="3">
        <f t="shared" si="73"/>
        <v>0</v>
      </c>
      <c r="P383" s="3">
        <f t="shared" si="73"/>
        <v>0</v>
      </c>
      <c r="Q383" s="474">
        <f t="shared" si="59"/>
        <v>0</v>
      </c>
    </row>
    <row r="384" spans="1:19">
      <c r="A384" s="18">
        <v>374</v>
      </c>
      <c r="C384" s="18" t="str">
        <f t="shared" si="63"/>
        <v>CNGWA6631-COMBINED</v>
      </c>
      <c r="D384" s="18" t="s">
        <v>418</v>
      </c>
      <c r="E384" s="3">
        <f t="shared" ref="E384:P384" si="74">E263+E143</f>
        <v>0</v>
      </c>
      <c r="F384" s="3">
        <f t="shared" si="74"/>
        <v>0</v>
      </c>
      <c r="G384" s="3">
        <f t="shared" si="74"/>
        <v>0</v>
      </c>
      <c r="H384" s="3">
        <f t="shared" si="74"/>
        <v>0</v>
      </c>
      <c r="I384" s="3">
        <f t="shared" si="74"/>
        <v>0</v>
      </c>
      <c r="J384" s="3">
        <f t="shared" si="74"/>
        <v>0</v>
      </c>
      <c r="K384" s="3">
        <f t="shared" si="74"/>
        <v>0</v>
      </c>
      <c r="L384" s="3">
        <f t="shared" si="74"/>
        <v>0</v>
      </c>
      <c r="M384" s="3">
        <f t="shared" si="74"/>
        <v>0</v>
      </c>
      <c r="N384" s="3">
        <f t="shared" si="74"/>
        <v>0</v>
      </c>
      <c r="O384" s="3">
        <f t="shared" si="74"/>
        <v>0</v>
      </c>
      <c r="P384" s="3">
        <f t="shared" si="74"/>
        <v>0</v>
      </c>
      <c r="Q384" s="474">
        <f t="shared" si="59"/>
        <v>0</v>
      </c>
    </row>
    <row r="385" spans="1:19">
      <c r="A385" s="18">
        <v>375</v>
      </c>
      <c r="C385" s="18" t="str">
        <f t="shared" si="63"/>
        <v>CNGWA6631-COMBINED</v>
      </c>
      <c r="D385" s="18" t="s">
        <v>419</v>
      </c>
      <c r="E385" s="3">
        <f t="shared" ref="E385:P385" si="75">E264+E144</f>
        <v>-24337.43</v>
      </c>
      <c r="F385" s="3">
        <f t="shared" si="75"/>
        <v>-21620.89</v>
      </c>
      <c r="G385" s="3">
        <f t="shared" si="75"/>
        <v>-27966.59</v>
      </c>
      <c r="H385" s="3">
        <f t="shared" si="75"/>
        <v>-24956.989999999998</v>
      </c>
      <c r="I385" s="3">
        <f t="shared" si="75"/>
        <v>-13140.009999999998</v>
      </c>
      <c r="J385" s="3">
        <f t="shared" si="75"/>
        <v>-14303.650000000001</v>
      </c>
      <c r="K385" s="3">
        <f t="shared" si="75"/>
        <v>-25096.09</v>
      </c>
      <c r="L385" s="3">
        <f t="shared" si="75"/>
        <v>-28574.65</v>
      </c>
      <c r="M385" s="3">
        <f t="shared" si="75"/>
        <v>-29795.29</v>
      </c>
      <c r="N385" s="3">
        <f t="shared" si="75"/>
        <v>-29381.510000000002</v>
      </c>
      <c r="O385" s="3">
        <f t="shared" si="75"/>
        <v>-99191.25</v>
      </c>
      <c r="P385" s="3">
        <f t="shared" si="75"/>
        <v>-101936.08</v>
      </c>
      <c r="Q385" s="474">
        <f t="shared" si="59"/>
        <v>-440300.43</v>
      </c>
      <c r="S385" s="475"/>
    </row>
    <row r="386" spans="1:19">
      <c r="A386" s="18">
        <v>376</v>
      </c>
      <c r="C386" s="18" t="str">
        <f t="shared" si="63"/>
        <v>CNGWA6631-COMBINED</v>
      </c>
      <c r="D386" s="18" t="s">
        <v>167</v>
      </c>
      <c r="E386" s="3">
        <f t="shared" ref="E386:P386" si="76">E265+E145</f>
        <v>0</v>
      </c>
      <c r="F386" s="3">
        <f t="shared" si="76"/>
        <v>0</v>
      </c>
      <c r="G386" s="3">
        <f t="shared" si="76"/>
        <v>0</v>
      </c>
      <c r="H386" s="3">
        <f t="shared" si="76"/>
        <v>0</v>
      </c>
      <c r="I386" s="3">
        <f t="shared" si="76"/>
        <v>0</v>
      </c>
      <c r="J386" s="3">
        <f t="shared" si="76"/>
        <v>0</v>
      </c>
      <c r="K386" s="3">
        <f t="shared" si="76"/>
        <v>0</v>
      </c>
      <c r="L386" s="3">
        <f t="shared" si="76"/>
        <v>0</v>
      </c>
      <c r="M386" s="3">
        <f t="shared" si="76"/>
        <v>0</v>
      </c>
      <c r="N386" s="3">
        <f t="shared" si="76"/>
        <v>0</v>
      </c>
      <c r="O386" s="3">
        <f t="shared" si="76"/>
        <v>0</v>
      </c>
      <c r="P386" s="3">
        <f t="shared" si="76"/>
        <v>0</v>
      </c>
      <c r="Q386" s="474">
        <f t="shared" si="59"/>
        <v>0</v>
      </c>
    </row>
    <row r="387" spans="1:19">
      <c r="A387" s="18">
        <v>377</v>
      </c>
      <c r="C387" s="18" t="str">
        <f t="shared" si="63"/>
        <v>CNGWA6631-COMBINED</v>
      </c>
      <c r="D387" s="18" t="s">
        <v>426</v>
      </c>
      <c r="E387" s="3">
        <f t="shared" ref="E387:P387" si="77">E266+E146</f>
        <v>262625.98</v>
      </c>
      <c r="F387" s="3">
        <f t="shared" si="77"/>
        <v>0</v>
      </c>
      <c r="G387" s="3">
        <f t="shared" si="77"/>
        <v>0</v>
      </c>
      <c r="H387" s="3">
        <f t="shared" si="77"/>
        <v>0</v>
      </c>
      <c r="I387" s="3">
        <f t="shared" si="77"/>
        <v>0</v>
      </c>
      <c r="J387" s="3">
        <f t="shared" si="77"/>
        <v>0</v>
      </c>
      <c r="K387" s="3">
        <f t="shared" si="77"/>
        <v>0</v>
      </c>
      <c r="L387" s="3">
        <f t="shared" si="77"/>
        <v>0</v>
      </c>
      <c r="M387" s="3">
        <f t="shared" si="77"/>
        <v>0</v>
      </c>
      <c r="N387" s="3">
        <f t="shared" si="77"/>
        <v>0</v>
      </c>
      <c r="O387" s="3">
        <f t="shared" si="77"/>
        <v>0</v>
      </c>
      <c r="P387" s="3">
        <f t="shared" si="77"/>
        <v>0</v>
      </c>
      <c r="Q387" s="474">
        <f t="shared" si="59"/>
        <v>262625.98</v>
      </c>
      <c r="S387" s="330"/>
    </row>
    <row r="388" spans="1:19">
      <c r="A388" s="18">
        <v>378</v>
      </c>
      <c r="C388" s="18" t="str">
        <f t="shared" si="63"/>
        <v>CNGWA6631-COMBINED</v>
      </c>
      <c r="D388" s="18" t="s">
        <v>421</v>
      </c>
      <c r="E388" s="3">
        <f t="shared" ref="E388:P388" si="78">E267+E147</f>
        <v>-1898246.56</v>
      </c>
      <c r="F388" s="3">
        <f t="shared" si="78"/>
        <v>-1873952.72</v>
      </c>
      <c r="G388" s="3">
        <f t="shared" si="78"/>
        <v>-1809290.04</v>
      </c>
      <c r="H388" s="3">
        <f t="shared" si="78"/>
        <v>-1969567.64</v>
      </c>
      <c r="I388" s="3">
        <f t="shared" si="78"/>
        <v>-1900588.77</v>
      </c>
      <c r="J388" s="3">
        <f t="shared" si="78"/>
        <v>-1584961.1600000001</v>
      </c>
      <c r="K388" s="3">
        <f t="shared" si="78"/>
        <v>-1596510.54</v>
      </c>
      <c r="L388" s="3">
        <f t="shared" si="78"/>
        <v>-1770642.9500000002</v>
      </c>
      <c r="M388" s="3">
        <f t="shared" si="78"/>
        <v>-1910797.93</v>
      </c>
      <c r="N388" s="3">
        <f t="shared" si="78"/>
        <v>-2021099.99</v>
      </c>
      <c r="O388" s="3">
        <f t="shared" si="78"/>
        <v>-2093633.2399999998</v>
      </c>
      <c r="P388" s="3">
        <f t="shared" si="78"/>
        <v>-2134254.52</v>
      </c>
      <c r="Q388" s="474">
        <f t="shared" si="59"/>
        <v>-22563546.059999995</v>
      </c>
      <c r="S388" s="330"/>
    </row>
    <row r="389" spans="1:19">
      <c r="A389" s="18">
        <v>379</v>
      </c>
      <c r="C389" s="18" t="str">
        <f t="shared" si="63"/>
        <v>CNGWA6631-COMBINED</v>
      </c>
      <c r="D389" s="18" t="s">
        <v>422</v>
      </c>
      <c r="E389" s="3">
        <f t="shared" ref="E389:P389" si="79">E268+E148</f>
        <v>1873952.72</v>
      </c>
      <c r="F389" s="3">
        <f t="shared" si="79"/>
        <v>1809290.04</v>
      </c>
      <c r="G389" s="3">
        <f t="shared" si="79"/>
        <v>1969567.64</v>
      </c>
      <c r="H389" s="3">
        <f t="shared" si="79"/>
        <v>1900588.77</v>
      </c>
      <c r="I389" s="3">
        <f t="shared" si="79"/>
        <v>1584961.1600000001</v>
      </c>
      <c r="J389" s="3">
        <f t="shared" si="79"/>
        <v>1596510.54</v>
      </c>
      <c r="K389" s="3">
        <f t="shared" si="79"/>
        <v>1770642.9500000002</v>
      </c>
      <c r="L389" s="3">
        <f t="shared" si="79"/>
        <v>1910797.93</v>
      </c>
      <c r="M389" s="3">
        <f t="shared" si="79"/>
        <v>2021099.99</v>
      </c>
      <c r="N389" s="3">
        <f t="shared" si="79"/>
        <v>2093633.2399999998</v>
      </c>
      <c r="O389" s="3">
        <f t="shared" si="79"/>
        <v>2134254.52</v>
      </c>
      <c r="P389" s="3">
        <f t="shared" si="79"/>
        <v>2130332.6399999997</v>
      </c>
      <c r="Q389" s="474">
        <f t="shared" si="59"/>
        <v>22795632.140000001</v>
      </c>
      <c r="S389" s="475"/>
    </row>
    <row r="390" spans="1:19">
      <c r="A390" s="18">
        <v>380</v>
      </c>
      <c r="C390" s="18" t="str">
        <f t="shared" si="63"/>
        <v>CNGWA6631-COMBINED</v>
      </c>
      <c r="D390" s="18" t="s">
        <v>423</v>
      </c>
      <c r="E390" s="474">
        <f>SUM(E381:E389)</f>
        <v>1934226.23</v>
      </c>
      <c r="F390" s="474">
        <f t="shared" ref="F390:P390" si="80">SUM(F381:F389)</f>
        <v>1787669.1500000001</v>
      </c>
      <c r="G390" s="474">
        <f t="shared" si="80"/>
        <v>1942451.16</v>
      </c>
      <c r="H390" s="474">
        <f>SUM(H381:H389)</f>
        <v>1875631.78</v>
      </c>
      <c r="I390" s="474">
        <f t="shared" si="80"/>
        <v>1571821.1500000001</v>
      </c>
      <c r="J390" s="474">
        <f t="shared" si="80"/>
        <v>1582206.8900000001</v>
      </c>
      <c r="K390" s="474">
        <f t="shared" si="80"/>
        <v>1745546.86</v>
      </c>
      <c r="L390" s="474">
        <f t="shared" si="80"/>
        <v>1882223.28</v>
      </c>
      <c r="M390" s="474">
        <f t="shared" si="80"/>
        <v>1991304.7</v>
      </c>
      <c r="N390" s="474">
        <f t="shared" si="80"/>
        <v>2064251.7299999997</v>
      </c>
      <c r="O390" s="474">
        <f t="shared" si="80"/>
        <v>2035063.2700000003</v>
      </c>
      <c r="P390" s="474">
        <f t="shared" si="80"/>
        <v>2020422.2999999993</v>
      </c>
      <c r="Q390" s="474">
        <f t="shared" si="59"/>
        <v>22432818.5</v>
      </c>
      <c r="S390" s="330"/>
    </row>
    <row r="391" spans="1:19">
      <c r="A391" s="18">
        <v>381</v>
      </c>
      <c r="D391" s="637" t="s">
        <v>414</v>
      </c>
      <c r="O391" s="184"/>
      <c r="P391" s="184"/>
      <c r="Q391" s="328">
        <f t="shared" si="59"/>
        <v>0</v>
      </c>
      <c r="S391" s="475"/>
    </row>
    <row r="392" spans="1:19">
      <c r="A392" s="18">
        <v>382</v>
      </c>
      <c r="D392" s="637"/>
      <c r="E392" s="791"/>
      <c r="F392" s="791"/>
      <c r="G392" s="791"/>
      <c r="H392" s="791"/>
      <c r="I392" s="791"/>
      <c r="J392" s="791"/>
      <c r="K392" s="791"/>
      <c r="L392" s="791"/>
      <c r="M392" s="791"/>
      <c r="N392" s="791"/>
      <c r="O392" s="791"/>
      <c r="P392" s="791"/>
      <c r="Q392" s="328"/>
    </row>
    <row r="393" spans="1:19">
      <c r="A393" s="18">
        <v>383</v>
      </c>
      <c r="D393" s="18" t="s">
        <v>200</v>
      </c>
      <c r="E393" s="1014">
        <f>E390+E369+E349+E329+E309+E289+E249+E229+E209+E189+E169+E128+E108+E88+E68+E48+E28</f>
        <v>57370294.569999993</v>
      </c>
      <c r="F393" s="1014">
        <f t="shared" ref="F393:P393" si="81">F390+F369+F349+F329+F309+F289+F249+F229+F209+F189+F169+F128+F108+F88+F68+F48+F28</f>
        <v>48593351.519999996</v>
      </c>
      <c r="G393" s="1014">
        <f t="shared" si="81"/>
        <v>44590452.869999997</v>
      </c>
      <c r="H393" s="1014">
        <f t="shared" si="81"/>
        <v>29929349.780000001</v>
      </c>
      <c r="I393" s="1014">
        <f t="shared" si="81"/>
        <v>18095875.979999997</v>
      </c>
      <c r="J393" s="1014">
        <f t="shared" si="81"/>
        <v>15194841.91</v>
      </c>
      <c r="K393" s="1014">
        <f t="shared" si="81"/>
        <v>11370397.620000001</v>
      </c>
      <c r="L393" s="1014">
        <f t="shared" si="81"/>
        <v>12978456.34</v>
      </c>
      <c r="M393" s="1014">
        <f t="shared" si="81"/>
        <v>15823260.860000001</v>
      </c>
      <c r="N393" s="1014">
        <f t="shared" si="81"/>
        <v>26178688.34</v>
      </c>
      <c r="O393" s="1014">
        <f t="shared" si="81"/>
        <v>43472161.030000001</v>
      </c>
      <c r="P393" s="1014">
        <f t="shared" si="81"/>
        <v>50507079.410000011</v>
      </c>
      <c r="Q393" s="1015">
        <f>SUM(E393:P393)</f>
        <v>374104210.22999996</v>
      </c>
    </row>
    <row r="394" spans="1:19">
      <c r="A394" s="18">
        <v>384</v>
      </c>
      <c r="D394" s="18" t="s">
        <v>435</v>
      </c>
      <c r="E394" s="1014">
        <f>'Allocation Report 2023'!D15+'Allocation Report 2023'!D19</f>
        <v>57370294.569999993</v>
      </c>
      <c r="F394" s="1014">
        <f>'Allocation Report 2023'!E15+'Allocation Report 2023'!E19</f>
        <v>48593351.520000003</v>
      </c>
      <c r="G394" s="1014">
        <f>'Allocation Report 2023'!F15+'Allocation Report 2023'!F19</f>
        <v>44590452.869999997</v>
      </c>
      <c r="H394" s="1014">
        <f>'Allocation Report 2023'!G15+'Allocation Report 2023'!G19</f>
        <v>29929349.780000001</v>
      </c>
      <c r="I394" s="1014">
        <f>'Allocation Report 2023'!H15+'Allocation Report 2023'!H19</f>
        <v>18095875.98</v>
      </c>
      <c r="J394" s="1014">
        <f>'Allocation Report 2023'!I15+'Allocation Report 2023'!I19</f>
        <v>15194841.91</v>
      </c>
      <c r="K394" s="1014">
        <f>'Allocation Report 2023'!J15+'Allocation Report 2023'!J19</f>
        <v>11370397.620000001</v>
      </c>
      <c r="L394" s="1014">
        <f>'Allocation Report 2023'!K15+'Allocation Report 2023'!K19</f>
        <v>12978456.34</v>
      </c>
      <c r="M394" s="1014">
        <f>'Allocation Report 2023'!L15+'Allocation Report 2023'!L19</f>
        <v>15823260.860000001</v>
      </c>
      <c r="N394" s="1014">
        <f>'Allocation Report 2023'!M15+'Allocation Report 2023'!M19</f>
        <v>26178688.34</v>
      </c>
      <c r="O394" s="1014">
        <f>'Allocation Report 2023'!N15+'Allocation Report 2023'!N19</f>
        <v>43472161.030000001</v>
      </c>
      <c r="P394" s="1014">
        <f>'Allocation Report 2023'!O15+'Allocation Report 2023'!O19</f>
        <v>50507079.410000004</v>
      </c>
      <c r="Q394" s="1015">
        <f t="shared" si="59"/>
        <v>374104210.23000008</v>
      </c>
    </row>
    <row r="395" spans="1:19">
      <c r="A395" s="18">
        <v>385</v>
      </c>
      <c r="D395" s="18" t="s">
        <v>436</v>
      </c>
      <c r="E395" s="1014">
        <f>E393-E394</f>
        <v>0</v>
      </c>
      <c r="F395" s="1014">
        <f t="shared" ref="F395:P395" si="82">F393-F394</f>
        <v>0</v>
      </c>
      <c r="G395" s="1014">
        <f t="shared" si="82"/>
        <v>0</v>
      </c>
      <c r="H395" s="1014">
        <f t="shared" si="82"/>
        <v>0</v>
      </c>
      <c r="I395" s="1014">
        <f t="shared" si="82"/>
        <v>0</v>
      </c>
      <c r="J395" s="1014">
        <f t="shared" si="82"/>
        <v>0</v>
      </c>
      <c r="K395" s="1014">
        <f t="shared" si="82"/>
        <v>0</v>
      </c>
      <c r="L395" s="1014">
        <f t="shared" si="82"/>
        <v>0</v>
      </c>
      <c r="M395" s="1014">
        <f t="shared" si="82"/>
        <v>0</v>
      </c>
      <c r="N395" s="1014">
        <f t="shared" si="82"/>
        <v>0</v>
      </c>
      <c r="O395" s="1014">
        <f t="shared" si="82"/>
        <v>0</v>
      </c>
      <c r="P395" s="1014">
        <f t="shared" si="82"/>
        <v>0</v>
      </c>
      <c r="Q395" s="1016">
        <f t="shared" si="59"/>
        <v>0</v>
      </c>
    </row>
    <row r="398" spans="1:19">
      <c r="E398" s="326"/>
      <c r="F398" s="326"/>
      <c r="G398" s="326"/>
      <c r="H398" s="326"/>
      <c r="I398" s="326"/>
      <c r="J398" s="326"/>
      <c r="K398" s="326"/>
      <c r="L398" s="326"/>
      <c r="M398" s="326"/>
      <c r="N398" s="326"/>
      <c r="O398" s="326"/>
      <c r="P398" s="326"/>
      <c r="Q398" s="326"/>
      <c r="S398" s="748"/>
    </row>
  </sheetData>
  <mergeCells count="6">
    <mergeCell ref="B1:Q1"/>
    <mergeCell ref="B3:Q3"/>
    <mergeCell ref="B4:Q4"/>
    <mergeCell ref="B5:Q5"/>
    <mergeCell ref="B6:Q6"/>
    <mergeCell ref="B2:Q2"/>
  </mergeCells>
  <pageMargins left="0.7" right="0.7" top="0.75" bottom="0.75" header="0.3" footer="0.3"/>
  <pageSetup scale="26" fitToHeight="0" orientation="portrait" horizontalDpi="1200" verticalDpi="1200" r:id="rId1"/>
  <headerFooter>
    <oddHeader>&amp;RPage &amp;P of &amp;N</oddHeader>
    <oddFooter>&amp;L&amp;A</oddFooter>
  </headerFooter>
  <rowBreaks count="4" manualBreakCount="4">
    <brk id="89" max="16383" man="1"/>
    <brk id="170" max="16383" man="1"/>
    <brk id="251" max="16383" man="1"/>
    <brk id="3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5FF8-4926-4BCF-9EFA-0478409F14E5}">
  <sheetPr codeName="Sheet21"/>
  <dimension ref="B1:U93"/>
  <sheetViews>
    <sheetView view="pageBreakPreview" topLeftCell="B21" zoomScale="60" zoomScaleNormal="100" workbookViewId="0">
      <selection activeCell="Q55" sqref="Q55"/>
    </sheetView>
  </sheetViews>
  <sheetFormatPr defaultColWidth="8.85546875" defaultRowHeight="15"/>
  <cols>
    <col min="1" max="1" width="2.140625" style="53" customWidth="1"/>
    <col min="2" max="2" width="8.85546875" style="53"/>
    <col min="3" max="3" width="46.140625" style="53" customWidth="1"/>
    <col min="4" max="4" width="17.85546875" style="53" customWidth="1"/>
    <col min="5" max="7" width="18.7109375" style="53" bestFit="1" customWidth="1"/>
    <col min="8" max="8" width="18.7109375" style="53" customWidth="1"/>
    <col min="9" max="9" width="18.28515625" style="53" customWidth="1"/>
    <col min="10" max="10" width="19.140625" style="53" customWidth="1"/>
    <col min="11" max="11" width="19.42578125" style="53" customWidth="1"/>
    <col min="12" max="12" width="19.5703125" style="53" customWidth="1"/>
    <col min="13" max="13" width="18.28515625" style="53" bestFit="1" customWidth="1"/>
    <col min="14" max="14" width="18" style="53" customWidth="1"/>
    <col min="15" max="15" width="18.28515625" style="53" bestFit="1" customWidth="1"/>
    <col min="16" max="16" width="22.7109375" style="53" customWidth="1"/>
    <col min="17" max="17" width="22.28515625" style="53" customWidth="1"/>
    <col min="18" max="18" width="35.85546875" style="53" customWidth="1"/>
    <col min="19" max="19" width="28.7109375" style="53" customWidth="1"/>
    <col min="20" max="20" width="14.7109375" style="53" customWidth="1"/>
    <col min="21" max="21" width="13.28515625" style="53" bestFit="1" customWidth="1"/>
    <col min="22" max="22" width="13.85546875" style="53" bestFit="1" customWidth="1"/>
    <col min="23" max="23" width="12.28515625" style="53" bestFit="1" customWidth="1"/>
    <col min="24" max="24" width="13.28515625" style="53" bestFit="1" customWidth="1"/>
    <col min="25" max="16384" width="8.85546875" style="53"/>
  </cols>
  <sheetData>
    <row r="1" spans="2:19">
      <c r="B1" s="1423" t="str">
        <f>Company</f>
        <v>Cascade Natural Gas Corp.</v>
      </c>
      <c r="C1" s="1423"/>
      <c r="D1" s="1423"/>
      <c r="E1" s="1423"/>
      <c r="F1" s="1423"/>
      <c r="G1" s="1423"/>
      <c r="H1" s="1423"/>
      <c r="I1" s="1423"/>
      <c r="J1" s="1423"/>
      <c r="K1" s="1423"/>
      <c r="L1" s="1423"/>
      <c r="M1" s="1423"/>
      <c r="N1" s="1423"/>
      <c r="O1" s="1423"/>
      <c r="P1" s="1423"/>
      <c r="Q1" s="1423"/>
      <c r="R1" s="1423"/>
      <c r="S1" s="1423"/>
    </row>
    <row r="2" spans="2:19">
      <c r="B2" s="1423" t="str">
        <f>Title1</f>
        <v>Washington Jurisdiction</v>
      </c>
      <c r="C2" s="1423"/>
      <c r="D2" s="1423"/>
      <c r="E2" s="1423"/>
      <c r="F2" s="1423"/>
      <c r="G2" s="1423"/>
      <c r="H2" s="1423"/>
      <c r="I2" s="1423"/>
      <c r="J2" s="1423"/>
      <c r="K2" s="1423"/>
      <c r="L2" s="1423"/>
      <c r="M2" s="1423"/>
      <c r="N2" s="1423"/>
      <c r="O2" s="1423"/>
      <c r="P2" s="1423"/>
      <c r="Q2" s="1423"/>
      <c r="R2" s="1423"/>
      <c r="S2" s="1423"/>
    </row>
    <row r="3" spans="2:19">
      <c r="B3" s="1423" t="str">
        <f>Title2</f>
        <v>Twelve-Months ended December 31, 2023</v>
      </c>
      <c r="C3" s="1423"/>
      <c r="D3" s="1423"/>
      <c r="E3" s="1423"/>
      <c r="F3" s="1423"/>
      <c r="G3" s="1423"/>
      <c r="H3" s="1423"/>
      <c r="I3" s="1423"/>
      <c r="J3" s="1423"/>
      <c r="K3" s="1423"/>
      <c r="L3" s="1423"/>
      <c r="M3" s="1423"/>
      <c r="N3" s="1423"/>
      <c r="O3" s="1423"/>
      <c r="P3" s="1423"/>
      <c r="Q3" s="1423"/>
      <c r="R3" s="1423"/>
      <c r="S3" s="1423"/>
    </row>
    <row r="4" spans="2:19">
      <c r="B4" s="1423" t="str">
        <f>Title8</f>
        <v>UG-240008</v>
      </c>
      <c r="C4" s="1423"/>
      <c r="D4" s="1423"/>
      <c r="E4" s="1423"/>
      <c r="F4" s="1423"/>
      <c r="G4" s="1423"/>
      <c r="H4" s="1423"/>
      <c r="I4" s="1423"/>
      <c r="J4" s="1423"/>
      <c r="K4" s="1423"/>
      <c r="L4" s="1423"/>
      <c r="M4" s="1423"/>
      <c r="N4" s="1423"/>
      <c r="O4" s="1423"/>
      <c r="P4" s="1423"/>
      <c r="Q4" s="1423"/>
      <c r="R4" s="1423"/>
      <c r="S4" s="1423"/>
    </row>
    <row r="5" spans="2:19">
      <c r="B5" s="1423" t="s">
        <v>232</v>
      </c>
      <c r="C5" s="1423"/>
      <c r="D5" s="1423"/>
      <c r="E5" s="1423"/>
      <c r="F5" s="1423"/>
      <c r="G5" s="1423"/>
      <c r="H5" s="1423"/>
      <c r="I5" s="1423"/>
      <c r="J5" s="1423"/>
      <c r="K5" s="1423"/>
      <c r="L5" s="1423"/>
      <c r="M5" s="1423"/>
      <c r="N5" s="1423"/>
      <c r="O5" s="1423"/>
      <c r="P5" s="1423"/>
      <c r="Q5" s="1423"/>
      <c r="R5" s="1423"/>
      <c r="S5" s="1423"/>
    </row>
    <row r="6" spans="2:19">
      <c r="B6" s="1423" t="s">
        <v>437</v>
      </c>
      <c r="C6" s="1423"/>
      <c r="D6" s="1423"/>
      <c r="E6" s="1423"/>
      <c r="F6" s="1423"/>
      <c r="G6" s="1423"/>
      <c r="H6" s="1423"/>
      <c r="I6" s="1423"/>
      <c r="J6" s="1423"/>
      <c r="K6" s="1423"/>
      <c r="L6" s="1423"/>
      <c r="M6" s="1423"/>
      <c r="N6" s="1423"/>
      <c r="O6" s="1423"/>
      <c r="P6" s="1423"/>
      <c r="Q6" s="1423"/>
      <c r="R6" s="1423"/>
      <c r="S6" s="1423"/>
    </row>
    <row r="7" spans="2:19" ht="15.75" thickBot="1"/>
    <row r="8" spans="2:19">
      <c r="B8" s="1431" t="s">
        <v>438</v>
      </c>
      <c r="C8" s="1432"/>
      <c r="D8" s="1432"/>
      <c r="E8" s="1432"/>
      <c r="F8" s="1432"/>
      <c r="G8" s="1432"/>
      <c r="H8" s="1432"/>
      <c r="I8" s="1432"/>
      <c r="J8" s="1432"/>
      <c r="K8" s="1432"/>
      <c r="L8" s="1432"/>
      <c r="M8" s="1432"/>
      <c r="N8" s="1432"/>
      <c r="O8" s="1433"/>
      <c r="P8" s="1434"/>
      <c r="Q8" s="1435"/>
    </row>
    <row r="9" spans="2:19">
      <c r="B9" s="426">
        <v>1</v>
      </c>
      <c r="C9" s="124" t="s">
        <v>439</v>
      </c>
      <c r="D9" s="124" t="s">
        <v>208</v>
      </c>
      <c r="E9" s="124" t="s">
        <v>209</v>
      </c>
      <c r="F9" s="124" t="s">
        <v>440</v>
      </c>
      <c r="G9" s="124" t="s">
        <v>441</v>
      </c>
      <c r="H9" s="124" t="s">
        <v>442</v>
      </c>
      <c r="I9" s="124" t="s">
        <v>443</v>
      </c>
      <c r="J9" s="124" t="s">
        <v>444</v>
      </c>
      <c r="K9" s="124" t="s">
        <v>445</v>
      </c>
      <c r="L9" s="124" t="s">
        <v>446</v>
      </c>
      <c r="M9" s="124" t="s">
        <v>447</v>
      </c>
      <c r="N9" s="124" t="s">
        <v>448</v>
      </c>
      <c r="O9" s="343" t="s">
        <v>449</v>
      </c>
      <c r="P9" s="124" t="s">
        <v>450</v>
      </c>
      <c r="Q9" s="124" t="s">
        <v>451</v>
      </c>
      <c r="R9" s="124" t="s">
        <v>452</v>
      </c>
      <c r="S9" s="124"/>
    </row>
    <row r="10" spans="2:19">
      <c r="B10" s="426">
        <v>2</v>
      </c>
      <c r="C10" s="22" t="s">
        <v>453</v>
      </c>
      <c r="D10" s="22" t="s">
        <v>454</v>
      </c>
      <c r="E10" s="22" t="s">
        <v>455</v>
      </c>
      <c r="F10" s="22" t="s">
        <v>456</v>
      </c>
      <c r="G10" s="22" t="s">
        <v>457</v>
      </c>
      <c r="H10" s="22" t="s">
        <v>458</v>
      </c>
      <c r="I10" s="22" t="s">
        <v>459</v>
      </c>
      <c r="J10" s="22" t="s">
        <v>460</v>
      </c>
      <c r="K10" s="22" t="s">
        <v>461</v>
      </c>
      <c r="L10" s="22" t="s">
        <v>462</v>
      </c>
      <c r="M10" s="22" t="s">
        <v>463</v>
      </c>
      <c r="N10" s="22" t="s">
        <v>464</v>
      </c>
      <c r="O10" s="23" t="s">
        <v>465</v>
      </c>
      <c r="P10" s="333" t="s">
        <v>200</v>
      </c>
      <c r="Q10" s="334" t="s">
        <v>436</v>
      </c>
    </row>
    <row r="11" spans="2:19">
      <c r="B11" s="426">
        <v>3</v>
      </c>
      <c r="C11" s="24" t="s">
        <v>466</v>
      </c>
      <c r="D11" s="25">
        <f>'Weather Normalization'!E11</f>
        <v>21939712.363582399</v>
      </c>
      <c r="E11" s="25">
        <f>'Weather Normalization'!E12</f>
        <v>17224764.938236449</v>
      </c>
      <c r="F11" s="25">
        <f>'Weather Normalization'!E13</f>
        <v>14712070.040334944</v>
      </c>
      <c r="G11" s="25">
        <f>'Weather Normalization'!E14</f>
        <v>9511423.6073807087</v>
      </c>
      <c r="H11" s="25">
        <f>'Weather Normalization'!E15</f>
        <v>6022495.2871218575</v>
      </c>
      <c r="I11" s="25">
        <f>'Weather Normalization'!E16</f>
        <v>3133323.629720707</v>
      </c>
      <c r="J11" s="25">
        <f>'Weather Normalization'!E17</f>
        <v>3235231.416144642</v>
      </c>
      <c r="K11" s="25">
        <f>'Weather Normalization'!E18</f>
        <v>1696971.0740500113</v>
      </c>
      <c r="L11" s="25">
        <f>'Weather Normalization'!E19</f>
        <v>3700090.7261650194</v>
      </c>
      <c r="M11" s="25">
        <f>'Weather Normalization'!E20</f>
        <v>9045864.3171541933</v>
      </c>
      <c r="N11" s="25">
        <f>'Weather Normalization'!E21</f>
        <v>17020912.14287734</v>
      </c>
      <c r="O11" s="26">
        <f>'Weather Normalization'!E22</f>
        <v>22015297.412013046</v>
      </c>
      <c r="P11" s="135">
        <f>SUM(D11:O11)</f>
        <v>129258156.95478132</v>
      </c>
      <c r="Q11" s="135">
        <f>P11-'Weather Normalization'!E23</f>
        <v>0</v>
      </c>
    </row>
    <row r="12" spans="2:19">
      <c r="B12" s="426">
        <v>4</v>
      </c>
      <c r="C12" s="27" t="s">
        <v>467</v>
      </c>
      <c r="D12" s="32">
        <f>D11/'Customer Counts'!C10</f>
        <v>108.07154471226879</v>
      </c>
      <c r="E12" s="32">
        <f>E11/'Customer Counts'!D10</f>
        <v>84.813874401057902</v>
      </c>
      <c r="F12" s="32">
        <f>F11/'Customer Counts'!E10</f>
        <v>72.4304354092898</v>
      </c>
      <c r="G12" s="32">
        <f>G11/'Customer Counts'!F10</f>
        <v>46.815098722157352</v>
      </c>
      <c r="H12" s="32">
        <f>H11/'Customer Counts'!G10</f>
        <v>29.685743867513779</v>
      </c>
      <c r="I12" s="32">
        <f>I11/'Customer Counts'!H10</f>
        <v>15.445667869727089</v>
      </c>
      <c r="J12" s="32">
        <f>J11/'Customer Counts'!I10</f>
        <v>15.95753879917452</v>
      </c>
      <c r="K12" s="32">
        <f>K11/'Customer Counts'!J10</f>
        <v>8.3753890355553491</v>
      </c>
      <c r="L12" s="32">
        <f>L11/'Customer Counts'!K10</f>
        <v>18.240616055119915</v>
      </c>
      <c r="M12" s="32">
        <f>M11/'Customer Counts'!L10</f>
        <v>44.407995705203234</v>
      </c>
      <c r="N12" s="32">
        <f>N11/'Customer Counts'!M10</f>
        <v>83.334127182396685</v>
      </c>
      <c r="O12" s="32">
        <f>O11/'Customer Counts'!N10</f>
        <v>107.64584390469717</v>
      </c>
      <c r="P12" s="135"/>
    </row>
    <row r="13" spans="2:19">
      <c r="B13" s="426">
        <v>5</v>
      </c>
      <c r="C13" s="28" t="s">
        <v>468</v>
      </c>
      <c r="D13" s="29">
        <f>'Weather Normalization'!J11</f>
        <v>14823977.025691364</v>
      </c>
      <c r="E13" s="29">
        <f>'Weather Normalization'!J12</f>
        <v>11788141.434097661</v>
      </c>
      <c r="F13" s="29">
        <f>'Weather Normalization'!J13</f>
        <v>9617025.2305267062</v>
      </c>
      <c r="G13" s="29">
        <f>'Weather Normalization'!J14</f>
        <v>6171721.6589447446</v>
      </c>
      <c r="H13" s="29">
        <f>'Weather Normalization'!J15</f>
        <v>4286633.0583853964</v>
      </c>
      <c r="I13" s="29">
        <f>'Weather Normalization'!J16</f>
        <v>2729892.6697778427</v>
      </c>
      <c r="J13" s="29">
        <f>'Weather Normalization'!J17</f>
        <v>2816988.323776532</v>
      </c>
      <c r="K13" s="29">
        <f>'Weather Normalization'!J18</f>
        <v>2806856.2501478363</v>
      </c>
      <c r="L13" s="29">
        <f>'Weather Normalization'!J19</f>
        <v>3941878.8862117538</v>
      </c>
      <c r="M13" s="29">
        <f>'Weather Normalization'!J20</f>
        <v>7231217.7913816888</v>
      </c>
      <c r="N13" s="29">
        <f>'Weather Normalization'!J21</f>
        <v>10769584.826955393</v>
      </c>
      <c r="O13" s="30">
        <f>'Weather Normalization'!J22</f>
        <v>14629096.131946057</v>
      </c>
      <c r="P13" s="135">
        <f>SUM(D13:O13)</f>
        <v>91613013.287842974</v>
      </c>
      <c r="Q13" s="135">
        <f>P13-'Weather Normalization'!J23</f>
        <v>0</v>
      </c>
      <c r="R13" s="4"/>
    </row>
    <row r="14" spans="2:19">
      <c r="B14" s="426">
        <v>6</v>
      </c>
      <c r="C14" s="36" t="s">
        <v>469</v>
      </c>
      <c r="D14" s="335">
        <f>D13/('Customer Counts'!C11+'Customer Counts'!C12)</f>
        <v>536.8671963527222</v>
      </c>
      <c r="E14" s="335">
        <f>E13/('Customer Counts'!D11+'Customer Counts'!D12)</f>
        <v>426.75094790926624</v>
      </c>
      <c r="F14" s="335">
        <f>F13/('Customer Counts'!E11+'Customer Counts'!E12)</f>
        <v>348.53133876442234</v>
      </c>
      <c r="G14" s="335">
        <f>G13/('Customer Counts'!F11+'Customer Counts'!F12)</f>
        <v>223.88078713478959</v>
      </c>
      <c r="H14" s="335">
        <f>H13/('Customer Counts'!G11+'Customer Counts'!G12)</f>
        <v>155.89457244009878</v>
      </c>
      <c r="I14" s="335">
        <f>I13/('Customer Counts'!H11+'Customer Counts'!H12)</f>
        <v>99.435152246588572</v>
      </c>
      <c r="J14" s="335">
        <f>J13/('Customer Counts'!I11+'Customer Counts'!I12)</f>
        <v>102.74604529221038</v>
      </c>
      <c r="K14" s="335">
        <f>K13/('Customer Counts'!J11+'Customer Counts'!J12)</f>
        <v>102.74750165267722</v>
      </c>
      <c r="L14" s="335">
        <f>L13/('Customer Counts'!K11+'Customer Counts'!K12)</f>
        <v>144.39116799310455</v>
      </c>
      <c r="M14" s="335">
        <f>M13/('Customer Counts'!L11+'Customer Counts'!L12)</f>
        <v>263.38436683233249</v>
      </c>
      <c r="N14" s="335">
        <f>N13/('Customer Counts'!M11+'Customer Counts'!M12)</f>
        <v>390.32963020388507</v>
      </c>
      <c r="O14" s="335">
        <f>O13/('Customer Counts'!N11+'Customer Counts'!N12)</f>
        <v>528.96644966539111</v>
      </c>
      <c r="P14" s="135"/>
      <c r="R14" s="336"/>
    </row>
    <row r="15" spans="2:19">
      <c r="B15" s="426">
        <v>7</v>
      </c>
      <c r="C15" s="27" t="s">
        <v>470</v>
      </c>
      <c r="D15" s="25"/>
      <c r="E15" s="25"/>
      <c r="F15" s="25"/>
      <c r="G15" s="25"/>
      <c r="H15" s="25"/>
      <c r="I15" s="25"/>
      <c r="J15" s="25"/>
      <c r="K15" s="25"/>
      <c r="L15" s="25"/>
      <c r="M15" s="25"/>
      <c r="N15" s="25"/>
      <c r="O15" s="26"/>
      <c r="P15" s="135"/>
      <c r="S15" s="185"/>
    </row>
    <row r="16" spans="2:19">
      <c r="B16" s="426">
        <v>8</v>
      </c>
      <c r="C16" s="24" t="s">
        <v>471</v>
      </c>
      <c r="D16" s="25">
        <f t="array" ref="D16:O16">TRANSPOSE('Block Therms Support'!D10:D21)</f>
        <v>210334</v>
      </c>
      <c r="E16" s="25">
        <v>196164</v>
      </c>
      <c r="F16" s="25">
        <v>205039</v>
      </c>
      <c r="G16" s="25">
        <v>187566</v>
      </c>
      <c r="H16" s="25">
        <v>158547</v>
      </c>
      <c r="I16" s="25">
        <v>101542</v>
      </c>
      <c r="J16" s="25">
        <v>86799</v>
      </c>
      <c r="K16" s="25">
        <v>82892</v>
      </c>
      <c r="L16" s="25">
        <v>87655</v>
      </c>
      <c r="M16" s="25">
        <v>109114</v>
      </c>
      <c r="N16" s="25">
        <v>159891</v>
      </c>
      <c r="O16" s="25">
        <v>192414</v>
      </c>
      <c r="P16" s="135">
        <f>SUM(D16:O16)</f>
        <v>1777957</v>
      </c>
      <c r="Q16" s="135"/>
      <c r="R16" s="336"/>
    </row>
    <row r="17" spans="2:21">
      <c r="B17" s="426">
        <v>9</v>
      </c>
      <c r="C17" s="24" t="s">
        <v>472</v>
      </c>
      <c r="D17" s="25">
        <f t="array" ref="D17:O17">TRANSPOSE('Block Therms Support'!E10:E21)</f>
        <v>819245</v>
      </c>
      <c r="E17" s="25">
        <v>677756</v>
      </c>
      <c r="F17" s="25">
        <v>739832</v>
      </c>
      <c r="G17" s="25">
        <v>568849</v>
      </c>
      <c r="H17" s="25">
        <v>448847</v>
      </c>
      <c r="I17" s="25">
        <v>276741</v>
      </c>
      <c r="J17" s="25">
        <v>222192</v>
      </c>
      <c r="K17" s="25">
        <v>232077</v>
      </c>
      <c r="L17" s="25">
        <v>242089</v>
      </c>
      <c r="M17" s="25">
        <v>315555</v>
      </c>
      <c r="N17" s="25">
        <v>443914</v>
      </c>
      <c r="O17" s="25">
        <v>638248</v>
      </c>
      <c r="P17" s="135">
        <f>SUM(D17:O17)</f>
        <v>5625345</v>
      </c>
      <c r="Q17" s="135"/>
      <c r="S17" s="185"/>
      <c r="U17" s="135"/>
    </row>
    <row r="18" spans="2:21">
      <c r="B18" s="426">
        <v>10</v>
      </c>
      <c r="C18" s="24" t="s">
        <v>473</v>
      </c>
      <c r="D18" s="25">
        <f t="array" ref="D18:O18">TRANSPOSE('Block Therms Support'!F10:F21)</f>
        <v>818315</v>
      </c>
      <c r="E18" s="25">
        <v>461005</v>
      </c>
      <c r="F18" s="25">
        <v>704330</v>
      </c>
      <c r="G18" s="25">
        <v>381295</v>
      </c>
      <c r="H18" s="25">
        <v>280330</v>
      </c>
      <c r="I18" s="25">
        <v>161162</v>
      </c>
      <c r="J18" s="25">
        <v>130685</v>
      </c>
      <c r="K18" s="25">
        <v>170410</v>
      </c>
      <c r="L18" s="25">
        <v>205045</v>
      </c>
      <c r="M18" s="25">
        <v>494885</v>
      </c>
      <c r="N18" s="25">
        <v>385600</v>
      </c>
      <c r="O18" s="25">
        <v>526945</v>
      </c>
      <c r="P18" s="135">
        <f>SUM(D18:O18)</f>
        <v>4720007</v>
      </c>
      <c r="Q18" s="135"/>
      <c r="S18" s="185"/>
      <c r="U18" s="135"/>
    </row>
    <row r="19" spans="2:21">
      <c r="B19" s="426">
        <v>11</v>
      </c>
      <c r="C19" s="24" t="s">
        <v>474</v>
      </c>
      <c r="D19" s="25">
        <f>SUM(D16:D18)</f>
        <v>1847894</v>
      </c>
      <c r="E19" s="25">
        <f t="shared" ref="E19:O19" si="0">SUM(E16:E18)</f>
        <v>1334925</v>
      </c>
      <c r="F19" s="25">
        <f t="shared" si="0"/>
        <v>1649201</v>
      </c>
      <c r="G19" s="25">
        <f t="shared" si="0"/>
        <v>1137710</v>
      </c>
      <c r="H19" s="25">
        <f t="shared" si="0"/>
        <v>887724</v>
      </c>
      <c r="I19" s="25">
        <f t="shared" si="0"/>
        <v>539445</v>
      </c>
      <c r="J19" s="25">
        <f t="shared" si="0"/>
        <v>439676</v>
      </c>
      <c r="K19" s="25">
        <f t="shared" si="0"/>
        <v>485379</v>
      </c>
      <c r="L19" s="25">
        <f t="shared" si="0"/>
        <v>534789</v>
      </c>
      <c r="M19" s="25">
        <f t="shared" si="0"/>
        <v>919554</v>
      </c>
      <c r="N19" s="25">
        <f t="shared" si="0"/>
        <v>989405</v>
      </c>
      <c r="O19" s="25">
        <f t="shared" si="0"/>
        <v>1357607</v>
      </c>
      <c r="P19" s="135">
        <f>SUM(D19:O19)</f>
        <v>12123309</v>
      </c>
      <c r="Q19" s="135">
        <f>P19-'Rev Recon Summary'!Q57</f>
        <v>0</v>
      </c>
      <c r="S19" s="185"/>
      <c r="U19" s="135"/>
    </row>
    <row r="20" spans="2:21">
      <c r="B20" s="426">
        <v>12</v>
      </c>
      <c r="C20" s="27" t="s">
        <v>475</v>
      </c>
      <c r="D20" s="32">
        <f>SUM(D16)/'Customer Counts'!C13</f>
        <v>424.06048387096774</v>
      </c>
      <c r="E20" s="32">
        <f>SUM(E16)/'Customer Counts'!D13</f>
        <v>395.49193548387098</v>
      </c>
      <c r="F20" s="32">
        <f>SUM(F16)/'Customer Counts'!E13</f>
        <v>414.22020202020201</v>
      </c>
      <c r="G20" s="32">
        <f>SUM(G16)/'Customer Counts'!F13</f>
        <v>382.00814663951121</v>
      </c>
      <c r="H20" s="32">
        <f>SUM(H16)/'Customer Counts'!G13</f>
        <v>323.56530612244899</v>
      </c>
      <c r="I20" s="32">
        <f>SUM(I16)/'Customer Counts'!H13</f>
        <v>207.22857142857143</v>
      </c>
      <c r="J20" s="32">
        <f>SUM(J16)/'Customer Counts'!I13</f>
        <v>177.50306748466258</v>
      </c>
      <c r="K20" s="32">
        <f>SUM(K16)/'Customer Counts'!J13</f>
        <v>169.86065573770492</v>
      </c>
      <c r="L20" s="32">
        <f>SUM(L16)/'Customer Counts'!K13</f>
        <v>179.62090163934425</v>
      </c>
      <c r="M20" s="32">
        <f>SUM(M16)/'Customer Counts'!L13</f>
        <v>222.68163265306123</v>
      </c>
      <c r="N20" s="32">
        <f>SUM(N16)/'Customer Counts'!M13</f>
        <v>324.32251521298173</v>
      </c>
      <c r="O20" s="32">
        <f>SUM(O16)/'Customer Counts'!N13</f>
        <v>388.71515151515149</v>
      </c>
      <c r="P20" s="135"/>
      <c r="S20" s="185"/>
    </row>
    <row r="21" spans="2:21">
      <c r="B21" s="426">
        <v>13</v>
      </c>
      <c r="C21" s="27" t="s">
        <v>476</v>
      </c>
      <c r="D21" s="32">
        <f>SUM(D17)/'Customer Counts'!C13</f>
        <v>1651.703629032258</v>
      </c>
      <c r="E21" s="32">
        <f>SUM(E17)/'Customer Counts'!D13</f>
        <v>1366.4435483870968</v>
      </c>
      <c r="F21" s="32">
        <f>SUM(F17)/'Customer Counts'!E13</f>
        <v>1494.6101010101011</v>
      </c>
      <c r="G21" s="32">
        <f>SUM(G17)/'Customer Counts'!F13</f>
        <v>1158.551934826884</v>
      </c>
      <c r="H21" s="32">
        <f>SUM(H17)/'Customer Counts'!G13</f>
        <v>916.01428571428573</v>
      </c>
      <c r="I21" s="32">
        <f>SUM(I17)/'Customer Counts'!H13</f>
        <v>564.77755102040817</v>
      </c>
      <c r="J21" s="32">
        <f>SUM(J17)/'Customer Counts'!I13</f>
        <v>454.38036809815952</v>
      </c>
      <c r="K21" s="32">
        <f>SUM(K17)/'Customer Counts'!J13</f>
        <v>475.56762295081967</v>
      </c>
      <c r="L21" s="32">
        <f>SUM(L17)/'Customer Counts'!K13</f>
        <v>496.0840163934426</v>
      </c>
      <c r="M21" s="32">
        <f>SUM(M17)/'Customer Counts'!L13</f>
        <v>643.98979591836735</v>
      </c>
      <c r="N21" s="32">
        <f>SUM(N17)/'Customer Counts'!M13</f>
        <v>900.43407707910751</v>
      </c>
      <c r="O21" s="32">
        <f>SUM(O17)/'Customer Counts'!N13</f>
        <v>1289.3898989898989</v>
      </c>
      <c r="P21" s="135"/>
      <c r="S21" s="185"/>
      <c r="U21" s="135"/>
    </row>
    <row r="22" spans="2:21">
      <c r="B22" s="426">
        <v>14</v>
      </c>
      <c r="C22" s="27" t="s">
        <v>477</v>
      </c>
      <c r="D22" s="32">
        <f>SUM(D18)/'Customer Counts'!C13</f>
        <v>1649.828629032258</v>
      </c>
      <c r="E22" s="32">
        <f>SUM(E18)/'Customer Counts'!D13</f>
        <v>929.44556451612902</v>
      </c>
      <c r="F22" s="32">
        <f>SUM(F18)/'Customer Counts'!E13</f>
        <v>1422.8888888888889</v>
      </c>
      <c r="G22" s="32">
        <f>SUM(G18)/'Customer Counts'!F13</f>
        <v>776.56822810590631</v>
      </c>
      <c r="H22" s="32">
        <f>SUM(H18)/'Customer Counts'!G13</f>
        <v>572.10204081632651</v>
      </c>
      <c r="I22" s="32">
        <f>SUM(I18)/'Customer Counts'!H13</f>
        <v>328.90204081632652</v>
      </c>
      <c r="J22" s="32">
        <f>SUM(J18)/'Customer Counts'!I13</f>
        <v>267.24948875255626</v>
      </c>
      <c r="K22" s="32">
        <f>SUM(K18)/'Customer Counts'!J13</f>
        <v>349.20081967213116</v>
      </c>
      <c r="L22" s="32">
        <f>SUM(L18)/'Customer Counts'!K13</f>
        <v>420.17418032786884</v>
      </c>
      <c r="M22" s="32">
        <f>SUM(M18)/'Customer Counts'!L13</f>
        <v>1009.969387755102</v>
      </c>
      <c r="N22" s="32">
        <f>SUM(N18)/'Customer Counts'!M13</f>
        <v>782.1501014198783</v>
      </c>
      <c r="O22" s="32">
        <f>SUM(O18)/'Customer Counts'!N13</f>
        <v>1064.5353535353536</v>
      </c>
      <c r="P22" s="6"/>
      <c r="Q22" s="1"/>
    </row>
    <row r="23" spans="2:21" s="35" customFormat="1">
      <c r="B23" s="426">
        <v>15</v>
      </c>
      <c r="C23" s="27" t="s">
        <v>478</v>
      </c>
      <c r="D23" s="32">
        <f>SUM(D19)/'Customer Counts'!C13</f>
        <v>3725.5927419354839</v>
      </c>
      <c r="E23" s="32">
        <f>SUM(E19)/'Customer Counts'!D13</f>
        <v>2691.3810483870966</v>
      </c>
      <c r="F23" s="32">
        <f>SUM(F19)/'Customer Counts'!E13</f>
        <v>3331.7191919191919</v>
      </c>
      <c r="G23" s="32">
        <f>SUM(G19)/'Customer Counts'!F13</f>
        <v>2317.1283095723015</v>
      </c>
      <c r="H23" s="32">
        <f>SUM(H19)/'Customer Counts'!G13</f>
        <v>1811.6816326530611</v>
      </c>
      <c r="I23" s="32">
        <f>SUM(I19)/'Customer Counts'!H13</f>
        <v>1100.908163265306</v>
      </c>
      <c r="J23" s="32">
        <f>SUM(J19)/'Customer Counts'!I13</f>
        <v>899.13292433537833</v>
      </c>
      <c r="K23" s="32">
        <f>SUM(K19)/'Customer Counts'!J13</f>
        <v>994.62909836065569</v>
      </c>
      <c r="L23" s="32">
        <f>SUM(L19)/'Customer Counts'!K13</f>
        <v>1095.8790983606557</v>
      </c>
      <c r="M23" s="32">
        <f>SUM(M19)/'Customer Counts'!L13</f>
        <v>1876.6408163265305</v>
      </c>
      <c r="N23" s="32">
        <f>SUM(N19)/'Customer Counts'!M13</f>
        <v>2006.9066937119676</v>
      </c>
      <c r="O23" s="32">
        <f>SUM(O19)/'Customer Counts'!N13</f>
        <v>2742.6404040404041</v>
      </c>
      <c r="P23" s="6"/>
      <c r="Q23" s="33"/>
      <c r="R23" s="34"/>
    </row>
    <row r="24" spans="2:21">
      <c r="B24" s="426">
        <v>16</v>
      </c>
      <c r="C24" s="36" t="s">
        <v>479</v>
      </c>
      <c r="D24" s="29"/>
      <c r="E24" s="29"/>
      <c r="F24" s="29"/>
      <c r="G24" s="29"/>
      <c r="H24" s="29"/>
      <c r="I24" s="29"/>
      <c r="J24" s="29"/>
      <c r="K24" s="29"/>
      <c r="L24" s="29"/>
      <c r="M24" s="29"/>
      <c r="N24" s="29"/>
      <c r="O24" s="37"/>
      <c r="P24" s="6"/>
      <c r="Q24" s="1"/>
      <c r="R24" s="38"/>
    </row>
    <row r="25" spans="2:21">
      <c r="B25" s="426">
        <v>17</v>
      </c>
      <c r="C25" s="28" t="s">
        <v>480</v>
      </c>
      <c r="D25" s="29">
        <f t="array" ref="D25:O25">TRANSPOSE('Block Therms Support'!D24:D35)+TRANSPOSE('Block Therms Support'!D38:D49)</f>
        <v>1402585</v>
      </c>
      <c r="E25" s="29">
        <v>1202203</v>
      </c>
      <c r="F25" s="29">
        <v>1285766</v>
      </c>
      <c r="G25" s="29">
        <v>955482</v>
      </c>
      <c r="H25" s="29">
        <v>834130</v>
      </c>
      <c r="I25" s="29">
        <v>496819</v>
      </c>
      <c r="J25" s="29">
        <v>475487</v>
      </c>
      <c r="K25" s="29">
        <v>399063</v>
      </c>
      <c r="L25" s="29">
        <v>361523</v>
      </c>
      <c r="M25" s="29">
        <v>545033</v>
      </c>
      <c r="N25" s="29">
        <v>794681</v>
      </c>
      <c r="O25" s="37">
        <v>1157432</v>
      </c>
      <c r="P25" s="135">
        <f>SUM(D25:O25)</f>
        <v>9910204</v>
      </c>
      <c r="Q25" s="135"/>
    </row>
    <row r="26" spans="2:21">
      <c r="B26" s="426">
        <v>18</v>
      </c>
      <c r="C26" s="28" t="s">
        <v>481</v>
      </c>
      <c r="D26" s="29">
        <f>'Block Therms Support'!E24+'Block Therms Support'!E38+SUM('Rev Recon Summary'!E73:E74)</f>
        <v>753448</v>
      </c>
      <c r="E26" s="29">
        <f>'Block Therms Support'!E25+'Block Therms Support'!E39+SUM('Rev Recon Summary'!F73:F74)</f>
        <v>1627617</v>
      </c>
      <c r="F26" s="29">
        <f>'Block Therms Support'!E26+'Block Therms Support'!E40+SUM('Rev Recon Summary'!G73:G74)</f>
        <v>216260</v>
      </c>
      <c r="G26" s="29">
        <f>'Block Therms Support'!E27+'Block Therms Support'!E41+SUM('Rev Recon Summary'!H73:H74)</f>
        <v>157983</v>
      </c>
      <c r="H26" s="29">
        <f>'Block Therms Support'!E28+'Block Therms Support'!E42+SUM('Rev Recon Summary'!I73:I74)</f>
        <v>48943</v>
      </c>
      <c r="I26" s="29">
        <f>'Block Therms Support'!E29+'Block Therms Support'!E43+SUM('Rev Recon Summary'!J73:J74)</f>
        <v>194304</v>
      </c>
      <c r="J26" s="29">
        <f>'Block Therms Support'!E30+'Block Therms Support'!E44+SUM('Rev Recon Summary'!K73:K74)</f>
        <v>127657</v>
      </c>
      <c r="K26" s="29">
        <f>'Block Therms Support'!E31+'Block Therms Support'!E45+SUM('Rev Recon Summary'!L73:L74)</f>
        <v>263312</v>
      </c>
      <c r="L26" s="29">
        <f>'Block Therms Support'!E32+'Block Therms Support'!E46+SUM('Rev Recon Summary'!M73:M74)</f>
        <v>240671</v>
      </c>
      <c r="M26" s="29">
        <f>'Block Therms Support'!E33+'Block Therms Support'!E47+SUM('Rev Recon Summary'!N73:N74)</f>
        <v>646325</v>
      </c>
      <c r="N26" s="29">
        <f>'Block Therms Support'!E34+'Block Therms Support'!E48+SUM('Rev Recon Summary'!O73:O74)</f>
        <v>713047</v>
      </c>
      <c r="O26" s="37">
        <f>'Block Therms Support'!E35+'Block Therms Support'!E49+SUM('Rev Recon Summary'!P73:P74)</f>
        <v>372163</v>
      </c>
      <c r="P26" s="135">
        <f>SUM(D26:O26)</f>
        <v>5361730</v>
      </c>
      <c r="Q26" s="39"/>
    </row>
    <row r="27" spans="2:21">
      <c r="B27" s="426">
        <v>19</v>
      </c>
      <c r="C27" s="28" t="s">
        <v>482</v>
      </c>
      <c r="D27" s="29">
        <f t="array" ref="D27:O27">TRANSPOSE('Block Therms Support'!F24:F35)+TRANSPOSE('Block Therms Support'!F38:F49)</f>
        <v>217138</v>
      </c>
      <c r="E27" s="29">
        <v>297521</v>
      </c>
      <c r="F27" s="29">
        <v>152857</v>
      </c>
      <c r="G27" s="29">
        <v>56125</v>
      </c>
      <c r="H27" s="29">
        <v>23004</v>
      </c>
      <c r="I27" s="29">
        <v>23175</v>
      </c>
      <c r="J27" s="29">
        <v>283853</v>
      </c>
      <c r="K27" s="29">
        <v>306123</v>
      </c>
      <c r="L27" s="29">
        <v>21973</v>
      </c>
      <c r="M27" s="29">
        <v>0</v>
      </c>
      <c r="N27" s="29">
        <v>37756</v>
      </c>
      <c r="O27" s="37">
        <v>71246</v>
      </c>
      <c r="P27" s="135">
        <f>SUM(D27:O27)</f>
        <v>1490771</v>
      </c>
      <c r="Q27" s="39"/>
    </row>
    <row r="28" spans="2:21">
      <c r="B28" s="426">
        <v>20</v>
      </c>
      <c r="C28" s="28" t="s">
        <v>483</v>
      </c>
      <c r="D28" s="29">
        <f>SUM(D25:D27)</f>
        <v>2373171</v>
      </c>
      <c r="E28" s="29">
        <f t="shared" ref="E28:O28" si="1">SUM(E25:E27)</f>
        <v>3127341</v>
      </c>
      <c r="F28" s="29">
        <f t="shared" si="1"/>
        <v>1654883</v>
      </c>
      <c r="G28" s="29">
        <f t="shared" si="1"/>
        <v>1169590</v>
      </c>
      <c r="H28" s="29">
        <f t="shared" si="1"/>
        <v>906077</v>
      </c>
      <c r="I28" s="29">
        <f t="shared" si="1"/>
        <v>714298</v>
      </c>
      <c r="J28" s="29">
        <f t="shared" si="1"/>
        <v>886997</v>
      </c>
      <c r="K28" s="29">
        <f t="shared" si="1"/>
        <v>968498</v>
      </c>
      <c r="L28" s="29">
        <f t="shared" si="1"/>
        <v>624167</v>
      </c>
      <c r="M28" s="29">
        <f t="shared" si="1"/>
        <v>1191358</v>
      </c>
      <c r="N28" s="29">
        <f t="shared" si="1"/>
        <v>1545484</v>
      </c>
      <c r="O28" s="29">
        <f t="shared" si="1"/>
        <v>1600841</v>
      </c>
      <c r="P28" s="135">
        <f>SUM(D28:O28)</f>
        <v>16762705</v>
      </c>
      <c r="Q28" s="39">
        <f>P28-'Rev Recon Summary'!Q77-SUM('Deficiency Billing'!D12:D21)-'Rev Recon Summary'!Q357</f>
        <v>0</v>
      </c>
    </row>
    <row r="29" spans="2:21" s="35" customFormat="1">
      <c r="B29" s="426">
        <v>21</v>
      </c>
      <c r="C29" s="36" t="s">
        <v>475</v>
      </c>
      <c r="D29" s="29">
        <f>SUM(D25)/SUM('Customer Counts'!C14:C16)</f>
        <v>14025.85</v>
      </c>
      <c r="E29" s="29">
        <f>SUM(E25)/SUM('Customer Counts'!D14:D16)</f>
        <v>12022.03</v>
      </c>
      <c r="F29" s="29">
        <f>SUM(F25)/SUM('Customer Counts'!E14:E16)</f>
        <v>12857.66</v>
      </c>
      <c r="G29" s="29">
        <f>SUM(G25)/SUM('Customer Counts'!F14:F16)</f>
        <v>9554.82</v>
      </c>
      <c r="H29" s="29">
        <f>SUM(H25)/SUM('Customer Counts'!G14:G16)</f>
        <v>8341.2999999999993</v>
      </c>
      <c r="I29" s="29">
        <f>SUM(I25)/SUM('Customer Counts'!H14:H16)</f>
        <v>4968.1899999999996</v>
      </c>
      <c r="J29" s="29">
        <f>SUM(J25)/SUM('Customer Counts'!I14:I16)</f>
        <v>4754.87</v>
      </c>
      <c r="K29" s="29">
        <f>SUM(K25)/SUM('Customer Counts'!J14:J16)</f>
        <v>4030.939393939394</v>
      </c>
      <c r="L29" s="29">
        <f>SUM(L25)/SUM('Customer Counts'!K14:K16)</f>
        <v>3689.0102040816328</v>
      </c>
      <c r="M29" s="29">
        <f>SUM(M25)/SUM('Customer Counts'!L14:L16)</f>
        <v>5561.5612244897957</v>
      </c>
      <c r="N29" s="29">
        <f>SUM(N25)/SUM('Customer Counts'!M14:M16)</f>
        <v>8108.9897959183672</v>
      </c>
      <c r="O29" s="29">
        <f>SUM(O25)/SUM('Customer Counts'!N14:N16)</f>
        <v>11691.232323232323</v>
      </c>
      <c r="P29" s="337"/>
      <c r="Q29" s="337"/>
    </row>
    <row r="30" spans="2:21" s="35" customFormat="1">
      <c r="B30" s="426">
        <v>22</v>
      </c>
      <c r="C30" s="36" t="s">
        <v>476</v>
      </c>
      <c r="D30" s="29">
        <f>SUM(D26)/SUM('Customer Counts'!C14:C16)</f>
        <v>7534.48</v>
      </c>
      <c r="E30" s="29">
        <f>SUM(E26)/SUM('Customer Counts'!D14:D16)</f>
        <v>16276.17</v>
      </c>
      <c r="F30" s="29">
        <f>SUM(F26)/SUM('Customer Counts'!E14:E16)</f>
        <v>2162.6</v>
      </c>
      <c r="G30" s="29">
        <f>SUM(G26)/SUM('Customer Counts'!F14:F16)</f>
        <v>1579.83</v>
      </c>
      <c r="H30" s="29">
        <f>SUM(H26)/SUM('Customer Counts'!G14:G16)</f>
        <v>489.43</v>
      </c>
      <c r="I30" s="29">
        <f>SUM(I26)/SUM('Customer Counts'!H14:H16)</f>
        <v>1943.04</v>
      </c>
      <c r="J30" s="29">
        <f>SUM(J26)/SUM('Customer Counts'!I14:I16)</f>
        <v>1276.57</v>
      </c>
      <c r="K30" s="29">
        <f>SUM(K26)/SUM('Customer Counts'!J14:J16)</f>
        <v>2659.7171717171718</v>
      </c>
      <c r="L30" s="29">
        <f>SUM(L26)/SUM('Customer Counts'!K14:K16)</f>
        <v>2455.8265306122448</v>
      </c>
      <c r="M30" s="29">
        <f>SUM(M26)/SUM('Customer Counts'!L14:L16)</f>
        <v>6595.1530612244896</v>
      </c>
      <c r="N30" s="29">
        <f>SUM(N26)/SUM('Customer Counts'!M14:M16)</f>
        <v>7275.9897959183672</v>
      </c>
      <c r="O30" s="29">
        <f>SUM(O26)/SUM('Customer Counts'!N14:N16)</f>
        <v>3759.2222222222222</v>
      </c>
      <c r="P30" s="337"/>
      <c r="Q30" s="337"/>
    </row>
    <row r="31" spans="2:21" s="35" customFormat="1">
      <c r="B31" s="426">
        <v>23</v>
      </c>
      <c r="C31" s="36" t="s">
        <v>477</v>
      </c>
      <c r="D31" s="29">
        <f>SUM(D27)/SUM('Customer Counts'!C14:C16)</f>
        <v>2171.38</v>
      </c>
      <c r="E31" s="29">
        <f>SUM(E27)/SUM('Customer Counts'!D14:D16)</f>
        <v>2975.21</v>
      </c>
      <c r="F31" s="29">
        <f>SUM(F27)/SUM('Customer Counts'!E14:E16)</f>
        <v>1528.57</v>
      </c>
      <c r="G31" s="29">
        <f>SUM(G27)/SUM('Customer Counts'!F14:F16)</f>
        <v>561.25</v>
      </c>
      <c r="H31" s="29">
        <f>SUM(H27)/SUM('Customer Counts'!G14:G16)</f>
        <v>230.04</v>
      </c>
      <c r="I31" s="29">
        <f>SUM(I27)/SUM('Customer Counts'!H14:H16)</f>
        <v>231.75</v>
      </c>
      <c r="J31" s="29">
        <f>SUM(J27)/SUM('Customer Counts'!I14:I16)</f>
        <v>2838.53</v>
      </c>
      <c r="K31" s="29">
        <f>SUM(K27)/SUM('Customer Counts'!J14:J16)</f>
        <v>3092.151515151515</v>
      </c>
      <c r="L31" s="29">
        <f>SUM(L27)/SUM('Customer Counts'!K14:K16)</f>
        <v>224.21428571428572</v>
      </c>
      <c r="M31" s="29">
        <f>SUM(M27)/SUM('Customer Counts'!L14:L16)</f>
        <v>0</v>
      </c>
      <c r="N31" s="29">
        <f>SUM(N27)/SUM('Customer Counts'!M14:M16)</f>
        <v>385.26530612244898</v>
      </c>
      <c r="O31" s="29">
        <f>SUM(O27)/SUM('Customer Counts'!N14:N16)</f>
        <v>719.6565656565657</v>
      </c>
      <c r="P31" s="337"/>
      <c r="Q31" s="337"/>
    </row>
    <row r="32" spans="2:21" s="35" customFormat="1">
      <c r="B32" s="426">
        <v>24</v>
      </c>
      <c r="C32" s="36" t="s">
        <v>484</v>
      </c>
      <c r="D32" s="335">
        <f>D28/SUM('Customer Counts'!C14:C16)</f>
        <v>23731.71</v>
      </c>
      <c r="E32" s="335">
        <f>E28/SUM('Customer Counts'!D14:D16)</f>
        <v>31273.41</v>
      </c>
      <c r="F32" s="335">
        <f>F28/SUM('Customer Counts'!E14:E16)</f>
        <v>16548.830000000002</v>
      </c>
      <c r="G32" s="335">
        <f>G28/SUM('Customer Counts'!F14:F16)</f>
        <v>11695.9</v>
      </c>
      <c r="H32" s="335">
        <f>H28/SUM('Customer Counts'!G14:G16)</f>
        <v>9060.77</v>
      </c>
      <c r="I32" s="335">
        <f>I28/SUM('Customer Counts'!H14:H16)</f>
        <v>7142.98</v>
      </c>
      <c r="J32" s="335">
        <f>J28/SUM('Customer Counts'!I14:I16)</f>
        <v>8869.9699999999993</v>
      </c>
      <c r="K32" s="335">
        <f>K28/SUM('Customer Counts'!J14:J16)</f>
        <v>9782.8080808080813</v>
      </c>
      <c r="L32" s="335">
        <f>L28/SUM('Customer Counts'!K14:K16)</f>
        <v>6369.0510204081629</v>
      </c>
      <c r="M32" s="335">
        <f>M28/SUM('Customer Counts'!L14:L16)</f>
        <v>12156.714285714286</v>
      </c>
      <c r="N32" s="335">
        <f>N28/SUM('Customer Counts'!M14:M16)</f>
        <v>15770.244897959185</v>
      </c>
      <c r="O32" s="335">
        <f>O28/SUM('Customer Counts'!N14:N16)</f>
        <v>16170.111111111111</v>
      </c>
      <c r="P32" s="337"/>
      <c r="Q32" s="337"/>
    </row>
    <row r="33" spans="2:17">
      <c r="B33" s="426">
        <v>25</v>
      </c>
      <c r="C33" s="27" t="s">
        <v>485</v>
      </c>
      <c r="D33" s="25"/>
      <c r="E33" s="25"/>
      <c r="F33" s="25"/>
      <c r="G33" s="25"/>
      <c r="H33" s="25"/>
      <c r="I33" s="25"/>
      <c r="J33" s="25"/>
      <c r="K33" s="25"/>
      <c r="L33" s="25"/>
      <c r="M33" s="25"/>
      <c r="N33" s="25"/>
      <c r="O33" s="26"/>
      <c r="P33" s="135"/>
    </row>
    <row r="34" spans="2:17">
      <c r="B34" s="426">
        <v>26</v>
      </c>
      <c r="C34" s="31" t="s">
        <v>486</v>
      </c>
      <c r="D34" s="25">
        <f t="array" ref="D34:O34">TRANSPOSE('Block Therms Support'!D52:D63)</f>
        <v>109827</v>
      </c>
      <c r="E34" s="25">
        <v>104304</v>
      </c>
      <c r="F34" s="25">
        <v>104357</v>
      </c>
      <c r="G34" s="25">
        <v>97552</v>
      </c>
      <c r="H34" s="25">
        <v>84290</v>
      </c>
      <c r="I34" s="25">
        <v>72449</v>
      </c>
      <c r="J34" s="25">
        <v>67299</v>
      </c>
      <c r="K34" s="25">
        <v>69428</v>
      </c>
      <c r="L34" s="25">
        <v>78588</v>
      </c>
      <c r="M34" s="25">
        <v>93462</v>
      </c>
      <c r="N34" s="25">
        <v>100454</v>
      </c>
      <c r="O34" s="25">
        <v>104588</v>
      </c>
      <c r="P34" s="135">
        <f>SUM(D34:O34)</f>
        <v>1086598</v>
      </c>
      <c r="Q34" s="135"/>
    </row>
    <row r="35" spans="2:17">
      <c r="B35" s="426">
        <v>27</v>
      </c>
      <c r="C35" s="31" t="s">
        <v>487</v>
      </c>
      <c r="D35" s="25">
        <f t="array" ref="D35:O35">TRANSPOSE('Block Therms Support'!E52:E63)</f>
        <v>144908</v>
      </c>
      <c r="E35" s="25">
        <v>129007</v>
      </c>
      <c r="F35" s="25">
        <v>140256</v>
      </c>
      <c r="G35" s="25">
        <v>110343</v>
      </c>
      <c r="H35" s="25">
        <v>39428</v>
      </c>
      <c r="I35" s="25">
        <v>26239</v>
      </c>
      <c r="J35" s="25">
        <v>18903</v>
      </c>
      <c r="K35" s="25">
        <v>15703</v>
      </c>
      <c r="L35" s="25">
        <v>28685</v>
      </c>
      <c r="M35" s="25">
        <v>76146</v>
      </c>
      <c r="N35" s="25">
        <v>136443</v>
      </c>
      <c r="O35" s="25">
        <v>144939</v>
      </c>
      <c r="P35" s="135">
        <f>SUM(D35:O35)</f>
        <v>1011000</v>
      </c>
      <c r="Q35" s="135"/>
    </row>
    <row r="36" spans="2:17">
      <c r="B36" s="426">
        <v>28</v>
      </c>
      <c r="C36" s="31" t="s">
        <v>488</v>
      </c>
      <c r="D36" s="454">
        <f>SUM(D34:D35)</f>
        <v>254735</v>
      </c>
      <c r="E36" s="454">
        <f t="shared" ref="E36:O36" si="2">SUM(E34:E35)</f>
        <v>233311</v>
      </c>
      <c r="F36" s="454">
        <f t="shared" si="2"/>
        <v>244613</v>
      </c>
      <c r="G36" s="454">
        <f t="shared" si="2"/>
        <v>207895</v>
      </c>
      <c r="H36" s="454">
        <f t="shared" si="2"/>
        <v>123718</v>
      </c>
      <c r="I36" s="454">
        <f t="shared" si="2"/>
        <v>98688</v>
      </c>
      <c r="J36" s="454">
        <f t="shared" si="2"/>
        <v>86202</v>
      </c>
      <c r="K36" s="454">
        <f t="shared" si="2"/>
        <v>85131</v>
      </c>
      <c r="L36" s="454">
        <f t="shared" si="2"/>
        <v>107273</v>
      </c>
      <c r="M36" s="454">
        <f t="shared" si="2"/>
        <v>169608</v>
      </c>
      <c r="N36" s="454">
        <f t="shared" si="2"/>
        <v>236897</v>
      </c>
      <c r="O36" s="454">
        <f t="shared" si="2"/>
        <v>249527</v>
      </c>
      <c r="P36" s="135">
        <f>SUM(D36:O36)</f>
        <v>2097598</v>
      </c>
      <c r="Q36" s="135">
        <f>P36-'Rev Recon Summary'!Q116</f>
        <v>0</v>
      </c>
    </row>
    <row r="37" spans="2:17">
      <c r="B37" s="426">
        <v>29</v>
      </c>
      <c r="C37" s="27" t="s">
        <v>475</v>
      </c>
      <c r="D37" s="455">
        <f>D34/'Customer Counts'!C17</f>
        <v>15689.571428571429</v>
      </c>
      <c r="E37" s="455">
        <f>E34/'Customer Counts'!D17</f>
        <v>14900.571428571429</v>
      </c>
      <c r="F37" s="455">
        <f>F34/'Customer Counts'!E17</f>
        <v>14908.142857142857</v>
      </c>
      <c r="G37" s="455">
        <f>G34/'Customer Counts'!F17</f>
        <v>13936</v>
      </c>
      <c r="H37" s="455">
        <f>H34/'Customer Counts'!G17</f>
        <v>12041.428571428571</v>
      </c>
      <c r="I37" s="455">
        <f>I34/'Customer Counts'!H17</f>
        <v>10349.857142857143</v>
      </c>
      <c r="J37" s="455">
        <f>J34/'Customer Counts'!I17</f>
        <v>9614.1428571428569</v>
      </c>
      <c r="K37" s="455">
        <f>K34/'Customer Counts'!J17</f>
        <v>9918.2857142857138</v>
      </c>
      <c r="L37" s="455">
        <f>L34/'Customer Counts'!K17</f>
        <v>11226.857142857143</v>
      </c>
      <c r="M37" s="455">
        <f>M34/'Customer Counts'!L17</f>
        <v>13351.714285714286</v>
      </c>
      <c r="N37" s="455">
        <f>N34/'Customer Counts'!M17</f>
        <v>14350.571428571429</v>
      </c>
      <c r="O37" s="455">
        <f>O34/'Customer Counts'!N17</f>
        <v>14941.142857142857</v>
      </c>
      <c r="P37" s="135"/>
    </row>
    <row r="38" spans="2:17">
      <c r="B38" s="426">
        <v>30</v>
      </c>
      <c r="C38" s="27" t="s">
        <v>476</v>
      </c>
      <c r="D38" s="455">
        <f>D35/'Customer Counts'!C17</f>
        <v>20701.142857142859</v>
      </c>
      <c r="E38" s="455">
        <f>E35/'Customer Counts'!D17</f>
        <v>18429.571428571428</v>
      </c>
      <c r="F38" s="455">
        <f>F35/'Customer Counts'!E17</f>
        <v>20036.571428571428</v>
      </c>
      <c r="G38" s="455">
        <f>G35/'Customer Counts'!F17</f>
        <v>15763.285714285714</v>
      </c>
      <c r="H38" s="455">
        <f>H35/'Customer Counts'!G17</f>
        <v>5632.5714285714284</v>
      </c>
      <c r="I38" s="455">
        <f>I35/'Customer Counts'!H17</f>
        <v>3748.4285714285716</v>
      </c>
      <c r="J38" s="455">
        <f>J35/'Customer Counts'!I17</f>
        <v>2700.4285714285716</v>
      </c>
      <c r="K38" s="455">
        <f>K35/'Customer Counts'!J17</f>
        <v>2243.2857142857142</v>
      </c>
      <c r="L38" s="455">
        <f>L35/'Customer Counts'!K17</f>
        <v>4097.8571428571431</v>
      </c>
      <c r="M38" s="455">
        <f>M35/'Customer Counts'!L17</f>
        <v>10878</v>
      </c>
      <c r="N38" s="455">
        <f>N35/'Customer Counts'!M17</f>
        <v>19491.857142857141</v>
      </c>
      <c r="O38" s="455">
        <f>O35/'Customer Counts'!N17</f>
        <v>20705.571428571428</v>
      </c>
      <c r="P38" s="135"/>
    </row>
    <row r="39" spans="2:17" s="35" customFormat="1">
      <c r="B39" s="426">
        <v>31</v>
      </c>
      <c r="C39" s="27" t="s">
        <v>489</v>
      </c>
      <c r="D39" s="455">
        <f>D36/'Customer Counts'!C17</f>
        <v>36390.714285714283</v>
      </c>
      <c r="E39" s="455">
        <f>E36/'Customer Counts'!D17</f>
        <v>33330.142857142855</v>
      </c>
      <c r="F39" s="455">
        <f>F36/'Customer Counts'!E17</f>
        <v>34944.714285714283</v>
      </c>
      <c r="G39" s="455">
        <f>G36/'Customer Counts'!F17</f>
        <v>29699.285714285714</v>
      </c>
      <c r="H39" s="455">
        <f>H36/'Customer Counts'!G17</f>
        <v>17674</v>
      </c>
      <c r="I39" s="455">
        <f>I36/'Customer Counts'!H17</f>
        <v>14098.285714285714</v>
      </c>
      <c r="J39" s="455">
        <f>J36/'Customer Counts'!I17</f>
        <v>12314.571428571429</v>
      </c>
      <c r="K39" s="455">
        <f>K36/'Customer Counts'!J17</f>
        <v>12161.571428571429</v>
      </c>
      <c r="L39" s="455">
        <f>L36/'Customer Counts'!K17</f>
        <v>15324.714285714286</v>
      </c>
      <c r="M39" s="455">
        <f>M36/'Customer Counts'!L17</f>
        <v>24229.714285714286</v>
      </c>
      <c r="N39" s="455">
        <f>N36/'Customer Counts'!M17</f>
        <v>33842.428571428572</v>
      </c>
      <c r="O39" s="455">
        <f>O36/'Customer Counts'!N17</f>
        <v>35646.714285714283</v>
      </c>
      <c r="P39" s="135"/>
    </row>
    <row r="40" spans="2:17">
      <c r="B40" s="426">
        <v>32</v>
      </c>
      <c r="C40" s="36" t="s">
        <v>490</v>
      </c>
      <c r="D40" s="29"/>
      <c r="E40" s="29"/>
      <c r="F40" s="29"/>
      <c r="G40" s="29"/>
      <c r="H40" s="29"/>
      <c r="I40" s="29"/>
      <c r="J40" s="29"/>
      <c r="K40" s="29"/>
      <c r="L40" s="29"/>
      <c r="M40" s="29"/>
      <c r="N40" s="29"/>
      <c r="O40" s="29"/>
    </row>
    <row r="41" spans="2:17">
      <c r="B41" s="426">
        <v>33</v>
      </c>
      <c r="C41" s="28" t="s">
        <v>491</v>
      </c>
      <c r="D41" s="29">
        <f t="array" ref="D41:O41">TRANSPOSE('Block Therms Support'!D66:D77)+TRANSPOSE('Block Therms Support'!D80:D91)</f>
        <v>8842373</v>
      </c>
      <c r="E41" s="29">
        <v>8757200</v>
      </c>
      <c r="F41" s="29">
        <v>8871454</v>
      </c>
      <c r="G41" s="29">
        <v>8135528</v>
      </c>
      <c r="H41" s="29">
        <v>7710975</v>
      </c>
      <c r="I41" s="29">
        <v>7596896</v>
      </c>
      <c r="J41" s="29">
        <v>7397138</v>
      </c>
      <c r="K41" s="29">
        <v>7870609</v>
      </c>
      <c r="L41" s="29">
        <v>8776431</v>
      </c>
      <c r="M41" s="29">
        <v>9361123</v>
      </c>
      <c r="N41" s="29">
        <v>9132364</v>
      </c>
      <c r="O41" s="29">
        <v>8594434</v>
      </c>
      <c r="P41" s="135">
        <f>SUM(D41:O41)</f>
        <v>101046525</v>
      </c>
    </row>
    <row r="42" spans="2:17">
      <c r="B42" s="426">
        <v>34</v>
      </c>
      <c r="C42" s="28" t="s">
        <v>492</v>
      </c>
      <c r="D42" s="29">
        <f t="array" ref="D42:O42">TRANSPOSE('Block Therms Support'!E66:E77)+TRANSPOSE('Block Therms Support'!E80:E91)</f>
        <v>6528574</v>
      </c>
      <c r="E42" s="29">
        <v>5987599</v>
      </c>
      <c r="F42" s="29">
        <v>6419154</v>
      </c>
      <c r="G42" s="29">
        <v>5746205</v>
      </c>
      <c r="H42" s="29">
        <v>5282598</v>
      </c>
      <c r="I42" s="29">
        <v>5003601</v>
      </c>
      <c r="J42" s="29">
        <v>4958678</v>
      </c>
      <c r="K42" s="29">
        <v>5927679</v>
      </c>
      <c r="L42" s="29">
        <v>6276362</v>
      </c>
      <c r="M42" s="29">
        <v>7231925</v>
      </c>
      <c r="N42" s="29">
        <v>6668594</v>
      </c>
      <c r="O42" s="29">
        <v>6300703</v>
      </c>
      <c r="P42" s="135">
        <f>SUM(D42:O42)</f>
        <v>72331672</v>
      </c>
    </row>
    <row r="43" spans="2:17">
      <c r="B43" s="426">
        <v>35</v>
      </c>
      <c r="C43" s="28" t="s">
        <v>493</v>
      </c>
      <c r="D43" s="29">
        <f t="array" ref="D43:O43">TRANSPOSE('Block Therms Support'!F66:F77)+TRANSPOSE('Block Therms Support'!F80:F91)</f>
        <v>3874636</v>
      </c>
      <c r="E43" s="29">
        <v>3399853</v>
      </c>
      <c r="F43" s="29">
        <v>3433689</v>
      </c>
      <c r="G43" s="29">
        <v>3296678</v>
      </c>
      <c r="H43" s="29">
        <v>2671792</v>
      </c>
      <c r="I43" s="29">
        <v>2253301</v>
      </c>
      <c r="J43" s="29">
        <v>2340069</v>
      </c>
      <c r="K43" s="29">
        <v>3000967</v>
      </c>
      <c r="L43" s="29">
        <v>2949735</v>
      </c>
      <c r="M43" s="29">
        <v>3550265</v>
      </c>
      <c r="N43" s="29">
        <v>3298971</v>
      </c>
      <c r="O43" s="29">
        <v>3263972</v>
      </c>
      <c r="P43" s="135">
        <f>SUM(D43:O43)</f>
        <v>37333928</v>
      </c>
    </row>
    <row r="44" spans="2:17">
      <c r="B44" s="426">
        <v>36</v>
      </c>
      <c r="C44" s="28" t="s">
        <v>494</v>
      </c>
      <c r="D44" s="29">
        <f t="array" ref="D44:O44">TRANSPOSE('Block Therms Support'!G66:G77)+TRANSPOSE('Block Therms Support'!G80:G91)</f>
        <v>54241462</v>
      </c>
      <c r="E44" s="29">
        <v>43641052</v>
      </c>
      <c r="F44" s="29">
        <v>61168511</v>
      </c>
      <c r="G44" s="29">
        <v>54127278</v>
      </c>
      <c r="H44" s="29">
        <v>21877544</v>
      </c>
      <c r="I44" s="29">
        <v>26013762</v>
      </c>
      <c r="J44" s="29">
        <v>57007254</v>
      </c>
      <c r="K44" s="29">
        <v>64842602</v>
      </c>
      <c r="L44" s="29">
        <v>67126855</v>
      </c>
      <c r="M44" s="29">
        <v>63803849</v>
      </c>
      <c r="N44" s="29">
        <v>64804401</v>
      </c>
      <c r="O44" s="29">
        <v>68383444</v>
      </c>
      <c r="P44" s="135">
        <f>SUM(D44:O44)</f>
        <v>647038014</v>
      </c>
      <c r="Q44" s="39"/>
    </row>
    <row r="45" spans="2:17">
      <c r="B45" s="426">
        <v>37</v>
      </c>
      <c r="C45" s="28" t="s">
        <v>495</v>
      </c>
      <c r="D45" s="29">
        <f>SUM(D41:D44)</f>
        <v>73487045</v>
      </c>
      <c r="E45" s="29">
        <f t="shared" ref="E45:O45" si="3">SUM(E41:E44)</f>
        <v>61785704</v>
      </c>
      <c r="F45" s="29">
        <f t="shared" si="3"/>
        <v>79892808</v>
      </c>
      <c r="G45" s="29">
        <f t="shared" si="3"/>
        <v>71305689</v>
      </c>
      <c r="H45" s="29">
        <f t="shared" si="3"/>
        <v>37542909</v>
      </c>
      <c r="I45" s="29">
        <f t="shared" si="3"/>
        <v>40867560</v>
      </c>
      <c r="J45" s="29">
        <f t="shared" si="3"/>
        <v>71703139</v>
      </c>
      <c r="K45" s="29">
        <f t="shared" si="3"/>
        <v>81641857</v>
      </c>
      <c r="L45" s="29">
        <f t="shared" si="3"/>
        <v>85129383</v>
      </c>
      <c r="M45" s="29">
        <f t="shared" si="3"/>
        <v>83947162</v>
      </c>
      <c r="N45" s="29">
        <f t="shared" si="3"/>
        <v>83904330</v>
      </c>
      <c r="O45" s="29">
        <f t="shared" si="3"/>
        <v>86542553</v>
      </c>
      <c r="P45" s="135">
        <f>SUM(D45:O45)</f>
        <v>857750139</v>
      </c>
      <c r="Q45" s="523">
        <f>P45-'Rev Recon Summary'!Q137-'Rev Recon Summary'!Q257-('Rev Recon Summary'!G132+'Rev Recon Summary'!G136)-('Rev Recon Summary'!P132+'Rev Recon Summary'!P136)-'Rev Recon Summary'!Q277</f>
        <v>0</v>
      </c>
    </row>
    <row r="46" spans="2:17">
      <c r="B46" s="426">
        <v>38</v>
      </c>
      <c r="C46" s="36" t="s">
        <v>475</v>
      </c>
      <c r="D46" s="335">
        <f>D41/'Customer Counts'!C18</f>
        <v>45345.502564102564</v>
      </c>
      <c r="E46" s="335">
        <f>E41/'Customer Counts'!D18</f>
        <v>44908.717948717946</v>
      </c>
      <c r="F46" s="335">
        <f>F41/'Customer Counts'!E18</f>
        <v>45494.635897435895</v>
      </c>
      <c r="G46" s="335">
        <f>G41/'Customer Counts'!F18</f>
        <v>41507.795918367345</v>
      </c>
      <c r="H46" s="335">
        <f>H41/'Customer Counts'!G18</f>
        <v>39543.461538461539</v>
      </c>
      <c r="I46" s="335">
        <f>I41/'Customer Counts'!H18</f>
        <v>39362.155440414506</v>
      </c>
      <c r="J46" s="335">
        <f>J41/'Customer Counts'!I18</f>
        <v>38327.139896373053</v>
      </c>
      <c r="K46" s="335">
        <f>K41/'Customer Counts'!J18</f>
        <v>40780.357512953371</v>
      </c>
      <c r="L46" s="335">
        <f>L41/'Customer Counts'!K18</f>
        <v>45473.735751295339</v>
      </c>
      <c r="M46" s="335">
        <f>M41/'Customer Counts'!L18</f>
        <v>48755.848958333336</v>
      </c>
      <c r="N46" s="335">
        <f>N41/'Customer Counts'!M18</f>
        <v>47564.395833333336</v>
      </c>
      <c r="O46" s="335">
        <f>O41/'Customer Counts'!N18</f>
        <v>44530.74611398964</v>
      </c>
      <c r="P46" s="338"/>
      <c r="Q46" s="338"/>
    </row>
    <row r="47" spans="2:17">
      <c r="B47" s="426">
        <v>39</v>
      </c>
      <c r="C47" s="36" t="s">
        <v>476</v>
      </c>
      <c r="D47" s="335">
        <f>D42/'Customer Counts'!C18</f>
        <v>33479.866666666669</v>
      </c>
      <c r="E47" s="335">
        <f>E42/'Customer Counts'!D18</f>
        <v>30705.635897435899</v>
      </c>
      <c r="F47" s="335">
        <f>F42/'Customer Counts'!E18</f>
        <v>32918.738461538458</v>
      </c>
      <c r="G47" s="335">
        <f>G42/'Customer Counts'!F18</f>
        <v>29317.372448979593</v>
      </c>
      <c r="H47" s="335">
        <f>H42/'Customer Counts'!G18</f>
        <v>27090.246153846154</v>
      </c>
      <c r="I47" s="335">
        <f>I42/'Customer Counts'!H18</f>
        <v>25925.39378238342</v>
      </c>
      <c r="J47" s="335">
        <f>J42/'Customer Counts'!I18</f>
        <v>25692.632124352331</v>
      </c>
      <c r="K47" s="335">
        <f>K42/'Customer Counts'!J18</f>
        <v>30713.362694300518</v>
      </c>
      <c r="L47" s="335">
        <f>L42/'Customer Counts'!K18</f>
        <v>32520.010362694302</v>
      </c>
      <c r="M47" s="335">
        <f>M42/'Customer Counts'!L18</f>
        <v>37666.276041666664</v>
      </c>
      <c r="N47" s="335">
        <f>N42/'Customer Counts'!M18</f>
        <v>34732.260416666664</v>
      </c>
      <c r="O47" s="335">
        <f>O42/'Customer Counts'!N18</f>
        <v>32646.129533678755</v>
      </c>
      <c r="P47" s="338"/>
      <c r="Q47" s="338"/>
    </row>
    <row r="48" spans="2:17">
      <c r="B48" s="426">
        <v>40</v>
      </c>
      <c r="C48" s="36" t="s">
        <v>477</v>
      </c>
      <c r="D48" s="335">
        <f>D43/'Customer Counts'!C18</f>
        <v>19869.928205128206</v>
      </c>
      <c r="E48" s="335">
        <f>E43/'Customer Counts'!D18</f>
        <v>17435.143589743591</v>
      </c>
      <c r="F48" s="335">
        <f>F43/'Customer Counts'!E18</f>
        <v>17608.66153846154</v>
      </c>
      <c r="G48" s="335">
        <f>G43/'Customer Counts'!F18</f>
        <v>16819.785714285714</v>
      </c>
      <c r="H48" s="335">
        <f>H43/'Customer Counts'!G18</f>
        <v>13701.497435897436</v>
      </c>
      <c r="I48" s="335">
        <f>I43/'Customer Counts'!H18</f>
        <v>11675.134715025906</v>
      </c>
      <c r="J48" s="335">
        <f>J43/'Customer Counts'!I18</f>
        <v>12124.709844559586</v>
      </c>
      <c r="K48" s="335">
        <f>K43/'Customer Counts'!J18</f>
        <v>15549.051813471502</v>
      </c>
      <c r="L48" s="335">
        <f>L43/'Customer Counts'!K18</f>
        <v>15283.601036269431</v>
      </c>
      <c r="M48" s="335">
        <f>M43/'Customer Counts'!L18</f>
        <v>18490.963541666668</v>
      </c>
      <c r="N48" s="335">
        <f>N43/'Customer Counts'!M18</f>
        <v>17182.140625</v>
      </c>
      <c r="O48" s="335">
        <f>O43/'Customer Counts'!N18</f>
        <v>16911.772020725388</v>
      </c>
      <c r="P48" s="338"/>
      <c r="Q48" s="338"/>
    </row>
    <row r="49" spans="2:21">
      <c r="B49" s="426">
        <v>41</v>
      </c>
      <c r="C49" s="36" t="s">
        <v>496</v>
      </c>
      <c r="D49" s="335">
        <f>D44/'Customer Counts'!C18</f>
        <v>278161.3435897436</v>
      </c>
      <c r="E49" s="335">
        <f>E44/'Customer Counts'!D18</f>
        <v>223800.26666666666</v>
      </c>
      <c r="F49" s="335">
        <f>F44/'Customer Counts'!E18</f>
        <v>313684.6717948718</v>
      </c>
      <c r="G49" s="335">
        <f>G44/'Customer Counts'!F18</f>
        <v>276159.58163265308</v>
      </c>
      <c r="H49" s="335">
        <f>H44/'Customer Counts'!G18</f>
        <v>112192.53333333334</v>
      </c>
      <c r="I49" s="335">
        <f>I44/'Customer Counts'!H18</f>
        <v>134786.33160621763</v>
      </c>
      <c r="J49" s="335">
        <f>J44/'Customer Counts'!I18</f>
        <v>295374.37305699481</v>
      </c>
      <c r="K49" s="335">
        <f>K44/'Customer Counts'!J18</f>
        <v>335972.03108808288</v>
      </c>
      <c r="L49" s="335">
        <f>L44/'Customer Counts'!K18</f>
        <v>347807.53886010364</v>
      </c>
      <c r="M49" s="335">
        <f>M44/'Customer Counts'!L18</f>
        <v>332311.71354166669</v>
      </c>
      <c r="N49" s="335">
        <f>N44/'Customer Counts'!M18</f>
        <v>337522.921875</v>
      </c>
      <c r="O49" s="335">
        <f>O44/'Customer Counts'!N18</f>
        <v>354318.36269430054</v>
      </c>
      <c r="P49" s="202"/>
      <c r="Q49" s="202"/>
    </row>
    <row r="50" spans="2:21">
      <c r="B50" s="426">
        <v>42</v>
      </c>
      <c r="C50" s="36" t="s">
        <v>497</v>
      </c>
      <c r="D50" s="335">
        <f>D45/'Customer Counts'!C18</f>
        <v>376856.641025641</v>
      </c>
      <c r="E50" s="335">
        <f>E45/'Customer Counts'!D18</f>
        <v>316849.76410256408</v>
      </c>
      <c r="F50" s="335">
        <f>F45/'Customer Counts'!E18</f>
        <v>409706.70769230771</v>
      </c>
      <c r="G50" s="335">
        <f>G45/'Customer Counts'!F18</f>
        <v>363804.53571428574</v>
      </c>
      <c r="H50" s="335">
        <f>H45/'Customer Counts'!G18</f>
        <v>192527.73846153845</v>
      </c>
      <c r="I50" s="335">
        <f>I45/'Customer Counts'!H18</f>
        <v>211749.01554404144</v>
      </c>
      <c r="J50" s="335">
        <f>J45/'Customer Counts'!I18</f>
        <v>371518.85492227977</v>
      </c>
      <c r="K50" s="335">
        <f>K45/'Customer Counts'!J18</f>
        <v>423014.80310880829</v>
      </c>
      <c r="L50" s="335">
        <f>L45/'Customer Counts'!K18</f>
        <v>441084.88601036271</v>
      </c>
      <c r="M50" s="335">
        <f>M45/'Customer Counts'!L18</f>
        <v>437224.80208333331</v>
      </c>
      <c r="N50" s="335">
        <f>N45/'Customer Counts'!M18</f>
        <v>437001.71875</v>
      </c>
      <c r="O50" s="335">
        <f>O45/'Customer Counts'!N18</f>
        <v>448407.01036269427</v>
      </c>
    </row>
    <row r="51" spans="2:21" ht="15.75" thickBot="1">
      <c r="B51" s="426">
        <v>43</v>
      </c>
    </row>
    <row r="52" spans="2:21" ht="15" customHeight="1">
      <c r="B52" s="426">
        <v>44</v>
      </c>
      <c r="C52" s="1429" t="s">
        <v>498</v>
      </c>
      <c r="D52" s="1429"/>
      <c r="E52" s="1429"/>
      <c r="F52" s="1429"/>
      <c r="G52" s="1429"/>
      <c r="H52" s="1429"/>
      <c r="I52" s="1429"/>
      <c r="J52" s="1429"/>
      <c r="K52" s="1429"/>
      <c r="L52" s="1429"/>
      <c r="M52" s="1429"/>
      <c r="N52" s="1429"/>
      <c r="O52" s="1430"/>
    </row>
    <row r="53" spans="2:21">
      <c r="B53" s="426">
        <v>45</v>
      </c>
      <c r="C53" s="124" t="s">
        <v>439</v>
      </c>
      <c r="D53" s="124" t="s">
        <v>208</v>
      </c>
      <c r="E53" s="124" t="s">
        <v>209</v>
      </c>
      <c r="F53" s="124" t="s">
        <v>440</v>
      </c>
      <c r="G53" s="124" t="s">
        <v>441</v>
      </c>
      <c r="H53" s="124" t="s">
        <v>442</v>
      </c>
      <c r="I53" s="124" t="s">
        <v>443</v>
      </c>
      <c r="J53" s="124" t="s">
        <v>444</v>
      </c>
      <c r="K53" s="124" t="s">
        <v>445</v>
      </c>
      <c r="L53" s="124" t="s">
        <v>446</v>
      </c>
      <c r="M53" s="124" t="s">
        <v>447</v>
      </c>
      <c r="N53" s="124" t="s">
        <v>448</v>
      </c>
      <c r="O53" s="343" t="s">
        <v>449</v>
      </c>
      <c r="P53" s="124" t="s">
        <v>450</v>
      </c>
      <c r="Q53" s="124" t="s">
        <v>451</v>
      </c>
      <c r="R53" s="124" t="s">
        <v>452</v>
      </c>
    </row>
    <row r="54" spans="2:21" ht="43.5" customHeight="1">
      <c r="B54" s="426">
        <v>46</v>
      </c>
      <c r="C54" s="346" t="s">
        <v>453</v>
      </c>
      <c r="D54" s="346" t="s">
        <v>454</v>
      </c>
      <c r="E54" s="346" t="s">
        <v>455</v>
      </c>
      <c r="F54" s="346" t="s">
        <v>456</v>
      </c>
      <c r="G54" s="346" t="s">
        <v>457</v>
      </c>
      <c r="H54" s="346" t="s">
        <v>458</v>
      </c>
      <c r="I54" s="346" t="s">
        <v>459</v>
      </c>
      <c r="J54" s="346" t="s">
        <v>460</v>
      </c>
      <c r="K54" s="346" t="s">
        <v>461</v>
      </c>
      <c r="L54" s="346" t="s">
        <v>462</v>
      </c>
      <c r="M54" s="346" t="s">
        <v>463</v>
      </c>
      <c r="N54" s="346" t="s">
        <v>464</v>
      </c>
      <c r="O54" s="346" t="s">
        <v>465</v>
      </c>
      <c r="P54" s="347"/>
      <c r="Q54" s="348" t="s">
        <v>499</v>
      </c>
      <c r="R54" s="348" t="s">
        <v>500</v>
      </c>
      <c r="U54" s="54"/>
    </row>
    <row r="55" spans="2:21">
      <c r="B55" s="426">
        <v>47</v>
      </c>
      <c r="C55" s="345" t="s">
        <v>501</v>
      </c>
      <c r="D55" s="340">
        <f t="shared" ref="D55:O55" si="4">D12*(SUM($Q$55)/12)</f>
        <v>22102360.038374364</v>
      </c>
      <c r="E55" s="340">
        <f t="shared" si="4"/>
        <v>17345794.337006759</v>
      </c>
      <c r="F55" s="340">
        <f t="shared" si="4"/>
        <v>14813182.928166313</v>
      </c>
      <c r="G55" s="340">
        <f t="shared" si="4"/>
        <v>9574436.7302607335</v>
      </c>
      <c r="H55" s="340">
        <f t="shared" si="4"/>
        <v>6071209.5928084478</v>
      </c>
      <c r="I55" s="340">
        <f t="shared" si="4"/>
        <v>3158886.2100451053</v>
      </c>
      <c r="J55" s="340">
        <f t="shared" si="4"/>
        <v>3263572.0050519761</v>
      </c>
      <c r="K55" s="340">
        <f t="shared" si="4"/>
        <v>1712901.0639956377</v>
      </c>
      <c r="L55" s="340">
        <f t="shared" si="4"/>
        <v>3730497.8331289045</v>
      </c>
      <c r="M55" s="340">
        <f t="shared" si="4"/>
        <v>9082145.6496453453</v>
      </c>
      <c r="N55" s="340">
        <f t="shared" si="4"/>
        <v>17043162.354835041</v>
      </c>
      <c r="O55" s="340">
        <f t="shared" si="4"/>
        <v>22015297.412013046</v>
      </c>
      <c r="P55" s="39">
        <f>SUM(D55:O55)</f>
        <v>129913446.15533167</v>
      </c>
      <c r="Q55" s="212">
        <f>'Customer Counts'!N10*12</f>
        <v>2454192</v>
      </c>
      <c r="R55" s="40">
        <f>Q55/12</f>
        <v>204516</v>
      </c>
      <c r="S55" s="212">
        <f>R55*SUM(D12:O12)</f>
        <v>129913446.15533167</v>
      </c>
      <c r="T55" s="135">
        <f>P55-S55</f>
        <v>0</v>
      </c>
      <c r="U55" s="38"/>
    </row>
    <row r="56" spans="2:21">
      <c r="B56" s="426">
        <v>48</v>
      </c>
      <c r="C56" s="344" t="s">
        <v>502</v>
      </c>
      <c r="D56" s="349">
        <f t="shared" ref="D56:O56" si="5">D14*(SUM($Q$56)/12)</f>
        <v>14847599.182330886</v>
      </c>
      <c r="E56" s="349">
        <f t="shared" si="5"/>
        <v>11802224.215378668</v>
      </c>
      <c r="F56" s="349">
        <f t="shared" si="5"/>
        <v>9638982.7048688643</v>
      </c>
      <c r="G56" s="349">
        <f t="shared" si="5"/>
        <v>6191647.0489997407</v>
      </c>
      <c r="H56" s="349">
        <f t="shared" si="5"/>
        <v>4311420.2954033716</v>
      </c>
      <c r="I56" s="349">
        <f t="shared" si="5"/>
        <v>2749978.5705316537</v>
      </c>
      <c r="J56" s="349">
        <f t="shared" si="5"/>
        <v>2841544.6286013704</v>
      </c>
      <c r="K56" s="349">
        <f t="shared" si="5"/>
        <v>2841584.905706441</v>
      </c>
      <c r="L56" s="349">
        <f t="shared" si="5"/>
        <v>3993282.1420172993</v>
      </c>
      <c r="M56" s="349">
        <f t="shared" si="5"/>
        <v>7284158.0491149873</v>
      </c>
      <c r="N56" s="349">
        <f t="shared" si="5"/>
        <v>10794956.252918646</v>
      </c>
      <c r="O56" s="349">
        <f t="shared" si="5"/>
        <v>14629096.131946057</v>
      </c>
      <c r="P56" s="39">
        <f>SUM(D56:O56)</f>
        <v>91926474.127817988</v>
      </c>
      <c r="Q56" s="212">
        <f>('Customer Counts'!N11+'Customer Counts'!N12)*12</f>
        <v>331872</v>
      </c>
      <c r="R56" s="40">
        <f>Q56/12</f>
        <v>27656</v>
      </c>
      <c r="S56" s="212">
        <f>R56*SUM(D14:O14)</f>
        <v>91926474.127817988</v>
      </c>
      <c r="T56" s="135">
        <f>P56-S56</f>
        <v>0</v>
      </c>
      <c r="U56" s="38"/>
    </row>
    <row r="57" spans="2:21">
      <c r="B57" s="426">
        <v>49</v>
      </c>
      <c r="C57" s="345" t="s">
        <v>470</v>
      </c>
      <c r="D57" s="340"/>
      <c r="E57" s="340"/>
      <c r="F57" s="340"/>
      <c r="G57" s="340"/>
      <c r="H57" s="340"/>
      <c r="I57" s="340"/>
      <c r="J57" s="340"/>
      <c r="K57" s="340"/>
      <c r="L57" s="340"/>
      <c r="M57" s="340"/>
      <c r="N57" s="340"/>
      <c r="O57" s="340"/>
      <c r="P57" s="292"/>
      <c r="Q57" s="180"/>
      <c r="R57" s="40"/>
      <c r="S57" s="212"/>
      <c r="T57" s="135"/>
      <c r="U57" s="38"/>
    </row>
    <row r="58" spans="2:21">
      <c r="B58" s="426">
        <v>50</v>
      </c>
      <c r="C58" s="24" t="s">
        <v>471</v>
      </c>
      <c r="D58" s="340">
        <f t="shared" ref="D58:O58" si="6">(D20)*($Q$58/12)</f>
        <v>209909.93951612903</v>
      </c>
      <c r="E58" s="340">
        <f t="shared" si="6"/>
        <v>195768.50806451612</v>
      </c>
      <c r="F58" s="340">
        <f t="shared" si="6"/>
        <v>205039</v>
      </c>
      <c r="G58" s="340">
        <f t="shared" si="6"/>
        <v>189094.03258655805</v>
      </c>
      <c r="H58" s="340">
        <f t="shared" si="6"/>
        <v>160164.82653061225</v>
      </c>
      <c r="I58" s="340">
        <f t="shared" si="6"/>
        <v>102578.14285714286</v>
      </c>
      <c r="J58" s="340">
        <f t="shared" si="6"/>
        <v>87864.018404907983</v>
      </c>
      <c r="K58" s="340">
        <f t="shared" si="6"/>
        <v>84081.024590163928</v>
      </c>
      <c r="L58" s="340">
        <f t="shared" si="6"/>
        <v>88912.346311475412</v>
      </c>
      <c r="M58" s="340">
        <f t="shared" si="6"/>
        <v>110227.40816326531</v>
      </c>
      <c r="N58" s="340">
        <f t="shared" si="6"/>
        <v>160539.64503042595</v>
      </c>
      <c r="O58" s="340">
        <f t="shared" si="6"/>
        <v>192414</v>
      </c>
      <c r="P58" s="39">
        <f>SUM(D58:O58)</f>
        <v>1786592.8920551969</v>
      </c>
      <c r="Q58" s="212">
        <f>'Customer Counts'!N13*12</f>
        <v>5940</v>
      </c>
      <c r="R58" s="40">
        <f>Q58/12</f>
        <v>495</v>
      </c>
      <c r="S58" s="212">
        <f>R58*SUM(D23:O23)</f>
        <v>12174148.860819675</v>
      </c>
      <c r="T58" s="135">
        <f>SUM(P58:P60)-S58</f>
        <v>0</v>
      </c>
      <c r="U58" s="38"/>
    </row>
    <row r="59" spans="2:21">
      <c r="B59" s="426">
        <v>51</v>
      </c>
      <c r="C59" s="24" t="s">
        <v>472</v>
      </c>
      <c r="D59" s="340">
        <f t="shared" ref="D59:O59" si="7">(D21)*($Q$58/12)</f>
        <v>817593.29637096776</v>
      </c>
      <c r="E59" s="340">
        <f t="shared" si="7"/>
        <v>676389.55645161297</v>
      </c>
      <c r="F59" s="340">
        <f t="shared" si="7"/>
        <v>739832</v>
      </c>
      <c r="G59" s="340">
        <f t="shared" si="7"/>
        <v>573483.20773930755</v>
      </c>
      <c r="H59" s="340">
        <f t="shared" si="7"/>
        <v>453427.07142857142</v>
      </c>
      <c r="I59" s="340">
        <f t="shared" si="7"/>
        <v>279564.88775510207</v>
      </c>
      <c r="J59" s="340">
        <f t="shared" si="7"/>
        <v>224918.28220858896</v>
      </c>
      <c r="K59" s="340">
        <f t="shared" si="7"/>
        <v>235405.97336065574</v>
      </c>
      <c r="L59" s="340">
        <f t="shared" si="7"/>
        <v>245561.58811475409</v>
      </c>
      <c r="M59" s="340">
        <f t="shared" si="7"/>
        <v>318774.94897959183</v>
      </c>
      <c r="N59" s="340">
        <f t="shared" si="7"/>
        <v>445714.86815415823</v>
      </c>
      <c r="O59" s="340">
        <f t="shared" si="7"/>
        <v>638248</v>
      </c>
      <c r="P59" s="39">
        <f>SUM(D59:O59)</f>
        <v>5648913.6805633102</v>
      </c>
      <c r="Q59" s="180"/>
      <c r="R59" s="40"/>
      <c r="S59" s="212"/>
      <c r="T59" s="135"/>
      <c r="U59" s="38"/>
    </row>
    <row r="60" spans="2:21">
      <c r="B60" s="426">
        <v>52</v>
      </c>
      <c r="C60" s="24" t="s">
        <v>473</v>
      </c>
      <c r="D60" s="340">
        <f t="shared" ref="D60:O60" si="8">(D22)*($Q$58/12)</f>
        <v>816665.17137096776</v>
      </c>
      <c r="E60" s="340">
        <f t="shared" si="8"/>
        <v>460075.55443548388</v>
      </c>
      <c r="F60" s="340">
        <f t="shared" si="8"/>
        <v>704330</v>
      </c>
      <c r="G60" s="340">
        <f t="shared" si="8"/>
        <v>384401.27291242365</v>
      </c>
      <c r="H60" s="340">
        <f t="shared" si="8"/>
        <v>283190.5102040816</v>
      </c>
      <c r="I60" s="340">
        <f t="shared" si="8"/>
        <v>162806.51020408163</v>
      </c>
      <c r="J60" s="340">
        <f t="shared" si="8"/>
        <v>132288.49693251535</v>
      </c>
      <c r="K60" s="340">
        <f t="shared" si="8"/>
        <v>172854.40573770492</v>
      </c>
      <c r="L60" s="340">
        <f t="shared" si="8"/>
        <v>207986.21926229508</v>
      </c>
      <c r="M60" s="340">
        <f t="shared" si="8"/>
        <v>499934.8469387755</v>
      </c>
      <c r="N60" s="340">
        <f t="shared" si="8"/>
        <v>387164.30020283978</v>
      </c>
      <c r="O60" s="340">
        <f t="shared" si="8"/>
        <v>526945</v>
      </c>
      <c r="P60" s="39">
        <f>SUM(D60:O60)</f>
        <v>4738642.2882011691</v>
      </c>
      <c r="Q60" s="180"/>
      <c r="R60" s="40"/>
      <c r="S60" s="212"/>
      <c r="T60" s="135"/>
      <c r="U60" s="38"/>
    </row>
    <row r="61" spans="2:21">
      <c r="B61" s="426">
        <v>53</v>
      </c>
      <c r="C61" s="24" t="s">
        <v>474</v>
      </c>
      <c r="D61" s="340">
        <f>SUM(D58:D60)</f>
        <v>1844168.4072580645</v>
      </c>
      <c r="E61" s="340">
        <f t="shared" ref="E61:O61" si="9">SUM(E58:E60)</f>
        <v>1332233.6189516131</v>
      </c>
      <c r="F61" s="340">
        <f t="shared" si="9"/>
        <v>1649201</v>
      </c>
      <c r="G61" s="340">
        <f t="shared" si="9"/>
        <v>1146978.5132382892</v>
      </c>
      <c r="H61" s="340">
        <f t="shared" si="9"/>
        <v>896782.40816326533</v>
      </c>
      <c r="I61" s="340">
        <f t="shared" si="9"/>
        <v>544949.54081632651</v>
      </c>
      <c r="J61" s="340">
        <f t="shared" si="9"/>
        <v>445070.79754601227</v>
      </c>
      <c r="K61" s="340">
        <f t="shared" si="9"/>
        <v>492341.40368852462</v>
      </c>
      <c r="L61" s="340">
        <f t="shared" si="9"/>
        <v>542460.15368852462</v>
      </c>
      <c r="M61" s="340">
        <f t="shared" si="9"/>
        <v>928937.20408163266</v>
      </c>
      <c r="N61" s="340">
        <f t="shared" si="9"/>
        <v>993418.81338742399</v>
      </c>
      <c r="O61" s="340">
        <f t="shared" si="9"/>
        <v>1357607</v>
      </c>
      <c r="P61" s="39">
        <f>SUM(D61:O61)</f>
        <v>12174148.860819677</v>
      </c>
      <c r="R61" s="40"/>
      <c r="S61" s="212"/>
      <c r="T61" s="135"/>
      <c r="U61" s="38"/>
    </row>
    <row r="62" spans="2:21">
      <c r="B62" s="426">
        <v>54</v>
      </c>
      <c r="C62" s="344" t="s">
        <v>479</v>
      </c>
      <c r="D62" s="29"/>
      <c r="E62" s="29"/>
      <c r="F62" s="29"/>
      <c r="G62" s="29"/>
      <c r="H62" s="29"/>
      <c r="I62" s="29"/>
      <c r="J62" s="29"/>
      <c r="K62" s="29"/>
      <c r="L62" s="29"/>
      <c r="M62" s="29"/>
      <c r="N62" s="29"/>
      <c r="O62" s="29"/>
      <c r="P62" s="39"/>
      <c r="R62" s="40"/>
      <c r="S62" s="212"/>
      <c r="T62" s="135"/>
      <c r="U62" s="5"/>
    </row>
    <row r="63" spans="2:21">
      <c r="B63" s="426">
        <v>55</v>
      </c>
      <c r="C63" s="344" t="s">
        <v>480</v>
      </c>
      <c r="D63" s="29">
        <f t="shared" ref="D63:O63" si="10">D29*($Q$63/12)</f>
        <v>1388559.1500000001</v>
      </c>
      <c r="E63" s="29">
        <f t="shared" si="10"/>
        <v>1190180.97</v>
      </c>
      <c r="F63" s="29">
        <f t="shared" si="10"/>
        <v>1272908.3400000001</v>
      </c>
      <c r="G63" s="29">
        <f t="shared" si="10"/>
        <v>945927.17999999993</v>
      </c>
      <c r="H63" s="29">
        <f t="shared" si="10"/>
        <v>825788.7</v>
      </c>
      <c r="I63" s="29">
        <f t="shared" si="10"/>
        <v>491850.80999999994</v>
      </c>
      <c r="J63" s="29">
        <f t="shared" si="10"/>
        <v>470732.13</v>
      </c>
      <c r="K63" s="29">
        <f t="shared" si="10"/>
        <v>399063</v>
      </c>
      <c r="L63" s="29">
        <f t="shared" si="10"/>
        <v>365212.01020408166</v>
      </c>
      <c r="M63" s="29">
        <f t="shared" si="10"/>
        <v>550594.56122448982</v>
      </c>
      <c r="N63" s="29">
        <f t="shared" si="10"/>
        <v>802789.98979591834</v>
      </c>
      <c r="O63" s="29">
        <f t="shared" si="10"/>
        <v>1157432</v>
      </c>
      <c r="P63" s="39">
        <f>SUM(D63:O63)</f>
        <v>9861038.8412244879</v>
      </c>
      <c r="Q63" s="339">
        <f>SUM('Customer Counts'!N14:N16)*12</f>
        <v>1188</v>
      </c>
      <c r="R63" s="40">
        <f>Q63/12</f>
        <v>99</v>
      </c>
      <c r="S63" s="777">
        <f>R63*SUM(D32:O32)</f>
        <v>16688677.44020408</v>
      </c>
      <c r="T63" s="135">
        <f>SUM(P63:P65)-S63</f>
        <v>0</v>
      </c>
      <c r="U63" s="38"/>
    </row>
    <row r="64" spans="2:21">
      <c r="B64" s="426">
        <v>56</v>
      </c>
      <c r="C64" s="344" t="s">
        <v>481</v>
      </c>
      <c r="D64" s="29">
        <f t="shared" ref="D64:O64" si="11">D30*($Q$63/12)</f>
        <v>745913.5199999999</v>
      </c>
      <c r="E64" s="29">
        <f t="shared" si="11"/>
        <v>1611340.83</v>
      </c>
      <c r="F64" s="29">
        <f t="shared" si="11"/>
        <v>214097.4</v>
      </c>
      <c r="G64" s="29">
        <f t="shared" si="11"/>
        <v>156403.16999999998</v>
      </c>
      <c r="H64" s="29">
        <f t="shared" si="11"/>
        <v>48453.57</v>
      </c>
      <c r="I64" s="29">
        <f t="shared" si="11"/>
        <v>192360.95999999999</v>
      </c>
      <c r="J64" s="29">
        <f t="shared" si="11"/>
        <v>126380.43</v>
      </c>
      <c r="K64" s="29">
        <f t="shared" si="11"/>
        <v>263312</v>
      </c>
      <c r="L64" s="29">
        <f t="shared" si="11"/>
        <v>243126.82653061225</v>
      </c>
      <c r="M64" s="29">
        <f t="shared" si="11"/>
        <v>652920.1530612245</v>
      </c>
      <c r="N64" s="29">
        <f t="shared" si="11"/>
        <v>720322.98979591834</v>
      </c>
      <c r="O64" s="29">
        <f t="shared" si="11"/>
        <v>372163</v>
      </c>
      <c r="P64" s="39">
        <f>SUM(D64:O64)</f>
        <v>5346794.8493877547</v>
      </c>
      <c r="Q64" s="350"/>
      <c r="R64" s="40"/>
      <c r="S64" s="212"/>
      <c r="T64" s="135"/>
      <c r="U64" s="5"/>
    </row>
    <row r="65" spans="2:21">
      <c r="B65" s="426">
        <v>57</v>
      </c>
      <c r="C65" s="344" t="s">
        <v>482</v>
      </c>
      <c r="D65" s="29">
        <f t="shared" ref="D65:O65" si="12">D31*($Q$63/12)</f>
        <v>214966.62000000002</v>
      </c>
      <c r="E65" s="29">
        <f t="shared" si="12"/>
        <v>294545.78999999998</v>
      </c>
      <c r="F65" s="29">
        <f t="shared" si="12"/>
        <v>151328.43</v>
      </c>
      <c r="G65" s="29">
        <f t="shared" si="12"/>
        <v>55563.75</v>
      </c>
      <c r="H65" s="29">
        <f t="shared" si="12"/>
        <v>22773.96</v>
      </c>
      <c r="I65" s="29">
        <f t="shared" si="12"/>
        <v>22943.25</v>
      </c>
      <c r="J65" s="29">
        <f t="shared" si="12"/>
        <v>281014.47000000003</v>
      </c>
      <c r="K65" s="29">
        <f t="shared" si="12"/>
        <v>306123</v>
      </c>
      <c r="L65" s="29">
        <f t="shared" si="12"/>
        <v>22197.214285714286</v>
      </c>
      <c r="M65" s="29">
        <f t="shared" si="12"/>
        <v>0</v>
      </c>
      <c r="N65" s="29">
        <f t="shared" si="12"/>
        <v>38141.265306122448</v>
      </c>
      <c r="O65" s="29">
        <f t="shared" si="12"/>
        <v>71246</v>
      </c>
      <c r="P65" s="39">
        <f>SUM(D65:O65)</f>
        <v>1480843.7495918367</v>
      </c>
      <c r="Q65" s="180"/>
      <c r="R65" s="40"/>
      <c r="S65" s="212"/>
      <c r="T65" s="135"/>
      <c r="U65" s="5"/>
    </row>
    <row r="66" spans="2:21">
      <c r="B66" s="426">
        <v>58</v>
      </c>
      <c r="C66" s="344" t="s">
        <v>483</v>
      </c>
      <c r="D66" s="29">
        <f>SUM(D63:D65)</f>
        <v>2349439.29</v>
      </c>
      <c r="E66" s="29">
        <f t="shared" ref="E66:O66" si="13">SUM(E63:E65)</f>
        <v>3096067.59</v>
      </c>
      <c r="F66" s="29">
        <f t="shared" si="13"/>
        <v>1638334.17</v>
      </c>
      <c r="G66" s="29">
        <f t="shared" si="13"/>
        <v>1157894.0999999999</v>
      </c>
      <c r="H66" s="29">
        <f t="shared" si="13"/>
        <v>897016.22999999986</v>
      </c>
      <c r="I66" s="29">
        <f t="shared" si="13"/>
        <v>707155.0199999999</v>
      </c>
      <c r="J66" s="29">
        <f t="shared" si="13"/>
        <v>878127.03</v>
      </c>
      <c r="K66" s="29">
        <f t="shared" si="13"/>
        <v>968498</v>
      </c>
      <c r="L66" s="29">
        <f t="shared" si="13"/>
        <v>630536.05102040828</v>
      </c>
      <c r="M66" s="29">
        <f t="shared" si="13"/>
        <v>1203514.7142857143</v>
      </c>
      <c r="N66" s="29">
        <f>SUM(N63:N65)</f>
        <v>1561254.2448979591</v>
      </c>
      <c r="O66" s="29">
        <f t="shared" si="13"/>
        <v>1600841</v>
      </c>
      <c r="P66" s="39">
        <f>SUM(D66:O66)</f>
        <v>16688677.44020408</v>
      </c>
      <c r="Q66" s="180"/>
      <c r="R66" s="40"/>
      <c r="S66" s="212"/>
      <c r="T66" s="135"/>
      <c r="U66" s="5"/>
    </row>
    <row r="67" spans="2:21">
      <c r="B67" s="426">
        <v>59</v>
      </c>
      <c r="C67" s="345" t="s">
        <v>485</v>
      </c>
      <c r="D67" s="340"/>
      <c r="E67" s="340"/>
      <c r="F67" s="340"/>
      <c r="G67" s="340"/>
      <c r="H67" s="340"/>
      <c r="I67" s="340"/>
      <c r="J67" s="340"/>
      <c r="K67" s="340"/>
      <c r="L67" s="340"/>
      <c r="M67" s="340"/>
      <c r="N67" s="340"/>
      <c r="O67" s="340"/>
      <c r="P67" s="39"/>
      <c r="Q67" s="180"/>
      <c r="R67" s="40"/>
      <c r="S67" s="212"/>
      <c r="T67" s="135"/>
      <c r="U67" s="5"/>
    </row>
    <row r="68" spans="2:21">
      <c r="B68" s="426">
        <v>60</v>
      </c>
      <c r="C68" s="31" t="s">
        <v>486</v>
      </c>
      <c r="D68" s="340">
        <f t="shared" ref="D68:O68" si="14">D37*($Q$68/12)</f>
        <v>109827</v>
      </c>
      <c r="E68" s="340">
        <f t="shared" si="14"/>
        <v>104304</v>
      </c>
      <c r="F68" s="340">
        <f t="shared" si="14"/>
        <v>104357</v>
      </c>
      <c r="G68" s="340">
        <f t="shared" si="14"/>
        <v>97552</v>
      </c>
      <c r="H68" s="340">
        <f t="shared" si="14"/>
        <v>84290</v>
      </c>
      <c r="I68" s="340">
        <f t="shared" si="14"/>
        <v>72449</v>
      </c>
      <c r="J68" s="340">
        <f t="shared" si="14"/>
        <v>67299</v>
      </c>
      <c r="K68" s="340">
        <f t="shared" si="14"/>
        <v>69428</v>
      </c>
      <c r="L68" s="340">
        <f t="shared" si="14"/>
        <v>78588</v>
      </c>
      <c r="M68" s="340">
        <f t="shared" si="14"/>
        <v>93462</v>
      </c>
      <c r="N68" s="340">
        <f t="shared" si="14"/>
        <v>100454</v>
      </c>
      <c r="O68" s="340">
        <f t="shared" si="14"/>
        <v>104588</v>
      </c>
      <c r="P68" s="39">
        <f>SUM(D68:O68)</f>
        <v>1086598</v>
      </c>
      <c r="Q68" s="180">
        <f>'Customer Counts'!N17*12</f>
        <v>84</v>
      </c>
      <c r="R68" s="40">
        <f>Q68/12</f>
        <v>7</v>
      </c>
      <c r="S68" s="212">
        <f>R68*SUM(D39:O39)</f>
        <v>2097597.9999999995</v>
      </c>
      <c r="T68" s="135">
        <f>SUM(P68:P69)-S68</f>
        <v>0</v>
      </c>
      <c r="U68" s="38"/>
    </row>
    <row r="69" spans="2:21">
      <c r="B69" s="426">
        <v>61</v>
      </c>
      <c r="C69" s="31" t="s">
        <v>487</v>
      </c>
      <c r="D69" s="340">
        <f t="shared" ref="D69:O69" si="15">D38*($Q$68/12)</f>
        <v>144908</v>
      </c>
      <c r="E69" s="340">
        <f t="shared" si="15"/>
        <v>129007</v>
      </c>
      <c r="F69" s="340">
        <f t="shared" si="15"/>
        <v>140256</v>
      </c>
      <c r="G69" s="340">
        <f t="shared" si="15"/>
        <v>110343</v>
      </c>
      <c r="H69" s="340">
        <f t="shared" si="15"/>
        <v>39428</v>
      </c>
      <c r="I69" s="340">
        <f t="shared" si="15"/>
        <v>26239</v>
      </c>
      <c r="J69" s="340">
        <f t="shared" si="15"/>
        <v>18903</v>
      </c>
      <c r="K69" s="340">
        <f t="shared" si="15"/>
        <v>15703</v>
      </c>
      <c r="L69" s="340">
        <f t="shared" si="15"/>
        <v>28685</v>
      </c>
      <c r="M69" s="340">
        <f t="shared" si="15"/>
        <v>76146</v>
      </c>
      <c r="N69" s="340">
        <f t="shared" si="15"/>
        <v>136443</v>
      </c>
      <c r="O69" s="340">
        <f t="shared" si="15"/>
        <v>144939</v>
      </c>
      <c r="P69" s="39">
        <f>SUM(D69:O69)</f>
        <v>1011000</v>
      </c>
      <c r="Q69" s="180"/>
      <c r="R69" s="40"/>
      <c r="T69" s="135"/>
      <c r="U69" s="5"/>
    </row>
    <row r="70" spans="2:21">
      <c r="B70" s="426">
        <v>62</v>
      </c>
      <c r="C70" s="345" t="s">
        <v>488</v>
      </c>
      <c r="D70" s="340">
        <f>SUM(D68:D69)</f>
        <v>254735</v>
      </c>
      <c r="E70" s="340">
        <f t="shared" ref="E70:O70" si="16">SUM(E68:E69)</f>
        <v>233311</v>
      </c>
      <c r="F70" s="340">
        <f t="shared" si="16"/>
        <v>244613</v>
      </c>
      <c r="G70" s="340">
        <f t="shared" si="16"/>
        <v>207895</v>
      </c>
      <c r="H70" s="340">
        <f t="shared" si="16"/>
        <v>123718</v>
      </c>
      <c r="I70" s="340">
        <f t="shared" si="16"/>
        <v>98688</v>
      </c>
      <c r="J70" s="340">
        <f t="shared" si="16"/>
        <v>86202</v>
      </c>
      <c r="K70" s="340">
        <f t="shared" si="16"/>
        <v>85131</v>
      </c>
      <c r="L70" s="340">
        <f t="shared" si="16"/>
        <v>107273</v>
      </c>
      <c r="M70" s="340">
        <f t="shared" si="16"/>
        <v>169608</v>
      </c>
      <c r="N70" s="340">
        <f t="shared" si="16"/>
        <v>236897</v>
      </c>
      <c r="O70" s="340">
        <f t="shared" si="16"/>
        <v>249527</v>
      </c>
      <c r="P70" s="39">
        <f>SUM(D70:O70)</f>
        <v>2097598</v>
      </c>
      <c r="Q70" s="180"/>
      <c r="R70" s="40"/>
      <c r="T70" s="135"/>
      <c r="U70" s="5"/>
    </row>
    <row r="71" spans="2:21">
      <c r="B71" s="426">
        <v>63</v>
      </c>
      <c r="C71" s="41" t="s">
        <v>490</v>
      </c>
      <c r="D71" s="29"/>
      <c r="E71" s="29"/>
      <c r="F71" s="29"/>
      <c r="G71" s="29"/>
      <c r="H71" s="29"/>
      <c r="I71" s="29"/>
      <c r="J71" s="29"/>
      <c r="K71" s="29"/>
      <c r="L71" s="29"/>
      <c r="M71" s="29"/>
      <c r="N71" s="29"/>
      <c r="O71" s="29"/>
      <c r="P71" s="39"/>
      <c r="Q71" s="180"/>
      <c r="R71" s="40"/>
      <c r="T71" s="135"/>
      <c r="U71" s="38"/>
    </row>
    <row r="72" spans="2:21">
      <c r="B72" s="426">
        <v>64</v>
      </c>
      <c r="C72" s="41" t="s">
        <v>491</v>
      </c>
      <c r="D72" s="29">
        <f t="shared" ref="D72:O75" si="17">D46*($Q$72/12)</f>
        <v>8751681.9948717952</v>
      </c>
      <c r="E72" s="29">
        <f t="shared" si="17"/>
        <v>8667382.564102564</v>
      </c>
      <c r="F72" s="29">
        <f t="shared" si="17"/>
        <v>8780464.7282051276</v>
      </c>
      <c r="G72" s="29">
        <f t="shared" si="17"/>
        <v>8011004.6122448975</v>
      </c>
      <c r="H72" s="29">
        <f t="shared" si="17"/>
        <v>7631888.076923077</v>
      </c>
      <c r="I72" s="29">
        <f t="shared" si="17"/>
        <v>7596896</v>
      </c>
      <c r="J72" s="29">
        <f t="shared" si="17"/>
        <v>7397137.9999999991</v>
      </c>
      <c r="K72" s="29">
        <f t="shared" si="17"/>
        <v>7870609.0000000009</v>
      </c>
      <c r="L72" s="29">
        <f t="shared" si="17"/>
        <v>8776431</v>
      </c>
      <c r="M72" s="29">
        <f t="shared" si="17"/>
        <v>9409878.848958334</v>
      </c>
      <c r="N72" s="29">
        <f t="shared" si="17"/>
        <v>9179928.395833334</v>
      </c>
      <c r="O72" s="29">
        <f t="shared" si="17"/>
        <v>8594434</v>
      </c>
      <c r="P72" s="39">
        <f>SUM(D72:O72)</f>
        <v>100667737.22113912</v>
      </c>
      <c r="Q72" s="180">
        <f>'Customer Counts'!N18*12</f>
        <v>2316</v>
      </c>
      <c r="R72" s="40">
        <f>Q72/12</f>
        <v>193</v>
      </c>
      <c r="S72" s="212">
        <f>R72*SUM(D50:O50)</f>
        <v>854941070.21112645</v>
      </c>
      <c r="T72" s="135">
        <f>SUM(P72:P75)-S72</f>
        <v>0</v>
      </c>
      <c r="U72" s="38"/>
    </row>
    <row r="73" spans="2:21">
      <c r="B73" s="426">
        <v>65</v>
      </c>
      <c r="C73" s="41" t="s">
        <v>492</v>
      </c>
      <c r="D73" s="29">
        <f t="shared" si="17"/>
        <v>6461614.2666666666</v>
      </c>
      <c r="E73" s="29">
        <f t="shared" si="17"/>
        <v>5926187.7282051286</v>
      </c>
      <c r="F73" s="29">
        <f t="shared" si="17"/>
        <v>6353316.5230769226</v>
      </c>
      <c r="G73" s="29">
        <f t="shared" si="17"/>
        <v>5658252.8826530613</v>
      </c>
      <c r="H73" s="29">
        <f t="shared" si="17"/>
        <v>5228417.5076923082</v>
      </c>
      <c r="I73" s="29">
        <f t="shared" si="17"/>
        <v>5003601</v>
      </c>
      <c r="J73" s="29">
        <f t="shared" si="17"/>
        <v>4958678</v>
      </c>
      <c r="K73" s="29">
        <f t="shared" si="17"/>
        <v>5927679</v>
      </c>
      <c r="L73" s="29">
        <f t="shared" si="17"/>
        <v>6276362</v>
      </c>
      <c r="M73" s="29">
        <f t="shared" si="17"/>
        <v>7269591.276041666</v>
      </c>
      <c r="N73" s="29">
        <f t="shared" si="17"/>
        <v>6703326.260416666</v>
      </c>
      <c r="O73" s="29">
        <f t="shared" si="17"/>
        <v>6300703</v>
      </c>
      <c r="P73" s="39">
        <f>SUM(D73:O73)</f>
        <v>72067729.44475241</v>
      </c>
      <c r="Q73" s="180"/>
      <c r="R73" s="226"/>
      <c r="T73" s="135"/>
    </row>
    <row r="74" spans="2:21">
      <c r="B74" s="426">
        <v>66</v>
      </c>
      <c r="C74" s="41" t="s">
        <v>493</v>
      </c>
      <c r="D74" s="29">
        <f t="shared" si="17"/>
        <v>3834896.1435897439</v>
      </c>
      <c r="E74" s="29">
        <f t="shared" si="17"/>
        <v>3364982.7128205132</v>
      </c>
      <c r="F74" s="29">
        <f t="shared" si="17"/>
        <v>3398471.6769230771</v>
      </c>
      <c r="G74" s="29">
        <f t="shared" si="17"/>
        <v>3246218.6428571427</v>
      </c>
      <c r="H74" s="29">
        <f t="shared" si="17"/>
        <v>2644389.0051282053</v>
      </c>
      <c r="I74" s="29">
        <f t="shared" si="17"/>
        <v>2253301</v>
      </c>
      <c r="J74" s="29">
        <f t="shared" si="17"/>
        <v>2340069</v>
      </c>
      <c r="K74" s="29">
        <f t="shared" si="17"/>
        <v>3000967</v>
      </c>
      <c r="L74" s="29">
        <f t="shared" si="17"/>
        <v>2949735</v>
      </c>
      <c r="M74" s="29">
        <f t="shared" si="17"/>
        <v>3568755.963541667</v>
      </c>
      <c r="N74" s="29">
        <f t="shared" si="17"/>
        <v>3316153.140625</v>
      </c>
      <c r="O74" s="29">
        <f t="shared" si="17"/>
        <v>3263972</v>
      </c>
      <c r="P74" s="39">
        <f>SUM(D74:O74)</f>
        <v>37181911.28548535</v>
      </c>
      <c r="Q74" s="180"/>
      <c r="R74" s="135"/>
      <c r="T74" s="135"/>
    </row>
    <row r="75" spans="2:21">
      <c r="B75" s="426">
        <v>67</v>
      </c>
      <c r="C75" s="41" t="s">
        <v>494</v>
      </c>
      <c r="D75" s="29">
        <f t="shared" si="17"/>
        <v>53685139.312820517</v>
      </c>
      <c r="E75" s="29">
        <f t="shared" si="17"/>
        <v>43193451.466666669</v>
      </c>
      <c r="F75" s="29">
        <f t="shared" si="17"/>
        <v>60541141.656410255</v>
      </c>
      <c r="G75" s="29">
        <f t="shared" si="17"/>
        <v>53298799.255102046</v>
      </c>
      <c r="H75" s="29">
        <f t="shared" si="17"/>
        <v>21653158.933333334</v>
      </c>
      <c r="I75" s="29">
        <f t="shared" si="17"/>
        <v>26013762.000000004</v>
      </c>
      <c r="J75" s="29">
        <f t="shared" si="17"/>
        <v>57007254</v>
      </c>
      <c r="K75" s="29">
        <f t="shared" si="17"/>
        <v>64842601.999999993</v>
      </c>
      <c r="L75" s="29">
        <f t="shared" si="17"/>
        <v>67126855</v>
      </c>
      <c r="M75" s="29">
        <f t="shared" si="17"/>
        <v>64136160.713541672</v>
      </c>
      <c r="N75" s="29">
        <f t="shared" si="17"/>
        <v>65141923.921875</v>
      </c>
      <c r="O75" s="29">
        <f t="shared" si="17"/>
        <v>68383444</v>
      </c>
      <c r="P75" s="39">
        <f>SUM(D75:O75)</f>
        <v>645023692.25974941</v>
      </c>
      <c r="Q75" s="180"/>
    </row>
    <row r="76" spans="2:21">
      <c r="B76" s="426">
        <v>68</v>
      </c>
      <c r="C76" s="28" t="s">
        <v>495</v>
      </c>
      <c r="D76" s="29">
        <f>SUM(D72:D75)</f>
        <v>72733331.71794872</v>
      </c>
      <c r="E76" s="29">
        <f t="shared" ref="E76:O76" si="18">SUM(E72:E75)</f>
        <v>61152004.471794873</v>
      </c>
      <c r="F76" s="29">
        <f t="shared" si="18"/>
        <v>79073394.58461538</v>
      </c>
      <c r="G76" s="29">
        <f t="shared" si="18"/>
        <v>70214275.392857149</v>
      </c>
      <c r="H76" s="29">
        <f t="shared" si="18"/>
        <v>37157853.523076922</v>
      </c>
      <c r="I76" s="29">
        <f t="shared" si="18"/>
        <v>40867560</v>
      </c>
      <c r="J76" s="29">
        <f t="shared" si="18"/>
        <v>71703139</v>
      </c>
      <c r="K76" s="29">
        <f t="shared" si="18"/>
        <v>81641857</v>
      </c>
      <c r="L76" s="29">
        <f t="shared" si="18"/>
        <v>85129383</v>
      </c>
      <c r="M76" s="29">
        <f t="shared" si="18"/>
        <v>84384386.802083343</v>
      </c>
      <c r="N76" s="29">
        <f t="shared" si="18"/>
        <v>84341331.71875</v>
      </c>
      <c r="O76" s="29">
        <f t="shared" si="18"/>
        <v>86542553</v>
      </c>
      <c r="P76" s="39">
        <f>SUM(D76:O76)</f>
        <v>854941070.21112645</v>
      </c>
      <c r="Q76" s="135"/>
      <c r="R76" s="135"/>
    </row>
    <row r="77" spans="2:21" ht="15.75" thickBot="1">
      <c r="B77" s="426">
        <v>69</v>
      </c>
      <c r="C77" s="524"/>
      <c r="D77" s="524"/>
      <c r="E77" s="524"/>
      <c r="F77" s="524"/>
      <c r="G77" s="524"/>
      <c r="H77" s="524"/>
      <c r="I77" s="524"/>
      <c r="J77" s="524"/>
      <c r="K77" s="524"/>
      <c r="L77" s="524"/>
      <c r="M77" s="524"/>
      <c r="N77" s="524"/>
      <c r="O77" s="342"/>
      <c r="P77" s="341"/>
      <c r="Q77" s="135"/>
      <c r="R77" s="135"/>
    </row>
    <row r="79" spans="2:21">
      <c r="D79" s="135"/>
      <c r="E79" s="135"/>
      <c r="F79" s="135"/>
      <c r="G79" s="135"/>
      <c r="H79" s="135"/>
      <c r="I79" s="135"/>
      <c r="J79" s="135"/>
      <c r="K79" s="135"/>
      <c r="L79" s="135"/>
      <c r="M79" s="135"/>
      <c r="N79" s="135"/>
      <c r="O79" s="135"/>
      <c r="P79" s="135"/>
    </row>
    <row r="86" spans="4:15">
      <c r="D86" s="135"/>
      <c r="E86" s="135"/>
      <c r="F86" s="135"/>
      <c r="G86" s="135"/>
      <c r="H86" s="135"/>
      <c r="I86" s="135"/>
      <c r="J86" s="135"/>
      <c r="K86" s="135"/>
      <c r="L86" s="135"/>
      <c r="M86" s="135"/>
      <c r="N86" s="135"/>
      <c r="O86" s="135"/>
    </row>
    <row r="87" spans="4:15">
      <c r="D87" s="135"/>
      <c r="E87" s="135"/>
      <c r="F87" s="135"/>
      <c r="G87" s="135"/>
      <c r="H87" s="135"/>
      <c r="I87" s="135"/>
      <c r="J87" s="135"/>
      <c r="K87" s="135"/>
      <c r="L87" s="135"/>
      <c r="M87" s="135"/>
      <c r="N87" s="135"/>
      <c r="O87" s="135"/>
    </row>
    <row r="88" spans="4:15">
      <c r="D88" s="135"/>
      <c r="E88" s="135"/>
      <c r="F88" s="135"/>
      <c r="G88" s="135"/>
      <c r="H88" s="135"/>
      <c r="I88" s="135"/>
      <c r="J88" s="135"/>
      <c r="K88" s="135"/>
      <c r="L88" s="135"/>
      <c r="M88" s="135"/>
      <c r="N88" s="135"/>
      <c r="O88" s="135"/>
    </row>
    <row r="91" spans="4:15">
      <c r="D91" s="135"/>
      <c r="E91" s="135"/>
      <c r="F91" s="135"/>
      <c r="G91" s="135"/>
      <c r="H91" s="135"/>
      <c r="I91" s="135"/>
      <c r="J91" s="135"/>
      <c r="K91" s="135"/>
      <c r="L91" s="135"/>
      <c r="M91" s="135"/>
      <c r="N91" s="135"/>
      <c r="O91" s="135"/>
    </row>
    <row r="92" spans="4:15">
      <c r="D92" s="135"/>
      <c r="E92" s="135"/>
      <c r="F92" s="135"/>
      <c r="G92" s="135"/>
      <c r="H92" s="135"/>
      <c r="I92" s="135"/>
      <c r="J92" s="135"/>
      <c r="K92" s="135"/>
      <c r="L92" s="135"/>
      <c r="M92" s="135"/>
      <c r="N92" s="135"/>
      <c r="O92" s="135"/>
    </row>
    <row r="93" spans="4:15">
      <c r="D93" s="135"/>
      <c r="E93" s="135"/>
      <c r="F93" s="135"/>
      <c r="G93" s="135"/>
      <c r="H93" s="135"/>
      <c r="I93" s="135"/>
      <c r="J93" s="135"/>
      <c r="K93" s="135"/>
      <c r="L93" s="135"/>
      <c r="M93" s="135"/>
      <c r="N93" s="135"/>
      <c r="O93" s="135"/>
    </row>
  </sheetData>
  <mergeCells count="9">
    <mergeCell ref="C52:O52"/>
    <mergeCell ref="B8:O8"/>
    <mergeCell ref="P8:Q8"/>
    <mergeCell ref="B1:S1"/>
    <mergeCell ref="B3:S3"/>
    <mergeCell ref="B4:S4"/>
    <mergeCell ref="B5:S5"/>
    <mergeCell ref="B6:S6"/>
    <mergeCell ref="B2:S2"/>
  </mergeCells>
  <pageMargins left="0.7" right="0.7" top="0.75" bottom="0.75" header="0.3" footer="0.3"/>
  <pageSetup scale="29" fitToHeight="0" orientation="landscape" r:id="rId1"/>
  <headerFooter>
    <oddHeader>&amp;RPage &amp;P of &amp;N</oddHeader>
    <oddFooter>&amp;L&amp;A</oddFooter>
  </headerFooter>
  <rowBreaks count="1" manualBreakCount="1">
    <brk id="5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2556-041E-49E6-9DDF-61C2151CF3A5}">
  <sheetPr codeName="Sheet61"/>
  <dimension ref="A1:D204"/>
  <sheetViews>
    <sheetView view="pageBreakPreview" topLeftCell="A187" zoomScale="93" zoomScaleNormal="100" zoomScaleSheetLayoutView="93" workbookViewId="0">
      <selection activeCell="A9" sqref="A9"/>
    </sheetView>
  </sheetViews>
  <sheetFormatPr defaultRowHeight="15"/>
  <cols>
    <col min="1" max="1" width="9.140625" style="449"/>
    <col min="2" max="2" width="45.28515625" bestFit="1" customWidth="1"/>
    <col min="3" max="3" width="16.5703125" bestFit="1" customWidth="1"/>
    <col min="4" max="4" width="16.42578125" customWidth="1"/>
  </cols>
  <sheetData>
    <row r="1" spans="1:4">
      <c r="A1" s="1423" t="s">
        <v>2</v>
      </c>
      <c r="B1" s="1423"/>
      <c r="C1" s="1423"/>
      <c r="D1" s="644"/>
    </row>
    <row r="2" spans="1:4">
      <c r="A2" s="1423" t="s">
        <v>0</v>
      </c>
      <c r="B2" s="1423"/>
      <c r="C2" s="1423"/>
      <c r="D2" s="644"/>
    </row>
    <row r="3" spans="1:4">
      <c r="A3" s="1423" t="s">
        <v>5</v>
      </c>
      <c r="B3" s="1423"/>
      <c r="C3" s="1423"/>
      <c r="D3" s="644"/>
    </row>
    <row r="4" spans="1:4">
      <c r="A4" s="1423" t="s">
        <v>9</v>
      </c>
      <c r="B4" s="1423"/>
      <c r="C4" s="1423"/>
      <c r="D4" s="644"/>
    </row>
    <row r="5" spans="1:4">
      <c r="A5" s="1423" t="s">
        <v>235</v>
      </c>
      <c r="B5" s="1423"/>
      <c r="C5" s="1423"/>
      <c r="D5" s="644"/>
    </row>
    <row r="6" spans="1:4">
      <c r="A6" s="1423" t="s">
        <v>503</v>
      </c>
      <c r="B6" s="1423"/>
      <c r="C6" s="1423"/>
    </row>
    <row r="7" spans="1:4">
      <c r="A7" s="933"/>
      <c r="B7" s="933"/>
      <c r="C7" s="933"/>
    </row>
    <row r="8" spans="1:4">
      <c r="B8" s="706" t="s">
        <v>439</v>
      </c>
      <c r="C8" s="706" t="s">
        <v>208</v>
      </c>
    </row>
    <row r="9" spans="1:4">
      <c r="A9" s="531" t="s">
        <v>504</v>
      </c>
      <c r="B9" s="531" t="s">
        <v>505</v>
      </c>
      <c r="C9" s="531" t="s">
        <v>506</v>
      </c>
    </row>
    <row r="10" spans="1:4">
      <c r="A10" s="449">
        <v>1</v>
      </c>
      <c r="B10" s="449">
        <v>7068310389</v>
      </c>
      <c r="C10" s="362">
        <v>275</v>
      </c>
    </row>
    <row r="11" spans="1:4">
      <c r="A11" s="449">
        <v>2</v>
      </c>
      <c r="B11" s="449">
        <v>1928417040</v>
      </c>
      <c r="C11" s="362">
        <v>750</v>
      </c>
    </row>
    <row r="12" spans="1:4">
      <c r="A12" s="449">
        <v>3</v>
      </c>
      <c r="B12" s="449">
        <v>900000904</v>
      </c>
      <c r="C12" s="362">
        <v>0</v>
      </c>
    </row>
    <row r="13" spans="1:4">
      <c r="A13" s="449">
        <v>4</v>
      </c>
      <c r="B13" s="449">
        <v>3600000537</v>
      </c>
      <c r="C13" s="362">
        <v>4500</v>
      </c>
    </row>
    <row r="14" spans="1:4">
      <c r="A14" s="449">
        <v>5</v>
      </c>
      <c r="B14" s="449">
        <v>9020000156</v>
      </c>
      <c r="C14" s="362">
        <v>13750</v>
      </c>
    </row>
    <row r="15" spans="1:4">
      <c r="A15" s="449">
        <v>6</v>
      </c>
      <c r="B15" s="449">
        <v>9000000018</v>
      </c>
      <c r="C15" s="362">
        <v>24000</v>
      </c>
    </row>
    <row r="16" spans="1:4">
      <c r="A16" s="449">
        <v>7</v>
      </c>
      <c r="B16" s="449">
        <v>6984864813</v>
      </c>
      <c r="C16" s="362">
        <v>1400</v>
      </c>
    </row>
    <row r="17" spans="1:3">
      <c r="A17" s="449">
        <v>8</v>
      </c>
      <c r="B17" s="449">
        <v>8319700554</v>
      </c>
      <c r="C17" s="362">
        <v>1300</v>
      </c>
    </row>
    <row r="18" spans="1:3">
      <c r="A18" s="449">
        <v>9</v>
      </c>
      <c r="B18" s="449">
        <v>9200000163</v>
      </c>
      <c r="C18" s="362">
        <v>1300</v>
      </c>
    </row>
    <row r="19" spans="1:3">
      <c r="A19" s="449">
        <v>10</v>
      </c>
      <c r="B19" s="449">
        <v>300000869</v>
      </c>
      <c r="C19" s="362">
        <v>2100</v>
      </c>
    </row>
    <row r="20" spans="1:3">
      <c r="A20" s="449">
        <v>11</v>
      </c>
      <c r="B20" s="449">
        <v>4326200535</v>
      </c>
      <c r="C20" s="362">
        <v>500</v>
      </c>
    </row>
    <row r="21" spans="1:3">
      <c r="A21" s="449">
        <v>12</v>
      </c>
      <c r="B21" s="449">
        <v>8300000919</v>
      </c>
      <c r="C21" s="362">
        <v>4200</v>
      </c>
    </row>
    <row r="22" spans="1:3">
      <c r="A22" s="449">
        <v>13</v>
      </c>
      <c r="B22" s="449">
        <v>1400000159</v>
      </c>
      <c r="C22" s="362">
        <v>1500</v>
      </c>
    </row>
    <row r="23" spans="1:3">
      <c r="A23" s="449">
        <v>14</v>
      </c>
      <c r="B23" s="449">
        <v>3020000019</v>
      </c>
      <c r="C23" s="362">
        <v>5000</v>
      </c>
    </row>
    <row r="24" spans="1:3">
      <c r="A24" s="449">
        <v>15</v>
      </c>
      <c r="B24" s="449">
        <v>5000000359</v>
      </c>
      <c r="C24" s="362">
        <v>7000</v>
      </c>
    </row>
    <row r="25" spans="1:3">
      <c r="A25" s="449">
        <v>16</v>
      </c>
      <c r="B25" s="449">
        <v>5400000058</v>
      </c>
      <c r="C25" s="362">
        <v>2100</v>
      </c>
    </row>
    <row r="26" spans="1:3">
      <c r="A26" s="449">
        <v>17</v>
      </c>
      <c r="B26" s="449">
        <v>1300000508</v>
      </c>
      <c r="C26" s="362">
        <v>1350</v>
      </c>
    </row>
    <row r="27" spans="1:3">
      <c r="A27" s="449">
        <v>18</v>
      </c>
      <c r="B27" s="449">
        <v>4400000899</v>
      </c>
      <c r="C27" s="362">
        <v>1650</v>
      </c>
    </row>
    <row r="28" spans="1:3">
      <c r="A28" s="449">
        <v>19</v>
      </c>
      <c r="B28" s="449">
        <v>6586410563</v>
      </c>
      <c r="C28" s="362">
        <v>800</v>
      </c>
    </row>
    <row r="29" spans="1:3">
      <c r="A29" s="449">
        <v>20</v>
      </c>
      <c r="B29" s="449">
        <v>1914639333</v>
      </c>
      <c r="C29" s="362">
        <v>1500</v>
      </c>
    </row>
    <row r="30" spans="1:3">
      <c r="A30" s="449">
        <v>21</v>
      </c>
      <c r="B30" s="449">
        <v>9655820000</v>
      </c>
      <c r="C30" s="362">
        <v>225</v>
      </c>
    </row>
    <row r="31" spans="1:3">
      <c r="A31" s="449">
        <v>22</v>
      </c>
      <c r="B31" s="449">
        <v>7986710208</v>
      </c>
      <c r="C31" s="362">
        <v>425</v>
      </c>
    </row>
    <row r="32" spans="1:3">
      <c r="A32" s="449">
        <v>23</v>
      </c>
      <c r="B32" s="449">
        <v>5784244921</v>
      </c>
      <c r="C32" s="362">
        <v>150</v>
      </c>
    </row>
    <row r="33" spans="1:3">
      <c r="A33" s="449">
        <v>24</v>
      </c>
      <c r="B33" s="449">
        <v>743610830</v>
      </c>
      <c r="C33" s="362">
        <v>650</v>
      </c>
    </row>
    <row r="34" spans="1:3">
      <c r="A34" s="449">
        <v>25</v>
      </c>
      <c r="B34" s="449">
        <v>4020100437</v>
      </c>
      <c r="C34" s="362">
        <v>650</v>
      </c>
    </row>
    <row r="35" spans="1:3">
      <c r="A35" s="449">
        <v>26</v>
      </c>
      <c r="B35" s="449">
        <v>5737235378</v>
      </c>
      <c r="C35" s="362">
        <v>300</v>
      </c>
    </row>
    <row r="36" spans="1:3">
      <c r="A36" s="449">
        <v>27</v>
      </c>
      <c r="B36" s="449">
        <v>8946010419</v>
      </c>
      <c r="C36" s="362">
        <v>165</v>
      </c>
    </row>
    <row r="37" spans="1:3">
      <c r="A37" s="449">
        <v>28</v>
      </c>
      <c r="B37" s="449">
        <v>6196020992</v>
      </c>
      <c r="C37" s="362">
        <v>550</v>
      </c>
    </row>
    <row r="38" spans="1:3">
      <c r="A38" s="449">
        <v>29</v>
      </c>
      <c r="B38" s="449">
        <v>8848410977</v>
      </c>
      <c r="C38" s="362">
        <v>1600</v>
      </c>
    </row>
    <row r="39" spans="1:3">
      <c r="A39" s="449">
        <v>30</v>
      </c>
      <c r="B39" s="449">
        <v>5220000207</v>
      </c>
      <c r="C39" s="362">
        <v>5500</v>
      </c>
    </row>
    <row r="40" spans="1:3">
      <c r="A40" s="449">
        <v>31</v>
      </c>
      <c r="B40" s="449">
        <v>4300000580</v>
      </c>
      <c r="C40" s="362">
        <v>2000</v>
      </c>
    </row>
    <row r="41" spans="1:3">
      <c r="A41" s="449">
        <v>32</v>
      </c>
      <c r="B41" s="449">
        <v>5300000463</v>
      </c>
      <c r="C41" s="362">
        <v>2000</v>
      </c>
    </row>
    <row r="42" spans="1:3">
      <c r="A42" s="449">
        <v>33</v>
      </c>
      <c r="B42" s="449">
        <v>500000883</v>
      </c>
      <c r="C42" s="362">
        <v>1100</v>
      </c>
    </row>
    <row r="43" spans="1:3">
      <c r="A43" s="449">
        <v>34</v>
      </c>
      <c r="B43" s="449">
        <v>6400000897</v>
      </c>
      <c r="C43" s="362">
        <v>970</v>
      </c>
    </row>
    <row r="44" spans="1:3">
      <c r="A44" s="449">
        <v>35</v>
      </c>
      <c r="B44" s="449">
        <v>7900000377</v>
      </c>
      <c r="C44" s="362">
        <v>4000</v>
      </c>
    </row>
    <row r="45" spans="1:3">
      <c r="A45" s="449">
        <v>36</v>
      </c>
      <c r="B45" s="449">
        <v>3900000019</v>
      </c>
      <c r="C45" s="362">
        <v>3000</v>
      </c>
    </row>
    <row r="46" spans="1:3">
      <c r="A46" s="449">
        <v>37</v>
      </c>
      <c r="B46" s="449">
        <v>8500000826</v>
      </c>
      <c r="C46" s="362">
        <v>7000</v>
      </c>
    </row>
    <row r="47" spans="1:3">
      <c r="A47" s="449">
        <v>38</v>
      </c>
      <c r="B47" s="449">
        <v>1000000313</v>
      </c>
      <c r="C47" s="362">
        <v>1200</v>
      </c>
    </row>
    <row r="48" spans="1:3">
      <c r="A48" s="449">
        <v>39</v>
      </c>
      <c r="B48" s="449">
        <v>2510000459</v>
      </c>
      <c r="C48" s="362">
        <v>2000</v>
      </c>
    </row>
    <row r="49" spans="1:3">
      <c r="A49" s="449">
        <v>40</v>
      </c>
      <c r="B49" s="449">
        <v>8235510623</v>
      </c>
      <c r="C49" s="362">
        <v>5000</v>
      </c>
    </row>
    <row r="50" spans="1:3">
      <c r="A50" s="449">
        <v>41</v>
      </c>
      <c r="B50" s="449">
        <v>5020000469</v>
      </c>
      <c r="C50" s="362">
        <v>20000</v>
      </c>
    </row>
    <row r="51" spans="1:3">
      <c r="A51" s="449">
        <v>42</v>
      </c>
      <c r="B51" s="449">
        <v>9220000159</v>
      </c>
      <c r="C51" s="362">
        <v>2500</v>
      </c>
    </row>
    <row r="52" spans="1:3">
      <c r="A52" s="449">
        <v>43</v>
      </c>
      <c r="B52" s="449">
        <v>4387590580</v>
      </c>
      <c r="C52" s="362">
        <v>0</v>
      </c>
    </row>
    <row r="53" spans="1:3">
      <c r="A53" s="449">
        <v>44</v>
      </c>
      <c r="B53" s="449">
        <v>6828310100</v>
      </c>
      <c r="C53" s="362">
        <v>600</v>
      </c>
    </row>
    <row r="54" spans="1:3">
      <c r="A54" s="449">
        <v>45</v>
      </c>
      <c r="B54" s="449">
        <v>1369310256</v>
      </c>
      <c r="C54" s="362">
        <v>1000</v>
      </c>
    </row>
    <row r="55" spans="1:3">
      <c r="A55" s="449">
        <v>46</v>
      </c>
      <c r="B55" s="449">
        <v>7854900160</v>
      </c>
      <c r="C55" s="362">
        <v>550</v>
      </c>
    </row>
    <row r="56" spans="1:3">
      <c r="A56" s="449">
        <v>47</v>
      </c>
      <c r="B56" s="449">
        <v>6461448356</v>
      </c>
      <c r="C56" s="362">
        <v>8000</v>
      </c>
    </row>
    <row r="57" spans="1:3">
      <c r="A57" s="449">
        <v>48</v>
      </c>
      <c r="B57" s="449">
        <v>2600000557</v>
      </c>
      <c r="C57" s="362">
        <v>1050</v>
      </c>
    </row>
    <row r="58" spans="1:3">
      <c r="A58" s="449">
        <v>49</v>
      </c>
      <c r="B58" s="449">
        <v>731321468</v>
      </c>
      <c r="C58" s="362">
        <v>2000</v>
      </c>
    </row>
    <row r="59" spans="1:3">
      <c r="A59" s="449">
        <v>50</v>
      </c>
      <c r="B59" s="449">
        <v>5600000435</v>
      </c>
      <c r="C59" s="362">
        <v>700</v>
      </c>
    </row>
    <row r="60" spans="1:3">
      <c r="A60" s="449">
        <v>51</v>
      </c>
      <c r="B60" s="449">
        <v>6810000470</v>
      </c>
      <c r="C60" s="362">
        <v>4000</v>
      </c>
    </row>
    <row r="61" spans="1:3">
      <c r="A61" s="449">
        <v>52</v>
      </c>
      <c r="B61" s="449">
        <v>9984824228</v>
      </c>
      <c r="C61" s="362">
        <v>1900</v>
      </c>
    </row>
    <row r="62" spans="1:3">
      <c r="A62" s="449">
        <v>53</v>
      </c>
      <c r="B62" s="449">
        <v>7144100048</v>
      </c>
      <c r="C62" s="362">
        <v>320</v>
      </c>
    </row>
    <row r="63" spans="1:3">
      <c r="A63" s="449">
        <v>54</v>
      </c>
      <c r="B63" s="449">
        <v>8435081361</v>
      </c>
      <c r="C63" s="362">
        <v>235</v>
      </c>
    </row>
    <row r="64" spans="1:3">
      <c r="A64" s="449">
        <v>55</v>
      </c>
      <c r="B64" s="449">
        <v>4086545481</v>
      </c>
      <c r="C64" s="362">
        <v>25000</v>
      </c>
    </row>
    <row r="65" spans="1:3">
      <c r="A65" s="449">
        <v>56</v>
      </c>
      <c r="B65" s="449">
        <v>1110000354</v>
      </c>
      <c r="C65" s="362">
        <v>400000</v>
      </c>
    </row>
    <row r="66" spans="1:3">
      <c r="A66" s="449">
        <v>57</v>
      </c>
      <c r="B66" s="449">
        <v>3910000353</v>
      </c>
      <c r="C66" s="362">
        <v>155000</v>
      </c>
    </row>
    <row r="67" spans="1:3">
      <c r="A67" s="449">
        <v>58</v>
      </c>
      <c r="B67" s="449">
        <v>4828142855</v>
      </c>
      <c r="C67" s="362">
        <v>1275</v>
      </c>
    </row>
    <row r="68" spans="1:3">
      <c r="A68" s="449">
        <v>59</v>
      </c>
      <c r="B68" s="449">
        <v>5910000351</v>
      </c>
      <c r="C68" s="362">
        <v>34300</v>
      </c>
    </row>
    <row r="69" spans="1:3">
      <c r="A69" s="449">
        <v>60</v>
      </c>
      <c r="B69" s="449">
        <v>5700000165</v>
      </c>
      <c r="C69" s="362">
        <v>1100</v>
      </c>
    </row>
    <row r="70" spans="1:3">
      <c r="A70" s="449">
        <v>61</v>
      </c>
      <c r="B70" s="449">
        <v>6700000013</v>
      </c>
      <c r="C70" s="362">
        <v>5000</v>
      </c>
    </row>
    <row r="71" spans="1:3">
      <c r="A71" s="449">
        <v>62</v>
      </c>
      <c r="B71" s="449">
        <v>9700000957</v>
      </c>
      <c r="C71" s="362">
        <v>5700</v>
      </c>
    </row>
    <row r="72" spans="1:3">
      <c r="A72" s="449">
        <v>63</v>
      </c>
      <c r="B72" s="449">
        <v>320000530</v>
      </c>
      <c r="C72" s="362">
        <v>12000</v>
      </c>
    </row>
    <row r="73" spans="1:3">
      <c r="A73" s="449">
        <v>64</v>
      </c>
      <c r="B73" s="449">
        <v>4220000629</v>
      </c>
      <c r="C73" s="362">
        <v>4000</v>
      </c>
    </row>
    <row r="74" spans="1:3">
      <c r="A74" s="449">
        <v>65</v>
      </c>
      <c r="B74" s="449">
        <v>1800000361</v>
      </c>
      <c r="C74" s="362">
        <v>1010</v>
      </c>
    </row>
    <row r="75" spans="1:3">
      <c r="A75" s="449">
        <v>66</v>
      </c>
      <c r="B75" s="449">
        <v>7500000366</v>
      </c>
      <c r="C75" s="362">
        <v>30000</v>
      </c>
    </row>
    <row r="76" spans="1:3">
      <c r="A76" s="449">
        <v>67</v>
      </c>
      <c r="B76" s="449">
        <v>7477606709</v>
      </c>
      <c r="C76" s="362">
        <v>11830</v>
      </c>
    </row>
    <row r="77" spans="1:3">
      <c r="A77" s="449">
        <v>68</v>
      </c>
      <c r="B77" s="449">
        <v>1600000201</v>
      </c>
      <c r="C77" s="362">
        <v>2200</v>
      </c>
    </row>
    <row r="78" spans="1:3">
      <c r="A78" s="449">
        <v>69</v>
      </c>
      <c r="B78" s="449">
        <v>7800000387</v>
      </c>
      <c r="C78" s="362">
        <v>2700</v>
      </c>
    </row>
    <row r="79" spans="1:3">
      <c r="A79" s="449">
        <v>70</v>
      </c>
      <c r="B79" s="449">
        <v>4010000981</v>
      </c>
      <c r="C79" s="362">
        <v>200000</v>
      </c>
    </row>
    <row r="80" spans="1:3">
      <c r="A80" s="449">
        <v>71</v>
      </c>
      <c r="B80" s="449">
        <v>1900000023</v>
      </c>
      <c r="C80" s="362">
        <v>7000</v>
      </c>
    </row>
    <row r="81" spans="1:3">
      <c r="A81" s="449">
        <v>72</v>
      </c>
      <c r="B81" s="449">
        <v>1100000971</v>
      </c>
      <c r="C81" s="362">
        <v>0</v>
      </c>
    </row>
    <row r="82" spans="1:3">
      <c r="A82" s="449">
        <v>73</v>
      </c>
      <c r="B82" s="449">
        <v>5900000958</v>
      </c>
      <c r="C82" s="362">
        <v>10000</v>
      </c>
    </row>
    <row r="83" spans="1:3">
      <c r="A83" s="449">
        <v>74</v>
      </c>
      <c r="B83" s="449">
        <v>4746143109</v>
      </c>
      <c r="C83" s="362">
        <v>20000</v>
      </c>
    </row>
    <row r="84" spans="1:3">
      <c r="A84" s="449">
        <v>75</v>
      </c>
      <c r="B84" s="449">
        <v>9900000350</v>
      </c>
      <c r="C84" s="362">
        <v>23000</v>
      </c>
    </row>
    <row r="85" spans="1:3">
      <c r="A85" s="449">
        <v>76</v>
      </c>
      <c r="B85" s="449">
        <v>1010000527</v>
      </c>
      <c r="C85" s="362">
        <v>35000</v>
      </c>
    </row>
    <row r="86" spans="1:3">
      <c r="A86" s="449">
        <v>77</v>
      </c>
      <c r="B86" s="449">
        <v>9410000721</v>
      </c>
      <c r="C86" s="362">
        <v>2800</v>
      </c>
    </row>
    <row r="87" spans="1:3">
      <c r="A87" s="449">
        <v>78</v>
      </c>
      <c r="B87" s="449">
        <v>5010000059</v>
      </c>
      <c r="C87" s="362">
        <v>4800</v>
      </c>
    </row>
    <row r="88" spans="1:3">
      <c r="A88" s="449">
        <v>79</v>
      </c>
      <c r="B88" s="449">
        <v>8310000017</v>
      </c>
      <c r="C88" s="362">
        <v>800</v>
      </c>
    </row>
    <row r="89" spans="1:3">
      <c r="A89" s="449">
        <v>80</v>
      </c>
      <c r="B89" s="449">
        <v>9610000352</v>
      </c>
      <c r="C89" s="362">
        <v>170000</v>
      </c>
    </row>
    <row r="90" spans="1:3">
      <c r="A90" s="449">
        <v>81</v>
      </c>
      <c r="B90" s="449">
        <v>2110000689</v>
      </c>
      <c r="C90" s="362">
        <v>1600</v>
      </c>
    </row>
    <row r="91" spans="1:3">
      <c r="A91" s="449">
        <v>82</v>
      </c>
      <c r="B91" s="449">
        <v>400000373</v>
      </c>
      <c r="C91" s="362">
        <v>27500</v>
      </c>
    </row>
    <row r="92" spans="1:3">
      <c r="A92" s="449">
        <v>83</v>
      </c>
      <c r="B92" s="449">
        <v>3198768982</v>
      </c>
      <c r="C92" s="362">
        <v>22500</v>
      </c>
    </row>
    <row r="93" spans="1:3">
      <c r="A93" s="449">
        <v>84</v>
      </c>
      <c r="B93" s="449">
        <v>3610000697</v>
      </c>
      <c r="C93" s="362">
        <v>0</v>
      </c>
    </row>
    <row r="94" spans="1:3">
      <c r="A94" s="449">
        <v>85</v>
      </c>
      <c r="B94" s="449">
        <v>3110000168</v>
      </c>
      <c r="C94" s="362">
        <v>5500</v>
      </c>
    </row>
    <row r="95" spans="1:3">
      <c r="A95" s="449">
        <v>86</v>
      </c>
      <c r="B95" s="449">
        <v>4900000464</v>
      </c>
      <c r="C95" s="362">
        <v>18000</v>
      </c>
    </row>
    <row r="96" spans="1:3">
      <c r="A96" s="449">
        <v>87</v>
      </c>
      <c r="B96" s="449">
        <v>6738890002</v>
      </c>
      <c r="C96" s="362">
        <v>2000</v>
      </c>
    </row>
    <row r="97" spans="1:3">
      <c r="A97" s="449">
        <v>88</v>
      </c>
      <c r="B97" s="449">
        <v>210000834</v>
      </c>
      <c r="C97" s="362">
        <v>1500</v>
      </c>
    </row>
    <row r="98" spans="1:3">
      <c r="A98" s="449">
        <v>89</v>
      </c>
      <c r="B98" s="449">
        <v>1210000833</v>
      </c>
      <c r="C98" s="362">
        <v>4500</v>
      </c>
    </row>
    <row r="99" spans="1:3">
      <c r="A99" s="449">
        <v>90</v>
      </c>
      <c r="B99" s="449">
        <v>6233220262</v>
      </c>
      <c r="C99" s="362">
        <v>500</v>
      </c>
    </row>
    <row r="100" spans="1:3">
      <c r="A100" s="449">
        <v>91</v>
      </c>
      <c r="B100" s="449">
        <v>2266920000</v>
      </c>
      <c r="C100" s="362">
        <v>2000</v>
      </c>
    </row>
    <row r="101" spans="1:3">
      <c r="A101" s="449">
        <v>92</v>
      </c>
      <c r="B101" s="449">
        <v>6910000702</v>
      </c>
      <c r="C101" s="362">
        <v>2000</v>
      </c>
    </row>
    <row r="102" spans="1:3">
      <c r="A102" s="449">
        <v>93</v>
      </c>
      <c r="B102" s="449">
        <v>6210000974</v>
      </c>
      <c r="C102" s="362">
        <v>4800</v>
      </c>
    </row>
    <row r="103" spans="1:3">
      <c r="A103" s="449">
        <v>94</v>
      </c>
      <c r="B103" s="449">
        <v>5210000984</v>
      </c>
      <c r="C103" s="362">
        <v>1200</v>
      </c>
    </row>
    <row r="104" spans="1:3">
      <c r="A104" s="449">
        <v>95</v>
      </c>
      <c r="B104" s="449">
        <v>2800000572</v>
      </c>
      <c r="C104" s="362">
        <v>2000</v>
      </c>
    </row>
    <row r="105" spans="1:3">
      <c r="A105" s="449">
        <v>96</v>
      </c>
      <c r="B105" s="449">
        <v>6110000969</v>
      </c>
      <c r="C105" s="362">
        <v>7000</v>
      </c>
    </row>
    <row r="106" spans="1:3">
      <c r="A106" s="449">
        <v>97</v>
      </c>
      <c r="B106" s="449">
        <v>2310000926</v>
      </c>
      <c r="C106" s="362">
        <v>1150</v>
      </c>
    </row>
    <row r="107" spans="1:3">
      <c r="A107" s="449">
        <v>98</v>
      </c>
      <c r="B107" s="449">
        <v>4310000068</v>
      </c>
      <c r="C107" s="362">
        <v>3000</v>
      </c>
    </row>
    <row r="108" spans="1:3">
      <c r="A108" s="449">
        <v>99</v>
      </c>
      <c r="B108" s="449">
        <v>3310000550</v>
      </c>
      <c r="C108" s="362">
        <v>2700</v>
      </c>
    </row>
    <row r="109" spans="1:3">
      <c r="A109" s="449">
        <v>100</v>
      </c>
      <c r="B109" s="449">
        <v>6000000124</v>
      </c>
      <c r="C109" s="362">
        <v>7000</v>
      </c>
    </row>
    <row r="110" spans="1:3">
      <c r="A110" s="449">
        <v>101</v>
      </c>
      <c r="B110" s="449">
        <v>6310000614</v>
      </c>
      <c r="C110" s="362">
        <v>7000</v>
      </c>
    </row>
    <row r="111" spans="1:3">
      <c r="A111" s="449">
        <v>102</v>
      </c>
      <c r="B111" s="449">
        <v>3346710770</v>
      </c>
      <c r="C111" s="362">
        <v>800</v>
      </c>
    </row>
    <row r="112" spans="1:3">
      <c r="A112" s="449">
        <v>103</v>
      </c>
      <c r="B112" s="449">
        <v>1067720000</v>
      </c>
      <c r="C112" s="362">
        <v>9000</v>
      </c>
    </row>
    <row r="113" spans="1:3">
      <c r="A113" s="449">
        <v>104</v>
      </c>
      <c r="B113" s="449">
        <v>8020000338</v>
      </c>
      <c r="C113" s="362">
        <v>0</v>
      </c>
    </row>
    <row r="114" spans="1:3">
      <c r="A114" s="449">
        <v>105</v>
      </c>
      <c r="B114" s="449">
        <v>3410000187</v>
      </c>
      <c r="C114" s="362">
        <v>2800</v>
      </c>
    </row>
    <row r="115" spans="1:3">
      <c r="A115" s="449">
        <v>106</v>
      </c>
      <c r="B115" s="449">
        <v>6228539244</v>
      </c>
      <c r="C115" s="362">
        <v>8840</v>
      </c>
    </row>
    <row r="116" spans="1:3">
      <c r="A116" s="449">
        <v>107</v>
      </c>
      <c r="B116" s="449">
        <v>710000219</v>
      </c>
      <c r="C116" s="362">
        <v>0</v>
      </c>
    </row>
    <row r="117" spans="1:3">
      <c r="A117" s="449">
        <v>108</v>
      </c>
      <c r="B117" s="449">
        <v>4020000863</v>
      </c>
      <c r="C117" s="362">
        <v>1500</v>
      </c>
    </row>
    <row r="118" spans="1:3">
      <c r="A118" s="449">
        <v>109</v>
      </c>
      <c r="B118" s="449">
        <v>510000329</v>
      </c>
      <c r="C118" s="362">
        <v>3000</v>
      </c>
    </row>
    <row r="119" spans="1:3">
      <c r="A119" s="449">
        <v>110</v>
      </c>
      <c r="B119" s="449">
        <v>5410000362</v>
      </c>
      <c r="C119" s="362">
        <v>1800</v>
      </c>
    </row>
    <row r="120" spans="1:3">
      <c r="A120" s="449">
        <v>111</v>
      </c>
      <c r="B120" s="449">
        <v>6410000365</v>
      </c>
      <c r="C120" s="362">
        <v>3000</v>
      </c>
    </row>
    <row r="121" spans="1:3">
      <c r="A121" s="449">
        <v>112</v>
      </c>
      <c r="B121" s="449">
        <v>6068310392</v>
      </c>
      <c r="C121" s="362">
        <v>900</v>
      </c>
    </row>
    <row r="122" spans="1:3">
      <c r="A122" s="449">
        <v>113</v>
      </c>
      <c r="B122" s="449">
        <v>2130303219</v>
      </c>
      <c r="C122" s="362">
        <v>1700</v>
      </c>
    </row>
    <row r="123" spans="1:3">
      <c r="A123" s="449">
        <v>114</v>
      </c>
      <c r="B123" s="449">
        <v>7200000151</v>
      </c>
      <c r="C123" s="362">
        <v>100000</v>
      </c>
    </row>
    <row r="124" spans="1:3">
      <c r="A124" s="449">
        <v>115</v>
      </c>
      <c r="B124" s="449">
        <v>8210000534</v>
      </c>
      <c r="C124" s="362">
        <v>8100</v>
      </c>
    </row>
    <row r="125" spans="1:3">
      <c r="A125" s="449">
        <v>116</v>
      </c>
      <c r="B125" s="449">
        <v>2120000956</v>
      </c>
      <c r="C125" s="362">
        <v>575</v>
      </c>
    </row>
    <row r="126" spans="1:3">
      <c r="A126" s="449">
        <v>117</v>
      </c>
      <c r="B126" s="449">
        <v>4110000181</v>
      </c>
      <c r="C126" s="362">
        <v>520000</v>
      </c>
    </row>
    <row r="127" spans="1:3">
      <c r="A127" s="449">
        <v>118</v>
      </c>
      <c r="B127" s="449">
        <v>1910000149</v>
      </c>
      <c r="C127" s="362">
        <v>520000</v>
      </c>
    </row>
    <row r="128" spans="1:3">
      <c r="A128" s="449">
        <v>119</v>
      </c>
      <c r="B128" s="449">
        <v>5510000020</v>
      </c>
      <c r="C128" s="362">
        <v>360000</v>
      </c>
    </row>
    <row r="129" spans="1:3">
      <c r="A129" s="449">
        <v>120</v>
      </c>
      <c r="B129" s="449">
        <v>4911174214</v>
      </c>
      <c r="C129" s="362">
        <v>1135</v>
      </c>
    </row>
    <row r="130" spans="1:3">
      <c r="A130" s="449">
        <v>121</v>
      </c>
      <c r="B130" s="449">
        <v>4710000972</v>
      </c>
      <c r="C130" s="362">
        <v>90000</v>
      </c>
    </row>
    <row r="131" spans="1:3">
      <c r="A131" s="449">
        <v>122</v>
      </c>
      <c r="B131" s="449">
        <v>800000648</v>
      </c>
      <c r="C131" s="362">
        <v>7000</v>
      </c>
    </row>
    <row r="132" spans="1:3">
      <c r="A132" s="449">
        <v>123</v>
      </c>
      <c r="B132" s="449">
        <v>1808120643</v>
      </c>
      <c r="C132" s="362">
        <v>250</v>
      </c>
    </row>
    <row r="133" spans="1:3">
      <c r="A133" s="449">
        <v>124</v>
      </c>
      <c r="B133" s="449">
        <v>1444662559</v>
      </c>
      <c r="C133" s="362">
        <v>23000</v>
      </c>
    </row>
    <row r="134" spans="1:3">
      <c r="A134" s="449">
        <v>125</v>
      </c>
      <c r="B134" s="449">
        <v>5781610189</v>
      </c>
      <c r="C134" s="362">
        <v>1000</v>
      </c>
    </row>
    <row r="135" spans="1:3">
      <c r="A135" s="449">
        <v>126</v>
      </c>
      <c r="B135" s="449">
        <v>8510000731</v>
      </c>
      <c r="C135" s="362">
        <v>5000</v>
      </c>
    </row>
    <row r="136" spans="1:3">
      <c r="A136" s="449">
        <v>127</v>
      </c>
      <c r="B136" s="449">
        <v>9510000780</v>
      </c>
      <c r="C136" s="362">
        <v>5000</v>
      </c>
    </row>
    <row r="137" spans="1:3">
      <c r="A137" s="449">
        <v>128</v>
      </c>
      <c r="B137" s="449">
        <v>610000751</v>
      </c>
      <c r="C137" s="362">
        <v>3000</v>
      </c>
    </row>
    <row r="138" spans="1:3">
      <c r="A138" s="449">
        <v>129</v>
      </c>
      <c r="B138" s="449">
        <v>2610000096</v>
      </c>
      <c r="C138" s="362">
        <v>1900</v>
      </c>
    </row>
    <row r="139" spans="1:3">
      <c r="A139" s="449">
        <v>130</v>
      </c>
      <c r="B139" s="449">
        <v>1125400289</v>
      </c>
      <c r="C139" s="362">
        <v>2200</v>
      </c>
    </row>
    <row r="140" spans="1:3">
      <c r="A140" s="449">
        <v>131</v>
      </c>
      <c r="B140" s="449">
        <v>7637300910</v>
      </c>
      <c r="C140" s="362">
        <v>400</v>
      </c>
    </row>
    <row r="141" spans="1:3">
      <c r="A141" s="449">
        <v>132</v>
      </c>
      <c r="B141" s="449">
        <v>6069510845</v>
      </c>
      <c r="C141" s="362">
        <v>1200</v>
      </c>
    </row>
    <row r="142" spans="1:3">
      <c r="A142" s="449">
        <v>133</v>
      </c>
      <c r="B142" s="449">
        <v>700000819</v>
      </c>
      <c r="C142" s="362">
        <v>1000</v>
      </c>
    </row>
    <row r="143" spans="1:3">
      <c r="A143" s="449">
        <v>134</v>
      </c>
      <c r="B143" s="449">
        <v>5610000198</v>
      </c>
      <c r="C143" s="362">
        <v>3300</v>
      </c>
    </row>
    <row r="144" spans="1:3">
      <c r="A144" s="449">
        <v>135</v>
      </c>
      <c r="B144" s="449">
        <v>7429080896</v>
      </c>
      <c r="C144" s="362">
        <v>2400</v>
      </c>
    </row>
    <row r="145" spans="1:3">
      <c r="A145" s="449">
        <v>136</v>
      </c>
      <c r="B145" s="449">
        <v>8595200311</v>
      </c>
      <c r="C145" s="362">
        <v>5000</v>
      </c>
    </row>
    <row r="146" spans="1:3">
      <c r="A146" s="449">
        <v>137</v>
      </c>
      <c r="B146" s="449">
        <v>5236058707</v>
      </c>
      <c r="C146" s="362">
        <v>850</v>
      </c>
    </row>
    <row r="147" spans="1:3">
      <c r="A147" s="449">
        <v>138</v>
      </c>
      <c r="B147" s="449">
        <v>8200000240</v>
      </c>
      <c r="C147" s="362">
        <v>7000</v>
      </c>
    </row>
    <row r="148" spans="1:3">
      <c r="A148" s="449">
        <v>139</v>
      </c>
      <c r="B148" s="449">
        <v>7596200071</v>
      </c>
      <c r="C148" s="362">
        <v>400</v>
      </c>
    </row>
    <row r="149" spans="1:3">
      <c r="A149" s="449">
        <v>140</v>
      </c>
      <c r="B149" s="449">
        <v>1710000911</v>
      </c>
      <c r="C149" s="362">
        <v>3200</v>
      </c>
    </row>
    <row r="150" spans="1:3">
      <c r="A150" s="449">
        <v>141</v>
      </c>
      <c r="B150" s="449">
        <v>3437511974</v>
      </c>
      <c r="C150" s="362">
        <v>34000</v>
      </c>
    </row>
    <row r="151" spans="1:3">
      <c r="A151" s="449">
        <v>142</v>
      </c>
      <c r="B151" s="449">
        <v>4610000815</v>
      </c>
      <c r="C151" s="362">
        <v>1500</v>
      </c>
    </row>
    <row r="152" spans="1:3">
      <c r="A152" s="449">
        <v>143</v>
      </c>
      <c r="B152" s="449">
        <v>2810000025</v>
      </c>
      <c r="C152" s="362">
        <v>3000</v>
      </c>
    </row>
    <row r="153" spans="1:3">
      <c r="A153" s="449">
        <v>144</v>
      </c>
      <c r="B153" s="449">
        <v>9710000983</v>
      </c>
      <c r="C153" s="362">
        <v>2500</v>
      </c>
    </row>
    <row r="154" spans="1:3">
      <c r="A154" s="449">
        <v>145</v>
      </c>
      <c r="B154" s="449">
        <v>1810000416</v>
      </c>
      <c r="C154" s="362">
        <v>3000</v>
      </c>
    </row>
    <row r="155" spans="1:3">
      <c r="A155" s="449">
        <v>146</v>
      </c>
      <c r="B155" s="449">
        <v>4200000912</v>
      </c>
      <c r="C155" s="362">
        <v>20000</v>
      </c>
    </row>
    <row r="156" spans="1:3">
      <c r="A156" s="449">
        <v>147</v>
      </c>
      <c r="B156" s="449">
        <v>3810000020</v>
      </c>
      <c r="C156" s="362">
        <v>1500</v>
      </c>
    </row>
    <row r="157" spans="1:3">
      <c r="A157" s="449">
        <v>148</v>
      </c>
      <c r="B157" s="449">
        <v>2780020018</v>
      </c>
      <c r="C157" s="362">
        <v>750</v>
      </c>
    </row>
    <row r="158" spans="1:3">
      <c r="A158" s="449">
        <v>149</v>
      </c>
      <c r="B158" s="449">
        <v>4810000378</v>
      </c>
      <c r="C158" s="362">
        <v>1400</v>
      </c>
    </row>
    <row r="159" spans="1:3">
      <c r="A159" s="449">
        <v>150</v>
      </c>
      <c r="B159" s="449">
        <v>310000058</v>
      </c>
      <c r="C159" s="362">
        <v>6500</v>
      </c>
    </row>
    <row r="160" spans="1:3">
      <c r="A160" s="449">
        <v>151</v>
      </c>
      <c r="B160" s="449">
        <v>2700000476</v>
      </c>
      <c r="C160" s="362">
        <v>4000</v>
      </c>
    </row>
    <row r="161" spans="1:3">
      <c r="A161" s="449">
        <v>152</v>
      </c>
      <c r="B161" s="449">
        <v>7810000376</v>
      </c>
      <c r="C161" s="362">
        <v>3000</v>
      </c>
    </row>
    <row r="162" spans="1:3">
      <c r="A162" s="449">
        <v>153</v>
      </c>
      <c r="B162" s="449">
        <v>9810000245</v>
      </c>
      <c r="C162" s="362">
        <v>10000</v>
      </c>
    </row>
    <row r="163" spans="1:3">
      <c r="A163" s="449">
        <v>154</v>
      </c>
      <c r="B163" s="449">
        <v>2420510364</v>
      </c>
      <c r="C163" s="362">
        <v>0</v>
      </c>
    </row>
    <row r="164" spans="1:3">
      <c r="A164" s="449">
        <v>155</v>
      </c>
      <c r="B164" s="449">
        <v>1555161889</v>
      </c>
      <c r="C164" s="362">
        <v>3200</v>
      </c>
    </row>
    <row r="165" spans="1:3">
      <c r="A165" s="449">
        <v>156</v>
      </c>
      <c r="B165" s="449">
        <v>2910000098</v>
      </c>
      <c r="C165" s="362">
        <v>1600</v>
      </c>
    </row>
    <row r="166" spans="1:3">
      <c r="A166" s="449">
        <v>157</v>
      </c>
      <c r="B166" s="449">
        <v>2210000624</v>
      </c>
      <c r="C166" s="362">
        <v>11000</v>
      </c>
    </row>
    <row r="167" spans="1:3">
      <c r="A167" s="449">
        <v>158</v>
      </c>
      <c r="B167" s="449">
        <v>4910000437</v>
      </c>
      <c r="C167" s="362">
        <v>1600</v>
      </c>
    </row>
    <row r="168" spans="1:3">
      <c r="A168" s="449">
        <v>159</v>
      </c>
      <c r="B168" s="449">
        <v>6610000468</v>
      </c>
      <c r="C168" s="362">
        <v>22000</v>
      </c>
    </row>
    <row r="169" spans="1:3">
      <c r="A169" s="449">
        <v>160</v>
      </c>
      <c r="B169" s="449">
        <v>2400000900</v>
      </c>
      <c r="C169" s="362">
        <v>1500</v>
      </c>
    </row>
    <row r="170" spans="1:3">
      <c r="A170" s="449">
        <v>161</v>
      </c>
      <c r="B170" s="449">
        <v>7910000482</v>
      </c>
      <c r="C170" s="362">
        <v>11500</v>
      </c>
    </row>
    <row r="171" spans="1:3">
      <c r="A171" s="449">
        <v>162</v>
      </c>
      <c r="B171" s="449">
        <v>8910000483</v>
      </c>
      <c r="C171" s="362">
        <v>9500</v>
      </c>
    </row>
    <row r="172" spans="1:3">
      <c r="A172" s="449">
        <v>163</v>
      </c>
      <c r="B172" s="449">
        <v>736875031</v>
      </c>
      <c r="C172" s="362">
        <v>12000</v>
      </c>
    </row>
    <row r="173" spans="1:3">
      <c r="A173" s="449">
        <v>164</v>
      </c>
      <c r="B173" s="449">
        <v>1020000374</v>
      </c>
      <c r="C173" s="362">
        <v>2700</v>
      </c>
    </row>
    <row r="174" spans="1:3">
      <c r="A174" s="449">
        <v>165</v>
      </c>
      <c r="B174" s="449">
        <v>20000236</v>
      </c>
      <c r="C174" s="362">
        <v>8000</v>
      </c>
    </row>
    <row r="175" spans="1:3">
      <c r="A175" s="449">
        <v>166</v>
      </c>
      <c r="B175" s="449">
        <v>9400000204</v>
      </c>
      <c r="C175" s="362">
        <v>20000</v>
      </c>
    </row>
    <row r="176" spans="1:3">
      <c r="A176" s="449">
        <v>167</v>
      </c>
      <c r="B176" s="449">
        <v>4473810399</v>
      </c>
      <c r="C176" s="362">
        <v>600</v>
      </c>
    </row>
    <row r="177" spans="1:3">
      <c r="A177" s="449">
        <v>168</v>
      </c>
      <c r="B177" s="449">
        <v>7100000675</v>
      </c>
      <c r="C177" s="362">
        <v>6000</v>
      </c>
    </row>
    <row r="178" spans="1:3">
      <c r="A178" s="449">
        <v>169</v>
      </c>
      <c r="B178" s="449">
        <v>9238259004</v>
      </c>
      <c r="C178" s="362">
        <v>2500</v>
      </c>
    </row>
    <row r="179" spans="1:3">
      <c r="A179" s="449">
        <v>170</v>
      </c>
      <c r="B179" s="449">
        <v>7210000356</v>
      </c>
      <c r="C179" s="362">
        <v>8000</v>
      </c>
    </row>
    <row r="180" spans="1:3">
      <c r="A180" s="449">
        <v>171</v>
      </c>
      <c r="B180" s="449">
        <v>3510000473</v>
      </c>
      <c r="C180" s="362">
        <v>48000</v>
      </c>
    </row>
    <row r="181" spans="1:3">
      <c r="A181" s="449">
        <v>172</v>
      </c>
      <c r="B181" s="449">
        <v>9210000141</v>
      </c>
      <c r="C181" s="362">
        <v>19000</v>
      </c>
    </row>
    <row r="182" spans="1:3">
      <c r="A182" s="449">
        <v>173</v>
      </c>
      <c r="B182" s="449">
        <v>100000070</v>
      </c>
      <c r="C182" s="362">
        <v>14000</v>
      </c>
    </row>
    <row r="183" spans="1:3">
      <c r="A183" s="449">
        <v>174</v>
      </c>
      <c r="B183" s="449">
        <v>6020000157</v>
      </c>
      <c r="C183" s="362">
        <v>0</v>
      </c>
    </row>
    <row r="184" spans="1:3">
      <c r="A184" s="449">
        <v>175</v>
      </c>
      <c r="B184" s="449">
        <v>7020000798</v>
      </c>
      <c r="C184" s="362">
        <v>0</v>
      </c>
    </row>
    <row r="185" spans="1:3">
      <c r="A185" s="449">
        <v>176</v>
      </c>
      <c r="B185" s="449">
        <v>1120000542</v>
      </c>
      <c r="C185" s="362">
        <v>5000</v>
      </c>
    </row>
    <row r="186" spans="1:3">
      <c r="A186" s="449">
        <v>177</v>
      </c>
      <c r="B186" s="449">
        <v>4120000564</v>
      </c>
      <c r="C186" s="362">
        <v>5000</v>
      </c>
    </row>
    <row r="187" spans="1:3">
      <c r="A187" s="449">
        <v>178</v>
      </c>
      <c r="B187" s="449">
        <v>5120000588</v>
      </c>
      <c r="C187" s="362">
        <v>3000</v>
      </c>
    </row>
    <row r="188" spans="1:3">
      <c r="A188" s="449">
        <v>179</v>
      </c>
      <c r="B188" s="449">
        <v>7120000874</v>
      </c>
      <c r="C188" s="362">
        <v>5100</v>
      </c>
    </row>
    <row r="189" spans="1:3">
      <c r="A189" s="449">
        <v>180</v>
      </c>
      <c r="B189" s="449">
        <v>1684393959</v>
      </c>
      <c r="C189" s="362">
        <v>1900</v>
      </c>
    </row>
    <row r="190" spans="1:3">
      <c r="A190" s="449">
        <v>181</v>
      </c>
      <c r="B190" s="449">
        <v>2905437730</v>
      </c>
      <c r="C190" s="362">
        <v>3200</v>
      </c>
    </row>
    <row r="191" spans="1:3">
      <c r="A191" s="449">
        <v>182</v>
      </c>
      <c r="B191" s="449">
        <v>1220000468</v>
      </c>
      <c r="C191" s="362">
        <v>2600</v>
      </c>
    </row>
    <row r="192" spans="1:3">
      <c r="A192" s="449">
        <v>183</v>
      </c>
      <c r="B192" s="449">
        <v>2220000622</v>
      </c>
      <c r="C192" s="362">
        <v>13000</v>
      </c>
    </row>
    <row r="193" spans="1:3">
      <c r="A193" s="449">
        <v>184</v>
      </c>
      <c r="B193" s="449">
        <v>2815707935</v>
      </c>
      <c r="C193" s="362">
        <v>0</v>
      </c>
    </row>
    <row r="194" spans="1:3">
      <c r="A194" s="449">
        <v>185</v>
      </c>
      <c r="B194" s="449">
        <v>8110000024</v>
      </c>
      <c r="C194" s="362">
        <v>1600</v>
      </c>
    </row>
    <row r="195" spans="1:3">
      <c r="A195" s="449">
        <v>186</v>
      </c>
      <c r="B195" s="449">
        <v>3220000628</v>
      </c>
      <c r="C195" s="521">
        <v>18000</v>
      </c>
    </row>
    <row r="196" spans="1:3">
      <c r="A196" s="449">
        <v>187</v>
      </c>
      <c r="B196" s="449">
        <v>8220000912</v>
      </c>
      <c r="C196" s="521">
        <v>4000</v>
      </c>
    </row>
    <row r="197" spans="1:3">
      <c r="A197" s="449">
        <v>188</v>
      </c>
      <c r="B197" s="449">
        <v>8060572929</v>
      </c>
      <c r="C197" s="521">
        <v>5000</v>
      </c>
    </row>
    <row r="198" spans="1:3">
      <c r="A198" s="449">
        <v>189</v>
      </c>
      <c r="B198" s="449">
        <v>8080529692</v>
      </c>
      <c r="C198" s="521">
        <v>3800</v>
      </c>
    </row>
    <row r="199" spans="1:3">
      <c r="A199" s="449">
        <v>190</v>
      </c>
      <c r="B199" s="449">
        <v>5333510891</v>
      </c>
      <c r="C199" s="521">
        <v>500</v>
      </c>
    </row>
    <row r="200" spans="1:3">
      <c r="A200" s="449">
        <v>191</v>
      </c>
      <c r="B200" s="449">
        <v>2320000627</v>
      </c>
      <c r="C200" s="521">
        <v>12000</v>
      </c>
    </row>
    <row r="201" spans="1:3">
      <c r="A201" s="449">
        <v>192</v>
      </c>
      <c r="B201" s="449">
        <v>3320000361</v>
      </c>
      <c r="C201" s="547">
        <v>2500</v>
      </c>
    </row>
    <row r="202" spans="1:3">
      <c r="A202" s="449">
        <v>193</v>
      </c>
      <c r="B202" t="s">
        <v>507</v>
      </c>
      <c r="C202" s="362">
        <f>SUM(C10:C201)</f>
        <v>3530580</v>
      </c>
    </row>
    <row r="204" spans="1:3">
      <c r="C204" s="522"/>
    </row>
  </sheetData>
  <mergeCells count="6">
    <mergeCell ref="A1:C1"/>
    <mergeCell ref="A6:C6"/>
    <mergeCell ref="A4:C4"/>
    <mergeCell ref="A2:C2"/>
    <mergeCell ref="A5:C5"/>
    <mergeCell ref="A3:C3"/>
  </mergeCells>
  <conditionalFormatting sqref="B56">
    <cfRule type="duplicateValues" dxfId="1" priority="1"/>
  </conditionalFormatting>
  <conditionalFormatting sqref="B76">
    <cfRule type="duplicateValues" dxfId="0" priority="2"/>
  </conditionalFormatting>
  <printOptions horizontalCentered="1"/>
  <pageMargins left="0.7" right="0.7" top="0.75" bottom="0.75" header="0.3" footer="0.3"/>
  <pageSetup scale="60" orientation="portrait" horizontalDpi="1200" verticalDpi="1200" r:id="rId1"/>
  <headerFooter>
    <oddHeader>&amp;RPage &amp;P of &amp;N</oddHeader>
    <oddFooter>&amp;L&amp;A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4D25-68E4-4F0A-B281-F757D78ADB3E}">
  <sheetPr codeName="Sheet24"/>
  <dimension ref="A1:AB38"/>
  <sheetViews>
    <sheetView view="pageBreakPreview" topLeftCell="A10" zoomScale="78" zoomScaleNormal="100" zoomScaleSheetLayoutView="78" workbookViewId="0">
      <selection activeCell="A10" sqref="A10:A35"/>
    </sheetView>
  </sheetViews>
  <sheetFormatPr defaultColWidth="8.7109375" defaultRowHeight="15"/>
  <cols>
    <col min="1" max="1" width="8.7109375" style="17"/>
    <col min="2" max="2" width="8.7109375" style="598"/>
    <col min="3" max="3" width="34.28515625" style="17" customWidth="1"/>
    <col min="4" max="5" width="20.5703125" style="17" bestFit="1" customWidth="1"/>
    <col min="6" max="6" width="20.140625" style="17" bestFit="1" customWidth="1"/>
    <col min="7" max="7" width="20.5703125" style="17" bestFit="1" customWidth="1"/>
    <col min="8" max="10" width="19.7109375" style="17" bestFit="1" customWidth="1"/>
    <col min="11" max="12" width="20.140625" style="17" bestFit="1" customWidth="1"/>
    <col min="13" max="15" width="20.5703125" style="17" bestFit="1" customWidth="1"/>
    <col min="16" max="16" width="22.28515625" style="17" bestFit="1" customWidth="1"/>
    <col min="17" max="17" width="8.7109375" style="17"/>
    <col min="18" max="18" width="21" style="17" bestFit="1" customWidth="1"/>
    <col min="19" max="16384" width="8.7109375" style="17"/>
  </cols>
  <sheetData>
    <row r="1" spans="1:28">
      <c r="A1" s="1436" t="str">
        <f>Company</f>
        <v>Cascade Natural Gas Corp.</v>
      </c>
      <c r="B1" s="1436"/>
      <c r="C1" s="1436"/>
      <c r="D1" s="1436"/>
      <c r="E1" s="1436"/>
      <c r="F1" s="1436"/>
      <c r="G1" s="1436"/>
      <c r="H1" s="1436"/>
      <c r="I1" s="1436"/>
      <c r="J1" s="1436"/>
      <c r="K1" s="1436"/>
      <c r="L1" s="1436"/>
      <c r="M1" s="1436"/>
      <c r="N1" s="1436"/>
      <c r="O1" s="1436"/>
      <c r="P1" s="1436"/>
    </row>
    <row r="2" spans="1:28">
      <c r="A2" s="1436" t="str">
        <f>Title1</f>
        <v>Washington Jurisdiction</v>
      </c>
      <c r="B2" s="1436"/>
      <c r="C2" s="1436"/>
      <c r="D2" s="1436"/>
      <c r="E2" s="1436"/>
      <c r="F2" s="1436"/>
      <c r="G2" s="1436"/>
      <c r="H2" s="1436"/>
      <c r="I2" s="1436"/>
      <c r="J2" s="1436"/>
      <c r="K2" s="1436"/>
      <c r="L2" s="1436"/>
      <c r="M2" s="1436"/>
      <c r="N2" s="1436"/>
      <c r="O2" s="1436"/>
      <c r="P2" s="1436"/>
    </row>
    <row r="3" spans="1:28">
      <c r="A3" s="1436" t="str">
        <f>Title2</f>
        <v>Twelve-Months ended December 31, 2023</v>
      </c>
      <c r="B3" s="1436"/>
      <c r="C3" s="1436"/>
      <c r="D3" s="1436"/>
      <c r="E3" s="1436"/>
      <c r="F3" s="1436"/>
      <c r="G3" s="1436"/>
      <c r="H3" s="1436"/>
      <c r="I3" s="1436"/>
      <c r="J3" s="1436"/>
      <c r="K3" s="1436"/>
      <c r="L3" s="1436"/>
      <c r="M3" s="1436"/>
      <c r="N3" s="1436"/>
      <c r="O3" s="1436"/>
      <c r="P3" s="1436"/>
    </row>
    <row r="4" spans="1:28">
      <c r="A4" s="1436" t="str">
        <f>Title8</f>
        <v>UG-240008</v>
      </c>
      <c r="B4" s="1436"/>
      <c r="C4" s="1436"/>
      <c r="D4" s="1436"/>
      <c r="E4" s="1436"/>
      <c r="F4" s="1436"/>
      <c r="G4" s="1436"/>
      <c r="H4" s="1436"/>
      <c r="I4" s="1436"/>
      <c r="J4" s="1436"/>
      <c r="K4" s="1436"/>
      <c r="L4" s="1436"/>
      <c r="M4" s="1436"/>
      <c r="N4" s="1436"/>
      <c r="O4" s="1436"/>
      <c r="P4" s="1436"/>
    </row>
    <row r="5" spans="1:28">
      <c r="A5" s="1436" t="s">
        <v>237</v>
      </c>
      <c r="B5" s="1436"/>
      <c r="C5" s="1436"/>
      <c r="D5" s="1436"/>
      <c r="E5" s="1436"/>
      <c r="F5" s="1436"/>
      <c r="G5" s="1436"/>
      <c r="H5" s="1436"/>
      <c r="I5" s="1436"/>
      <c r="J5" s="1436"/>
      <c r="K5" s="1436"/>
      <c r="L5" s="1436"/>
      <c r="M5" s="1436"/>
      <c r="N5" s="1436"/>
      <c r="O5" s="1436"/>
      <c r="P5" s="1436"/>
    </row>
    <row r="6" spans="1:28">
      <c r="A6" s="1436" t="s">
        <v>508</v>
      </c>
      <c r="B6" s="1436"/>
      <c r="C6" s="1436"/>
      <c r="D6" s="1436"/>
      <c r="E6" s="1436"/>
      <c r="F6" s="1436"/>
      <c r="G6" s="1436"/>
      <c r="H6" s="1436"/>
      <c r="I6" s="1436"/>
      <c r="J6" s="1436"/>
      <c r="K6" s="1436"/>
      <c r="L6" s="1436"/>
      <c r="M6" s="1436"/>
      <c r="N6" s="1436"/>
      <c r="O6" s="1436"/>
      <c r="P6" s="1436"/>
    </row>
    <row r="7" spans="1:28">
      <c r="A7" s="592"/>
      <c r="C7" s="593"/>
      <c r="D7" s="593"/>
      <c r="E7" s="593"/>
      <c r="R7" s="18"/>
    </row>
    <row r="8" spans="1:28">
      <c r="A8" s="17" t="s">
        <v>504</v>
      </c>
      <c r="B8" s="594"/>
      <c r="C8" s="593"/>
      <c r="D8" s="595"/>
      <c r="E8" s="595"/>
      <c r="F8" s="595"/>
      <c r="G8" s="595"/>
      <c r="H8" s="595"/>
      <c r="I8" s="595"/>
      <c r="J8" s="595"/>
      <c r="K8" s="595"/>
      <c r="L8" s="595"/>
      <c r="M8" s="595"/>
      <c r="N8" s="595"/>
      <c r="O8" s="595"/>
      <c r="P8" s="593"/>
      <c r="R8" s="18"/>
      <c r="S8" s="596"/>
    </row>
    <row r="9" spans="1:28" s="53" customFormat="1">
      <c r="A9" s="486"/>
      <c r="B9" s="487" t="s">
        <v>439</v>
      </c>
      <c r="C9" s="487" t="s">
        <v>208</v>
      </c>
      <c r="D9" s="487" t="s">
        <v>209</v>
      </c>
      <c r="E9" s="487" t="s">
        <v>440</v>
      </c>
      <c r="F9" s="487" t="s">
        <v>441</v>
      </c>
      <c r="G9" s="487" t="s">
        <v>442</v>
      </c>
      <c r="H9" s="487" t="s">
        <v>443</v>
      </c>
      <c r="I9" s="487" t="s">
        <v>444</v>
      </c>
      <c r="J9" s="487" t="s">
        <v>445</v>
      </c>
      <c r="K9" s="1095" t="s">
        <v>446</v>
      </c>
      <c r="L9" s="487" t="s">
        <v>447</v>
      </c>
      <c r="M9" s="487" t="s">
        <v>448</v>
      </c>
      <c r="N9" s="487" t="s">
        <v>449</v>
      </c>
      <c r="O9" s="1095" t="s">
        <v>450</v>
      </c>
      <c r="P9" s="487" t="s">
        <v>451</v>
      </c>
      <c r="Q9" s="124"/>
      <c r="R9" s="124"/>
      <c r="S9" s="124"/>
      <c r="T9" s="124"/>
      <c r="U9" s="124"/>
      <c r="V9" s="124"/>
      <c r="W9" s="124"/>
      <c r="X9" s="17"/>
      <c r="Y9" s="17"/>
      <c r="Z9" s="17"/>
      <c r="AA9" s="17"/>
      <c r="AB9" s="17"/>
    </row>
    <row r="10" spans="1:28">
      <c r="A10" s="598">
        <v>1</v>
      </c>
      <c r="B10" s="594"/>
      <c r="C10" s="593"/>
      <c r="D10" s="602" t="s">
        <v>397</v>
      </c>
      <c r="E10" s="602" t="s">
        <v>398</v>
      </c>
      <c r="F10" s="602" t="s">
        <v>399</v>
      </c>
      <c r="G10" s="602" t="s">
        <v>400</v>
      </c>
      <c r="H10" s="602" t="s">
        <v>401</v>
      </c>
      <c r="I10" s="602" t="s">
        <v>402</v>
      </c>
      <c r="J10" s="602" t="s">
        <v>403</v>
      </c>
      <c r="K10" s="602" t="s">
        <v>404</v>
      </c>
      <c r="L10" s="602" t="s">
        <v>405</v>
      </c>
      <c r="M10" s="602" t="s">
        <v>406</v>
      </c>
      <c r="N10" s="603" t="s">
        <v>407</v>
      </c>
      <c r="O10" s="603" t="s">
        <v>408</v>
      </c>
      <c r="P10" s="597" t="s">
        <v>200</v>
      </c>
    </row>
    <row r="11" spans="1:28">
      <c r="A11" s="598">
        <v>2</v>
      </c>
      <c r="B11" s="594"/>
      <c r="C11" s="593" t="s">
        <v>509</v>
      </c>
      <c r="D11" s="594"/>
      <c r="E11" s="594"/>
    </row>
    <row r="12" spans="1:28">
      <c r="A12" s="598">
        <v>3</v>
      </c>
      <c r="C12" s="593"/>
      <c r="D12" s="567"/>
      <c r="E12" s="567"/>
    </row>
    <row r="13" spans="1:28">
      <c r="A13" s="598">
        <v>4</v>
      </c>
      <c r="B13" s="594" t="s">
        <v>510</v>
      </c>
      <c r="C13" s="593" t="s">
        <v>511</v>
      </c>
      <c r="D13" s="599">
        <v>29557985.620000001</v>
      </c>
      <c r="E13" s="599">
        <v>25238651.59</v>
      </c>
      <c r="F13" s="599">
        <v>23003053.620000001</v>
      </c>
      <c r="G13" s="599">
        <v>14694830.970000001</v>
      </c>
      <c r="H13" s="599">
        <v>8290732.3799999999</v>
      </c>
      <c r="I13" s="599">
        <v>6541625.4500000002</v>
      </c>
      <c r="J13" s="599">
        <v>4096848.91</v>
      </c>
      <c r="K13" s="599">
        <v>4722534.28</v>
      </c>
      <c r="L13" s="599">
        <v>6310171.4100000001</v>
      </c>
      <c r="M13" s="599">
        <v>12185614.609999999</v>
      </c>
      <c r="N13" s="599">
        <v>23368740.440000001</v>
      </c>
      <c r="O13" s="599">
        <v>26777751.890000001</v>
      </c>
      <c r="P13" s="587">
        <f>SUM(D13:O13)</f>
        <v>184788541.16999996</v>
      </c>
    </row>
    <row r="14" spans="1:28">
      <c r="A14" s="598">
        <v>5</v>
      </c>
      <c r="B14" s="594" t="s">
        <v>512</v>
      </c>
      <c r="C14" s="593" t="s">
        <v>513</v>
      </c>
      <c r="D14" s="599">
        <v>25206067.289999999</v>
      </c>
      <c r="E14" s="599">
        <v>20969662.469999999</v>
      </c>
      <c r="F14" s="599">
        <v>18844612.32</v>
      </c>
      <c r="G14" s="599">
        <v>12694209.76</v>
      </c>
      <c r="H14" s="599">
        <v>7840135.1699999999</v>
      </c>
      <c r="I14" s="599">
        <v>6513725.75</v>
      </c>
      <c r="J14" s="599">
        <v>4719080.1500000004</v>
      </c>
      <c r="K14" s="599">
        <v>5577389.21</v>
      </c>
      <c r="L14" s="599">
        <v>6695927.3899999997</v>
      </c>
      <c r="M14" s="599">
        <v>11305170.73</v>
      </c>
      <c r="N14" s="599">
        <v>17219736.050000001</v>
      </c>
      <c r="O14" s="599">
        <v>20837766.48</v>
      </c>
      <c r="P14" s="587">
        <f>SUM(D14:O14)</f>
        <v>158423482.77000001</v>
      </c>
    </row>
    <row r="15" spans="1:28">
      <c r="A15" s="598">
        <v>6</v>
      </c>
      <c r="C15" s="593" t="s">
        <v>514</v>
      </c>
      <c r="D15" s="584">
        <f>SUM(D13:D14)</f>
        <v>54764052.909999996</v>
      </c>
      <c r="E15" s="584">
        <f t="shared" ref="E15:O15" si="0">SUM(E13:E14)</f>
        <v>46208314.060000002</v>
      </c>
      <c r="F15" s="584">
        <f t="shared" si="0"/>
        <v>41847665.939999998</v>
      </c>
      <c r="G15" s="584">
        <f t="shared" si="0"/>
        <v>27389040.73</v>
      </c>
      <c r="H15" s="584">
        <f t="shared" si="0"/>
        <v>16130867.550000001</v>
      </c>
      <c r="I15" s="584">
        <f t="shared" si="0"/>
        <v>13055351.199999999</v>
      </c>
      <c r="J15" s="584">
        <f t="shared" si="0"/>
        <v>8815929.0600000005</v>
      </c>
      <c r="K15" s="584">
        <f t="shared" si="0"/>
        <v>10299923.49</v>
      </c>
      <c r="L15" s="584">
        <f t="shared" si="0"/>
        <v>13006098.800000001</v>
      </c>
      <c r="M15" s="584">
        <f t="shared" si="0"/>
        <v>23490785.34</v>
      </c>
      <c r="N15" s="584">
        <f t="shared" si="0"/>
        <v>40588476.490000002</v>
      </c>
      <c r="O15" s="584">
        <f t="shared" si="0"/>
        <v>47615518.370000005</v>
      </c>
      <c r="P15" s="587">
        <f>SUM(D15:O15)</f>
        <v>343212023.94</v>
      </c>
    </row>
    <row r="16" spans="1:28">
      <c r="A16" s="598">
        <v>7</v>
      </c>
      <c r="D16" s="583"/>
      <c r="E16" s="583"/>
      <c r="F16" s="583"/>
      <c r="G16" s="583"/>
      <c r="H16" s="583"/>
      <c r="I16" s="583"/>
      <c r="J16" s="583"/>
      <c r="K16" s="583"/>
      <c r="L16" s="583"/>
      <c r="M16" s="583"/>
      <c r="N16" s="583"/>
      <c r="O16" s="583"/>
      <c r="P16" s="586"/>
    </row>
    <row r="17" spans="1:16">
      <c r="A17" s="598">
        <v>8</v>
      </c>
      <c r="C17" s="17" t="s">
        <v>515</v>
      </c>
      <c r="D17" s="583"/>
      <c r="E17" s="583"/>
      <c r="F17" s="583"/>
      <c r="G17" s="583"/>
      <c r="H17" s="583"/>
      <c r="I17" s="583"/>
      <c r="J17" s="583"/>
      <c r="K17" s="583"/>
      <c r="L17" s="583"/>
      <c r="M17" s="583"/>
      <c r="N17" s="583"/>
      <c r="O17" s="583"/>
      <c r="P17" s="586"/>
    </row>
    <row r="18" spans="1:16">
      <c r="A18" s="598">
        <v>9</v>
      </c>
      <c r="B18" s="598" t="s">
        <v>516</v>
      </c>
      <c r="C18" s="17" t="s">
        <v>189</v>
      </c>
      <c r="D18" s="599">
        <v>23591.14</v>
      </c>
      <c r="E18" s="599">
        <v>30995.87</v>
      </c>
      <c r="F18" s="599">
        <v>35407.69</v>
      </c>
      <c r="G18" s="599">
        <v>81034.59</v>
      </c>
      <c r="H18" s="599">
        <v>13639.61</v>
      </c>
      <c r="I18" s="599">
        <v>28986.84</v>
      </c>
      <c r="J18" s="599">
        <v>24739.63</v>
      </c>
      <c r="K18" s="599">
        <v>30942.28</v>
      </c>
      <c r="L18" s="599">
        <v>21738.06</v>
      </c>
      <c r="M18" s="599">
        <v>28339.98</v>
      </c>
      <c r="N18" s="599">
        <v>19873.990000000002</v>
      </c>
      <c r="O18" s="599">
        <v>23950.17</v>
      </c>
      <c r="P18" s="587">
        <f t="shared" ref="P18:P24" si="1">SUM(D18:O18)</f>
        <v>363239.84999999992</v>
      </c>
    </row>
    <row r="19" spans="1:16">
      <c r="A19" s="598">
        <v>10</v>
      </c>
      <c r="B19" s="598" t="s">
        <v>517</v>
      </c>
      <c r="C19" s="17" t="s">
        <v>518</v>
      </c>
      <c r="D19" s="599">
        <v>2606241.66</v>
      </c>
      <c r="E19" s="599">
        <v>2385037.46</v>
      </c>
      <c r="F19" s="599">
        <v>2742786.93</v>
      </c>
      <c r="G19" s="599">
        <v>2540309.0499999998</v>
      </c>
      <c r="H19" s="599">
        <v>1965008.43</v>
      </c>
      <c r="I19" s="599">
        <v>2139490.71</v>
      </c>
      <c r="J19" s="599">
        <v>2554468.56</v>
      </c>
      <c r="K19" s="599">
        <v>2678532.85</v>
      </c>
      <c r="L19" s="599">
        <v>2817162.06</v>
      </c>
      <c r="M19" s="599">
        <v>2687903</v>
      </c>
      <c r="N19" s="599">
        <v>2883684.54</v>
      </c>
      <c r="O19" s="599">
        <v>2891561.04</v>
      </c>
      <c r="P19" s="587">
        <f t="shared" si="1"/>
        <v>30892186.289999999</v>
      </c>
    </row>
    <row r="20" spans="1:16">
      <c r="A20" s="598">
        <v>11</v>
      </c>
      <c r="B20" s="598" t="s">
        <v>519</v>
      </c>
      <c r="C20" s="17" t="s">
        <v>190</v>
      </c>
      <c r="D20" s="599">
        <v>0</v>
      </c>
      <c r="E20" s="599">
        <v>0</v>
      </c>
      <c r="F20" s="599">
        <v>0</v>
      </c>
      <c r="G20" s="599">
        <v>0</v>
      </c>
      <c r="H20" s="599">
        <v>0</v>
      </c>
      <c r="I20" s="599">
        <v>68217.61</v>
      </c>
      <c r="J20" s="599">
        <v>63059.71</v>
      </c>
      <c r="K20" s="599">
        <v>44177.19</v>
      </c>
      <c r="L20" s="599">
        <v>41089.56</v>
      </c>
      <c r="M20" s="599">
        <v>34602.769999999997</v>
      </c>
      <c r="N20" s="599">
        <v>33876.089999999997</v>
      </c>
      <c r="O20" s="599">
        <v>45487.17</v>
      </c>
      <c r="P20" s="587">
        <f t="shared" si="1"/>
        <v>330510.09999999998</v>
      </c>
    </row>
    <row r="21" spans="1:16">
      <c r="A21" s="598">
        <v>12</v>
      </c>
      <c r="B21" s="598" t="s">
        <v>520</v>
      </c>
      <c r="C21" s="17" t="s">
        <v>191</v>
      </c>
      <c r="D21" s="599">
        <v>7789.25</v>
      </c>
      <c r="E21" s="599">
        <v>8491.17</v>
      </c>
      <c r="F21" s="599">
        <v>7882.34</v>
      </c>
      <c r="G21" s="599">
        <v>8054.26</v>
      </c>
      <c r="H21" s="599">
        <v>8054.26</v>
      </c>
      <c r="I21" s="599">
        <v>8054.26</v>
      </c>
      <c r="J21" s="599">
        <v>8054.26</v>
      </c>
      <c r="K21" s="599">
        <v>8054.26</v>
      </c>
      <c r="L21" s="599">
        <v>8054.26</v>
      </c>
      <c r="M21" s="599">
        <v>8054.26</v>
      </c>
      <c r="N21" s="599">
        <v>8054.26</v>
      </c>
      <c r="O21" s="599">
        <v>8054.26</v>
      </c>
      <c r="P21" s="587">
        <f t="shared" si="1"/>
        <v>96651.099999999991</v>
      </c>
    </row>
    <row r="22" spans="1:16">
      <c r="A22" s="598">
        <v>13</v>
      </c>
      <c r="B22" s="598" t="s">
        <v>521</v>
      </c>
      <c r="C22" s="17" t="s">
        <v>192</v>
      </c>
      <c r="D22" s="599">
        <v>3134.24</v>
      </c>
      <c r="E22" s="599">
        <v>5429.01</v>
      </c>
      <c r="F22" s="599">
        <v>8049.54</v>
      </c>
      <c r="G22" s="599">
        <v>183400.55</v>
      </c>
      <c r="H22" s="599">
        <v>206.99</v>
      </c>
      <c r="I22" s="599">
        <v>2156.73</v>
      </c>
      <c r="J22" s="599">
        <v>2141.38</v>
      </c>
      <c r="K22" s="599">
        <v>3629.97</v>
      </c>
      <c r="L22" s="599">
        <v>17872.419999999998</v>
      </c>
      <c r="M22" s="599">
        <v>-101413.42</v>
      </c>
      <c r="N22" s="599">
        <v>4396.28</v>
      </c>
      <c r="O22" s="599">
        <v>11881.76</v>
      </c>
      <c r="P22" s="587">
        <f t="shared" si="1"/>
        <v>140885.45000000001</v>
      </c>
    </row>
    <row r="23" spans="1:16">
      <c r="A23" s="598">
        <v>14</v>
      </c>
      <c r="B23" s="598" t="s">
        <v>522</v>
      </c>
      <c r="C23" s="17" t="s">
        <v>523</v>
      </c>
      <c r="D23" s="599">
        <v>0</v>
      </c>
      <c r="E23" s="599">
        <v>0</v>
      </c>
      <c r="F23" s="599">
        <v>0</v>
      </c>
      <c r="G23" s="599">
        <v>0</v>
      </c>
      <c r="H23" s="599">
        <v>0</v>
      </c>
      <c r="I23" s="599">
        <v>0</v>
      </c>
      <c r="J23" s="599">
        <v>0</v>
      </c>
      <c r="K23" s="599">
        <v>0</v>
      </c>
      <c r="L23" s="599">
        <v>0</v>
      </c>
      <c r="M23" s="599">
        <v>0</v>
      </c>
      <c r="N23" s="599">
        <v>0</v>
      </c>
      <c r="O23" s="599">
        <v>0</v>
      </c>
      <c r="P23" s="587">
        <f t="shared" si="1"/>
        <v>0</v>
      </c>
    </row>
    <row r="24" spans="1:16">
      <c r="A24" s="598">
        <v>15</v>
      </c>
      <c r="B24" s="598">
        <v>4962</v>
      </c>
      <c r="C24" s="17" t="s">
        <v>193</v>
      </c>
      <c r="D24" s="599">
        <v>153278.66</v>
      </c>
      <c r="E24" s="599">
        <v>95269.13</v>
      </c>
      <c r="F24" s="599">
        <v>1107078.3700000001</v>
      </c>
      <c r="G24" s="599">
        <v>-3417.23</v>
      </c>
      <c r="H24" s="599">
        <v>-36559.480000000003</v>
      </c>
      <c r="I24" s="599">
        <v>-40938.559999999998</v>
      </c>
      <c r="J24" s="599">
        <v>-42356.18</v>
      </c>
      <c r="K24" s="599">
        <v>-35542.620000000003</v>
      </c>
      <c r="L24" s="599">
        <v>-27723.94</v>
      </c>
      <c r="M24" s="599">
        <v>-7087.02</v>
      </c>
      <c r="N24" s="599">
        <v>21920.42</v>
      </c>
      <c r="O24" s="599">
        <v>30441.66</v>
      </c>
      <c r="P24" s="587">
        <f t="shared" si="1"/>
        <v>1214363.21</v>
      </c>
    </row>
    <row r="25" spans="1:16">
      <c r="A25" s="598">
        <v>16</v>
      </c>
      <c r="C25" s="17" t="s">
        <v>524</v>
      </c>
      <c r="D25" s="584">
        <f>SUM(D18:D24)</f>
        <v>2794034.9500000007</v>
      </c>
      <c r="E25" s="584">
        <f t="shared" ref="E25:O25" si="2">SUM(E18:E24)</f>
        <v>2525222.6399999997</v>
      </c>
      <c r="F25" s="584">
        <f t="shared" si="2"/>
        <v>3901204.87</v>
      </c>
      <c r="G25" s="584">
        <f t="shared" si="2"/>
        <v>2809381.2199999993</v>
      </c>
      <c r="H25" s="584">
        <f t="shared" si="2"/>
        <v>1950349.81</v>
      </c>
      <c r="I25" s="584">
        <f t="shared" si="2"/>
        <v>2205967.5899999994</v>
      </c>
      <c r="J25" s="584">
        <f t="shared" si="2"/>
        <v>2610107.3599999994</v>
      </c>
      <c r="K25" s="584">
        <f t="shared" si="2"/>
        <v>2729793.9299999997</v>
      </c>
      <c r="L25" s="584">
        <f t="shared" si="2"/>
        <v>2878192.42</v>
      </c>
      <c r="M25" s="584">
        <f t="shared" si="2"/>
        <v>2650399.5699999998</v>
      </c>
      <c r="N25" s="584">
        <f t="shared" si="2"/>
        <v>2971805.5799999996</v>
      </c>
      <c r="O25" s="584">
        <f t="shared" si="2"/>
        <v>3011376.0599999996</v>
      </c>
      <c r="P25" s="587">
        <f>SUM(D25:O25)</f>
        <v>33037835.999999996</v>
      </c>
    </row>
    <row r="26" spans="1:16" ht="15.75" thickBot="1">
      <c r="A26" s="598">
        <v>17</v>
      </c>
      <c r="C26" s="17" t="s">
        <v>525</v>
      </c>
      <c r="D26" s="585">
        <f>D25+D15</f>
        <v>57558087.859999999</v>
      </c>
      <c r="E26" s="585">
        <f t="shared" ref="E26:O26" si="3">E25+E15</f>
        <v>48733536.700000003</v>
      </c>
      <c r="F26" s="585">
        <f t="shared" si="3"/>
        <v>45748870.809999995</v>
      </c>
      <c r="G26" s="585">
        <f t="shared" si="3"/>
        <v>30198421.949999999</v>
      </c>
      <c r="H26" s="585">
        <f t="shared" si="3"/>
        <v>18081217.359999999</v>
      </c>
      <c r="I26" s="585">
        <f t="shared" si="3"/>
        <v>15261318.789999999</v>
      </c>
      <c r="J26" s="585">
        <f t="shared" si="3"/>
        <v>11426036.42</v>
      </c>
      <c r="K26" s="585">
        <f t="shared" si="3"/>
        <v>13029717.42</v>
      </c>
      <c r="L26" s="585">
        <f t="shared" si="3"/>
        <v>15884291.220000001</v>
      </c>
      <c r="M26" s="585">
        <f t="shared" si="3"/>
        <v>26141184.91</v>
      </c>
      <c r="N26" s="585">
        <f t="shared" si="3"/>
        <v>43560282.07</v>
      </c>
      <c r="O26" s="585">
        <f t="shared" si="3"/>
        <v>50626894.430000007</v>
      </c>
      <c r="P26" s="587">
        <f>SUM(D26:O26)</f>
        <v>376249859.94</v>
      </c>
    </row>
    <row r="27" spans="1:16" ht="15.75" thickTop="1">
      <c r="A27" s="598">
        <v>18</v>
      </c>
      <c r="G27" s="600"/>
    </row>
    <row r="28" spans="1:16">
      <c r="A28" s="598">
        <v>19</v>
      </c>
      <c r="G28" s="600"/>
    </row>
    <row r="29" spans="1:16">
      <c r="A29" s="598">
        <v>20</v>
      </c>
      <c r="P29" s="184"/>
    </row>
    <row r="30" spans="1:16">
      <c r="A30" s="598">
        <v>21</v>
      </c>
      <c r="D30" s="586"/>
      <c r="E30" s="586"/>
      <c r="F30" s="586"/>
      <c r="G30" s="586"/>
      <c r="H30" s="586"/>
      <c r="I30" s="586"/>
      <c r="J30" s="586"/>
      <c r="K30" s="586"/>
      <c r="L30" s="586"/>
      <c r="M30" s="586"/>
      <c r="N30" s="586"/>
      <c r="O30" s="586"/>
    </row>
    <row r="31" spans="1:16">
      <c r="A31" s="598">
        <v>22</v>
      </c>
      <c r="D31" s="586"/>
      <c r="E31" s="586"/>
      <c r="F31" s="586"/>
      <c r="G31" s="586"/>
      <c r="H31" s="586"/>
      <c r="I31" s="586"/>
      <c r="J31" s="586"/>
      <c r="K31" s="586"/>
      <c r="L31" s="586"/>
      <c r="M31" s="586"/>
      <c r="N31" s="586"/>
      <c r="O31" s="586"/>
      <c r="P31" s="587">
        <f>P15+P25</f>
        <v>376249859.94</v>
      </c>
    </row>
    <row r="32" spans="1:16">
      <c r="A32" s="598">
        <v>23</v>
      </c>
      <c r="C32" s="593" t="s">
        <v>526</v>
      </c>
      <c r="D32" s="587">
        <f>D15</f>
        <v>54764052.909999996</v>
      </c>
      <c r="E32" s="587">
        <f t="shared" ref="E32:O32" si="4">E15</f>
        <v>46208314.060000002</v>
      </c>
      <c r="F32" s="587">
        <f t="shared" si="4"/>
        <v>41847665.939999998</v>
      </c>
      <c r="G32" s="587">
        <f t="shared" si="4"/>
        <v>27389040.73</v>
      </c>
      <c r="H32" s="587">
        <f t="shared" si="4"/>
        <v>16130867.550000001</v>
      </c>
      <c r="I32" s="587">
        <f t="shared" si="4"/>
        <v>13055351.199999999</v>
      </c>
      <c r="J32" s="587">
        <f t="shared" si="4"/>
        <v>8815929.0600000005</v>
      </c>
      <c r="K32" s="587">
        <f t="shared" si="4"/>
        <v>10299923.49</v>
      </c>
      <c r="L32" s="587">
        <f t="shared" si="4"/>
        <v>13006098.800000001</v>
      </c>
      <c r="M32" s="587">
        <f t="shared" si="4"/>
        <v>23490785.34</v>
      </c>
      <c r="N32" s="587">
        <f t="shared" si="4"/>
        <v>40588476.490000002</v>
      </c>
      <c r="O32" s="587">
        <f t="shared" si="4"/>
        <v>47615518.370000005</v>
      </c>
      <c r="P32" s="184"/>
    </row>
    <row r="33" spans="1:16">
      <c r="A33" s="598">
        <v>24</v>
      </c>
      <c r="C33" s="17" t="s">
        <v>527</v>
      </c>
      <c r="D33" s="473">
        <f>D25</f>
        <v>2794034.9500000007</v>
      </c>
      <c r="E33" s="473">
        <f t="shared" ref="E33:O33" si="5">E25</f>
        <v>2525222.6399999997</v>
      </c>
      <c r="F33" s="473">
        <f t="shared" si="5"/>
        <v>3901204.87</v>
      </c>
      <c r="G33" s="473">
        <f t="shared" si="5"/>
        <v>2809381.2199999993</v>
      </c>
      <c r="H33" s="473">
        <f t="shared" si="5"/>
        <v>1950349.81</v>
      </c>
      <c r="I33" s="473">
        <f t="shared" si="5"/>
        <v>2205967.5899999994</v>
      </c>
      <c r="J33" s="473">
        <f t="shared" si="5"/>
        <v>2610107.3599999994</v>
      </c>
      <c r="K33" s="473">
        <f t="shared" si="5"/>
        <v>2729793.9299999997</v>
      </c>
      <c r="L33" s="473">
        <f t="shared" si="5"/>
        <v>2878192.42</v>
      </c>
      <c r="M33" s="473">
        <f t="shared" si="5"/>
        <v>2650399.5699999998</v>
      </c>
      <c r="N33" s="473">
        <f t="shared" si="5"/>
        <v>2971805.5799999996</v>
      </c>
      <c r="O33" s="473">
        <f t="shared" si="5"/>
        <v>3011376.0599999996</v>
      </c>
      <c r="P33" s="184"/>
    </row>
    <row r="34" spans="1:16">
      <c r="A34" s="598">
        <v>25</v>
      </c>
      <c r="C34" s="17" t="s">
        <v>528</v>
      </c>
      <c r="D34" s="587">
        <f>SUM(D32:D33)</f>
        <v>57558087.859999999</v>
      </c>
      <c r="E34" s="587">
        <f t="shared" ref="E34:O34" si="6">SUM(E32:E33)</f>
        <v>48733536.700000003</v>
      </c>
      <c r="F34" s="587">
        <f t="shared" si="6"/>
        <v>45748870.809999995</v>
      </c>
      <c r="G34" s="587">
        <f t="shared" si="6"/>
        <v>30198421.949999999</v>
      </c>
      <c r="H34" s="587">
        <f t="shared" si="6"/>
        <v>18081217.359999999</v>
      </c>
      <c r="I34" s="587">
        <f t="shared" si="6"/>
        <v>15261318.789999999</v>
      </c>
      <c r="J34" s="587">
        <f t="shared" si="6"/>
        <v>11426036.42</v>
      </c>
      <c r="K34" s="587">
        <f t="shared" si="6"/>
        <v>13029717.42</v>
      </c>
      <c r="L34" s="587">
        <f t="shared" si="6"/>
        <v>15884291.220000001</v>
      </c>
      <c r="M34" s="587">
        <f t="shared" si="6"/>
        <v>26141184.91</v>
      </c>
      <c r="N34" s="587">
        <f t="shared" si="6"/>
        <v>43560282.07</v>
      </c>
      <c r="O34" s="587">
        <f t="shared" si="6"/>
        <v>50626894.430000007</v>
      </c>
      <c r="P34" s="184"/>
    </row>
    <row r="35" spans="1:16">
      <c r="A35" s="598">
        <v>26</v>
      </c>
      <c r="C35" s="17" t="s">
        <v>414</v>
      </c>
      <c r="D35" s="587">
        <f>D26-D34</f>
        <v>0</v>
      </c>
      <c r="E35" s="587">
        <f t="shared" ref="E35:N35" si="7">E26-E34</f>
        <v>0</v>
      </c>
      <c r="F35" s="587">
        <f t="shared" si="7"/>
        <v>0</v>
      </c>
      <c r="G35" s="587">
        <f t="shared" si="7"/>
        <v>0</v>
      </c>
      <c r="H35" s="587">
        <f t="shared" si="7"/>
        <v>0</v>
      </c>
      <c r="I35" s="587">
        <f t="shared" si="7"/>
        <v>0</v>
      </c>
      <c r="J35" s="587">
        <f t="shared" si="7"/>
        <v>0</v>
      </c>
      <c r="K35" s="587">
        <f t="shared" si="7"/>
        <v>0</v>
      </c>
      <c r="L35" s="587">
        <f t="shared" si="7"/>
        <v>0</v>
      </c>
      <c r="M35" s="587">
        <f t="shared" si="7"/>
        <v>0</v>
      </c>
      <c r="N35" s="587">
        <f t="shared" si="7"/>
        <v>0</v>
      </c>
      <c r="O35" s="587">
        <f>O26-O34</f>
        <v>0</v>
      </c>
      <c r="P35" s="184"/>
    </row>
    <row r="38" spans="1:16">
      <c r="C38" s="593"/>
      <c r="D38" s="601"/>
    </row>
  </sheetData>
  <mergeCells count="6">
    <mergeCell ref="A1:P1"/>
    <mergeCell ref="A6:P6"/>
    <mergeCell ref="A4:P4"/>
    <mergeCell ref="A2:P2"/>
    <mergeCell ref="A5:P5"/>
    <mergeCell ref="A3:P3"/>
  </mergeCells>
  <pageMargins left="0.7" right="0.7" top="0.75" bottom="0.75" header="0.3" footer="0.3"/>
  <pageSetup scale="38" fitToHeight="0" orientation="landscape" horizontalDpi="1200" verticalDpi="1200" r:id="rId1"/>
  <headerFooter>
    <oddHeader>&amp;RPage &amp;P of &amp;N</oddHeader>
    <oddFooter>&amp;L&amp;A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0B1CA-618B-47FB-8241-620435FB91D7}">
  <sheetPr codeName="Sheet25">
    <pageSetUpPr fitToPage="1"/>
  </sheetPr>
  <dimension ref="A1:T27"/>
  <sheetViews>
    <sheetView view="pageBreakPreview" zoomScale="98" zoomScaleNormal="100" zoomScaleSheetLayoutView="98" workbookViewId="0">
      <selection activeCell="A9" sqref="A9:A23"/>
    </sheetView>
  </sheetViews>
  <sheetFormatPr defaultColWidth="9" defaultRowHeight="15"/>
  <cols>
    <col min="1" max="1" width="8.28515625" style="53" bestFit="1" customWidth="1"/>
    <col min="2" max="2" width="10.42578125" style="53" bestFit="1" customWidth="1"/>
    <col min="3" max="3" width="14.140625" style="53" bestFit="1" customWidth="1"/>
    <col min="4" max="4" width="12.5703125" style="53" bestFit="1" customWidth="1"/>
    <col min="5" max="5" width="13.7109375" style="53" bestFit="1" customWidth="1"/>
    <col min="6" max="6" width="3" style="53" bestFit="1" customWidth="1"/>
    <col min="7" max="7" width="10.42578125" style="53" bestFit="1" customWidth="1"/>
    <col min="8" max="9" width="12.5703125" style="53" bestFit="1" customWidth="1"/>
    <col min="10" max="10" width="13" style="53" bestFit="1" customWidth="1"/>
    <col min="11" max="11" width="9" style="53"/>
    <col min="12" max="12" width="21" style="53" bestFit="1" customWidth="1"/>
    <col min="13" max="13" width="11.28515625" style="53" bestFit="1" customWidth="1"/>
    <col min="14" max="16384" width="9" style="53"/>
  </cols>
  <sheetData>
    <row r="1" spans="1:13">
      <c r="A1" s="1423" t="str">
        <f>Company</f>
        <v>Cascade Natural Gas Corp.</v>
      </c>
      <c r="B1" s="1423"/>
      <c r="C1" s="1423"/>
      <c r="D1" s="1423"/>
      <c r="E1" s="1423"/>
      <c r="F1" s="1423"/>
      <c r="G1" s="1423"/>
      <c r="H1" s="1423"/>
      <c r="I1" s="1423"/>
      <c r="J1" s="1423"/>
    </row>
    <row r="2" spans="1:13">
      <c r="A2" s="1423" t="str">
        <f>Title1</f>
        <v>Washington Jurisdiction</v>
      </c>
      <c r="B2" s="1423"/>
      <c r="C2" s="1423"/>
      <c r="D2" s="1423"/>
      <c r="E2" s="1423"/>
      <c r="F2" s="1423"/>
      <c r="G2" s="1423"/>
      <c r="H2" s="1423"/>
      <c r="I2" s="1423"/>
      <c r="J2" s="1423"/>
    </row>
    <row r="3" spans="1:13">
      <c r="A3" s="1423" t="str">
        <f>Title2</f>
        <v>Twelve-Months ended December 31, 2023</v>
      </c>
      <c r="B3" s="1423"/>
      <c r="C3" s="1423"/>
      <c r="D3" s="1423"/>
      <c r="E3" s="1423"/>
      <c r="F3" s="1423"/>
      <c r="G3" s="1423"/>
      <c r="H3" s="1423"/>
      <c r="I3" s="1423"/>
      <c r="J3" s="1423"/>
    </row>
    <row r="4" spans="1:13">
      <c r="A4" s="1423" t="str">
        <f>Title8</f>
        <v>UG-240008</v>
      </c>
      <c r="B4" s="1423"/>
      <c r="C4" s="1423"/>
      <c r="D4" s="1423"/>
      <c r="E4" s="1423"/>
      <c r="F4" s="1423"/>
      <c r="G4" s="1423"/>
      <c r="H4" s="1423"/>
      <c r="I4" s="1423"/>
      <c r="J4" s="1423"/>
    </row>
    <row r="5" spans="1:13">
      <c r="A5" s="1423" t="s">
        <v>238</v>
      </c>
      <c r="B5" s="1423"/>
      <c r="C5" s="1423"/>
      <c r="D5" s="1423"/>
      <c r="E5" s="1423"/>
      <c r="F5" s="1423"/>
      <c r="G5" s="1423"/>
      <c r="H5" s="1423"/>
      <c r="I5" s="1423"/>
      <c r="J5" s="1423"/>
    </row>
    <row r="6" spans="1:13">
      <c r="A6" s="1423" t="s">
        <v>110</v>
      </c>
      <c r="B6" s="1423"/>
      <c r="C6" s="1423"/>
      <c r="D6" s="1423"/>
      <c r="E6" s="1423"/>
      <c r="F6" s="1423"/>
      <c r="G6" s="1423"/>
      <c r="H6" s="1423"/>
      <c r="I6" s="1423"/>
      <c r="J6" s="1423"/>
    </row>
    <row r="7" spans="1:13">
      <c r="A7" t="s">
        <v>504</v>
      </c>
    </row>
    <row r="8" spans="1:13">
      <c r="A8" s="487"/>
      <c r="B8" s="425" t="s">
        <v>439</v>
      </c>
      <c r="C8" s="425" t="s">
        <v>208</v>
      </c>
      <c r="D8" s="425" t="s">
        <v>209</v>
      </c>
      <c r="E8" s="425" t="s">
        <v>440</v>
      </c>
      <c r="F8" s="425" t="s">
        <v>441</v>
      </c>
      <c r="G8" s="425" t="s">
        <v>442</v>
      </c>
      <c r="H8" s="425" t="s">
        <v>443</v>
      </c>
      <c r="I8" s="425" t="s">
        <v>444</v>
      </c>
      <c r="J8" s="425" t="s">
        <v>445</v>
      </c>
      <c r="L8" s="18"/>
    </row>
    <row r="9" spans="1:13">
      <c r="A9" s="124">
        <v>1</v>
      </c>
      <c r="B9" s="1437" t="s">
        <v>529</v>
      </c>
      <c r="C9" s="1437"/>
      <c r="D9" s="1437"/>
      <c r="E9" s="1437"/>
      <c r="F9" s="1"/>
      <c r="G9" s="1437" t="s">
        <v>530</v>
      </c>
      <c r="H9" s="1437"/>
      <c r="I9" s="1437"/>
      <c r="J9" s="1437"/>
      <c r="L9" s="644"/>
      <c r="M9" s="640"/>
    </row>
    <row r="10" spans="1:13">
      <c r="A10" s="124">
        <v>2</v>
      </c>
      <c r="B10" s="1" t="s">
        <v>378</v>
      </c>
      <c r="C10" s="1" t="s">
        <v>531</v>
      </c>
      <c r="D10" s="1" t="s">
        <v>532</v>
      </c>
      <c r="E10" s="1" t="s">
        <v>200</v>
      </c>
      <c r="F10" s="1"/>
      <c r="G10" s="1" t="s">
        <v>378</v>
      </c>
      <c r="H10" s="1" t="s">
        <v>531</v>
      </c>
      <c r="I10" s="1" t="s">
        <v>532</v>
      </c>
      <c r="J10" s="1" t="s">
        <v>200</v>
      </c>
    </row>
    <row r="11" spans="1:13">
      <c r="A11" s="124">
        <v>3</v>
      </c>
      <c r="B11" s="721">
        <v>44927</v>
      </c>
      <c r="C11" s="47">
        <v>20882716</v>
      </c>
      <c r="D11" s="65">
        <v>1056996.3635823987</v>
      </c>
      <c r="E11" s="6">
        <f t="shared" ref="E11:E22" si="0">C11+D11</f>
        <v>21939712.363582399</v>
      </c>
      <c r="F11" s="1"/>
      <c r="G11" s="721">
        <v>44927</v>
      </c>
      <c r="H11" s="47">
        <v>15418443</v>
      </c>
      <c r="I11" s="65">
        <v>-594465.97430863604</v>
      </c>
      <c r="J11" s="6">
        <f t="shared" ref="J11:J22" si="1">H11+I11</f>
        <v>14823977.025691364</v>
      </c>
    </row>
    <row r="12" spans="1:13">
      <c r="A12" s="124">
        <v>4</v>
      </c>
      <c r="B12" s="721">
        <v>44958</v>
      </c>
      <c r="C12" s="47">
        <v>18193289</v>
      </c>
      <c r="D12" s="65">
        <v>-968524.06176355109</v>
      </c>
      <c r="E12" s="6">
        <f t="shared" si="0"/>
        <v>17224764.938236449</v>
      </c>
      <c r="F12" s="1"/>
      <c r="G12" s="721">
        <v>44958</v>
      </c>
      <c r="H12" s="47">
        <v>11939721</v>
      </c>
      <c r="I12" s="65">
        <v>-151579.56590233929</v>
      </c>
      <c r="J12" s="6">
        <f t="shared" si="1"/>
        <v>11788141.434097661</v>
      </c>
    </row>
    <row r="13" spans="1:13">
      <c r="A13" s="124">
        <v>5</v>
      </c>
      <c r="B13" s="721">
        <v>44986</v>
      </c>
      <c r="C13" s="47">
        <v>16544549</v>
      </c>
      <c r="D13" s="65">
        <v>-1832478.9596650563</v>
      </c>
      <c r="E13" s="6">
        <f t="shared" si="0"/>
        <v>14712070.040334944</v>
      </c>
      <c r="F13" s="1"/>
      <c r="G13" s="721">
        <v>44986</v>
      </c>
      <c r="H13" s="47">
        <v>11324055</v>
      </c>
      <c r="I13" s="65">
        <v>-1707029.7694732938</v>
      </c>
      <c r="J13" s="6">
        <f t="shared" si="1"/>
        <v>9617025.2305267062</v>
      </c>
    </row>
    <row r="14" spans="1:13">
      <c r="A14" s="124">
        <v>6</v>
      </c>
      <c r="B14" s="721">
        <v>45017</v>
      </c>
      <c r="C14" s="47">
        <v>10113118</v>
      </c>
      <c r="D14" s="65">
        <v>-601694.39261929132</v>
      </c>
      <c r="E14" s="6">
        <f t="shared" si="0"/>
        <v>9511423.6073807087</v>
      </c>
      <c r="F14" s="1"/>
      <c r="G14" s="721">
        <v>45017</v>
      </c>
      <c r="H14" s="47">
        <v>7383914</v>
      </c>
      <c r="I14" s="65">
        <v>-1212192.3410552554</v>
      </c>
      <c r="J14" s="6">
        <f t="shared" si="1"/>
        <v>6171721.6589447446</v>
      </c>
    </row>
    <row r="15" spans="1:13">
      <c r="A15" s="124">
        <v>7</v>
      </c>
      <c r="B15" s="721">
        <v>45047</v>
      </c>
      <c r="C15" s="47">
        <v>4851582</v>
      </c>
      <c r="D15" s="65">
        <v>1170913.2871218575</v>
      </c>
      <c r="E15" s="6">
        <f t="shared" si="0"/>
        <v>6022495.2871218575</v>
      </c>
      <c r="F15" s="1"/>
      <c r="G15" s="721">
        <v>45047</v>
      </c>
      <c r="H15" s="47">
        <v>3808774</v>
      </c>
      <c r="I15" s="65">
        <v>477859.05838539591</v>
      </c>
      <c r="J15" s="6">
        <f t="shared" si="1"/>
        <v>4286633.0583853964</v>
      </c>
    </row>
    <row r="16" spans="1:13">
      <c r="A16" s="124">
        <v>8</v>
      </c>
      <c r="B16" s="721">
        <v>45078</v>
      </c>
      <c r="C16" s="47">
        <v>3646921</v>
      </c>
      <c r="D16" s="65">
        <v>-513597.37027929304</v>
      </c>
      <c r="E16" s="6">
        <f t="shared" si="0"/>
        <v>3133323.629720707</v>
      </c>
      <c r="F16" s="1"/>
      <c r="G16" s="721">
        <v>45078</v>
      </c>
      <c r="H16" s="47">
        <v>3466917</v>
      </c>
      <c r="I16" s="65">
        <v>-737024.3302221573</v>
      </c>
      <c r="J16" s="6">
        <f t="shared" si="1"/>
        <v>2729892.6697778427</v>
      </c>
    </row>
    <row r="17" spans="1:20">
      <c r="A17" s="124">
        <v>9</v>
      </c>
      <c r="B17" s="721">
        <v>45108</v>
      </c>
      <c r="C17" s="47">
        <v>1845153</v>
      </c>
      <c r="D17" s="65">
        <v>1390078.416144642</v>
      </c>
      <c r="E17" s="6">
        <f t="shared" si="0"/>
        <v>3235231.416144642</v>
      </c>
      <c r="F17" s="1"/>
      <c r="G17" s="721">
        <v>45108</v>
      </c>
      <c r="H17" s="47">
        <v>1784445</v>
      </c>
      <c r="I17" s="65">
        <v>1032543.323776532</v>
      </c>
      <c r="J17" s="6">
        <f t="shared" si="1"/>
        <v>2816988.323776532</v>
      </c>
    </row>
    <row r="18" spans="1:20">
      <c r="A18" s="124">
        <v>10</v>
      </c>
      <c r="B18" s="721">
        <v>45139</v>
      </c>
      <c r="C18" s="47">
        <v>2530851</v>
      </c>
      <c r="D18" s="65">
        <v>-833879.92594998865</v>
      </c>
      <c r="E18" s="6">
        <f t="shared" si="0"/>
        <v>1696971.0740500113</v>
      </c>
      <c r="F18" s="1"/>
      <c r="G18" s="721">
        <v>45139</v>
      </c>
      <c r="H18" s="47">
        <v>2602457</v>
      </c>
      <c r="I18" s="65">
        <v>204399.25014783628</v>
      </c>
      <c r="J18" s="6">
        <f t="shared" si="1"/>
        <v>2806856.2501478363</v>
      </c>
    </row>
    <row r="19" spans="1:20">
      <c r="A19" s="124">
        <v>11</v>
      </c>
      <c r="B19" s="721">
        <v>45170</v>
      </c>
      <c r="C19" s="47">
        <v>3984080</v>
      </c>
      <c r="D19" s="65">
        <v>-283989.27383498056</v>
      </c>
      <c r="E19" s="6">
        <f t="shared" si="0"/>
        <v>3700090.7261650194</v>
      </c>
      <c r="F19" s="1"/>
      <c r="G19" s="721">
        <v>45170</v>
      </c>
      <c r="H19" s="47">
        <v>3809259</v>
      </c>
      <c r="I19" s="65">
        <v>132619.88621175382</v>
      </c>
      <c r="J19" s="6">
        <f t="shared" si="1"/>
        <v>3941878.8862117538</v>
      </c>
    </row>
    <row r="20" spans="1:20">
      <c r="A20" s="124">
        <v>12</v>
      </c>
      <c r="B20" s="721">
        <v>45200</v>
      </c>
      <c r="C20" s="47">
        <v>8301482</v>
      </c>
      <c r="D20" s="65">
        <v>744382.3171541933</v>
      </c>
      <c r="E20" s="6">
        <f t="shared" si="0"/>
        <v>9045864.3171541933</v>
      </c>
      <c r="F20" s="1"/>
      <c r="G20" s="721">
        <v>45200</v>
      </c>
      <c r="H20" s="47">
        <v>6570526</v>
      </c>
      <c r="I20" s="65">
        <v>660691.79138168879</v>
      </c>
      <c r="J20" s="6">
        <f t="shared" si="1"/>
        <v>7231217.7913816888</v>
      </c>
    </row>
    <row r="21" spans="1:20">
      <c r="A21" s="124">
        <v>13</v>
      </c>
      <c r="B21" s="721">
        <v>45231</v>
      </c>
      <c r="C21" s="47">
        <v>16563910</v>
      </c>
      <c r="D21" s="47">
        <v>457002.14287733845</v>
      </c>
      <c r="E21" s="6">
        <f t="shared" si="0"/>
        <v>17020912.14287734</v>
      </c>
      <c r="F21" s="1"/>
      <c r="G21" s="721">
        <v>45231</v>
      </c>
      <c r="H21" s="47">
        <v>10761463</v>
      </c>
      <c r="I21" s="47">
        <v>8121.8269553929567</v>
      </c>
      <c r="J21" s="6">
        <f t="shared" si="1"/>
        <v>10769584.826955393</v>
      </c>
    </row>
    <row r="22" spans="1:20">
      <c r="A22" s="124">
        <v>14</v>
      </c>
      <c r="B22" s="721">
        <v>45261</v>
      </c>
      <c r="C22" s="679">
        <v>17765095</v>
      </c>
      <c r="D22" s="47">
        <v>4250202.4120130464</v>
      </c>
      <c r="E22" s="985">
        <f t="shared" si="0"/>
        <v>22015297.412013046</v>
      </c>
      <c r="F22" s="1"/>
      <c r="G22" s="721">
        <v>45261</v>
      </c>
      <c r="H22" s="679">
        <v>12514189</v>
      </c>
      <c r="I22" s="47">
        <v>2114907.1319460571</v>
      </c>
      <c r="J22" s="985">
        <f t="shared" si="1"/>
        <v>14629096.131946057</v>
      </c>
    </row>
    <row r="23" spans="1:20">
      <c r="A23" s="124">
        <v>15</v>
      </c>
      <c r="B23" s="1"/>
      <c r="C23" s="6">
        <f>SUM(C11:C22)</f>
        <v>125222746</v>
      </c>
      <c r="D23" s="6">
        <f>SUM(D11:D22)</f>
        <v>4035410.9547813153</v>
      </c>
      <c r="E23" s="6">
        <f>SUM(E11:E22)</f>
        <v>129258156.95478132</v>
      </c>
      <c r="F23" s="1"/>
      <c r="G23" s="817"/>
      <c r="H23" s="6">
        <f>SUM(H11:H22)</f>
        <v>91384163</v>
      </c>
      <c r="I23" s="6">
        <f>SUM(I11:I22)</f>
        <v>228850.287842975</v>
      </c>
      <c r="J23" s="6">
        <f>SUM(J11:J22)</f>
        <v>91613013.287842974</v>
      </c>
    </row>
    <row r="25" spans="1:20">
      <c r="E25" s="436"/>
    </row>
    <row r="26" spans="1:20">
      <c r="I26" s="177"/>
      <c r="J26" s="177"/>
      <c r="K26" s="177"/>
      <c r="L26" s="227"/>
      <c r="M26" s="227"/>
      <c r="N26" s="227"/>
      <c r="O26" s="227"/>
      <c r="P26" s="227"/>
      <c r="Q26" s="227"/>
      <c r="R26" s="227"/>
      <c r="S26" s="227"/>
      <c r="T26" s="227"/>
    </row>
    <row r="27" spans="1:20">
      <c r="H27" s="177"/>
      <c r="I27" s="177"/>
      <c r="J27" s="177"/>
      <c r="K27" s="177"/>
      <c r="L27" s="227"/>
      <c r="M27" s="227"/>
      <c r="N27" s="227"/>
      <c r="O27" s="227"/>
      <c r="P27" s="227"/>
      <c r="Q27" s="227"/>
      <c r="R27" s="227"/>
      <c r="S27" s="227"/>
    </row>
  </sheetData>
  <mergeCells count="8">
    <mergeCell ref="B9:E9"/>
    <mergeCell ref="G9:J9"/>
    <mergeCell ref="A1:J1"/>
    <mergeCell ref="A6:J6"/>
    <mergeCell ref="A4:J4"/>
    <mergeCell ref="A2:J2"/>
    <mergeCell ref="A5:J5"/>
    <mergeCell ref="A3:J3"/>
  </mergeCells>
  <pageMargins left="0.7" right="0.7" top="0.75" bottom="0.75" header="0.3" footer="0.3"/>
  <pageSetup scale="81" fitToHeight="0" orientation="portrait" r:id="rId1"/>
  <headerFooter>
    <oddHeader>&amp;RPage &amp;P of &amp;N</oddHeader>
    <oddFooter>&amp;L&amp;A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4198-8B17-4F8B-B7A4-D98FF33A5259}">
  <sheetPr codeName="Sheet84"/>
  <dimension ref="B4:O16"/>
  <sheetViews>
    <sheetView workbookViewId="0"/>
  </sheetViews>
  <sheetFormatPr defaultRowHeight="15"/>
  <cols>
    <col min="2" max="2" width="1.42578125" customWidth="1"/>
    <col min="3" max="3" width="2" style="1245" bestFit="1" customWidth="1"/>
    <col min="4" max="5" width="1.42578125" customWidth="1"/>
    <col min="6" max="6" width="19.85546875" customWidth="1"/>
    <col min="7" max="7" width="1.42578125" customWidth="1"/>
    <col min="8" max="13" width="11.140625" customWidth="1"/>
    <col min="14" max="14" width="2" bestFit="1" customWidth="1"/>
    <col min="15" max="15" width="1.42578125" customWidth="1"/>
  </cols>
  <sheetData>
    <row r="4" spans="2:15" ht="7.5" customHeight="1">
      <c r="B4" s="1246"/>
      <c r="C4" s="1247"/>
      <c r="D4" s="1246"/>
      <c r="E4" s="1246"/>
      <c r="F4" s="1246"/>
      <c r="G4" s="1246"/>
      <c r="H4" s="1246"/>
      <c r="I4" s="1246"/>
      <c r="J4" s="1246"/>
      <c r="K4" s="1246"/>
      <c r="L4" s="1246"/>
      <c r="M4" s="1246"/>
      <c r="N4" s="1246"/>
      <c r="O4" s="1246"/>
    </row>
    <row r="5" spans="2:15">
      <c r="B5" s="1246"/>
      <c r="C5" s="1247">
        <v>1</v>
      </c>
      <c r="D5" s="1246"/>
      <c r="E5" s="1248"/>
      <c r="F5" s="1246"/>
      <c r="G5" s="1246"/>
      <c r="H5" s="1262">
        <v>2019</v>
      </c>
      <c r="I5" s="1262">
        <f>+H5+1</f>
        <v>2020</v>
      </c>
      <c r="J5" s="1262">
        <f>+I5+1</f>
        <v>2021</v>
      </c>
      <c r="K5" s="1262">
        <f>+J5+1</f>
        <v>2022</v>
      </c>
      <c r="L5" s="1262">
        <f>+K5+1</f>
        <v>2023</v>
      </c>
      <c r="M5" s="1262" t="s">
        <v>1473</v>
      </c>
      <c r="N5" s="1246"/>
      <c r="O5" s="1246"/>
    </row>
    <row r="6" spans="2:15" ht="7.5" customHeight="1">
      <c r="B6" s="1246"/>
      <c r="C6" s="1247"/>
      <c r="D6" s="1246"/>
      <c r="E6" s="1248"/>
      <c r="F6" s="1246"/>
      <c r="G6" s="1246"/>
      <c r="H6" s="1246"/>
      <c r="I6" s="1246"/>
      <c r="J6" s="1246"/>
      <c r="K6" s="1246"/>
      <c r="L6" s="1246"/>
      <c r="M6" s="1246"/>
      <c r="N6" s="1246"/>
      <c r="O6" s="1246"/>
    </row>
    <row r="7" spans="2:15">
      <c r="B7" s="1246"/>
      <c r="C7" s="1247">
        <v>2</v>
      </c>
      <c r="D7" s="1246"/>
      <c r="E7" s="1248"/>
      <c r="F7" s="1246" t="s">
        <v>4143</v>
      </c>
      <c r="G7" s="1246"/>
      <c r="H7" s="1251">
        <v>13702689.324999996</v>
      </c>
      <c r="I7" s="1251">
        <v>12699753.860000029</v>
      </c>
      <c r="J7" s="1251">
        <v>12786882.174999997</v>
      </c>
      <c r="K7" s="1251">
        <v>14758461.565000027</v>
      </c>
      <c r="L7" s="1251">
        <v>14359681.970000014</v>
      </c>
      <c r="M7" s="1246"/>
      <c r="N7" s="1246"/>
      <c r="O7" s="1246"/>
    </row>
    <row r="8" spans="2:15">
      <c r="B8" s="1246"/>
      <c r="C8" s="1247">
        <v>3</v>
      </c>
      <c r="D8" s="1246"/>
      <c r="E8" s="1248"/>
      <c r="F8" s="1255" t="s">
        <v>4145</v>
      </c>
      <c r="G8" s="1256"/>
      <c r="H8" s="1256"/>
      <c r="I8" s="1256"/>
      <c r="J8" s="1256"/>
      <c r="K8" s="1256"/>
      <c r="L8" s="1256"/>
      <c r="M8" s="1257">
        <f>+(L7/H7)^(1/4)-1</f>
        <v>1.1776883232300195E-2</v>
      </c>
      <c r="N8" s="1254" t="s">
        <v>4146</v>
      </c>
      <c r="O8" s="1246"/>
    </row>
    <row r="9" spans="2:15" ht="7.5" customHeight="1">
      <c r="B9" s="1246"/>
      <c r="C9" s="1247"/>
      <c r="D9" s="1246"/>
      <c r="E9" s="1248"/>
      <c r="F9" s="1246"/>
      <c r="G9" s="1246"/>
      <c r="H9" s="1246"/>
      <c r="I9" s="1246"/>
      <c r="J9" s="1246"/>
      <c r="K9" s="1246"/>
      <c r="L9" s="1246"/>
      <c r="M9" s="1249"/>
      <c r="N9" s="1246"/>
      <c r="O9" s="1246"/>
    </row>
    <row r="10" spans="2:15">
      <c r="B10" s="1246"/>
      <c r="C10" s="1247">
        <v>4</v>
      </c>
      <c r="D10" s="1246"/>
      <c r="E10" s="1248"/>
      <c r="F10" s="1246" t="s">
        <v>4144</v>
      </c>
      <c r="G10" s="1246"/>
      <c r="H10" s="1246"/>
      <c r="I10" s="1252">
        <f>+I7/H7-1</f>
        <v>-7.3192600460564416E-2</v>
      </c>
      <c r="J10" s="1252">
        <f>+J7/I7-1</f>
        <v>6.8606302106684058E-3</v>
      </c>
      <c r="K10" s="1252">
        <f>+K7/J7-1</f>
        <v>0.15418765599128781</v>
      </c>
      <c r="L10" s="1252">
        <f>+L7/K7-1</f>
        <v>-2.7020404074211024E-2</v>
      </c>
      <c r="M10" s="1249"/>
      <c r="N10" s="1246"/>
      <c r="O10" s="1246"/>
    </row>
    <row r="11" spans="2:15">
      <c r="B11" s="1246"/>
      <c r="C11" s="1247">
        <v>5</v>
      </c>
      <c r="D11" s="1246"/>
      <c r="E11" s="1248"/>
      <c r="F11" s="1255" t="s">
        <v>655</v>
      </c>
      <c r="G11" s="1256"/>
      <c r="H11" s="1256"/>
      <c r="I11" s="1261"/>
      <c r="J11" s="1261"/>
      <c r="K11" s="1261"/>
      <c r="L11" s="1261"/>
      <c r="M11" s="1257">
        <f>+AVERAGE(I10:L10)</f>
        <v>1.5208820416795193E-2</v>
      </c>
      <c r="N11" s="1253"/>
      <c r="O11" s="1246"/>
    </row>
    <row r="12" spans="2:15" ht="7.5" customHeight="1">
      <c r="B12" s="1246"/>
      <c r="C12" s="1247"/>
      <c r="D12" s="1246"/>
      <c r="E12" s="1248"/>
      <c r="F12" s="1246"/>
      <c r="G12" s="1246"/>
      <c r="H12" s="1246"/>
      <c r="I12" s="1252"/>
      <c r="J12" s="1252"/>
      <c r="K12" s="1252"/>
      <c r="L12" s="1252"/>
      <c r="M12" s="1249"/>
      <c r="N12" s="1246"/>
      <c r="O12" s="1246"/>
    </row>
    <row r="13" spans="2:15">
      <c r="B13" s="1246"/>
      <c r="C13" s="1247">
        <v>6</v>
      </c>
      <c r="D13" s="1246"/>
      <c r="E13" s="1248"/>
      <c r="F13" s="1246" t="s">
        <v>4147</v>
      </c>
      <c r="G13" s="1246"/>
      <c r="H13" s="1246"/>
      <c r="I13" s="1252">
        <f>+LN(I7/H7)</f>
        <v>-7.6009502490060818E-2</v>
      </c>
      <c r="J13" s="1252">
        <f>+LN(J7/I7)</f>
        <v>6.8372031756710827E-3</v>
      </c>
      <c r="K13" s="1252">
        <f>+LN(K7/J7)</f>
        <v>0.14339676837641208</v>
      </c>
      <c r="L13" s="1252">
        <f>+LN(L7/K7)</f>
        <v>-2.7392167287553885E-2</v>
      </c>
      <c r="M13" s="1249"/>
      <c r="N13" s="1246"/>
      <c r="O13" s="1246"/>
    </row>
    <row r="14" spans="2:15">
      <c r="B14" s="1246"/>
      <c r="C14" s="1247">
        <v>7</v>
      </c>
      <c r="D14" s="1246"/>
      <c r="E14" s="1248"/>
      <c r="F14" s="1255" t="s">
        <v>4214</v>
      </c>
      <c r="G14" s="1256"/>
      <c r="H14" s="1256"/>
      <c r="I14" s="1256"/>
      <c r="J14" s="1256"/>
      <c r="K14" s="1256"/>
      <c r="L14" s="1256"/>
      <c r="M14" s="1257">
        <f>+AVERAGE(I13:L13)</f>
        <v>1.1708075443617115E-2</v>
      </c>
      <c r="N14" s="1253"/>
      <c r="O14" s="1246"/>
    </row>
    <row r="15" spans="2:15">
      <c r="B15" s="1246"/>
      <c r="C15" s="1247">
        <v>8</v>
      </c>
      <c r="D15" s="1246"/>
      <c r="E15" s="1248"/>
      <c r="F15" s="1258" t="s">
        <v>4215</v>
      </c>
      <c r="G15" s="1259"/>
      <c r="H15" s="1259"/>
      <c r="I15" s="1259"/>
      <c r="J15" s="1259"/>
      <c r="K15" s="1259"/>
      <c r="L15" s="1259"/>
      <c r="M15" s="1260">
        <f>+EXP(M14)-1</f>
        <v>1.1776883232300195E-2</v>
      </c>
      <c r="N15" s="1250" t="s">
        <v>4146</v>
      </c>
      <c r="O15" s="1246"/>
    </row>
    <row r="16" spans="2:15" ht="7.5" customHeight="1">
      <c r="B16" s="1246"/>
      <c r="C16" s="1247"/>
      <c r="D16" s="1246"/>
      <c r="E16" s="1246"/>
      <c r="F16" s="1246"/>
      <c r="G16" s="1246"/>
      <c r="H16" s="1246"/>
      <c r="I16" s="1246"/>
      <c r="J16" s="1246"/>
      <c r="K16" s="1246"/>
      <c r="L16" s="1246"/>
      <c r="M16" s="1246"/>
      <c r="N16" s="1246"/>
      <c r="O16" s="124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21B1-7E34-4162-90D7-18909835E930}">
  <sheetPr codeName="Sheet59"/>
  <dimension ref="A1:M18"/>
  <sheetViews>
    <sheetView workbookViewId="0"/>
  </sheetViews>
  <sheetFormatPr defaultColWidth="8.85546875" defaultRowHeight="15"/>
  <cols>
    <col min="1" max="16384" width="8.85546875" style="53"/>
  </cols>
  <sheetData>
    <row r="1" spans="1:13">
      <c r="A1" s="12" t="str">
        <f ca="1">MID(CELL("filename",A1),FIND("]",CELL("filename",A1))+1,255)</f>
        <v>Rev Req ---&gt;</v>
      </c>
    </row>
    <row r="2" spans="1:13">
      <c r="B2" s="1414" t="s">
        <v>533</v>
      </c>
      <c r="C2" s="1414"/>
      <c r="D2" s="1414"/>
      <c r="E2" s="1414"/>
      <c r="F2" s="1414"/>
      <c r="G2" s="1414"/>
      <c r="H2" s="1414"/>
      <c r="I2" s="1414"/>
      <c r="J2" s="1414"/>
      <c r="K2" s="1414"/>
      <c r="L2" s="1414"/>
      <c r="M2" s="1414"/>
    </row>
    <row r="3" spans="1:13">
      <c r="B3" s="1414"/>
      <c r="C3" s="1414"/>
      <c r="D3" s="1414"/>
      <c r="E3" s="1414"/>
      <c r="F3" s="1414"/>
      <c r="G3" s="1414"/>
      <c r="H3" s="1414"/>
      <c r="I3" s="1414"/>
      <c r="J3" s="1414"/>
      <c r="K3" s="1414"/>
      <c r="L3" s="1414"/>
      <c r="M3" s="1414"/>
    </row>
    <row r="4" spans="1:13">
      <c r="B4" s="1414"/>
      <c r="C4" s="1414"/>
      <c r="D4" s="1414"/>
      <c r="E4" s="1414"/>
      <c r="F4" s="1414"/>
      <c r="G4" s="1414"/>
      <c r="H4" s="1414"/>
      <c r="I4" s="1414"/>
      <c r="J4" s="1414"/>
      <c r="K4" s="1414"/>
      <c r="L4" s="1414"/>
      <c r="M4" s="1414"/>
    </row>
    <row r="5" spans="1:13">
      <c r="B5" s="1414"/>
      <c r="C5" s="1414"/>
      <c r="D5" s="1414"/>
      <c r="E5" s="1414"/>
      <c r="F5" s="1414"/>
      <c r="G5" s="1414"/>
      <c r="H5" s="1414"/>
      <c r="I5" s="1414"/>
      <c r="J5" s="1414"/>
      <c r="K5" s="1414"/>
      <c r="L5" s="1414"/>
      <c r="M5" s="1414"/>
    </row>
    <row r="6" spans="1:13">
      <c r="B6" s="1414"/>
      <c r="C6" s="1414"/>
      <c r="D6" s="1414"/>
      <c r="E6" s="1414"/>
      <c r="F6" s="1414"/>
      <c r="G6" s="1414"/>
      <c r="H6" s="1414"/>
      <c r="I6" s="1414"/>
      <c r="J6" s="1414"/>
      <c r="K6" s="1414"/>
      <c r="L6" s="1414"/>
      <c r="M6" s="1414"/>
    </row>
    <row r="7" spans="1:13">
      <c r="B7" s="1414"/>
      <c r="C7" s="1414"/>
      <c r="D7" s="1414"/>
      <c r="E7" s="1414"/>
      <c r="F7" s="1414"/>
      <c r="G7" s="1414"/>
      <c r="H7" s="1414"/>
      <c r="I7" s="1414"/>
      <c r="J7" s="1414"/>
      <c r="K7" s="1414"/>
      <c r="L7" s="1414"/>
      <c r="M7" s="1414"/>
    </row>
    <row r="8" spans="1:13">
      <c r="B8" s="1414"/>
      <c r="C8" s="1414"/>
      <c r="D8" s="1414"/>
      <c r="E8" s="1414"/>
      <c r="F8" s="1414"/>
      <c r="G8" s="1414"/>
      <c r="H8" s="1414"/>
      <c r="I8" s="1414"/>
      <c r="J8" s="1414"/>
      <c r="K8" s="1414"/>
      <c r="L8" s="1414"/>
      <c r="M8" s="1414"/>
    </row>
    <row r="9" spans="1:13">
      <c r="B9" s="1414"/>
      <c r="C9" s="1414"/>
      <c r="D9" s="1414"/>
      <c r="E9" s="1414"/>
      <c r="F9" s="1414"/>
      <c r="G9" s="1414"/>
      <c r="H9" s="1414"/>
      <c r="I9" s="1414"/>
      <c r="J9" s="1414"/>
      <c r="K9" s="1414"/>
      <c r="L9" s="1414"/>
      <c r="M9" s="1414"/>
    </row>
    <row r="10" spans="1:13">
      <c r="B10" s="1414"/>
      <c r="C10" s="1414"/>
      <c r="D10" s="1414"/>
      <c r="E10" s="1414"/>
      <c r="F10" s="1414"/>
      <c r="G10" s="1414"/>
      <c r="H10" s="1414"/>
      <c r="I10" s="1414"/>
      <c r="J10" s="1414"/>
      <c r="K10" s="1414"/>
      <c r="L10" s="1414"/>
      <c r="M10" s="1414"/>
    </row>
    <row r="11" spans="1:13">
      <c r="B11" s="1414"/>
      <c r="C11" s="1414"/>
      <c r="D11" s="1414"/>
      <c r="E11" s="1414"/>
      <c r="F11" s="1414"/>
      <c r="G11" s="1414"/>
      <c r="H11" s="1414"/>
      <c r="I11" s="1414"/>
      <c r="J11" s="1414"/>
      <c r="K11" s="1414"/>
      <c r="L11" s="1414"/>
      <c r="M11" s="1414"/>
    </row>
    <row r="12" spans="1:13">
      <c r="B12" s="1414"/>
      <c r="C12" s="1414"/>
      <c r="D12" s="1414"/>
      <c r="E12" s="1414"/>
      <c r="F12" s="1414"/>
      <c r="G12" s="1414"/>
      <c r="H12" s="1414"/>
      <c r="I12" s="1414"/>
      <c r="J12" s="1414"/>
      <c r="K12" s="1414"/>
      <c r="L12" s="1414"/>
      <c r="M12" s="1414"/>
    </row>
    <row r="13" spans="1:13">
      <c r="B13" s="1414"/>
      <c r="C13" s="1414"/>
      <c r="D13" s="1414"/>
      <c r="E13" s="1414"/>
      <c r="F13" s="1414"/>
      <c r="G13" s="1414"/>
      <c r="H13" s="1414"/>
      <c r="I13" s="1414"/>
      <c r="J13" s="1414"/>
      <c r="K13" s="1414"/>
      <c r="L13" s="1414"/>
      <c r="M13" s="1414"/>
    </row>
    <row r="14" spans="1:13">
      <c r="B14" s="1414"/>
      <c r="C14" s="1414"/>
      <c r="D14" s="1414"/>
      <c r="E14" s="1414"/>
      <c r="F14" s="1414"/>
      <c r="G14" s="1414"/>
      <c r="H14" s="1414"/>
      <c r="I14" s="1414"/>
      <c r="J14" s="1414"/>
      <c r="K14" s="1414"/>
      <c r="L14" s="1414"/>
      <c r="M14" s="1414"/>
    </row>
    <row r="15" spans="1:13">
      <c r="B15" s="1414"/>
      <c r="C15" s="1414"/>
      <c r="D15" s="1414"/>
      <c r="E15" s="1414"/>
      <c r="F15" s="1414"/>
      <c r="G15" s="1414"/>
      <c r="H15" s="1414"/>
      <c r="I15" s="1414"/>
      <c r="J15" s="1414"/>
      <c r="K15" s="1414"/>
      <c r="L15" s="1414"/>
      <c r="M15" s="1414"/>
    </row>
    <row r="16" spans="1:13">
      <c r="B16" s="1414"/>
      <c r="C16" s="1414"/>
      <c r="D16" s="1414"/>
      <c r="E16" s="1414"/>
      <c r="F16" s="1414"/>
      <c r="G16" s="1414"/>
      <c r="H16" s="1414"/>
      <c r="I16" s="1414"/>
      <c r="J16" s="1414"/>
      <c r="K16" s="1414"/>
      <c r="L16" s="1414"/>
      <c r="M16" s="1414"/>
    </row>
    <row r="17" spans="2:13">
      <c r="B17" s="1414"/>
      <c r="C17" s="1414"/>
      <c r="D17" s="1414"/>
      <c r="E17" s="1414"/>
      <c r="F17" s="1414"/>
      <c r="G17" s="1414"/>
      <c r="H17" s="1414"/>
      <c r="I17" s="1414"/>
      <c r="J17" s="1414"/>
      <c r="K17" s="1414"/>
      <c r="L17" s="1414"/>
      <c r="M17" s="1414"/>
    </row>
    <row r="18" spans="2:13">
      <c r="B18" s="1414"/>
      <c r="C18" s="1414"/>
      <c r="D18" s="1414"/>
      <c r="E18" s="1414"/>
      <c r="F18" s="1414"/>
      <c r="G18" s="1414"/>
      <c r="H18" s="1414"/>
      <c r="I18" s="1414"/>
      <c r="J18" s="1414"/>
      <c r="K18" s="1414"/>
      <c r="L18" s="1414"/>
      <c r="M18" s="1414"/>
    </row>
  </sheetData>
  <mergeCells count="1">
    <mergeCell ref="B2:M18"/>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76"/>
  <sheetViews>
    <sheetView topLeftCell="A4" workbookViewId="0">
      <selection activeCell="C38" sqref="C38"/>
    </sheetView>
  </sheetViews>
  <sheetFormatPr defaultColWidth="9.140625" defaultRowHeight="15"/>
  <cols>
    <col min="1" max="1" width="5.85546875" style="389" customWidth="1"/>
    <col min="2" max="2" width="36.85546875" style="389" customWidth="1"/>
    <col min="3" max="9" width="15" style="389" customWidth="1"/>
    <col min="10" max="10" width="5" style="389" customWidth="1"/>
    <col min="11" max="11" width="4.7109375" style="389" customWidth="1"/>
    <col min="12" max="12" width="14.85546875" style="389" bestFit="1" customWidth="1"/>
    <col min="13" max="13" width="10.140625" style="389" bestFit="1" customWidth="1"/>
    <col min="14" max="14" width="12.28515625" style="389" bestFit="1" customWidth="1"/>
    <col min="15" max="15" width="32.140625" style="389" bestFit="1" customWidth="1"/>
    <col min="16" max="16" width="6.5703125" style="389" bestFit="1" customWidth="1"/>
    <col min="17" max="17" width="33" style="389" bestFit="1" customWidth="1"/>
    <col min="18" max="18" width="12.28515625" style="389" bestFit="1" customWidth="1"/>
    <col min="19" max="16384" width="9.140625" style="389"/>
  </cols>
  <sheetData>
    <row r="1" spans="1:17">
      <c r="A1" s="1439" t="str">
        <f>Company</f>
        <v>Cascade Natural Gas Corp.</v>
      </c>
      <c r="B1" s="1439"/>
      <c r="C1" s="1439"/>
      <c r="D1" s="1439"/>
      <c r="E1" s="1439"/>
      <c r="F1" s="1439"/>
      <c r="G1" s="1439"/>
      <c r="H1" s="1439"/>
      <c r="I1" s="1439"/>
    </row>
    <row r="2" spans="1:17">
      <c r="A2" s="1439" t="str">
        <f>Title1</f>
        <v>Washington Jurisdiction</v>
      </c>
      <c r="B2" s="1439"/>
      <c r="C2" s="1439"/>
      <c r="D2" s="1439"/>
      <c r="E2" s="1439"/>
      <c r="F2" s="1439"/>
      <c r="G2" s="1439"/>
      <c r="H2" s="1439"/>
      <c r="I2" s="1439"/>
    </row>
    <row r="3" spans="1:17">
      <c r="A3" s="1439" t="str">
        <f>Title2</f>
        <v>Twelve-Months ended December 31, 2023</v>
      </c>
      <c r="B3" s="1439"/>
      <c r="C3" s="1439"/>
      <c r="D3" s="1439"/>
      <c r="E3" s="1439"/>
      <c r="F3" s="1439"/>
      <c r="G3" s="1439"/>
      <c r="H3" s="1439"/>
      <c r="I3" s="1439"/>
    </row>
    <row r="4" spans="1:17">
      <c r="A4" s="1439" t="s">
        <v>534</v>
      </c>
      <c r="B4" s="1439"/>
      <c r="C4" s="1439"/>
      <c r="D4" s="1439"/>
      <c r="E4" s="1439"/>
      <c r="F4" s="1439"/>
      <c r="G4" s="1439"/>
      <c r="H4" s="1439"/>
      <c r="I4" s="1439"/>
      <c r="L4" s="393"/>
      <c r="N4" s="442"/>
    </row>
    <row r="5" spans="1:17">
      <c r="A5" s="846"/>
      <c r="B5" s="846"/>
      <c r="C5" s="846"/>
      <c r="D5" s="846"/>
      <c r="E5" s="846"/>
      <c r="F5" s="846"/>
      <c r="G5" s="846"/>
      <c r="H5" s="846"/>
      <c r="I5" s="846"/>
      <c r="L5" s="393"/>
      <c r="N5" s="442"/>
    </row>
    <row r="6" spans="1:17">
      <c r="A6" s="1440" t="s">
        <v>535</v>
      </c>
      <c r="B6" s="1440"/>
      <c r="C6" s="1440"/>
      <c r="D6" s="1440"/>
      <c r="E6" s="1440"/>
      <c r="F6" s="1440"/>
      <c r="G6" s="1440"/>
      <c r="H6" s="1440"/>
      <c r="I6" s="1440"/>
      <c r="L6" s="410"/>
      <c r="N6" s="393"/>
    </row>
    <row r="7" spans="1:17" ht="45">
      <c r="A7" s="390" t="s">
        <v>536</v>
      </c>
      <c r="B7" s="390" t="s">
        <v>537</v>
      </c>
      <c r="C7" s="390" t="s">
        <v>538</v>
      </c>
      <c r="D7" s="390" t="s">
        <v>539</v>
      </c>
      <c r="E7" s="390" t="s">
        <v>540</v>
      </c>
      <c r="F7" s="390" t="s">
        <v>541</v>
      </c>
      <c r="G7" s="390" t="s">
        <v>542</v>
      </c>
      <c r="H7" s="390" t="s">
        <v>543</v>
      </c>
      <c r="I7" s="390" t="s">
        <v>544</v>
      </c>
      <c r="L7" s="410"/>
      <c r="N7" s="393"/>
    </row>
    <row r="8" spans="1:17">
      <c r="A8" s="489"/>
      <c r="B8" s="490" t="s">
        <v>439</v>
      </c>
      <c r="C8" s="490" t="s">
        <v>208</v>
      </c>
      <c r="D8" s="491" t="s">
        <v>209</v>
      </c>
      <c r="E8" s="490" t="s">
        <v>545</v>
      </c>
      <c r="F8" s="491" t="s">
        <v>441</v>
      </c>
      <c r="G8" s="490" t="s">
        <v>546</v>
      </c>
      <c r="H8" s="490" t="s">
        <v>443</v>
      </c>
      <c r="I8" s="490" t="s">
        <v>547</v>
      </c>
      <c r="L8" s="410"/>
      <c r="N8" s="393"/>
    </row>
    <row r="9" spans="1:17">
      <c r="A9" s="394">
        <v>1</v>
      </c>
      <c r="B9" s="395" t="s">
        <v>548</v>
      </c>
      <c r="C9" s="396"/>
      <c r="D9" s="397"/>
      <c r="E9" s="396"/>
      <c r="F9" s="397"/>
      <c r="G9" s="396"/>
      <c r="H9" s="396"/>
      <c r="I9" s="396"/>
      <c r="L9" s="410"/>
      <c r="N9" s="393"/>
    </row>
    <row r="10" spans="1:17">
      <c r="A10" s="394">
        <v>2</v>
      </c>
      <c r="B10" s="396" t="s">
        <v>549</v>
      </c>
      <c r="C10" s="398">
        <f>+'Operating Report'!F18</f>
        <v>343212023.94</v>
      </c>
      <c r="D10" s="951">
        <f>'Exh JAD-7, Summary of Adj'!O8</f>
        <v>-229884912.31228784</v>
      </c>
      <c r="E10" s="400">
        <f>SUM(C10:D10)</f>
        <v>113327111.62771216</v>
      </c>
      <c r="F10" s="399">
        <f>'Exh JAD-7, Summary of Adj'!Z8</f>
        <v>0</v>
      </c>
      <c r="G10" s="400">
        <f>SUM(E10:F10)</f>
        <v>113327111.62771216</v>
      </c>
      <c r="H10" s="400">
        <f>+'Exh JAD-5, Rev Req Calc'!C15</f>
        <v>30458350</v>
      </c>
      <c r="I10" s="400">
        <f>SUM(G10:H10)</f>
        <v>143785461.62771216</v>
      </c>
      <c r="K10" s="391"/>
      <c r="L10" s="569"/>
      <c r="M10" s="411"/>
      <c r="N10" s="393"/>
      <c r="P10" s="393"/>
    </row>
    <row r="11" spans="1:17">
      <c r="A11" s="394">
        <v>3</v>
      </c>
      <c r="B11" s="396" t="s">
        <v>550</v>
      </c>
      <c r="C11" s="401">
        <f>+'Operating Report'!F22</f>
        <v>30892186.289999999</v>
      </c>
      <c r="D11" s="399">
        <f>'Exh JAD-7, Summary of Adj'!O9</f>
        <v>648734.92715618934</v>
      </c>
      <c r="E11" s="400">
        <f>SUM(C11:D11)</f>
        <v>31540921.217156187</v>
      </c>
      <c r="F11" s="399">
        <f>'Exh JAD-7, Summary of Adj'!Z9</f>
        <v>0</v>
      </c>
      <c r="G11" s="400">
        <f>SUM(E11:F11)</f>
        <v>31540921.217156187</v>
      </c>
      <c r="H11" s="399"/>
      <c r="I11" s="400">
        <f>SUM(G11:H11)</f>
        <v>31540921.217156187</v>
      </c>
      <c r="K11" s="391"/>
      <c r="L11" s="410"/>
      <c r="N11" s="393"/>
      <c r="P11" s="393"/>
    </row>
    <row r="12" spans="1:17">
      <c r="A12" s="394">
        <v>4</v>
      </c>
      <c r="B12" s="396" t="s">
        <v>551</v>
      </c>
      <c r="C12" s="402">
        <f>+'Operating Report'!F28-'Operating Report'!F22</f>
        <v>2145649.7100000046</v>
      </c>
      <c r="D12" s="952">
        <f>'Exh JAD-7, Summary of Adj'!O10</f>
        <v>-1384432.9500000002</v>
      </c>
      <c r="E12" s="404">
        <f>SUM(C12:D12)</f>
        <v>761216.76000000443</v>
      </c>
      <c r="F12" s="403">
        <f>'Exh JAD-7, Summary of Adj'!Z10</f>
        <v>0</v>
      </c>
      <c r="G12" s="404">
        <f>SUM(E12:F12)</f>
        <v>761216.76000000443</v>
      </c>
      <c r="H12" s="403"/>
      <c r="I12" s="404">
        <f>SUM(G12:H12)</f>
        <v>761216.76000000443</v>
      </c>
      <c r="K12" s="391"/>
      <c r="L12" s="410"/>
      <c r="N12" s="393"/>
      <c r="P12" s="393"/>
      <c r="Q12" s="393"/>
    </row>
    <row r="13" spans="1:17">
      <c r="A13" s="394">
        <v>5</v>
      </c>
      <c r="B13" s="405" t="s">
        <v>552</v>
      </c>
      <c r="C13" s="401">
        <f t="shared" ref="C13:I13" si="0">SUM(C10:C12)</f>
        <v>376249859.94</v>
      </c>
      <c r="D13" s="953">
        <f t="shared" si="0"/>
        <v>-230620610.33513165</v>
      </c>
      <c r="E13" s="401">
        <f t="shared" si="0"/>
        <v>145629249.60486835</v>
      </c>
      <c r="F13" s="401">
        <f t="shared" si="0"/>
        <v>0</v>
      </c>
      <c r="G13" s="401">
        <f t="shared" si="0"/>
        <v>145629249.60486835</v>
      </c>
      <c r="H13" s="450">
        <f t="shared" si="0"/>
        <v>30458350</v>
      </c>
      <c r="I13" s="401">
        <f t="shared" si="0"/>
        <v>176087599.60486835</v>
      </c>
      <c r="K13" s="391"/>
      <c r="L13" s="572"/>
      <c r="N13" s="393"/>
      <c r="O13" s="442"/>
      <c r="P13" s="393"/>
    </row>
    <row r="14" spans="1:17">
      <c r="A14" s="394">
        <v>6</v>
      </c>
      <c r="B14" s="396"/>
      <c r="C14" s="406"/>
      <c r="D14" s="954"/>
      <c r="E14" s="406"/>
      <c r="F14" s="406"/>
      <c r="G14" s="406"/>
      <c r="H14" s="406"/>
      <c r="I14" s="406"/>
      <c r="K14" s="391"/>
      <c r="L14" s="410"/>
      <c r="N14" s="393"/>
      <c r="O14" s="442"/>
      <c r="P14" s="391"/>
    </row>
    <row r="15" spans="1:17">
      <c r="A15" s="394">
        <v>7</v>
      </c>
      <c r="B15" s="395" t="s">
        <v>553</v>
      </c>
      <c r="C15" s="406"/>
      <c r="D15" s="954"/>
      <c r="E15" s="406"/>
      <c r="F15" s="406"/>
      <c r="G15" s="406"/>
      <c r="H15" s="406"/>
      <c r="I15" s="406"/>
      <c r="K15" s="391"/>
      <c r="L15" s="410"/>
      <c r="N15" s="393"/>
      <c r="O15" s="453"/>
    </row>
    <row r="16" spans="1:17">
      <c r="A16" s="394">
        <v>8</v>
      </c>
      <c r="B16" s="407" t="s">
        <v>554</v>
      </c>
      <c r="C16" s="401">
        <f>+'Operating Report'!F38</f>
        <v>212859301.59999999</v>
      </c>
      <c r="D16" s="951">
        <f>'Exh JAD-7, Summary of Adj'!O14</f>
        <v>-212859301.60000002</v>
      </c>
      <c r="E16" s="400">
        <f t="shared" ref="E16:E27" si="1">SUM(C16:D16)</f>
        <v>0</v>
      </c>
      <c r="F16" s="399">
        <f>+'Exh JAD-7, Summary of Adj'!Z14</f>
        <v>0</v>
      </c>
      <c r="G16" s="400">
        <f t="shared" ref="G16:G27" si="2">SUM(E16:F16)</f>
        <v>0</v>
      </c>
      <c r="H16" s="399"/>
      <c r="I16" s="400">
        <f t="shared" ref="I16:I27" si="3">SUM(G16:H16)</f>
        <v>0</v>
      </c>
      <c r="L16" s="410"/>
      <c r="N16" s="393"/>
      <c r="O16" s="442"/>
    </row>
    <row r="17" spans="1:16">
      <c r="A17" s="394">
        <v>9</v>
      </c>
      <c r="B17" s="407" t="s">
        <v>555</v>
      </c>
      <c r="C17" s="401">
        <f>+'Operating Report'!F54</f>
        <v>32918615.609999999</v>
      </c>
      <c r="D17" s="951">
        <f>'Exh JAD-7, Summary of Adj'!O15</f>
        <v>-9173581.9973377958</v>
      </c>
      <c r="E17" s="400">
        <f t="shared" si="1"/>
        <v>23745033.612662204</v>
      </c>
      <c r="F17" s="399">
        <f>+'Exh JAD-7, Summary of Adj'!Z15</f>
        <v>0</v>
      </c>
      <c r="G17" s="400">
        <f>SUM(E17:F17)</f>
        <v>23745033.612662204</v>
      </c>
      <c r="H17" s="399">
        <f>+H13*('Exh JAD-6, Conversion Factor'!$C$11+'Exh JAD-6, Conversion Factor'!$C$12)</f>
        <v>1295089.0420000001</v>
      </c>
      <c r="I17" s="400">
        <f>SUM(G17:H17)</f>
        <v>25040122.654662203</v>
      </c>
      <c r="L17" s="410"/>
      <c r="N17" s="393"/>
      <c r="O17" s="442"/>
    </row>
    <row r="18" spans="1:16">
      <c r="A18" s="394">
        <v>10</v>
      </c>
      <c r="B18" s="408" t="s">
        <v>556</v>
      </c>
      <c r="C18" s="401">
        <f>+'Operating Report'!F58</f>
        <v>585410.31000000006</v>
      </c>
      <c r="D18" s="951">
        <f>'Exh JAD-7, Summary of Adj'!O16</f>
        <v>-33688.839999999997</v>
      </c>
      <c r="E18" s="400">
        <f t="shared" si="1"/>
        <v>551721.47000000009</v>
      </c>
      <c r="F18" s="399">
        <f>+'Exh JAD-7, Summary of Adj'!Z16</f>
        <v>20373.333399097701</v>
      </c>
      <c r="G18" s="400">
        <f t="shared" si="2"/>
        <v>572094.80339909776</v>
      </c>
      <c r="H18" s="399"/>
      <c r="I18" s="400">
        <f t="shared" si="3"/>
        <v>572094.80339909776</v>
      </c>
      <c r="L18" s="410"/>
      <c r="N18" s="393"/>
      <c r="O18" s="442"/>
    </row>
    <row r="19" spans="1:16">
      <c r="A19" s="394">
        <v>11</v>
      </c>
      <c r="B19" s="408" t="s">
        <v>557</v>
      </c>
      <c r="C19" s="401">
        <f>+'Operating Report'!F88</f>
        <v>22556597.530000001</v>
      </c>
      <c r="D19" s="951">
        <f>'Exh JAD-7, Summary of Adj'!O17</f>
        <v>-333328.47609999997</v>
      </c>
      <c r="E19" s="400">
        <f t="shared" si="1"/>
        <v>22223269.0539</v>
      </c>
      <c r="F19" s="399">
        <f>+'Exh JAD-7, Summary of Adj'!Z17</f>
        <v>2909531.3678102503</v>
      </c>
      <c r="G19" s="400">
        <f t="shared" si="2"/>
        <v>25132800.421710249</v>
      </c>
      <c r="H19" s="399"/>
      <c r="I19" s="400">
        <f t="shared" si="3"/>
        <v>25132800.421710249</v>
      </c>
      <c r="L19" s="410"/>
      <c r="N19" s="393"/>
    </row>
    <row r="20" spans="1:16">
      <c r="A20" s="394">
        <v>12</v>
      </c>
      <c r="B20" s="408" t="s">
        <v>558</v>
      </c>
      <c r="C20" s="401">
        <f>+'Operating Report'!F96</f>
        <v>7918412.9099999992</v>
      </c>
      <c r="D20" s="951">
        <f>'Exh JAD-7, Summary of Adj'!O18</f>
        <v>-1103460.1792215137</v>
      </c>
      <c r="E20" s="400">
        <f t="shared" si="1"/>
        <v>6814952.7307784855</v>
      </c>
      <c r="F20" s="399">
        <f>+'Exh JAD-7, Summary of Adj'!Z18</f>
        <v>210672.92954878751</v>
      </c>
      <c r="G20" s="400">
        <f t="shared" si="2"/>
        <v>7025625.6603272734</v>
      </c>
      <c r="H20" s="399">
        <f>+H13*'Exh JAD-6, Conversion Factor'!$C$10</f>
        <v>204645.3009225378</v>
      </c>
      <c r="I20" s="400">
        <f t="shared" si="3"/>
        <v>7230270.9612498116</v>
      </c>
      <c r="K20" s="391"/>
      <c r="L20" s="410"/>
      <c r="N20" s="393"/>
      <c r="P20" s="391"/>
    </row>
    <row r="21" spans="1:16">
      <c r="A21" s="394">
        <v>13</v>
      </c>
      <c r="B21" s="408" t="s">
        <v>559</v>
      </c>
      <c r="C21" s="401">
        <f>+'Operating Report'!F103</f>
        <v>8284399.7899999991</v>
      </c>
      <c r="D21" s="951">
        <f>'Exh JAD-7, Summary of Adj'!O19</f>
        <v>-8196261.3200000003</v>
      </c>
      <c r="E21" s="400">
        <f t="shared" si="1"/>
        <v>88138.469999998808</v>
      </c>
      <c r="F21" s="399">
        <f>+'Exh JAD-7, Summary of Adj'!Z19</f>
        <v>558.70429952479026</v>
      </c>
      <c r="G21" s="400">
        <f t="shared" si="2"/>
        <v>88697.174299523598</v>
      </c>
      <c r="H21" s="399"/>
      <c r="I21" s="400">
        <f t="shared" si="3"/>
        <v>88697.174299523598</v>
      </c>
      <c r="K21" s="409"/>
      <c r="L21" s="410"/>
      <c r="N21" s="393"/>
    </row>
    <row r="22" spans="1:16">
      <c r="A22" s="394">
        <v>14</v>
      </c>
      <c r="B22" s="408" t="s">
        <v>560</v>
      </c>
      <c r="C22" s="401">
        <f>+'Operating Report'!F110</f>
        <v>18968.669999999998</v>
      </c>
      <c r="D22" s="951">
        <f>'Exh JAD-7, Summary of Adj'!O20</f>
        <v>-1362.16</v>
      </c>
      <c r="E22" s="400">
        <f t="shared" si="1"/>
        <v>17606.509999999998</v>
      </c>
      <c r="F22" s="399">
        <f>+'Exh JAD-7, Summary of Adj'!Z20</f>
        <v>1046.9438220373243</v>
      </c>
      <c r="G22" s="400">
        <f t="shared" si="2"/>
        <v>18653.453822037322</v>
      </c>
      <c r="H22" s="399"/>
      <c r="I22" s="400">
        <f t="shared" si="3"/>
        <v>18653.453822037322</v>
      </c>
      <c r="L22" s="410"/>
      <c r="N22" s="393"/>
    </row>
    <row r="23" spans="1:16">
      <c r="A23" s="394">
        <v>15</v>
      </c>
      <c r="B23" s="408" t="s">
        <v>561</v>
      </c>
      <c r="C23" s="401">
        <f>+'Operating Report'!F126</f>
        <v>23529877.749999996</v>
      </c>
      <c r="D23" s="951">
        <f>'Exh JAD-7, Summary of Adj'!O21</f>
        <v>-497618.12230000016</v>
      </c>
      <c r="E23" s="400">
        <f t="shared" si="1"/>
        <v>23032259.627699997</v>
      </c>
      <c r="F23" s="399">
        <f>+'Exh JAD-7, Summary of Adj'!Z21</f>
        <v>3724246.9797120597</v>
      </c>
      <c r="G23" s="400">
        <f t="shared" si="2"/>
        <v>26756506.607412055</v>
      </c>
      <c r="H23" s="399"/>
      <c r="I23" s="400">
        <f t="shared" si="3"/>
        <v>26756506.607412055</v>
      </c>
      <c r="L23" s="393"/>
      <c r="N23" s="393"/>
    </row>
    <row r="24" spans="1:16">
      <c r="A24" s="394">
        <v>16</v>
      </c>
      <c r="B24" s="408" t="s">
        <v>562</v>
      </c>
      <c r="C24" s="398">
        <f>+'Operating Report'!F138</f>
        <v>31072909.050000001</v>
      </c>
      <c r="D24" s="399">
        <f>'Exh JAD-7, Summary of Adj'!O22</f>
        <v>1212420.2491410039</v>
      </c>
      <c r="E24" s="400">
        <f t="shared" si="1"/>
        <v>32285329.299141005</v>
      </c>
      <c r="F24" s="399">
        <f>+'Exh JAD-7, Summary of Adj'!Z22</f>
        <v>0</v>
      </c>
      <c r="G24" s="400">
        <f t="shared" si="2"/>
        <v>32285329.299141005</v>
      </c>
      <c r="H24" s="399"/>
      <c r="I24" s="400">
        <f t="shared" si="3"/>
        <v>32285329.299141005</v>
      </c>
      <c r="N24" s="393"/>
      <c r="P24" s="393"/>
    </row>
    <row r="25" spans="1:16">
      <c r="A25" s="394">
        <v>17</v>
      </c>
      <c r="B25" s="408" t="s">
        <v>563</v>
      </c>
      <c r="C25" s="399"/>
      <c r="D25" s="399">
        <f>'Exh JAD-7, Summary of Adj'!O23</f>
        <v>0</v>
      </c>
      <c r="E25" s="400">
        <f t="shared" si="1"/>
        <v>0</v>
      </c>
      <c r="F25" s="399">
        <f>+'Exh JAD-7, Summary of Adj'!Z23</f>
        <v>0</v>
      </c>
      <c r="G25" s="400">
        <f t="shared" si="2"/>
        <v>0</v>
      </c>
      <c r="H25" s="399"/>
      <c r="I25" s="400">
        <f t="shared" si="3"/>
        <v>0</v>
      </c>
      <c r="L25" s="393"/>
      <c r="N25" s="393"/>
      <c r="P25" s="393"/>
    </row>
    <row r="26" spans="1:16">
      <c r="A26" s="394">
        <v>18</v>
      </c>
      <c r="B26" s="408" t="s">
        <v>564</v>
      </c>
      <c r="C26" s="401">
        <f>+'Operating Report'!F143</f>
        <v>4271896.63</v>
      </c>
      <c r="D26" s="399">
        <f>'Exh JAD-7, Summary of Adj'!O24</f>
        <v>6838.6560552000001</v>
      </c>
      <c r="E26" s="400">
        <f t="shared" si="1"/>
        <v>4278735.2860551998</v>
      </c>
      <c r="F26" s="399">
        <f>+'Exh JAD-7, Summary of Adj'!Z24</f>
        <v>310404.43616302253</v>
      </c>
      <c r="G26" s="400">
        <f t="shared" si="2"/>
        <v>4589139.722218222</v>
      </c>
      <c r="H26" s="399"/>
      <c r="I26" s="400">
        <f t="shared" si="3"/>
        <v>4589139.722218222</v>
      </c>
      <c r="L26" s="410"/>
      <c r="P26" s="393"/>
    </row>
    <row r="27" spans="1:16">
      <c r="A27" s="394">
        <v>19</v>
      </c>
      <c r="B27" s="408" t="s">
        <v>565</v>
      </c>
      <c r="C27" s="956">
        <f>+'Operating Report'!F152</f>
        <v>-200204.71999999732</v>
      </c>
      <c r="D27" s="952">
        <f>'Exh JAD-7, Summary of Adj'!O25</f>
        <v>75334.025472612338</v>
      </c>
      <c r="E27" s="957">
        <f t="shared" si="1"/>
        <v>-124870.69452738499</v>
      </c>
      <c r="F27" s="952">
        <f>+'Exh JAD-7, Summary of Adj'!Z25</f>
        <v>-514537.72840850707</v>
      </c>
      <c r="G27" s="957">
        <f t="shared" si="2"/>
        <v>-639408.42293589201</v>
      </c>
      <c r="H27" s="403">
        <f>(+H13-H17-H20)*'Exh JAD-6, Conversion Factor'!$C$33</f>
        <v>6081309.2879862664</v>
      </c>
      <c r="I27" s="404">
        <f t="shared" si="3"/>
        <v>5441900.8650503745</v>
      </c>
      <c r="K27" s="412"/>
      <c r="L27" s="393"/>
    </row>
    <row r="28" spans="1:16">
      <c r="A28" s="394">
        <v>20</v>
      </c>
      <c r="B28" s="405" t="s">
        <v>566</v>
      </c>
      <c r="C28" s="400">
        <f t="shared" ref="C28:I28" si="4">SUM(C16:C27)</f>
        <v>343816185.13000005</v>
      </c>
      <c r="D28" s="958">
        <f t="shared" si="4"/>
        <v>-230904009.76429048</v>
      </c>
      <c r="E28" s="958">
        <f t="shared" si="4"/>
        <v>112912175.36570948</v>
      </c>
      <c r="F28" s="958">
        <f t="shared" si="4"/>
        <v>6662296.9663462732</v>
      </c>
      <c r="G28" s="400">
        <f t="shared" si="4"/>
        <v>119574472.33205578</v>
      </c>
      <c r="H28" s="400">
        <f t="shared" si="4"/>
        <v>7581043.630908804</v>
      </c>
      <c r="I28" s="400">
        <f t="shared" si="4"/>
        <v>127155515.96296458</v>
      </c>
      <c r="L28" s="392"/>
    </row>
    <row r="29" spans="1:16">
      <c r="A29" s="394">
        <v>21</v>
      </c>
      <c r="B29" s="405"/>
      <c r="C29" s="413"/>
      <c r="D29" s="959"/>
      <c r="E29" s="959"/>
      <c r="F29" s="959"/>
      <c r="G29" s="413"/>
      <c r="H29" s="413"/>
      <c r="I29" s="413"/>
    </row>
    <row r="30" spans="1:16" ht="15.75" thickBot="1">
      <c r="A30" s="394">
        <v>22</v>
      </c>
      <c r="B30" s="395" t="s">
        <v>567</v>
      </c>
      <c r="C30" s="414">
        <f t="shared" ref="C30:I30" si="5">+C13-C28</f>
        <v>32433674.809999943</v>
      </c>
      <c r="D30" s="960">
        <f t="shared" si="5"/>
        <v>283399.4291588366</v>
      </c>
      <c r="E30" s="960">
        <f t="shared" si="5"/>
        <v>32717074.239158869</v>
      </c>
      <c r="F30" s="960">
        <f t="shared" si="5"/>
        <v>-6662296.9663462732</v>
      </c>
      <c r="G30" s="451">
        <f t="shared" si="5"/>
        <v>26054777.272812575</v>
      </c>
      <c r="H30" s="414">
        <f t="shared" si="5"/>
        <v>22877306.369091198</v>
      </c>
      <c r="I30" s="414">
        <f t="shared" si="5"/>
        <v>48932083.641903773</v>
      </c>
      <c r="P30" s="393"/>
    </row>
    <row r="31" spans="1:16" ht="15.75" thickTop="1">
      <c r="A31" s="394">
        <v>23</v>
      </c>
      <c r="B31" s="395"/>
      <c r="C31" s="413"/>
      <c r="D31" s="413"/>
      <c r="E31" s="413"/>
      <c r="F31" s="413"/>
      <c r="G31" s="413"/>
      <c r="H31" s="413"/>
      <c r="I31" s="413"/>
      <c r="P31" s="393"/>
    </row>
    <row r="32" spans="1:16">
      <c r="A32" s="394">
        <v>24</v>
      </c>
      <c r="B32" s="395" t="s">
        <v>568</v>
      </c>
      <c r="C32" s="415"/>
      <c r="D32" s="415"/>
      <c r="E32" s="415"/>
      <c r="F32" s="415"/>
      <c r="G32" s="415"/>
      <c r="H32" s="415"/>
      <c r="I32" s="415"/>
      <c r="P32" s="393"/>
    </row>
    <row r="33" spans="1:16">
      <c r="A33" s="394">
        <v>25</v>
      </c>
      <c r="B33" s="396" t="s">
        <v>569</v>
      </c>
      <c r="C33" s="961">
        <f>+'Rate Base'!C10</f>
        <v>1093224988.8120835</v>
      </c>
      <c r="D33" s="951">
        <f>'Exh JAD-7, Summary of Adj'!O31</f>
        <v>48540095.357916594</v>
      </c>
      <c r="E33" s="958">
        <f>SUM(C33:D33)</f>
        <v>1141765084.1700001</v>
      </c>
      <c r="F33" s="951">
        <f>'Exh JAD-7, Summary of Adj'!Z31</f>
        <v>0</v>
      </c>
      <c r="G33" s="958">
        <f>SUM(E33:F33)</f>
        <v>1141765084.1700001</v>
      </c>
      <c r="H33" s="958"/>
      <c r="I33" s="958">
        <f>SUM(G33:H33)</f>
        <v>1141765084.1700001</v>
      </c>
      <c r="L33" s="442"/>
      <c r="N33" s="442"/>
    </row>
    <row r="34" spans="1:16">
      <c r="A34" s="394">
        <v>26</v>
      </c>
      <c r="B34" s="396" t="s">
        <v>570</v>
      </c>
      <c r="C34" s="961">
        <f>+'Rate Base'!C11</f>
        <v>-470425318.63249993</v>
      </c>
      <c r="D34" s="951">
        <f>'Exh JAD-7, Summary of Adj'!O32</f>
        <v>-12430503.90749985</v>
      </c>
      <c r="E34" s="958">
        <f>SUM(C34:D34)</f>
        <v>-482855822.53999978</v>
      </c>
      <c r="F34" s="951">
        <f>'Exh JAD-7, Summary of Adj'!Z32</f>
        <v>0</v>
      </c>
      <c r="G34" s="958">
        <f>SUM(E34:F34)</f>
        <v>-482855822.53999978</v>
      </c>
      <c r="H34" s="958"/>
      <c r="I34" s="958">
        <f>SUM(G34:H34)</f>
        <v>-482855822.53999978</v>
      </c>
      <c r="L34" s="442"/>
      <c r="N34" s="442"/>
    </row>
    <row r="35" spans="1:16">
      <c r="A35" s="394">
        <v>27</v>
      </c>
      <c r="B35" s="396" t="s">
        <v>571</v>
      </c>
      <c r="C35" s="953">
        <f>+'Rate Base'!C13</f>
        <v>-52941.741666666654</v>
      </c>
      <c r="D35" s="951">
        <f>'Exh JAD-7, Summary of Adj'!O33</f>
        <v>18869.531666666655</v>
      </c>
      <c r="E35" s="958">
        <f>SUM(C35:D35)</f>
        <v>-34072.21</v>
      </c>
      <c r="F35" s="951">
        <f>'Exh JAD-7, Summary of Adj'!Z33</f>
        <v>0</v>
      </c>
      <c r="G35" s="958">
        <f>SUM(E35:F35)</f>
        <v>-34072.21</v>
      </c>
      <c r="H35" s="958"/>
      <c r="I35" s="958">
        <f>SUM(G35:H35)</f>
        <v>-34072.21</v>
      </c>
      <c r="L35" s="442"/>
      <c r="N35" s="442"/>
    </row>
    <row r="36" spans="1:16">
      <c r="A36" s="394">
        <v>28</v>
      </c>
      <c r="B36" s="396" t="s">
        <v>572</v>
      </c>
      <c r="C36" s="953">
        <f>+'Rate Base'!C14</f>
        <v>-77285664.796666667</v>
      </c>
      <c r="D36" s="951">
        <f>'Exh JAD-7, Summary of Adj'!O34</f>
        <v>-308101.97333334386</v>
      </c>
      <c r="E36" s="958">
        <f>SUM(C36:D36)</f>
        <v>-77593766.770000011</v>
      </c>
      <c r="F36" s="951">
        <f>'Exh JAD-7, Summary of Adj'!Z34</f>
        <v>0</v>
      </c>
      <c r="G36" s="958">
        <f>SUM(E36:F36)</f>
        <v>-77593766.770000011</v>
      </c>
      <c r="H36" s="958"/>
      <c r="I36" s="958">
        <f>SUM(G36:H36)</f>
        <v>-77593766.770000011</v>
      </c>
      <c r="L36" s="442"/>
      <c r="N36" s="442"/>
    </row>
    <row r="37" spans="1:16">
      <c r="A37" s="394">
        <v>29</v>
      </c>
      <c r="B37" s="396" t="s">
        <v>573</v>
      </c>
      <c r="C37" s="401">
        <f>+'Working Capital (AMA)'!Y838</f>
        <v>38059495.891135238</v>
      </c>
      <c r="D37" s="399">
        <f>'Exh JAD-7, Summary of Adj'!O35</f>
        <v>0</v>
      </c>
      <c r="E37" s="400">
        <f>SUM(C37:D37)</f>
        <v>38059495.891135238</v>
      </c>
      <c r="F37" s="399">
        <f>'Exh JAD-7, Summary of Adj'!Z35</f>
        <v>523326.95746225631</v>
      </c>
      <c r="G37" s="400">
        <f>SUM(E37:F37)</f>
        <v>38582822.848597497</v>
      </c>
      <c r="H37" s="400"/>
      <c r="I37" s="400">
        <f>SUM(G37:H37)</f>
        <v>38582822.848597497</v>
      </c>
      <c r="L37" s="442"/>
      <c r="N37" s="442"/>
    </row>
    <row r="38" spans="1:16" ht="15.75" customHeight="1" thickBot="1">
      <c r="A38" s="394">
        <v>30</v>
      </c>
      <c r="B38" s="405" t="s">
        <v>574</v>
      </c>
      <c r="C38" s="414">
        <f t="shared" ref="C38:I38" si="6">SUM(C33:C37)</f>
        <v>583520559.53238547</v>
      </c>
      <c r="D38" s="414">
        <f t="shared" si="6"/>
        <v>35820359.008750066</v>
      </c>
      <c r="E38" s="414">
        <f t="shared" si="6"/>
        <v>619340918.54113555</v>
      </c>
      <c r="F38" s="414">
        <f t="shared" si="6"/>
        <v>523326.95746225631</v>
      </c>
      <c r="G38" s="414">
        <f t="shared" si="6"/>
        <v>619864245.49859786</v>
      </c>
      <c r="H38" s="414"/>
      <c r="I38" s="451">
        <f t="shared" si="6"/>
        <v>619864245.49859786</v>
      </c>
      <c r="L38" s="442"/>
      <c r="N38" s="442"/>
      <c r="P38" s="1438"/>
    </row>
    <row r="39" spans="1:16" ht="15.75" thickTop="1">
      <c r="A39" s="394">
        <v>31</v>
      </c>
      <c r="B39" s="395"/>
      <c r="C39" s="416"/>
      <c r="D39" s="416"/>
      <c r="E39" s="416"/>
      <c r="F39" s="416"/>
      <c r="G39" s="416"/>
      <c r="H39" s="416"/>
      <c r="I39" s="416"/>
      <c r="N39" s="444"/>
      <c r="P39" s="1438"/>
    </row>
    <row r="40" spans="1:16">
      <c r="A40" s="394">
        <v>32</v>
      </c>
      <c r="B40" s="405" t="s">
        <v>575</v>
      </c>
      <c r="C40" s="417">
        <f>+C30/C38</f>
        <v>5.5582745595101637E-2</v>
      </c>
      <c r="D40" s="396"/>
      <c r="E40" s="417">
        <f>+E30/E38</f>
        <v>5.2825630052385851E-2</v>
      </c>
      <c r="F40" s="396"/>
      <c r="G40" s="417">
        <f>+G30/G38</f>
        <v>4.2033037817586966E-2</v>
      </c>
      <c r="H40" s="418"/>
      <c r="I40" s="417">
        <f>+I30/I38</f>
        <v>7.8940000164946539E-2</v>
      </c>
      <c r="L40" s="411"/>
      <c r="N40" s="393"/>
      <c r="P40" s="1438"/>
    </row>
    <row r="41" spans="1:16">
      <c r="A41" s="396"/>
      <c r="B41" s="396"/>
      <c r="C41" s="396"/>
      <c r="D41" s="396"/>
      <c r="E41" s="396"/>
      <c r="F41" s="396"/>
      <c r="G41" s="396"/>
      <c r="H41" s="396"/>
      <c r="I41" s="396"/>
      <c r="L41" s="411"/>
      <c r="N41" s="393"/>
      <c r="P41" s="1438"/>
    </row>
    <row r="42" spans="1:16">
      <c r="N42" s="393"/>
      <c r="P42" s="1438"/>
    </row>
    <row r="43" spans="1:16">
      <c r="C43" s="437"/>
      <c r="H43" s="419"/>
      <c r="N43" s="393"/>
      <c r="P43" s="1438"/>
    </row>
    <row r="44" spans="1:16">
      <c r="L44" s="393"/>
      <c r="N44" s="393"/>
      <c r="P44" s="1438"/>
    </row>
    <row r="45" spans="1:16">
      <c r="H45" s="411"/>
      <c r="N45" s="393"/>
      <c r="P45" s="1438"/>
    </row>
    <row r="46" spans="1:16">
      <c r="N46" s="393"/>
      <c r="P46" s="1438"/>
    </row>
    <row r="47" spans="1:16">
      <c r="N47" s="393"/>
      <c r="P47" s="1438"/>
    </row>
    <row r="48" spans="1:16">
      <c r="N48" s="393"/>
      <c r="P48" s="1438"/>
    </row>
    <row r="49" spans="14:18">
      <c r="N49" s="393"/>
      <c r="P49" s="1438"/>
    </row>
    <row r="50" spans="14:18">
      <c r="N50" s="393"/>
      <c r="P50" s="1438"/>
      <c r="Q50" s="393"/>
      <c r="R50" s="442"/>
    </row>
    <row r="51" spans="14:18">
      <c r="N51" s="393"/>
      <c r="P51" s="1438"/>
    </row>
    <row r="52" spans="14:18">
      <c r="N52" s="393"/>
      <c r="P52" s="1438"/>
    </row>
    <row r="53" spans="14:18">
      <c r="N53" s="393"/>
      <c r="P53" s="1438"/>
    </row>
    <row r="54" spans="14:18">
      <c r="N54" s="393"/>
      <c r="P54" s="1438"/>
    </row>
    <row r="55" spans="14:18">
      <c r="N55" s="393"/>
      <c r="P55" s="1438"/>
    </row>
    <row r="56" spans="14:18">
      <c r="N56" s="393"/>
      <c r="P56" s="1438"/>
      <c r="Q56" s="393"/>
      <c r="R56" s="442"/>
    </row>
    <row r="57" spans="14:18">
      <c r="P57" s="443"/>
    </row>
    <row r="63" spans="14:18">
      <c r="N63" s="393"/>
    </row>
    <row r="64" spans="14:18">
      <c r="N64" s="393"/>
    </row>
    <row r="65" spans="12:14">
      <c r="N65" s="393"/>
    </row>
    <row r="66" spans="12:14">
      <c r="N66" s="393"/>
    </row>
    <row r="67" spans="12:14">
      <c r="N67" s="393"/>
    </row>
    <row r="68" spans="12:14">
      <c r="N68" s="393"/>
    </row>
    <row r="69" spans="12:14">
      <c r="L69" s="393"/>
      <c r="N69" s="393"/>
    </row>
    <row r="70" spans="12:14">
      <c r="N70" s="393"/>
    </row>
    <row r="71" spans="12:14">
      <c r="N71" s="393"/>
    </row>
    <row r="72" spans="12:14">
      <c r="N72" s="393"/>
    </row>
    <row r="73" spans="12:14">
      <c r="N73" s="393"/>
    </row>
    <row r="74" spans="12:14">
      <c r="N74" s="393"/>
    </row>
    <row r="75" spans="12:14">
      <c r="N75" s="393"/>
    </row>
    <row r="76" spans="12:14">
      <c r="N76" s="393"/>
    </row>
  </sheetData>
  <mergeCells count="8">
    <mergeCell ref="P51:P52"/>
    <mergeCell ref="P53:P56"/>
    <mergeCell ref="A1:I1"/>
    <mergeCell ref="A4:I4"/>
    <mergeCell ref="A2:I2"/>
    <mergeCell ref="A3:I3"/>
    <mergeCell ref="P38:P50"/>
    <mergeCell ref="A6:I6"/>
  </mergeCells>
  <printOptions horizontalCentered="1"/>
  <pageMargins left="1" right="1" top="1" bottom="1" header="0.3" footer="0.3"/>
  <pageSetup scale="74" orientation="landscape" r:id="rId1"/>
  <headerFooter scaleWithDoc="0" alignWithMargins="0">
    <oddHeader xml:space="preserve">&amp;RDocket UG-240008
Exh. JAD-3
Page 1 </oddHeader>
  </headerFooter>
  <cellWatches>
    <cellWatch r="H13"/>
    <cellWatch r="L14"/>
    <cellWatch r="N14"/>
  </cellWatch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090C-EAF4-44AA-A676-6A687C7A14A1}">
  <sheetPr codeName="Sheet5"/>
  <dimension ref="A1:U47"/>
  <sheetViews>
    <sheetView view="pageBreakPreview" topLeftCell="A4" zoomScale="60" zoomScaleNormal="100" workbookViewId="0">
      <selection activeCell="B7" sqref="B7"/>
    </sheetView>
  </sheetViews>
  <sheetFormatPr defaultColWidth="9.140625" defaultRowHeight="15"/>
  <cols>
    <col min="1" max="1" width="5.7109375" style="53" customWidth="1"/>
    <col min="2" max="2" width="34.28515625" style="53" bestFit="1" customWidth="1"/>
    <col min="3" max="3" width="15.42578125" style="53" bestFit="1" customWidth="1"/>
    <col min="4" max="4" width="13.42578125" style="53" customWidth="1"/>
    <col min="5" max="5" width="15.28515625" style="53" customWidth="1"/>
    <col min="6" max="6" width="13.7109375" style="53" customWidth="1"/>
    <col min="7" max="7" width="15.42578125" style="53" bestFit="1" customWidth="1"/>
    <col min="8" max="8" width="2.42578125" style="53" customWidth="1"/>
    <col min="9" max="9" width="17.5703125" style="53" bestFit="1" customWidth="1"/>
    <col min="10" max="10" width="13.42578125" style="53" customWidth="1"/>
    <col min="11" max="11" width="15.42578125" style="53" customWidth="1"/>
    <col min="12" max="12" width="13.42578125" style="53" customWidth="1"/>
    <col min="13" max="13" width="15.42578125" style="53" customWidth="1"/>
    <col min="14" max="14" width="11.7109375" style="53" bestFit="1" customWidth="1"/>
    <col min="15" max="15" width="15.140625" style="53" bestFit="1" customWidth="1"/>
    <col min="16" max="16" width="13.7109375" style="53" bestFit="1" customWidth="1"/>
    <col min="17" max="17" width="6.85546875" style="53" bestFit="1" customWidth="1"/>
    <col min="18" max="18" width="26.42578125" style="53" customWidth="1"/>
    <col min="19" max="19" width="10.7109375" style="53" bestFit="1" customWidth="1"/>
    <col min="20" max="20" width="12.140625" style="53" customWidth="1"/>
    <col min="21" max="21" width="26.28515625" style="53" customWidth="1"/>
    <col min="22" max="16384" width="9.140625" style="53"/>
  </cols>
  <sheetData>
    <row r="1" spans="1:21">
      <c r="A1" s="115" t="str">
        <f>Company</f>
        <v>Cascade Natural Gas Corp.</v>
      </c>
      <c r="C1" s="115"/>
      <c r="D1" s="115"/>
      <c r="E1" s="115"/>
      <c r="F1" s="115"/>
      <c r="G1" s="115"/>
      <c r="H1" s="115"/>
      <c r="I1" s="1443"/>
      <c r="J1" s="1443"/>
      <c r="K1" s="1443"/>
      <c r="L1" s="1443"/>
      <c r="M1" s="1443"/>
    </row>
    <row r="2" spans="1:21">
      <c r="A2" s="115" t="str">
        <f>Title1</f>
        <v>Washington Jurisdiction</v>
      </c>
      <c r="C2" s="115"/>
      <c r="D2" s="115"/>
      <c r="E2" s="115"/>
      <c r="F2" s="115"/>
      <c r="G2" s="115"/>
      <c r="H2" s="115"/>
      <c r="I2" s="1443"/>
      <c r="J2" s="1443"/>
      <c r="K2" s="1443"/>
      <c r="L2" s="1443"/>
      <c r="M2" s="1443"/>
    </row>
    <row r="3" spans="1:21">
      <c r="A3" s="941" t="str">
        <f>Title2</f>
        <v>Twelve-Months ended December 31, 2023</v>
      </c>
      <c r="C3" s="941"/>
      <c r="D3" s="941"/>
      <c r="E3" s="941"/>
      <c r="F3" s="941"/>
      <c r="G3" s="941"/>
      <c r="H3" s="941"/>
      <c r="I3" s="1444"/>
      <c r="J3" s="1444"/>
      <c r="K3" s="1444"/>
      <c r="L3" s="1444"/>
      <c r="M3" s="1444"/>
    </row>
    <row r="4" spans="1:21">
      <c r="A4" s="115" t="s">
        <v>576</v>
      </c>
      <c r="C4" s="115"/>
      <c r="D4" s="115"/>
      <c r="E4" s="115"/>
      <c r="F4" s="115"/>
      <c r="G4" s="115"/>
      <c r="H4" s="115"/>
      <c r="I4" s="1443"/>
      <c r="J4" s="1443"/>
      <c r="K4" s="1443"/>
      <c r="L4" s="1443"/>
      <c r="M4" s="1443"/>
    </row>
    <row r="5" spans="1:21">
      <c r="A5" s="847"/>
      <c r="B5" s="847"/>
      <c r="C5" s="847"/>
      <c r="D5" s="847"/>
      <c r="E5" s="847"/>
      <c r="F5" s="847"/>
      <c r="G5" s="847"/>
      <c r="H5" s="847"/>
      <c r="I5" s="847"/>
      <c r="J5" s="847"/>
      <c r="K5" s="847"/>
      <c r="L5" s="847"/>
      <c r="M5" s="847"/>
    </row>
    <row r="6" spans="1:21">
      <c r="A6" s="847"/>
      <c r="B6" s="847"/>
      <c r="C6" s="1441" t="s">
        <v>535</v>
      </c>
      <c r="D6" s="1442"/>
      <c r="E6" s="1442"/>
      <c r="F6" s="1442"/>
      <c r="G6" s="1442"/>
      <c r="H6" s="847"/>
      <c r="I6" s="1441" t="s">
        <v>577</v>
      </c>
      <c r="J6" s="1441"/>
      <c r="K6" s="1441"/>
      <c r="L6" s="1441"/>
      <c r="M6" s="1441"/>
    </row>
    <row r="7" spans="1:21" ht="60">
      <c r="A7" s="111" t="s">
        <v>536</v>
      </c>
      <c r="B7" s="111" t="s">
        <v>537</v>
      </c>
      <c r="C7" s="111" t="s">
        <v>578</v>
      </c>
      <c r="D7" s="111" t="s">
        <v>579</v>
      </c>
      <c r="E7" s="111" t="s">
        <v>580</v>
      </c>
      <c r="F7" s="111" t="s">
        <v>581</v>
      </c>
      <c r="G7" s="111" t="s">
        <v>582</v>
      </c>
      <c r="I7" s="111" t="s">
        <v>583</v>
      </c>
      <c r="J7" s="111" t="s">
        <v>584</v>
      </c>
      <c r="K7" s="111" t="s">
        <v>585</v>
      </c>
      <c r="L7" s="111" t="s">
        <v>586</v>
      </c>
      <c r="M7" s="111" t="s">
        <v>587</v>
      </c>
      <c r="N7" s="52"/>
      <c r="P7" s="112"/>
      <c r="Q7" s="113"/>
    </row>
    <row r="8" spans="1:21">
      <c r="A8" s="496"/>
      <c r="B8" s="497" t="s">
        <v>439</v>
      </c>
      <c r="C8" s="497" t="s">
        <v>208</v>
      </c>
      <c r="D8" s="498" t="s">
        <v>209</v>
      </c>
      <c r="E8" s="497" t="s">
        <v>545</v>
      </c>
      <c r="F8" s="497" t="s">
        <v>441</v>
      </c>
      <c r="G8" s="497" t="s">
        <v>588</v>
      </c>
      <c r="I8" s="497" t="s">
        <v>443</v>
      </c>
      <c r="J8" s="498" t="s">
        <v>444</v>
      </c>
      <c r="K8" s="497" t="s">
        <v>589</v>
      </c>
      <c r="L8" s="497" t="s">
        <v>446</v>
      </c>
      <c r="M8" s="497" t="s">
        <v>590</v>
      </c>
      <c r="N8" s="52"/>
      <c r="R8" s="56"/>
    </row>
    <row r="9" spans="1:21">
      <c r="A9" s="114">
        <v>1</v>
      </c>
      <c r="B9" s="115" t="s">
        <v>548</v>
      </c>
      <c r="C9" s="110"/>
      <c r="D9" s="456"/>
      <c r="E9" s="110"/>
      <c r="F9" s="110"/>
      <c r="G9" s="110"/>
      <c r="I9" s="110"/>
      <c r="J9" s="456"/>
      <c r="K9" s="110"/>
      <c r="L9" s="110"/>
      <c r="M9" s="110"/>
      <c r="N9" s="52"/>
      <c r="R9" s="56"/>
    </row>
    <row r="10" spans="1:21">
      <c r="A10" s="114">
        <v>2</v>
      </c>
      <c r="B10" s="110" t="s">
        <v>549</v>
      </c>
      <c r="C10" s="457">
        <f>'Exh JAD-3 ROO Summary'!I10</f>
        <v>143785461.62771216</v>
      </c>
      <c r="D10" s="458">
        <f>'Exh JAD-7, Summary of Adj'!AD8</f>
        <v>1571477.0432382778</v>
      </c>
      <c r="E10" s="459">
        <f>SUM(C10:D10)</f>
        <v>145356938.67095044</v>
      </c>
      <c r="F10" s="458">
        <f>'Exh JAD-5, Rev Req Calc'!D15</f>
        <v>13371323</v>
      </c>
      <c r="G10" s="459">
        <f>SUM(E10:F10)</f>
        <v>158728261.67095044</v>
      </c>
      <c r="I10" s="457">
        <f>G10</f>
        <v>158728261.67095044</v>
      </c>
      <c r="J10" s="458">
        <f>'Exh JAD-7, Summary of Adj'!AN8</f>
        <v>2047077.9042532314</v>
      </c>
      <c r="K10" s="459">
        <f>SUM(I10:J10)</f>
        <v>160775339.57520369</v>
      </c>
      <c r="L10" s="458">
        <f>'Exh JAD-5, Rev Req Calc'!F15</f>
        <v>11669242</v>
      </c>
      <c r="M10" s="459">
        <f>SUM(K10:L10)</f>
        <v>172444581.57520369</v>
      </c>
      <c r="N10" s="52"/>
      <c r="O10" s="52"/>
      <c r="R10" s="56"/>
    </row>
    <row r="11" spans="1:21">
      <c r="A11" s="114">
        <v>3</v>
      </c>
      <c r="B11" s="110" t="s">
        <v>550</v>
      </c>
      <c r="C11" s="460">
        <f>'Exh JAD-3 ROO Summary'!I11</f>
        <v>31540921.217156187</v>
      </c>
      <c r="D11" s="458">
        <f>'Exh JAD-7, Summary of Adj'!AD9</f>
        <v>0</v>
      </c>
      <c r="E11" s="459">
        <f>SUM(C11:D11)</f>
        <v>31540921.217156187</v>
      </c>
      <c r="F11" s="458"/>
      <c r="G11" s="459">
        <f>SUM(E11:F11)</f>
        <v>31540921.217156187</v>
      </c>
      <c r="I11" s="460">
        <f>G11</f>
        <v>31540921.217156187</v>
      </c>
      <c r="J11" s="458">
        <f>'Exh JAD-7, Summary of Adj'!AN9</f>
        <v>0</v>
      </c>
      <c r="K11" s="459">
        <f>SUM(I11:J11)</f>
        <v>31540921.217156187</v>
      </c>
      <c r="L11" s="458"/>
      <c r="M11" s="459">
        <f>SUM(K11:L11)</f>
        <v>31540921.217156187</v>
      </c>
      <c r="N11" s="52"/>
      <c r="O11" s="52"/>
    </row>
    <row r="12" spans="1:21">
      <c r="A12" s="114">
        <v>4</v>
      </c>
      <c r="B12" s="110" t="s">
        <v>551</v>
      </c>
      <c r="C12" s="461">
        <f>'Exh JAD-3 ROO Summary'!I12</f>
        <v>761216.76000000443</v>
      </c>
      <c r="D12" s="462">
        <f>'Exh JAD-7, Summary of Adj'!AD10</f>
        <v>0</v>
      </c>
      <c r="E12" s="463">
        <f>SUM(C12:D12)</f>
        <v>761216.76000000443</v>
      </c>
      <c r="F12" s="462"/>
      <c r="G12" s="463">
        <f>SUM(E12:F12)</f>
        <v>761216.76000000443</v>
      </c>
      <c r="I12" s="461">
        <f>G12</f>
        <v>761216.76000000443</v>
      </c>
      <c r="J12" s="462">
        <f>'Exh JAD-7, Summary of Adj'!AN10</f>
        <v>0</v>
      </c>
      <c r="K12" s="463">
        <f>SUM(I12:J12)</f>
        <v>761216.76000000443</v>
      </c>
      <c r="L12" s="462"/>
      <c r="M12" s="463">
        <f>SUM(K12:L12)</f>
        <v>761216.76000000443</v>
      </c>
      <c r="N12" s="52"/>
      <c r="O12" s="52"/>
      <c r="R12" s="56"/>
      <c r="T12" s="56"/>
      <c r="U12" s="56"/>
    </row>
    <row r="13" spans="1:21">
      <c r="A13" s="116">
        <v>5</v>
      </c>
      <c r="B13" s="117" t="s">
        <v>552</v>
      </c>
      <c r="C13" s="460">
        <f>SUM(C10:C12)</f>
        <v>176087599.60486835</v>
      </c>
      <c r="D13" s="460">
        <f>SUM(D10:D12)</f>
        <v>1571477.0432382778</v>
      </c>
      <c r="E13" s="460">
        <f>SUM(E10:E12)</f>
        <v>177659076.64810663</v>
      </c>
      <c r="F13" s="460">
        <f>SUM(F10:F12)</f>
        <v>13371323</v>
      </c>
      <c r="G13" s="460">
        <f>SUM(G10:G12)</f>
        <v>191030399.64810663</v>
      </c>
      <c r="I13" s="460">
        <f>SUM(I10:I12)</f>
        <v>191030399.64810663</v>
      </c>
      <c r="J13" s="460">
        <f>SUM(J10:J12)</f>
        <v>2047077.9042532314</v>
      </c>
      <c r="K13" s="460">
        <f>SUM(K10:K12)</f>
        <v>193077477.55235988</v>
      </c>
      <c r="L13" s="460">
        <f>SUM(L10:L12)</f>
        <v>11669242</v>
      </c>
      <c r="M13" s="460">
        <f>SUM(M10:M12)</f>
        <v>204746719.55235988</v>
      </c>
      <c r="N13" s="52"/>
      <c r="O13" s="52"/>
      <c r="R13" s="52"/>
      <c r="T13" s="56"/>
    </row>
    <row r="14" spans="1:21">
      <c r="A14" s="114">
        <v>6</v>
      </c>
      <c r="B14" s="110"/>
      <c r="C14" s="464"/>
      <c r="D14" s="464"/>
      <c r="E14" s="464"/>
      <c r="F14" s="464"/>
      <c r="G14" s="464"/>
      <c r="I14" s="464"/>
      <c r="J14" s="464"/>
      <c r="K14" s="464"/>
      <c r="L14" s="464"/>
      <c r="M14" s="464"/>
      <c r="N14" s="52"/>
      <c r="O14" s="52"/>
      <c r="P14" s="52"/>
      <c r="R14" s="52"/>
      <c r="S14" s="52"/>
      <c r="T14" s="52"/>
    </row>
    <row r="15" spans="1:21">
      <c r="A15" s="114">
        <v>7</v>
      </c>
      <c r="B15" s="115" t="s">
        <v>553</v>
      </c>
      <c r="C15" s="464"/>
      <c r="D15" s="464"/>
      <c r="E15" s="464"/>
      <c r="F15" s="464"/>
      <c r="G15" s="464"/>
      <c r="I15" s="464"/>
      <c r="J15" s="464"/>
      <c r="K15" s="464"/>
      <c r="L15" s="464"/>
      <c r="M15" s="464"/>
      <c r="N15" s="52"/>
      <c r="O15" s="52"/>
      <c r="R15" s="52"/>
    </row>
    <row r="16" spans="1:21">
      <c r="A16" s="114">
        <v>8</v>
      </c>
      <c r="B16" s="118" t="s">
        <v>554</v>
      </c>
      <c r="C16" s="460">
        <f>'Exh JAD-3 ROO Summary'!I16</f>
        <v>0</v>
      </c>
      <c r="D16" s="458">
        <f>'Exh JAD-7, Summary of Adj'!AD14</f>
        <v>0</v>
      </c>
      <c r="E16" s="459">
        <f t="shared" ref="E16:E27" si="0">SUM(C16:D16)</f>
        <v>0</v>
      </c>
      <c r="F16" s="458"/>
      <c r="G16" s="459">
        <f t="shared" ref="G16:G27" si="1">SUM(E16:F16)</f>
        <v>0</v>
      </c>
      <c r="I16" s="460">
        <f t="shared" ref="I16:I27" si="2">G16</f>
        <v>0</v>
      </c>
      <c r="J16" s="458">
        <f>'Exh JAD-7, Summary of Adj'!AN14</f>
        <v>0</v>
      </c>
      <c r="K16" s="459">
        <f t="shared" ref="K16:K27" si="3">SUM(I16:J16)</f>
        <v>0</v>
      </c>
      <c r="L16" s="458"/>
      <c r="M16" s="459">
        <f t="shared" ref="M16:M27" si="4">SUM(K16:L16)</f>
        <v>0</v>
      </c>
      <c r="N16" s="52"/>
      <c r="R16" s="56"/>
    </row>
    <row r="17" spans="1:20">
      <c r="A17" s="114">
        <v>9</v>
      </c>
      <c r="B17" s="118" t="s">
        <v>555</v>
      </c>
      <c r="C17" s="460">
        <f>'Exh JAD-3 ROO Summary'!I17</f>
        <v>25040122.654662203</v>
      </c>
      <c r="D17" s="962">
        <f>'Exh JAD-7, Summary of Adj'!AD15</f>
        <v>66819.203878491579</v>
      </c>
      <c r="E17" s="459">
        <f t="shared" si="0"/>
        <v>25106941.858540695</v>
      </c>
      <c r="F17" s="458">
        <f>+F13*('Exh JAD-6, Conversion Factor'!$C$11+'Exh JAD-6, Conversion Factor'!$C$12)</f>
        <v>568548.65396000003</v>
      </c>
      <c r="G17" s="459">
        <f t="shared" si="1"/>
        <v>25675490.512500696</v>
      </c>
      <c r="I17" s="460">
        <f t="shared" si="2"/>
        <v>25675490.512500696</v>
      </c>
      <c r="J17" s="962">
        <f>'Exh JAD-7, Summary of Adj'!AN15</f>
        <v>87041.7524888474</v>
      </c>
      <c r="K17" s="459">
        <f t="shared" si="3"/>
        <v>25762532.264989544</v>
      </c>
      <c r="L17" s="458">
        <f>+L13*('Exh JAD-6, Conversion Factor'!$C$11+'Exh JAD-6, Conversion Factor'!$C$12)</f>
        <v>496176.16984000005</v>
      </c>
      <c r="M17" s="459">
        <f t="shared" si="4"/>
        <v>26258708.434829544</v>
      </c>
      <c r="N17" s="52"/>
      <c r="O17" s="52"/>
      <c r="P17" s="52"/>
      <c r="R17" s="56"/>
    </row>
    <row r="18" spans="1:20">
      <c r="A18" s="114">
        <v>10</v>
      </c>
      <c r="B18" s="119" t="s">
        <v>556</v>
      </c>
      <c r="C18" s="460">
        <f>'Exh JAD-3 ROO Summary'!I18</f>
        <v>572094.80339909776</v>
      </c>
      <c r="D18" s="962">
        <f>'Exh JAD-7, Summary of Adj'!AD16</f>
        <v>0</v>
      </c>
      <c r="E18" s="459">
        <f t="shared" si="0"/>
        <v>572094.80339909776</v>
      </c>
      <c r="F18" s="458"/>
      <c r="G18" s="459">
        <f t="shared" si="1"/>
        <v>572094.80339909776</v>
      </c>
      <c r="I18" s="460">
        <f t="shared" si="2"/>
        <v>572094.80339909776</v>
      </c>
      <c r="J18" s="962">
        <f>'Exh JAD-7, Summary of Adj'!AN16</f>
        <v>15343.261087863379</v>
      </c>
      <c r="K18" s="459">
        <f t="shared" si="3"/>
        <v>587438.06448696111</v>
      </c>
      <c r="L18" s="458"/>
      <c r="M18" s="459">
        <f t="shared" si="4"/>
        <v>587438.06448696111</v>
      </c>
      <c r="N18" s="52"/>
      <c r="O18" s="52"/>
      <c r="P18" s="52"/>
      <c r="R18" s="56"/>
    </row>
    <row r="19" spans="1:20">
      <c r="A19" s="114">
        <v>11</v>
      </c>
      <c r="B19" s="119" t="s">
        <v>557</v>
      </c>
      <c r="C19" s="460">
        <f>'Exh JAD-3 ROO Summary'!I19</f>
        <v>25132800.421710249</v>
      </c>
      <c r="D19" s="962">
        <f>'Exh JAD-7, Summary of Adj'!AD17</f>
        <v>-280000</v>
      </c>
      <c r="E19" s="459">
        <f t="shared" si="0"/>
        <v>24852800.421710249</v>
      </c>
      <c r="F19" s="458"/>
      <c r="G19" s="459">
        <f t="shared" si="1"/>
        <v>24852800.421710249</v>
      </c>
      <c r="I19" s="460">
        <f t="shared" si="2"/>
        <v>24852800.421710249</v>
      </c>
      <c r="J19" s="962">
        <f>'Exh JAD-7, Summary of Adj'!AN17</f>
        <v>329130.34466141451</v>
      </c>
      <c r="K19" s="459">
        <f t="shared" si="3"/>
        <v>25181930.766371664</v>
      </c>
      <c r="L19" s="458"/>
      <c r="M19" s="459">
        <f t="shared" si="4"/>
        <v>25181930.766371664</v>
      </c>
      <c r="N19" s="52"/>
      <c r="O19" s="52"/>
    </row>
    <row r="20" spans="1:20">
      <c r="A20" s="114">
        <v>12</v>
      </c>
      <c r="B20" s="119" t="s">
        <v>558</v>
      </c>
      <c r="C20" s="460">
        <f>'Exh JAD-3 ROO Summary'!I20</f>
        <v>7230270.9612498116</v>
      </c>
      <c r="D20" s="962">
        <f>'Exh JAD-7, Summary of Adj'!AD18</f>
        <v>-1941.4703223793367</v>
      </c>
      <c r="E20" s="459">
        <f t="shared" si="0"/>
        <v>7228329.4909274327</v>
      </c>
      <c r="F20" s="458">
        <f>+F13*'Exh JAD-6, Conversion Factor'!$C$10</f>
        <v>89840.008374302968</v>
      </c>
      <c r="G20" s="459">
        <f t="shared" si="1"/>
        <v>7318169.4993017353</v>
      </c>
      <c r="I20" s="460">
        <f t="shared" si="2"/>
        <v>7318169.4993017353</v>
      </c>
      <c r="J20" s="962">
        <f>'Exh JAD-7, Summary of Adj'!AN18</f>
        <v>-7656.7935724990748</v>
      </c>
      <c r="K20" s="459">
        <f t="shared" si="3"/>
        <v>7310512.7057292359</v>
      </c>
      <c r="L20" s="458">
        <f>+L13*'Exh JAD-6, Conversion Factor'!$C$10</f>
        <v>78403.969375488727</v>
      </c>
      <c r="M20" s="459">
        <f t="shared" si="4"/>
        <v>7388916.6751047242</v>
      </c>
      <c r="N20" s="52"/>
      <c r="O20" s="52"/>
      <c r="P20" s="52"/>
      <c r="T20" s="52"/>
    </row>
    <row r="21" spans="1:20">
      <c r="A21" s="114">
        <v>13</v>
      </c>
      <c r="B21" s="119" t="s">
        <v>559</v>
      </c>
      <c r="C21" s="460">
        <f>'Exh JAD-3 ROO Summary'!I21</f>
        <v>88697.174299523598</v>
      </c>
      <c r="D21" s="962">
        <f>'Exh JAD-7, Summary of Adj'!AD19</f>
        <v>0</v>
      </c>
      <c r="E21" s="459">
        <f t="shared" si="0"/>
        <v>88697.174299523598</v>
      </c>
      <c r="F21" s="458"/>
      <c r="G21" s="459">
        <f t="shared" si="1"/>
        <v>88697.174299523598</v>
      </c>
      <c r="I21" s="460">
        <f t="shared" si="2"/>
        <v>88697.174299523598</v>
      </c>
      <c r="J21" s="962">
        <f>'Exh JAD-7, Summary of Adj'!AN19</f>
        <v>-2933.3123730774278</v>
      </c>
      <c r="K21" s="459">
        <f t="shared" si="3"/>
        <v>85763.861926446174</v>
      </c>
      <c r="L21" s="458"/>
      <c r="M21" s="459">
        <f t="shared" si="4"/>
        <v>85763.861926446174</v>
      </c>
      <c r="N21" s="52"/>
      <c r="O21" s="52"/>
      <c r="P21" s="120"/>
      <c r="R21" s="56"/>
    </row>
    <row r="22" spans="1:20">
      <c r="A22" s="114">
        <v>14</v>
      </c>
      <c r="B22" s="119" t="s">
        <v>560</v>
      </c>
      <c r="C22" s="460">
        <f>'Exh JAD-3 ROO Summary'!I22</f>
        <v>18653.453822037322</v>
      </c>
      <c r="D22" s="962">
        <f>'Exh JAD-7, Summary of Adj'!AD20</f>
        <v>0</v>
      </c>
      <c r="E22" s="459">
        <f t="shared" si="0"/>
        <v>18653.453822037322</v>
      </c>
      <c r="F22" s="458"/>
      <c r="G22" s="459">
        <f t="shared" si="1"/>
        <v>18653.453822037322</v>
      </c>
      <c r="I22" s="460">
        <f t="shared" si="2"/>
        <v>18653.453822037322</v>
      </c>
      <c r="J22" s="962">
        <f>'Exh JAD-7, Summary of Adj'!AN20</f>
        <v>721.06673466801283</v>
      </c>
      <c r="K22" s="459">
        <f t="shared" si="3"/>
        <v>19374.520556705334</v>
      </c>
      <c r="L22" s="458"/>
      <c r="M22" s="459">
        <f t="shared" si="4"/>
        <v>19374.520556705334</v>
      </c>
      <c r="P22" s="120"/>
      <c r="R22" s="56"/>
    </row>
    <row r="23" spans="1:20">
      <c r="A23" s="114">
        <v>15</v>
      </c>
      <c r="B23" s="119" t="s">
        <v>561</v>
      </c>
      <c r="C23" s="460">
        <f>'Exh JAD-3 ROO Summary'!I23</f>
        <v>26756506.607412055</v>
      </c>
      <c r="D23" s="962">
        <f>'Exh JAD-7, Summary of Adj'!AD21</f>
        <v>0</v>
      </c>
      <c r="E23" s="459">
        <f t="shared" si="0"/>
        <v>26756506.607412055</v>
      </c>
      <c r="F23" s="458"/>
      <c r="G23" s="459">
        <f t="shared" si="1"/>
        <v>26756506.607412055</v>
      </c>
      <c r="I23" s="460">
        <f t="shared" si="2"/>
        <v>26756506.607412055</v>
      </c>
      <c r="J23" s="962">
        <f>'Exh JAD-7, Summary of Adj'!AN21</f>
        <v>1828241.949472127</v>
      </c>
      <c r="K23" s="459">
        <f t="shared" si="3"/>
        <v>28584748.556884181</v>
      </c>
      <c r="L23" s="458"/>
      <c r="M23" s="459">
        <f t="shared" si="4"/>
        <v>28584748.556884181</v>
      </c>
      <c r="P23" s="56"/>
      <c r="R23" s="56"/>
    </row>
    <row r="24" spans="1:20">
      <c r="A24" s="114">
        <v>16</v>
      </c>
      <c r="B24" s="119" t="s">
        <v>562</v>
      </c>
      <c r="C24" s="457">
        <f>'Exh JAD-3 ROO Summary'!I24</f>
        <v>32285329.299141005</v>
      </c>
      <c r="D24" s="962">
        <f>'Exh JAD-7, Summary of Adj'!AD22</f>
        <v>3791581.4324727817</v>
      </c>
      <c r="E24" s="459">
        <f t="shared" si="0"/>
        <v>36076910.731613785</v>
      </c>
      <c r="F24" s="458"/>
      <c r="G24" s="459">
        <f t="shared" si="1"/>
        <v>36076910.731613785</v>
      </c>
      <c r="I24" s="457">
        <f t="shared" si="2"/>
        <v>36076910.731613785</v>
      </c>
      <c r="J24" s="962">
        <f>'Exh JAD-7, Summary of Adj'!AN22</f>
        <v>3639995.3351685349</v>
      </c>
      <c r="K24" s="459">
        <f t="shared" si="3"/>
        <v>39716906.066782318</v>
      </c>
      <c r="L24" s="458"/>
      <c r="M24" s="459">
        <f t="shared" si="4"/>
        <v>39716906.066782318</v>
      </c>
      <c r="R24" s="56"/>
      <c r="T24" s="56"/>
    </row>
    <row r="25" spans="1:20">
      <c r="A25" s="114">
        <v>17</v>
      </c>
      <c r="B25" s="119" t="s">
        <v>563</v>
      </c>
      <c r="C25" s="465">
        <f>'Exh JAD-3 ROO Summary'!I25</f>
        <v>0</v>
      </c>
      <c r="D25" s="962">
        <f>'Exh JAD-7, Summary of Adj'!AD23</f>
        <v>0</v>
      </c>
      <c r="E25" s="459">
        <f t="shared" si="0"/>
        <v>0</v>
      </c>
      <c r="F25" s="458"/>
      <c r="G25" s="459">
        <f t="shared" si="1"/>
        <v>0</v>
      </c>
      <c r="I25" s="465">
        <f t="shared" si="2"/>
        <v>0</v>
      </c>
      <c r="J25" s="962">
        <f>'Exh JAD-7, Summary of Adj'!AN23</f>
        <v>0</v>
      </c>
      <c r="K25" s="459">
        <f t="shared" si="3"/>
        <v>0</v>
      </c>
      <c r="L25" s="458"/>
      <c r="M25" s="459">
        <f t="shared" si="4"/>
        <v>0</v>
      </c>
      <c r="N25" s="56"/>
      <c r="O25" s="56"/>
      <c r="P25" s="56"/>
      <c r="R25" s="56"/>
      <c r="T25" s="56"/>
    </row>
    <row r="26" spans="1:20">
      <c r="A26" s="114">
        <v>18</v>
      </c>
      <c r="B26" s="119" t="s">
        <v>564</v>
      </c>
      <c r="C26" s="460">
        <f>'Exh JAD-3 ROO Summary'!I26</f>
        <v>4589139.722218222</v>
      </c>
      <c r="D26" s="962">
        <f>'Exh JAD-7, Summary of Adj'!AD24</f>
        <v>330312.59999999998</v>
      </c>
      <c r="E26" s="459">
        <f t="shared" si="0"/>
        <v>4919452.3222182216</v>
      </c>
      <c r="F26" s="458"/>
      <c r="G26" s="459">
        <f t="shared" si="1"/>
        <v>4919452.3222182216</v>
      </c>
      <c r="I26" s="460">
        <f t="shared" si="2"/>
        <v>4919452.3222182216</v>
      </c>
      <c r="J26" s="962">
        <f>'Exh JAD-7, Summary of Adj'!AN24</f>
        <v>324870.72940033884</v>
      </c>
      <c r="K26" s="459">
        <f t="shared" si="3"/>
        <v>5244323.0516185602</v>
      </c>
      <c r="L26" s="458"/>
      <c r="M26" s="459">
        <f t="shared" si="4"/>
        <v>5244323.0516185602</v>
      </c>
      <c r="N26" s="121"/>
      <c r="O26" s="121"/>
      <c r="P26" s="56"/>
      <c r="T26" s="56"/>
    </row>
    <row r="27" spans="1:20">
      <c r="A27" s="114">
        <v>19</v>
      </c>
      <c r="B27" s="119" t="s">
        <v>565</v>
      </c>
      <c r="C27" s="461">
        <f>'Exh JAD-3 ROO Summary'!I27</f>
        <v>5441900.8650503745</v>
      </c>
      <c r="D27" s="963">
        <f>'Exh JAD-7, Summary of Adj'!AD25</f>
        <v>-545294.27362002933</v>
      </c>
      <c r="E27" s="463">
        <f t="shared" si="0"/>
        <v>4896606.5914303456</v>
      </c>
      <c r="F27" s="462">
        <f>(+F13-F17-F20)*'Exh JAD-6, Conversion Factor'!$C$33</f>
        <v>2669716.2109097959</v>
      </c>
      <c r="G27" s="463">
        <f t="shared" si="1"/>
        <v>7566322.8023401415</v>
      </c>
      <c r="I27" s="461">
        <f t="shared" si="2"/>
        <v>7566322.8023401415</v>
      </c>
      <c r="J27" s="963">
        <f>'Exh JAD-7, Summary of Adj'!AN25</f>
        <v>-735275.7058591469</v>
      </c>
      <c r="K27" s="463">
        <f t="shared" si="3"/>
        <v>6831047.0964809945</v>
      </c>
      <c r="L27" s="462">
        <f>(+L13-L17-L20)*'Exh JAD-6, Conversion Factor'!$C$33</f>
        <v>2329878.9907647469</v>
      </c>
      <c r="M27" s="463">
        <f t="shared" si="4"/>
        <v>9160926.0872457419</v>
      </c>
      <c r="N27" s="122"/>
      <c r="O27" s="122"/>
      <c r="P27" s="56"/>
    </row>
    <row r="28" spans="1:20">
      <c r="A28" s="114">
        <v>20</v>
      </c>
      <c r="B28" s="117" t="s">
        <v>566</v>
      </c>
      <c r="C28" s="459">
        <f>SUM(C16:C27)</f>
        <v>127155515.96296458</v>
      </c>
      <c r="D28" s="459">
        <f>SUM(D16:D27)</f>
        <v>3361477.4924088647</v>
      </c>
      <c r="E28" s="459">
        <f>SUM(E16:E27)</f>
        <v>130516993.45537345</v>
      </c>
      <c r="F28" s="459">
        <f>SUM(F16:F27)</f>
        <v>3328104.8732440989</v>
      </c>
      <c r="G28" s="459">
        <f>SUM(G16:G27)</f>
        <v>133845098.32861754</v>
      </c>
      <c r="I28" s="459">
        <f>SUM(I16:I27)</f>
        <v>133845098.32861754</v>
      </c>
      <c r="J28" s="459">
        <f>SUM(J16:J27)</f>
        <v>5479478.6272090701</v>
      </c>
      <c r="K28" s="459">
        <f>SUM(K16:K27)</f>
        <v>139324576.95582661</v>
      </c>
      <c r="L28" s="459">
        <f>SUM(L16:L27)</f>
        <v>2904459.1299802358</v>
      </c>
      <c r="M28" s="459">
        <f>SUM(M16:M27)</f>
        <v>142229036.08580685</v>
      </c>
    </row>
    <row r="29" spans="1:20">
      <c r="A29" s="114">
        <v>21</v>
      </c>
      <c r="B29" s="117"/>
      <c r="C29" s="466"/>
      <c r="D29" s="466"/>
      <c r="E29" s="466"/>
      <c r="F29" s="466"/>
      <c r="G29" s="466"/>
      <c r="I29" s="466"/>
      <c r="J29" s="466"/>
      <c r="K29" s="466"/>
      <c r="L29" s="466"/>
      <c r="M29" s="466"/>
    </row>
    <row r="30" spans="1:20" ht="15.75" thickBot="1">
      <c r="A30" s="114">
        <v>22</v>
      </c>
      <c r="B30" s="115" t="s">
        <v>567</v>
      </c>
      <c r="C30" s="964">
        <f>+C13-C28</f>
        <v>48932083.641903773</v>
      </c>
      <c r="D30" s="964">
        <f>+D13-D28</f>
        <v>-1790000.4491705869</v>
      </c>
      <c r="E30" s="964">
        <f>+E13-E28</f>
        <v>47142083.192733184</v>
      </c>
      <c r="F30" s="964">
        <f>+F13-F28</f>
        <v>10043218.126755901</v>
      </c>
      <c r="G30" s="964">
        <f>+G13-G28</f>
        <v>57185301.319489092</v>
      </c>
      <c r="I30" s="964">
        <f>+I13-I28</f>
        <v>57185301.319489092</v>
      </c>
      <c r="J30" s="964">
        <f>+J13-J28</f>
        <v>-3432400.7229558388</v>
      </c>
      <c r="K30" s="964">
        <f>+K13-K28</f>
        <v>53752900.596533269</v>
      </c>
      <c r="L30" s="964">
        <f>+L13-L28</f>
        <v>8764782.8700197637</v>
      </c>
      <c r="M30" s="964">
        <f>+M13-M28</f>
        <v>62517683.466553032</v>
      </c>
      <c r="T30" s="56"/>
    </row>
    <row r="31" spans="1:20" ht="15.75" thickTop="1">
      <c r="A31" s="114">
        <v>23</v>
      </c>
      <c r="B31" s="115"/>
      <c r="C31" s="965"/>
      <c r="D31" s="965"/>
      <c r="E31" s="965"/>
      <c r="F31" s="965"/>
      <c r="G31" s="965"/>
      <c r="I31" s="965"/>
      <c r="J31" s="965"/>
      <c r="K31" s="965"/>
      <c r="L31" s="965"/>
      <c r="M31" s="965"/>
      <c r="T31" s="56"/>
    </row>
    <row r="32" spans="1:20">
      <c r="A32" s="114">
        <v>24</v>
      </c>
      <c r="B32" s="115" t="s">
        <v>568</v>
      </c>
      <c r="C32" s="966"/>
      <c r="D32" s="966"/>
      <c r="E32" s="966"/>
      <c r="F32" s="966"/>
      <c r="G32" s="966"/>
      <c r="I32" s="966"/>
      <c r="J32" s="966"/>
      <c r="K32" s="966"/>
      <c r="L32" s="966"/>
      <c r="M32" s="966"/>
      <c r="N32" s="52"/>
      <c r="T32" s="56"/>
    </row>
    <row r="33" spans="1:18">
      <c r="A33" s="114">
        <v>25</v>
      </c>
      <c r="B33" s="110" t="s">
        <v>569</v>
      </c>
      <c r="C33" s="967">
        <f>'Exh JAD-3 ROO Summary'!I33</f>
        <v>1141765084.1700001</v>
      </c>
      <c r="D33" s="962">
        <f>'Exh JAD-7, Summary of Adj'!AD31</f>
        <v>136127827.58551073</v>
      </c>
      <c r="E33" s="968">
        <f>SUM(C33:D33)</f>
        <v>1277892911.7555108</v>
      </c>
      <c r="F33" s="968"/>
      <c r="G33" s="968">
        <f>SUM(E33:F33)</f>
        <v>1277892911.7555108</v>
      </c>
      <c r="I33" s="967">
        <f>G33</f>
        <v>1277892911.7555108</v>
      </c>
      <c r="J33" s="962">
        <f>'Exh JAD-7, Summary of Adj'!AN31</f>
        <v>104148133.47050501</v>
      </c>
      <c r="K33" s="968">
        <f>SUM(I33:J33)</f>
        <v>1382041045.2260158</v>
      </c>
      <c r="L33" s="968"/>
      <c r="M33" s="968">
        <f>SUM(K33:L33)</f>
        <v>1382041045.2260158</v>
      </c>
      <c r="N33" s="52"/>
      <c r="P33" s="52"/>
    </row>
    <row r="34" spans="1:18">
      <c r="A34" s="114">
        <v>26</v>
      </c>
      <c r="B34" s="110" t="s">
        <v>570</v>
      </c>
      <c r="C34" s="967">
        <f>'Exh JAD-3 ROO Summary'!I34</f>
        <v>-482855822.53999978</v>
      </c>
      <c r="D34" s="962">
        <f>'Exh JAD-7, Summary of Adj'!AD32</f>
        <v>-31646070.765377395</v>
      </c>
      <c r="E34" s="968">
        <f>SUM(C34:D34)</f>
        <v>-514501893.30537719</v>
      </c>
      <c r="F34" s="968"/>
      <c r="G34" s="968">
        <f>SUM(E34:F34)</f>
        <v>-514501893.30537719</v>
      </c>
      <c r="I34" s="967">
        <f>G34</f>
        <v>-514501893.30537719</v>
      </c>
      <c r="J34" s="962">
        <f>'Exh JAD-7, Summary of Adj'!AN32</f>
        <v>-34196119.939198054</v>
      </c>
      <c r="K34" s="968">
        <f>SUM(I34:J34)</f>
        <v>-548698013.24457526</v>
      </c>
      <c r="L34" s="968"/>
      <c r="M34" s="968">
        <f>SUM(K34:L34)</f>
        <v>-548698013.24457526</v>
      </c>
      <c r="N34" s="52"/>
    </row>
    <row r="35" spans="1:18">
      <c r="A35" s="114">
        <v>27</v>
      </c>
      <c r="B35" s="110" t="s">
        <v>571</v>
      </c>
      <c r="C35" s="969">
        <f>'Exh JAD-3 ROO Summary'!I35</f>
        <v>-34072.21</v>
      </c>
      <c r="D35" s="962">
        <f>'Exh JAD-7, Summary of Adj'!AD33</f>
        <v>0</v>
      </c>
      <c r="E35" s="968">
        <f>SUM(C35:D35)</f>
        <v>-34072.21</v>
      </c>
      <c r="F35" s="968"/>
      <c r="G35" s="968">
        <f>SUM(E35:F35)</f>
        <v>-34072.21</v>
      </c>
      <c r="I35" s="969">
        <f>G35</f>
        <v>-34072.21</v>
      </c>
      <c r="J35" s="962">
        <f>'Exh JAD-7, Summary of Adj'!AN33</f>
        <v>0</v>
      </c>
      <c r="K35" s="968">
        <f>SUM(I35:J35)</f>
        <v>-34072.21</v>
      </c>
      <c r="L35" s="968"/>
      <c r="M35" s="968">
        <f>SUM(K35:L35)</f>
        <v>-34072.21</v>
      </c>
      <c r="N35" s="52"/>
      <c r="P35" s="52"/>
    </row>
    <row r="36" spans="1:18">
      <c r="A36" s="114">
        <v>28</v>
      </c>
      <c r="B36" s="110" t="s">
        <v>572</v>
      </c>
      <c r="C36" s="969">
        <f>'Exh JAD-3 ROO Summary'!I36</f>
        <v>-77593766.770000011</v>
      </c>
      <c r="D36" s="962">
        <f>'Exh JAD-7, Summary of Adj'!AD34</f>
        <v>68761.561904037371</v>
      </c>
      <c r="E36" s="968">
        <f>SUM(C36:D36)</f>
        <v>-77525005.208095968</v>
      </c>
      <c r="F36" s="968"/>
      <c r="G36" s="968">
        <f>SUM(E36:F36)</f>
        <v>-77525005.208095968</v>
      </c>
      <c r="I36" s="969">
        <f>G36</f>
        <v>-77525005.208095968</v>
      </c>
      <c r="J36" s="962">
        <f>'Exh JAD-7, Summary of Adj'!AN34</f>
        <v>-1767078.8683187142</v>
      </c>
      <c r="K36" s="968">
        <f>SUM(I36:J36)</f>
        <v>-79292084.076414675</v>
      </c>
      <c r="L36" s="968"/>
      <c r="M36" s="968">
        <f>SUM(K36:L36)</f>
        <v>-79292084.076414675</v>
      </c>
      <c r="N36" s="52"/>
    </row>
    <row r="37" spans="1:18">
      <c r="A37" s="114">
        <v>29</v>
      </c>
      <c r="B37" s="110" t="s">
        <v>573</v>
      </c>
      <c r="C37" s="969">
        <f>'Exh JAD-3 ROO Summary'!I37</f>
        <v>38582822.848597497</v>
      </c>
      <c r="D37" s="962">
        <f>'Exh JAD-7, Summary of Adj'!AD35</f>
        <v>0</v>
      </c>
      <c r="E37" s="968">
        <f>SUM(C37:D37)</f>
        <v>38582822.848597497</v>
      </c>
      <c r="F37" s="968"/>
      <c r="G37" s="968">
        <f>SUM(E37:F37)</f>
        <v>38582822.848597497</v>
      </c>
      <c r="I37" s="969">
        <f>G37</f>
        <v>38582822.848597497</v>
      </c>
      <c r="J37" s="962">
        <f>'Exh JAD-7, Summary of Adj'!AN35</f>
        <v>-635126.63849578728</v>
      </c>
      <c r="K37" s="968">
        <f>SUM(I37:J37)</f>
        <v>37947696.210101709</v>
      </c>
      <c r="L37" s="968"/>
      <c r="M37" s="968">
        <f>SUM(K37:L37)</f>
        <v>37947696.210101709</v>
      </c>
      <c r="N37" s="56"/>
    </row>
    <row r="38" spans="1:18" ht="15.75" thickBot="1">
      <c r="A38" s="114">
        <v>30</v>
      </c>
      <c r="B38" s="117" t="s">
        <v>574</v>
      </c>
      <c r="C38" s="467">
        <f>SUM(C33:C37)</f>
        <v>619864245.49859786</v>
      </c>
      <c r="D38" s="467">
        <f>SUM(D33:D37)</f>
        <v>104550518.38203737</v>
      </c>
      <c r="E38" s="467">
        <f>SUM(E33:E37)</f>
        <v>724414763.88063502</v>
      </c>
      <c r="F38" s="467"/>
      <c r="G38" s="467">
        <f>SUM(G33:G37)</f>
        <v>724414763.88063502</v>
      </c>
      <c r="I38" s="467">
        <f>SUM(I33:I37)</f>
        <v>724414763.88063502</v>
      </c>
      <c r="J38" s="467">
        <f>SUM(J33:J37)</f>
        <v>67549808.024492458</v>
      </c>
      <c r="K38" s="467">
        <f>SUM(K33:K37)</f>
        <v>791964571.90512753</v>
      </c>
      <c r="L38" s="467"/>
      <c r="M38" s="467">
        <f>SUM(M33:M37)</f>
        <v>791964571.90512753</v>
      </c>
      <c r="N38" s="56"/>
    </row>
    <row r="39" spans="1:18" ht="15.75" thickTop="1">
      <c r="A39" s="114">
        <v>31</v>
      </c>
      <c r="B39" s="115"/>
      <c r="C39" s="468"/>
      <c r="D39" s="468"/>
      <c r="E39" s="468"/>
      <c r="F39" s="468"/>
      <c r="G39" s="468"/>
      <c r="I39" s="468"/>
      <c r="J39" s="468"/>
      <c r="K39" s="468"/>
      <c r="L39" s="468"/>
      <c r="M39" s="468"/>
      <c r="N39" s="56"/>
    </row>
    <row r="40" spans="1:18">
      <c r="A40" s="114">
        <v>32</v>
      </c>
      <c r="B40" s="117" t="s">
        <v>575</v>
      </c>
      <c r="C40" s="469">
        <f>+C30/C38</f>
        <v>7.8940000164946539E-2</v>
      </c>
      <c r="D40" s="110"/>
      <c r="E40" s="469">
        <f>+E30/E38</f>
        <v>6.507609389432735E-2</v>
      </c>
      <c r="F40" s="470"/>
      <c r="G40" s="469">
        <f>+G30/G38</f>
        <v>7.8939999805017452E-2</v>
      </c>
      <c r="I40" s="469">
        <f>+I30/I38</f>
        <v>7.8939999805017452E-2</v>
      </c>
      <c r="J40" s="110"/>
      <c r="K40" s="469">
        <f>+K30/K38</f>
        <v>6.7872860104369076E-2</v>
      </c>
      <c r="L40" s="470"/>
      <c r="M40" s="469">
        <f>+M30/M38</f>
        <v>7.8940000202486663E-2</v>
      </c>
      <c r="N40" s="56"/>
    </row>
    <row r="41" spans="1:18" customFormat="1"/>
    <row r="42" spans="1:18" customFormat="1"/>
    <row r="43" spans="1:18">
      <c r="C43"/>
      <c r="D43"/>
      <c r="E43"/>
      <c r="F43"/>
      <c r="G43"/>
      <c r="I43"/>
      <c r="J43"/>
      <c r="K43"/>
      <c r="L43"/>
      <c r="M43"/>
      <c r="N43"/>
    </row>
    <row r="44" spans="1:18">
      <c r="B44" s="5"/>
      <c r="C44"/>
      <c r="D44"/>
      <c r="E44"/>
      <c r="F44"/>
      <c r="G44"/>
      <c r="I44"/>
      <c r="J44"/>
      <c r="K44"/>
      <c r="L44"/>
      <c r="M44"/>
      <c r="N44"/>
      <c r="P44" s="56"/>
    </row>
    <row r="45" spans="1:18">
      <c r="F45" s="121"/>
      <c r="L45" s="121"/>
      <c r="N45" s="56"/>
    </row>
    <row r="46" spans="1:18">
      <c r="R46" s="59"/>
    </row>
    <row r="47" spans="1:18">
      <c r="N47" s="56"/>
    </row>
  </sheetData>
  <mergeCells count="6">
    <mergeCell ref="C6:G6"/>
    <mergeCell ref="I6:M6"/>
    <mergeCell ref="I1:M1"/>
    <mergeCell ref="I2:M2"/>
    <mergeCell ref="I3:M3"/>
    <mergeCell ref="I4:M4"/>
  </mergeCells>
  <printOptions horizontalCentered="1"/>
  <pageMargins left="1" right="1" top="1" bottom="1" header="0.3" footer="0.3"/>
  <pageSetup scale="69" fitToWidth="0" orientation="portrait" r:id="rId1"/>
  <headerFooter scaleWithDoc="0" alignWithMargins="0">
    <oddHeader xml:space="preserve">&amp;RDocket UG-240008
Exh. JAD-4
Page &amp;P </oddHeader>
  </headerFooter>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33"/>
  <sheetViews>
    <sheetView zoomScaleNormal="100" workbookViewId="0">
      <selection activeCell="F15" sqref="F15"/>
    </sheetView>
  </sheetViews>
  <sheetFormatPr defaultColWidth="14" defaultRowHeight="15"/>
  <cols>
    <col min="1" max="1" width="5.7109375" style="53" customWidth="1"/>
    <col min="2" max="2" width="38.85546875" style="53" customWidth="1"/>
    <col min="3" max="3" width="14.85546875" style="53" bestFit="1" customWidth="1"/>
    <col min="4" max="4" width="17.5703125" style="53" bestFit="1" customWidth="1"/>
    <col min="5" max="5" width="16.85546875" style="53" bestFit="1" customWidth="1"/>
    <col min="6" max="6" width="17.5703125" style="53" bestFit="1" customWidth="1"/>
    <col min="7" max="7" width="9.85546875" style="53" bestFit="1" customWidth="1"/>
    <col min="8" max="9" width="9" style="53" bestFit="1" customWidth="1"/>
    <col min="10" max="11" width="15.28515625" style="53" customWidth="1"/>
    <col min="12" max="14" width="14" style="53"/>
    <col min="15" max="15" width="51.7109375" style="53" bestFit="1" customWidth="1"/>
    <col min="16" max="17" width="15.28515625" style="53" bestFit="1" customWidth="1"/>
    <col min="18" max="18" width="14" style="53"/>
    <col min="19" max="19" width="15.28515625" style="53" bestFit="1" customWidth="1"/>
    <col min="20" max="16384" width="14" style="53"/>
  </cols>
  <sheetData>
    <row r="1" spans="1:13">
      <c r="A1" s="1402" t="str">
        <f>Company</f>
        <v>Cascade Natural Gas Corp.</v>
      </c>
      <c r="B1" s="1402"/>
      <c r="C1" s="1402"/>
      <c r="D1" s="1402"/>
      <c r="E1" s="1402"/>
      <c r="F1" s="1402"/>
    </row>
    <row r="2" spans="1:13">
      <c r="A2" s="1402" t="str">
        <f>Title1</f>
        <v>Washington Jurisdiction</v>
      </c>
      <c r="B2" s="1402"/>
      <c r="C2" s="1402"/>
      <c r="D2" s="1402"/>
      <c r="E2" s="1402"/>
      <c r="F2" s="1402"/>
    </row>
    <row r="3" spans="1:13">
      <c r="A3" s="1402" t="str">
        <f>Title2</f>
        <v>Twelve-Months ended December 31, 2023</v>
      </c>
      <c r="B3" s="1402"/>
      <c r="C3" s="1402"/>
      <c r="D3" s="1402"/>
      <c r="E3" s="1402"/>
      <c r="F3" s="1402"/>
      <c r="I3"/>
    </row>
    <row r="4" spans="1:13">
      <c r="A4" s="1402" t="s">
        <v>591</v>
      </c>
      <c r="B4" s="1402"/>
      <c r="C4" s="1402"/>
      <c r="D4" s="1402"/>
      <c r="E4" s="1402"/>
      <c r="F4" s="1402"/>
    </row>
    <row r="5" spans="1:13">
      <c r="A5" s="427"/>
      <c r="B5" s="427"/>
      <c r="C5" s="427"/>
      <c r="D5" s="427"/>
      <c r="E5" s="427"/>
      <c r="F5" s="427"/>
    </row>
    <row r="6" spans="1:13" ht="30">
      <c r="A6" s="127"/>
      <c r="B6" s="127"/>
      <c r="C6" s="1445" t="s">
        <v>535</v>
      </c>
      <c r="D6" s="1445"/>
      <c r="E6" s="1445"/>
      <c r="F6" s="309" t="s">
        <v>577</v>
      </c>
    </row>
    <row r="7" spans="1:13" ht="30">
      <c r="A7" s="172" t="s">
        <v>536</v>
      </c>
      <c r="B7" s="172" t="s">
        <v>537</v>
      </c>
      <c r="C7" s="476" t="s">
        <v>592</v>
      </c>
      <c r="D7" s="476" t="s">
        <v>593</v>
      </c>
      <c r="E7" s="476" t="s">
        <v>200</v>
      </c>
      <c r="F7" s="476" t="s">
        <v>594</v>
      </c>
      <c r="G7"/>
      <c r="H7"/>
      <c r="I7"/>
      <c r="J7"/>
      <c r="K7"/>
      <c r="L7"/>
      <c r="M7"/>
    </row>
    <row r="8" spans="1:13">
      <c r="A8" s="60"/>
      <c r="B8" s="60" t="s">
        <v>439</v>
      </c>
      <c r="C8" s="60" t="s">
        <v>208</v>
      </c>
      <c r="D8" s="60" t="s">
        <v>209</v>
      </c>
      <c r="E8" s="60" t="s">
        <v>440</v>
      </c>
      <c r="F8" s="60" t="s">
        <v>441</v>
      </c>
      <c r="G8"/>
      <c r="H8"/>
      <c r="I8"/>
      <c r="J8"/>
      <c r="K8"/>
      <c r="L8"/>
      <c r="M8"/>
    </row>
    <row r="9" spans="1:13">
      <c r="A9" s="124">
        <v>1</v>
      </c>
      <c r="B9" s="53" t="s">
        <v>595</v>
      </c>
      <c r="C9" s="123">
        <f>+'Exh JAD-3 ROO Summary'!G38</f>
        <v>619864245.49859786</v>
      </c>
      <c r="D9" s="123">
        <f>'Exh JAD-4 MYRP Summary'!E38</f>
        <v>724414763.88063502</v>
      </c>
      <c r="E9" s="123"/>
      <c r="F9" s="123">
        <f>'Exh JAD-4 MYRP Summary'!K38</f>
        <v>791964571.90512753</v>
      </c>
      <c r="G9"/>
      <c r="H9"/>
      <c r="I9"/>
      <c r="J9"/>
      <c r="K9"/>
      <c r="L9"/>
      <c r="M9"/>
    </row>
    <row r="10" spans="1:13">
      <c r="A10" s="124">
        <f>MAX($A$9:A9)+1</f>
        <v>2</v>
      </c>
      <c r="B10" s="53" t="s">
        <v>575</v>
      </c>
      <c r="C10" s="255">
        <f>+'WACC Calculation'!$E$14</f>
        <v>7.8939999999999996E-2</v>
      </c>
      <c r="D10" s="255">
        <f>+'WACC Calculation'!$E$14</f>
        <v>7.8939999999999996E-2</v>
      </c>
      <c r="E10" s="255"/>
      <c r="F10" s="255">
        <f>+'WACC Calculation'!$E$14</f>
        <v>7.8939999999999996E-2</v>
      </c>
      <c r="G10"/>
      <c r="H10"/>
      <c r="I10"/>
      <c r="J10"/>
      <c r="K10"/>
      <c r="L10"/>
      <c r="M10"/>
    </row>
    <row r="11" spans="1:13">
      <c r="A11" s="124">
        <f>MAX($A$9:A10)+1</f>
        <v>3</v>
      </c>
      <c r="B11" s="53" t="s">
        <v>596</v>
      </c>
      <c r="C11" s="173">
        <f>+C9*C10</f>
        <v>48932083.539659314</v>
      </c>
      <c r="D11" s="173">
        <f>+D9*D10</f>
        <v>57185301.460737325</v>
      </c>
      <c r="E11" s="173"/>
      <c r="F11" s="173">
        <f>+F9*F10</f>
        <v>62517683.306190766</v>
      </c>
      <c r="G11"/>
      <c r="H11"/>
      <c r="I11"/>
      <c r="J11"/>
      <c r="K11"/>
      <c r="L11"/>
      <c r="M11"/>
    </row>
    <row r="12" spans="1:13">
      <c r="A12" s="124">
        <f>MAX($A$9:A11)+1</f>
        <v>4</v>
      </c>
      <c r="B12" s="53" t="s">
        <v>597</v>
      </c>
      <c r="C12" s="293">
        <f>+'Exh JAD-3 ROO Summary'!G30</f>
        <v>26054777.272812575</v>
      </c>
      <c r="D12" s="293">
        <f>'Exh JAD-4 MYRP Summary'!E30</f>
        <v>47142083.192733184</v>
      </c>
      <c r="E12" s="293"/>
      <c r="F12" s="293">
        <f>'Exh JAD-4 MYRP Summary'!K30</f>
        <v>53752900.596533269</v>
      </c>
      <c r="G12"/>
      <c r="H12"/>
      <c r="I12"/>
      <c r="J12"/>
      <c r="K12"/>
      <c r="L12"/>
      <c r="M12"/>
    </row>
    <row r="13" spans="1:13">
      <c r="A13" s="124">
        <f>MAX($A$9:A12)+1</f>
        <v>5</v>
      </c>
      <c r="B13" s="53" t="s">
        <v>598</v>
      </c>
      <c r="C13" s="173">
        <f>+C11-C12</f>
        <v>22877306.266846739</v>
      </c>
      <c r="D13" s="173">
        <f>+D11-D12</f>
        <v>10043218.268004142</v>
      </c>
      <c r="E13" s="173"/>
      <c r="F13" s="173">
        <f>+F11-F12</f>
        <v>8764782.7096574977</v>
      </c>
      <c r="G13"/>
      <c r="H13"/>
      <c r="I13"/>
      <c r="J13"/>
      <c r="K13"/>
      <c r="L13"/>
      <c r="M13"/>
    </row>
    <row r="14" spans="1:13">
      <c r="A14" s="124">
        <f>MAX($A$9:A13)+1</f>
        <v>6</v>
      </c>
      <c r="B14" s="53" t="s">
        <v>599</v>
      </c>
      <c r="C14" s="294">
        <f>+'Exh JAD-6, Conversion Factor'!$C$26</f>
        <v>0.75110130289694599</v>
      </c>
      <c r="D14" s="294">
        <f>+'Exh JAD-6, Conversion Factor'!$C$26</f>
        <v>0.75110130289694599</v>
      </c>
      <c r="E14" s="294"/>
      <c r="F14" s="294">
        <f>+'Exh JAD-6, Conversion Factor'!$C$26</f>
        <v>0.75110130289694599</v>
      </c>
      <c r="G14"/>
      <c r="H14"/>
      <c r="I14"/>
      <c r="J14"/>
      <c r="K14"/>
      <c r="L14"/>
      <c r="M14"/>
    </row>
    <row r="15" spans="1:13" ht="15.75" thickBot="1">
      <c r="A15" s="124">
        <f>MAX($A$9:A14)+1</f>
        <v>7</v>
      </c>
      <c r="B15" s="53" t="s">
        <v>600</v>
      </c>
      <c r="C15" s="906">
        <f>ROUND(+C13/C14,0)</f>
        <v>30458350</v>
      </c>
      <c r="D15" s="906">
        <f>ROUND(+D13/D14,0)</f>
        <v>13371323</v>
      </c>
      <c r="E15" s="174">
        <f>C15+D15</f>
        <v>43829673</v>
      </c>
      <c r="F15" s="174">
        <f>ROUND(+F13/F14,0)</f>
        <v>11669242</v>
      </c>
      <c r="G15"/>
      <c r="H15"/>
      <c r="I15"/>
      <c r="J15"/>
      <c r="K15"/>
      <c r="L15"/>
      <c r="M15"/>
    </row>
    <row r="16" spans="1:13" ht="15.75" thickTop="1">
      <c r="A16" s="124">
        <f>MAX($A$9:A15)+1</f>
        <v>8</v>
      </c>
      <c r="C16" s="173"/>
      <c r="D16" s="173"/>
      <c r="E16" s="173"/>
      <c r="F16" s="173"/>
      <c r="G16" s="576"/>
      <c r="H16" s="576"/>
      <c r="I16" s="576"/>
      <c r="J16"/>
      <c r="K16"/>
      <c r="L16"/>
      <c r="M16"/>
    </row>
    <row r="17" spans="1:14">
      <c r="A17" s="124">
        <f>MAX($A$9:A16)+1</f>
        <v>9</v>
      </c>
      <c r="B17" s="53" t="s">
        <v>601</v>
      </c>
      <c r="C17" s="173">
        <f>'Exh JAD-3 ROO Summary'!G13</f>
        <v>145629249.60486835</v>
      </c>
      <c r="D17" s="173">
        <f>C17+'Exh JAD-4 MYRP Summary'!D13</f>
        <v>147200726.64810663</v>
      </c>
      <c r="E17" s="173">
        <f>D17</f>
        <v>147200726.64810663</v>
      </c>
      <c r="F17" s="173">
        <f>'Exh JAD-4 MYRP Summary'!K13</f>
        <v>193077477.55235988</v>
      </c>
      <c r="I17"/>
      <c r="J17"/>
      <c r="K17"/>
      <c r="L17"/>
      <c r="M17"/>
    </row>
    <row r="18" spans="1:14">
      <c r="A18" s="124">
        <f>MAX($A$9:A17)+1</f>
        <v>10</v>
      </c>
      <c r="I18"/>
      <c r="J18" s="576"/>
      <c r="K18"/>
      <c r="L18"/>
      <c r="M18"/>
    </row>
    <row r="19" spans="1:14">
      <c r="A19" s="124">
        <f>MAX($A$9:A18)+1</f>
        <v>11</v>
      </c>
      <c r="B19" s="53" t="s">
        <v>602</v>
      </c>
      <c r="C19" s="752">
        <f>+C15/C17</f>
        <v>0.20914994812265916</v>
      </c>
      <c r="D19" s="752">
        <f>+D15/D17</f>
        <v>9.0837343703914303E-2</v>
      </c>
      <c r="E19" s="64">
        <f>+E15/E17</f>
        <v>0.29775446085111945</v>
      </c>
      <c r="F19" s="64">
        <f>+F15/F17</f>
        <v>6.0438131613955164E-2</v>
      </c>
      <c r="I19"/>
      <c r="J19"/>
      <c r="K19"/>
      <c r="L19"/>
      <c r="M19"/>
    </row>
    <row r="20" spans="1:14">
      <c r="A20" s="124">
        <f>MAX($A$9:A19)+1</f>
        <v>12</v>
      </c>
      <c r="C20"/>
      <c r="D20"/>
      <c r="I20"/>
      <c r="J20"/>
      <c r="K20"/>
      <c r="L20"/>
      <c r="M20"/>
    </row>
    <row r="21" spans="1:14">
      <c r="A21" s="124">
        <f>MAX($A$9:A20)+1</f>
        <v>13</v>
      </c>
      <c r="B21" s="53" t="s">
        <v>603</v>
      </c>
      <c r="C21" s="752">
        <f>+C15/(C17-'Exh JAD-7, Summary of Adj'!$C$11)</f>
        <v>8.0846366031533071E-2</v>
      </c>
      <c r="D21" s="752">
        <f>+D15/(D17-'Exh JAD-7, Summary of Adj'!$C$11)</f>
        <v>3.5344410630963878E-2</v>
      </c>
      <c r="E21" s="64">
        <f>+E15/(E17-'Exh JAD-7, Summary of Adj'!$C$11)</f>
        <v>0.11585495020446897</v>
      </c>
      <c r="F21" s="64">
        <f>+F15/(F17-'Exh JAD-7, Summary of Adj'!$C$11)</f>
        <v>2.7509352058579507E-2</v>
      </c>
      <c r="I21"/>
      <c r="J21" s="576"/>
      <c r="K21"/>
      <c r="L21"/>
      <c r="M21"/>
    </row>
    <row r="22" spans="1:14">
      <c r="D22" s="109"/>
      <c r="E22" s="109"/>
      <c r="I22"/>
      <c r="J22"/>
      <c r="K22"/>
      <c r="L22"/>
      <c r="M22"/>
    </row>
    <row r="23" spans="1:14" ht="17.25">
      <c r="A23" t="s">
        <v>604</v>
      </c>
      <c r="D23" s="109"/>
      <c r="E23" s="109"/>
      <c r="I23"/>
      <c r="J23"/>
      <c r="K23"/>
      <c r="L23"/>
      <c r="M23"/>
    </row>
    <row r="24" spans="1:14" ht="17.25">
      <c r="A24" t="s">
        <v>605</v>
      </c>
      <c r="D24" s="173"/>
      <c r="I24"/>
      <c r="J24"/>
      <c r="K24"/>
      <c r="L24"/>
      <c r="M24"/>
    </row>
    <row r="25" spans="1:14" ht="17.25">
      <c r="A25" t="s">
        <v>606</v>
      </c>
      <c r="E25" s="452"/>
      <c r="I25"/>
      <c r="J25" s="566"/>
      <c r="K25" s="566"/>
      <c r="L25" s="123"/>
    </row>
    <row r="26" spans="1:14">
      <c r="F26" s="173"/>
      <c r="J26" s="566"/>
      <c r="K26" s="121"/>
      <c r="L26" s="123"/>
      <c r="M26" s="123"/>
    </row>
    <row r="27" spans="1:14">
      <c r="I27"/>
      <c r="J27" s="566"/>
      <c r="K27" s="121"/>
      <c r="L27" s="123"/>
      <c r="M27" s="123"/>
    </row>
    <row r="28" spans="1:14">
      <c r="I28"/>
      <c r="J28" s="566"/>
      <c r="K28" s="566"/>
      <c r="L28" s="123"/>
      <c r="M28" s="254"/>
    </row>
    <row r="29" spans="1:14">
      <c r="D29" s="173"/>
      <c r="M29" s="173"/>
      <c r="N29" s="109"/>
    </row>
    <row r="30" spans="1:14">
      <c r="F30" s="227"/>
      <c r="I30"/>
      <c r="J30" s="254"/>
      <c r="K30" s="254"/>
      <c r="L30" s="254"/>
    </row>
    <row r="31" spans="1:14">
      <c r="F31" s="227"/>
      <c r="M31" s="254"/>
    </row>
    <row r="32" spans="1:14">
      <c r="F32" s="227"/>
    </row>
    <row r="33" spans="6:6">
      <c r="F33" s="121"/>
    </row>
  </sheetData>
  <mergeCells count="5">
    <mergeCell ref="A1:F1"/>
    <mergeCell ref="A2:F2"/>
    <mergeCell ref="A3:F3"/>
    <mergeCell ref="A4:F4"/>
    <mergeCell ref="C6:E6"/>
  </mergeCells>
  <phoneticPr fontId="122" type="noConversion"/>
  <printOptions horizontalCentered="1"/>
  <pageMargins left="0.7" right="0.7" top="0.75" bottom="0.75" header="0.3" footer="0.3"/>
  <pageSetup scale="73" orientation="portrait" r:id="rId1"/>
  <headerFooter scaleWithDoc="0" alignWithMargins="0">
    <oddHeader>&amp;RDocket UG-240008
Exh. JAD-5
Page 1</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37"/>
  <sheetViews>
    <sheetView view="pageBreakPreview" zoomScale="60" zoomScaleNormal="100" workbookViewId="0">
      <selection activeCell="D12" sqref="D12"/>
    </sheetView>
  </sheetViews>
  <sheetFormatPr defaultColWidth="9.140625" defaultRowHeight="15"/>
  <cols>
    <col min="1" max="1" width="8.140625" style="53" customWidth="1"/>
    <col min="2" max="2" width="37.140625" style="53" bestFit="1" customWidth="1"/>
    <col min="3" max="3" width="14" style="949" bestFit="1" customWidth="1"/>
    <col min="4" max="4" width="10.5703125" style="53" bestFit="1" customWidth="1"/>
    <col min="5" max="5" width="11.28515625" style="124" bestFit="1" customWidth="1"/>
    <col min="6" max="6" width="11" style="53" customWidth="1"/>
    <col min="7" max="16384" width="9.140625" style="53"/>
  </cols>
  <sheetData>
    <row r="1" spans="1:10">
      <c r="A1" s="1443" t="str">
        <f>Company</f>
        <v>Cascade Natural Gas Corp.</v>
      </c>
      <c r="B1" s="1443"/>
      <c r="C1" s="1443"/>
      <c r="D1" s="1443"/>
      <c r="E1" s="1443"/>
      <c r="F1" s="1443"/>
    </row>
    <row r="2" spans="1:10">
      <c r="A2" s="1443" t="str">
        <f>Title1</f>
        <v>Washington Jurisdiction</v>
      </c>
      <c r="B2" s="1443"/>
      <c r="C2" s="1443"/>
      <c r="D2" s="1443"/>
      <c r="E2" s="1443"/>
      <c r="F2" s="1443"/>
    </row>
    <row r="3" spans="1:10">
      <c r="A3" s="1444" t="str">
        <f>Title2</f>
        <v>Twelve-Months ended December 31, 2023</v>
      </c>
      <c r="B3" s="1444"/>
      <c r="C3" s="1444"/>
      <c r="D3" s="1444"/>
      <c r="E3" s="1444"/>
      <c r="F3" s="1444"/>
    </row>
    <row r="4" spans="1:10">
      <c r="A4" s="1446" t="s">
        <v>607</v>
      </c>
      <c r="B4" s="1446"/>
      <c r="C4" s="1446"/>
      <c r="D4" s="1446"/>
      <c r="E4" s="1446"/>
      <c r="F4" s="1446"/>
    </row>
    <row r="5" spans="1:10">
      <c r="A5" s="1446"/>
      <c r="B5" s="1446"/>
      <c r="C5" s="1446"/>
    </row>
    <row r="6" spans="1:10" ht="30">
      <c r="A6" s="281" t="s">
        <v>536</v>
      </c>
      <c r="B6" s="159" t="s">
        <v>537</v>
      </c>
      <c r="C6" s="160" t="s">
        <v>608</v>
      </c>
      <c r="D6" s="553" t="s">
        <v>609</v>
      </c>
      <c r="E6" s="942" t="s">
        <v>610</v>
      </c>
      <c r="F6" s="553" t="s">
        <v>609</v>
      </c>
    </row>
    <row r="7" spans="1:10">
      <c r="A7" s="492"/>
      <c r="B7" s="492" t="s">
        <v>439</v>
      </c>
      <c r="C7" s="493" t="s">
        <v>208</v>
      </c>
      <c r="D7" s="706" t="s">
        <v>209</v>
      </c>
      <c r="E7" s="943" t="s">
        <v>440</v>
      </c>
      <c r="F7" s="943" t="s">
        <v>441</v>
      </c>
    </row>
    <row r="8" spans="1:10">
      <c r="A8" s="161">
        <v>1</v>
      </c>
      <c r="B8" s="162" t="s">
        <v>611</v>
      </c>
      <c r="C8" s="944">
        <v>1</v>
      </c>
      <c r="E8" s="944">
        <v>1</v>
      </c>
      <c r="F8" s="361"/>
    </row>
    <row r="9" spans="1:10">
      <c r="A9" s="163">
        <v>2</v>
      </c>
      <c r="B9" s="164" t="s">
        <v>612</v>
      </c>
      <c r="C9" s="944"/>
      <c r="E9" s="944"/>
      <c r="F9" s="361"/>
    </row>
    <row r="10" spans="1:10">
      <c r="A10" s="163">
        <v>3</v>
      </c>
      <c r="B10" s="165" t="s">
        <v>613</v>
      </c>
      <c r="C10" s="945">
        <f>+'Operating Report'!F94/'Operating Report'!F29</f>
        <v>6.7188570924734204E-3</v>
      </c>
      <c r="D10" s="1"/>
      <c r="E10" s="945">
        <v>3.7100000000000002E-3</v>
      </c>
      <c r="F10" s="361"/>
    </row>
    <row r="11" spans="1:10">
      <c r="A11" s="166">
        <v>4</v>
      </c>
      <c r="B11" s="165" t="s">
        <v>614</v>
      </c>
      <c r="C11" s="945">
        <v>3.8519999999999999E-2</v>
      </c>
      <c r="D11" s="1"/>
      <c r="E11" s="945">
        <v>3.8519999999999999E-2</v>
      </c>
      <c r="F11" s="361"/>
    </row>
    <row r="12" spans="1:10">
      <c r="A12" s="163">
        <v>5</v>
      </c>
      <c r="B12" s="165" t="s">
        <v>615</v>
      </c>
      <c r="C12" s="945">
        <v>4.0000000000000001E-3</v>
      </c>
      <c r="D12" s="955">
        <f>SUM(C10:C12)</f>
        <v>4.9238857092473415E-2</v>
      </c>
      <c r="E12" s="945">
        <v>2E-3</v>
      </c>
      <c r="F12" s="641">
        <f>SUM(E10:E12)</f>
        <v>4.4229999999999998E-2</v>
      </c>
      <c r="H12" s="167"/>
    </row>
    <row r="13" spans="1:10">
      <c r="A13" s="163">
        <v>6</v>
      </c>
      <c r="B13" s="165" t="s">
        <v>616</v>
      </c>
      <c r="C13" s="160"/>
      <c r="E13" s="160"/>
      <c r="F13" s="361"/>
    </row>
    <row r="14" spans="1:10">
      <c r="A14" s="161">
        <v>7</v>
      </c>
      <c r="B14" s="168" t="s">
        <v>617</v>
      </c>
      <c r="C14" s="944">
        <f>+C8-SUM(C10:C13)</f>
        <v>0.95076114290752656</v>
      </c>
      <c r="E14" s="944">
        <f>+E8-SUM(E10:E13)</f>
        <v>0.95577000000000001</v>
      </c>
      <c r="F14" s="361"/>
      <c r="H14" s="167"/>
      <c r="I14" s="167"/>
      <c r="J14" s="167"/>
    </row>
    <row r="15" spans="1:10">
      <c r="A15" s="163">
        <v>8</v>
      </c>
      <c r="B15" s="169"/>
      <c r="C15" s="944"/>
      <c r="E15" s="944"/>
      <c r="F15" s="361"/>
    </row>
    <row r="16" spans="1:10">
      <c r="A16" s="163">
        <v>9</v>
      </c>
      <c r="B16" s="164" t="s">
        <v>618</v>
      </c>
      <c r="C16" s="944">
        <f>C14*C30</f>
        <v>0</v>
      </c>
      <c r="E16" s="944">
        <f>E14*E30</f>
        <v>0</v>
      </c>
      <c r="F16" s="361"/>
      <c r="H16" s="625"/>
    </row>
    <row r="17" spans="1:12">
      <c r="A17" s="161">
        <v>10</v>
      </c>
      <c r="B17" s="170"/>
      <c r="C17" s="944"/>
      <c r="E17" s="944"/>
      <c r="F17" s="361"/>
    </row>
    <row r="18" spans="1:12">
      <c r="A18" s="163">
        <v>11</v>
      </c>
      <c r="B18" s="170" t="s">
        <v>619</v>
      </c>
      <c r="C18" s="944">
        <f>+C14-C16</f>
        <v>0.95076114290752656</v>
      </c>
      <c r="E18" s="944">
        <f>+E14-E16</f>
        <v>0.95577000000000001</v>
      </c>
      <c r="F18" s="361"/>
      <c r="H18" s="625"/>
      <c r="L18" s="167"/>
    </row>
    <row r="19" spans="1:12">
      <c r="A19" s="163">
        <v>12</v>
      </c>
      <c r="B19" s="170"/>
      <c r="C19" s="944"/>
      <c r="E19" s="944"/>
      <c r="F19" s="361"/>
    </row>
    <row r="20" spans="1:12">
      <c r="A20" s="161">
        <v>13</v>
      </c>
      <c r="B20" s="170" t="str">
        <f>"Federal Income Tax @ "&amp;C31*100&amp;"%"</f>
        <v>Federal Income Tax @ 21%</v>
      </c>
      <c r="C20" s="944">
        <f>+C18*C31</f>
        <v>0.19965984001058057</v>
      </c>
      <c r="E20" s="944">
        <f>+E18*C31</f>
        <v>0.20071169999999999</v>
      </c>
      <c r="F20" s="361"/>
      <c r="H20" s="625"/>
    </row>
    <row r="21" spans="1:12">
      <c r="A21" s="163">
        <v>14</v>
      </c>
      <c r="B21" s="170"/>
      <c r="C21" s="944"/>
      <c r="E21" s="944"/>
      <c r="F21" s="361"/>
    </row>
    <row r="22" spans="1:12">
      <c r="A22" s="163">
        <v>15</v>
      </c>
      <c r="B22" s="170" t="s">
        <v>620</v>
      </c>
      <c r="C22" s="944">
        <f>+C16+C20</f>
        <v>0.19965984001058057</v>
      </c>
      <c r="E22" s="944">
        <f>+E16+E20</f>
        <v>0.20071169999999999</v>
      </c>
      <c r="F22" s="361"/>
      <c r="H22" s="625"/>
    </row>
    <row r="23" spans="1:12">
      <c r="A23" s="161">
        <v>16</v>
      </c>
      <c r="B23" s="170"/>
      <c r="C23" s="944"/>
      <c r="E23" s="944"/>
      <c r="F23" s="361"/>
    </row>
    <row r="24" spans="1:12">
      <c r="A24" s="163">
        <v>17</v>
      </c>
      <c r="B24" s="170" t="s">
        <v>621</v>
      </c>
      <c r="C24" s="944">
        <f>SUM(C10:C13)+C22</f>
        <v>0.24889869710305398</v>
      </c>
      <c r="E24" s="944">
        <f>SUM(E10:E13)+E22</f>
        <v>0.24494169999999998</v>
      </c>
      <c r="F24" s="361"/>
      <c r="H24" s="625"/>
    </row>
    <row r="25" spans="1:12">
      <c r="A25" s="163">
        <v>18</v>
      </c>
      <c r="B25" s="170"/>
      <c r="C25" s="944"/>
      <c r="E25" s="881"/>
      <c r="F25" s="361"/>
    </row>
    <row r="26" spans="1:12">
      <c r="A26" s="161">
        <v>19</v>
      </c>
      <c r="B26" s="170" t="s">
        <v>599</v>
      </c>
      <c r="C26" s="946">
        <f>+C8-C24</f>
        <v>0.75110130289694599</v>
      </c>
      <c r="E26" s="946">
        <f>+E8-E24</f>
        <v>0.75505829999999996</v>
      </c>
      <c r="F26" s="361"/>
      <c r="H26" s="625"/>
    </row>
    <row r="27" spans="1:12">
      <c r="A27" s="163">
        <v>20</v>
      </c>
      <c r="B27" s="162"/>
      <c r="C27" s="944"/>
    </row>
    <row r="28" spans="1:12">
      <c r="A28" s="163">
        <v>21</v>
      </c>
      <c r="B28" s="162"/>
      <c r="C28" s="944"/>
    </row>
    <row r="29" spans="1:12">
      <c r="A29" s="161">
        <v>22</v>
      </c>
      <c r="B29" s="171" t="s">
        <v>622</v>
      </c>
      <c r="C29" s="947"/>
    </row>
    <row r="30" spans="1:12">
      <c r="A30" s="163">
        <v>23</v>
      </c>
      <c r="B30" s="14" t="s">
        <v>623</v>
      </c>
      <c r="C30" s="947">
        <v>0</v>
      </c>
    </row>
    <row r="31" spans="1:12">
      <c r="A31" s="163">
        <v>24</v>
      </c>
      <c r="B31" s="14" t="s">
        <v>624</v>
      </c>
      <c r="C31" s="947">
        <v>0.21</v>
      </c>
    </row>
    <row r="32" spans="1:12">
      <c r="A32" s="161">
        <v>25</v>
      </c>
      <c r="B32" s="1"/>
      <c r="C32" s="2"/>
    </row>
    <row r="33" spans="1:3">
      <c r="A33" s="163">
        <v>26</v>
      </c>
      <c r="B33" s="14" t="s">
        <v>625</v>
      </c>
      <c r="C33" s="947">
        <f>ROUND(((1-C30)*C31)+C30,5)</f>
        <v>0.21</v>
      </c>
    </row>
    <row r="37" spans="1:3">
      <c r="C37" s="948"/>
    </row>
  </sheetData>
  <mergeCells count="5">
    <mergeCell ref="A5:C5"/>
    <mergeCell ref="A1:F1"/>
    <mergeCell ref="A2:F2"/>
    <mergeCell ref="A3:F3"/>
    <mergeCell ref="A4:F4"/>
  </mergeCells>
  <printOptions horizontalCentered="1"/>
  <pageMargins left="0.7" right="0.7" top="0.75" bottom="0.75" header="0.3" footer="0.3"/>
  <pageSetup scale="97" orientation="portrait" r:id="rId1"/>
  <headerFooter scaleWithDoc="0" alignWithMargins="0">
    <oddHeader xml:space="preserve">&amp;RDocket UG-240008
Exh. JAD-6
Page 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ET60"/>
  <sheetViews>
    <sheetView view="pageBreakPreview" topLeftCell="C1" zoomScale="60" zoomScaleNormal="100" workbookViewId="0">
      <selection activeCell="H38" activeCellId="1" sqref="R38 H38"/>
    </sheetView>
  </sheetViews>
  <sheetFormatPr defaultColWidth="9.140625" defaultRowHeight="15"/>
  <cols>
    <col min="1" max="1" width="4.85546875" style="53" bestFit="1" customWidth="1"/>
    <col min="2" max="2" width="39.140625" style="53" bestFit="1" customWidth="1"/>
    <col min="3" max="3" width="14.85546875" style="53" bestFit="1" customWidth="1"/>
    <col min="4" max="4" width="15.140625" style="53" bestFit="1" customWidth="1"/>
    <col min="5" max="6" width="16.28515625" style="53" bestFit="1" customWidth="1"/>
    <col min="7" max="7" width="14.140625" style="53" bestFit="1" customWidth="1"/>
    <col min="8" max="8" width="13" style="53" bestFit="1" customWidth="1"/>
    <col min="9" max="9" width="16.85546875" style="53" bestFit="1" customWidth="1"/>
    <col min="10" max="10" width="14" style="53" bestFit="1" customWidth="1"/>
    <col min="11" max="11" width="15.140625" style="53" bestFit="1" customWidth="1"/>
    <col min="12" max="12" width="13.85546875" style="53" bestFit="1" customWidth="1"/>
    <col min="13" max="13" width="17" style="53" customWidth="1"/>
    <col min="14" max="14" width="8" style="53" bestFit="1" customWidth="1"/>
    <col min="15" max="15" width="19.42578125" style="53" bestFit="1" customWidth="1"/>
    <col min="16" max="16" width="2.140625" style="53" customWidth="1"/>
    <col min="17" max="17" width="15.5703125" style="53" bestFit="1" customWidth="1"/>
    <col min="18" max="18" width="15.5703125" style="143" bestFit="1" customWidth="1"/>
    <col min="19" max="19" width="15.140625" style="53" bestFit="1" customWidth="1"/>
    <col min="20" max="20" width="15.5703125" style="53" bestFit="1" customWidth="1"/>
    <col min="21" max="21" width="14.7109375" style="53" bestFit="1" customWidth="1"/>
    <col min="22" max="22" width="14.140625" style="53" bestFit="1" customWidth="1"/>
    <col min="23" max="25" width="14.5703125" style="53" bestFit="1" customWidth="1"/>
    <col min="26" max="26" width="16.5703125" style="53" bestFit="1" customWidth="1"/>
    <col min="27" max="27" width="2.140625" style="53" customWidth="1"/>
    <col min="28" max="28" width="17.28515625" style="143" bestFit="1" customWidth="1"/>
    <col min="29" max="29" width="15.140625" style="143" bestFit="1" customWidth="1"/>
    <col min="30" max="30" width="17.5703125" style="53" bestFit="1" customWidth="1"/>
    <col min="31" max="31" width="2.140625" style="53" customWidth="1"/>
    <col min="32" max="32" width="16.85546875" style="53" bestFit="1" customWidth="1"/>
    <col min="33" max="33" width="16.28515625" style="53" bestFit="1" customWidth="1"/>
    <col min="34" max="34" width="15.5703125" style="53" bestFit="1" customWidth="1"/>
    <col min="35" max="35" width="13.42578125" style="53" bestFit="1" customWidth="1"/>
    <col min="36" max="37" width="14.140625" style="53" customWidth="1"/>
    <col min="38" max="38" width="16.42578125" style="53" customWidth="1"/>
    <col min="39" max="39" width="15.85546875" style="53" customWidth="1"/>
    <col min="40" max="40" width="17" style="53" bestFit="1" customWidth="1"/>
    <col min="41" max="41" width="14" style="53" bestFit="1" customWidth="1"/>
    <col min="42" max="45" width="9.140625" style="53"/>
    <col min="46" max="46" width="22.28515625" style="53" bestFit="1" customWidth="1"/>
    <col min="47" max="47" width="12" style="53" bestFit="1" customWidth="1"/>
    <col min="48" max="48" width="13.28515625" style="53" bestFit="1" customWidth="1"/>
    <col min="49" max="49" width="12.85546875" style="53" bestFit="1" customWidth="1"/>
    <col min="50" max="50" width="13.28515625" style="53" bestFit="1" customWidth="1"/>
    <col min="51" max="51" width="9.140625" style="53"/>
    <col min="52" max="52" width="12.85546875" style="53" bestFit="1" customWidth="1"/>
    <col min="53" max="53" width="9.140625" style="53"/>
    <col min="54" max="54" width="13.28515625" style="53" bestFit="1" customWidth="1"/>
    <col min="55" max="56" width="14.28515625" style="53" bestFit="1" customWidth="1"/>
    <col min="57" max="57" width="13.28515625" style="53" bestFit="1" customWidth="1"/>
    <col min="58" max="58" width="16.28515625" style="53" bestFit="1" customWidth="1"/>
    <col min="59" max="16384" width="9.140625" style="53"/>
  </cols>
  <sheetData>
    <row r="1" spans="1:41">
      <c r="A1" s="91" t="str">
        <f>Company</f>
        <v>Cascade Natural Gas Corp.</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row>
    <row r="2" spans="1:41">
      <c r="A2" s="91" t="str">
        <f>Title1</f>
        <v>Washington Jurisdiction</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row>
    <row r="3" spans="1:41">
      <c r="A3" s="91" t="str">
        <f>Title2</f>
        <v>Twelve-Months ended December 31, 2023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row>
    <row r="4" spans="1:41">
      <c r="A4" s="91" t="s">
        <v>626</v>
      </c>
      <c r="B4" s="282"/>
      <c r="C4" s="1322" t="str">
        <f>+C6</f>
        <v>R-1</v>
      </c>
      <c r="D4" s="1322" t="str">
        <f t="shared" ref="D4:AL4" si="0">+D6</f>
        <v>R-2</v>
      </c>
      <c r="E4" s="1322" t="str">
        <f t="shared" si="0"/>
        <v>R-3</v>
      </c>
      <c r="F4" s="1322" t="str">
        <f t="shared" si="0"/>
        <v>R-4</v>
      </c>
      <c r="G4" s="1322" t="str">
        <f t="shared" si="0"/>
        <v>R-5</v>
      </c>
      <c r="H4" s="1322" t="str">
        <f t="shared" si="0"/>
        <v>R-6</v>
      </c>
      <c r="I4" s="1322" t="str">
        <f t="shared" si="0"/>
        <v>R-7</v>
      </c>
      <c r="J4" s="1322" t="str">
        <f t="shared" si="0"/>
        <v>R-8</v>
      </c>
      <c r="K4" s="1322" t="str">
        <f t="shared" si="0"/>
        <v>R-9</v>
      </c>
      <c r="L4" s="1322" t="str">
        <f t="shared" si="0"/>
        <v>R-10</v>
      </c>
      <c r="M4" s="1322" t="str">
        <f t="shared" si="0"/>
        <v>R-11</v>
      </c>
      <c r="N4" s="1322">
        <f t="shared" si="0"/>
        <v>0</v>
      </c>
      <c r="O4" s="1322" t="str">
        <f t="shared" si="0"/>
        <v>R-Total</v>
      </c>
      <c r="P4" s="1322">
        <f t="shared" si="0"/>
        <v>0</v>
      </c>
      <c r="Q4" s="1322" t="str">
        <f t="shared" si="0"/>
        <v>P-1</v>
      </c>
      <c r="R4" s="1322" t="str">
        <f t="shared" si="0"/>
        <v>P-2</v>
      </c>
      <c r="S4" s="1322" t="str">
        <f t="shared" si="0"/>
        <v>P-3</v>
      </c>
      <c r="T4" s="1322" t="str">
        <f t="shared" si="0"/>
        <v>P-4</v>
      </c>
      <c r="U4" s="1322" t="str">
        <f t="shared" si="0"/>
        <v>P-5</v>
      </c>
      <c r="V4" s="1322" t="str">
        <f t="shared" si="0"/>
        <v>P-6</v>
      </c>
      <c r="W4" s="1322" t="str">
        <f t="shared" si="0"/>
        <v>P-7</v>
      </c>
      <c r="X4" s="1322" t="str">
        <f t="shared" si="0"/>
        <v>P-8</v>
      </c>
      <c r="Y4" s="1322" t="str">
        <f t="shared" si="0"/>
        <v>P-9</v>
      </c>
      <c r="Z4" s="1322" t="str">
        <f t="shared" si="0"/>
        <v>P-Total</v>
      </c>
      <c r="AA4" s="1322">
        <f t="shared" si="0"/>
        <v>0</v>
      </c>
      <c r="AB4" s="1322" t="str">
        <f t="shared" si="0"/>
        <v>PR- 1</v>
      </c>
      <c r="AC4" s="1322" t="str">
        <f t="shared" si="0"/>
        <v>PR - 2</v>
      </c>
      <c r="AD4" s="1322" t="str">
        <f t="shared" si="0"/>
        <v>PRYR1-Total</v>
      </c>
      <c r="AE4" s="1322">
        <f t="shared" si="0"/>
        <v>0</v>
      </c>
      <c r="AF4" s="1322" t="str">
        <f t="shared" si="0"/>
        <v>PR - 3</v>
      </c>
      <c r="AG4" s="1322" t="str">
        <f t="shared" si="0"/>
        <v>PR - 4</v>
      </c>
      <c r="AH4" s="1322" t="str">
        <f t="shared" si="0"/>
        <v>PR - 5</v>
      </c>
      <c r="AI4" s="1322" t="str">
        <f t="shared" si="0"/>
        <v>PR - 6</v>
      </c>
      <c r="AJ4" s="1322" t="str">
        <f t="shared" si="0"/>
        <v>PR - 7</v>
      </c>
      <c r="AK4" s="1322" t="str">
        <f t="shared" si="0"/>
        <v>PR - 8</v>
      </c>
      <c r="AL4" s="1322" t="str">
        <f t="shared" si="0"/>
        <v>PR - 9</v>
      </c>
      <c r="AM4" s="1322" t="str">
        <f>+AM6</f>
        <v>PR - 10</v>
      </c>
      <c r="AN4" s="282"/>
    </row>
    <row r="5" spans="1:41" ht="90">
      <c r="A5" s="125" t="s">
        <v>536</v>
      </c>
      <c r="B5" s="428" t="s">
        <v>537</v>
      </c>
      <c r="C5" s="125" t="str">
        <f>'Operating Report'!H13</f>
        <v>Remove Supplemental Schedules Adjustment</v>
      </c>
      <c r="D5" s="125" t="str">
        <f>'Operating Report'!I13</f>
        <v>Normalize Revenue Adjustment</v>
      </c>
      <c r="E5" s="125" t="str">
        <f>'Operating Report'!J13</f>
        <v>Restate End of Period Adjustment</v>
      </c>
      <c r="F5" s="125" t="str">
        <f>'Operating Report'!K13</f>
        <v>Annualized CRM Adjustment</v>
      </c>
      <c r="G5" s="125" t="str">
        <f>'Operating Report'!L13</f>
        <v>Promotional Advertising Adjustment</v>
      </c>
      <c r="H5" s="125" t="str">
        <f>'Operating Report'!M13</f>
        <v>Restate Wages Adjustment</v>
      </c>
      <c r="I5" s="125" t="str">
        <f>'Operating Report'!N13</f>
        <v>Restate Incentives Adjustment</v>
      </c>
      <c r="J5" s="125" t="str">
        <f>'Operating Report'!O13</f>
        <v>Director &amp; Officers Adjustment</v>
      </c>
      <c r="K5" s="125" t="str">
        <f>'Operating Report'!P13</f>
        <v>Restate COVID-19 Deferral Offsets Adjustment</v>
      </c>
      <c r="L5" s="125" t="str">
        <f>'Operating Report'!Q13</f>
        <v>Restate CCA Labor Expense Adjustment</v>
      </c>
      <c r="M5" s="125" t="str">
        <f>'Operating Report'!R13</f>
        <v>Restate Commission Fees Adjustment</v>
      </c>
      <c r="N5" s="125" t="str">
        <f>'Operating Report'!S13</f>
        <v>OPEN</v>
      </c>
      <c r="O5" s="126" t="s">
        <v>627</v>
      </c>
      <c r="P5" s="127"/>
      <c r="Q5" s="125" t="str">
        <f>'Operating Report'!T13</f>
        <v>Interest  Coordination Adjustment</v>
      </c>
      <c r="R5" s="125" t="str">
        <f>'Operating Report'!U13</f>
        <v>2024 Pro Forma Wage Adjustment</v>
      </c>
      <c r="S5" s="125" t="str">
        <f>'Operating Report'!V13</f>
        <v>MAOP Deferral Amortization</v>
      </c>
      <c r="T5" s="125" t="str">
        <f>'Operating Report'!W13</f>
        <v>Pro Forma Rate Case Expense Adjustment</v>
      </c>
      <c r="U5" s="125" t="str">
        <f>'Operating Report'!X13</f>
        <v>Pro Forma Medical, Dental, &amp; Life Insurance Expense Adjustment</v>
      </c>
      <c r="V5" s="125" t="str">
        <f>'Operating Report'!Y13</f>
        <v>Pro Forma Property Tax Adjustment</v>
      </c>
      <c r="W5" s="125" t="str">
        <f>'Operating Report'!Z13</f>
        <v>2024 Pro Forma Pension Expense Adjustment</v>
      </c>
      <c r="X5" s="125" t="str">
        <f>'Operating Report'!AA13</f>
        <v>2024 Pro Forma Tax Flow-Through Adjustment</v>
      </c>
      <c r="Y5" s="125" t="str">
        <f>'Operating Report'!AB13</f>
        <v>2024 Pro Forma Misc. O&amp;M Expense Adjustment</v>
      </c>
      <c r="Z5" s="126" t="s">
        <v>628</v>
      </c>
      <c r="AA5" s="127"/>
      <c r="AB5" s="125" t="str">
        <f>'Operating Report'!AF13</f>
        <v>2024 Provisonal Plant Additions</v>
      </c>
      <c r="AC5" s="125" t="str">
        <f>'Operating Report'!AG13</f>
        <v>2024 Offsets to Provisional Plant Additions</v>
      </c>
      <c r="AD5" s="126" t="s">
        <v>629</v>
      </c>
      <c r="AE5" s="874"/>
      <c r="AF5" s="125" t="str">
        <f>'Operating Report'!AJ13</f>
        <v>2025 Provisional Plant Additions</v>
      </c>
      <c r="AG5" s="125" t="str">
        <f>'Operating Report'!AK13</f>
        <v>2025 Offsets to Provisional Plant Additions</v>
      </c>
      <c r="AH5" s="125" t="str">
        <f>'Operating Report'!AL13</f>
        <v>2025 Pro Forma Wage Adjustment</v>
      </c>
      <c r="AI5" s="125" t="str">
        <f>'Operating Report'!AM13</f>
        <v>2025 Pro Forma Pension Expense Adjustment</v>
      </c>
      <c r="AJ5" s="125" t="str">
        <f>'Operating Report'!AN13</f>
        <v>2025 Pro Forma 401K Expense Adjustment</v>
      </c>
      <c r="AK5" s="125" t="str">
        <f>'Operating Report'!AO13</f>
        <v>2025 Pro Forma Tax Flow-Through Adjustment</v>
      </c>
      <c r="AL5" s="125" t="str">
        <f>'Operating Report'!AP13</f>
        <v>2025 Pro Forma Decarbonization Testing &amp; Demonstration Expense Adjustment</v>
      </c>
      <c r="AM5" s="125" t="str">
        <f>'Operating Report'!AQ13</f>
        <v>2025 Pro Forma Misc. O&amp;M Expense Adjustment</v>
      </c>
      <c r="AN5" s="126" t="s">
        <v>630</v>
      </c>
    </row>
    <row r="6" spans="1:41">
      <c r="A6" s="125"/>
      <c r="B6" s="428"/>
      <c r="C6" s="128" t="str">
        <f>'Operating Report'!H14</f>
        <v>R-1</v>
      </c>
      <c r="D6" s="128" t="str">
        <f>'Operating Report'!I14</f>
        <v>R-2</v>
      </c>
      <c r="E6" s="128" t="str">
        <f>'Operating Report'!J14</f>
        <v>R-3</v>
      </c>
      <c r="F6" s="128" t="str">
        <f>'Operating Report'!K14</f>
        <v>R-4</v>
      </c>
      <c r="G6" s="128" t="str">
        <f>'Operating Report'!L14</f>
        <v>R-5</v>
      </c>
      <c r="H6" s="128" t="str">
        <f>'Operating Report'!M14</f>
        <v>R-6</v>
      </c>
      <c r="I6" s="128" t="str">
        <f>'Operating Report'!N14</f>
        <v>R-7</v>
      </c>
      <c r="J6" s="128" t="str">
        <f>'Operating Report'!O14</f>
        <v>R-8</v>
      </c>
      <c r="K6" s="128" t="str">
        <f>'Operating Report'!P14</f>
        <v>R-9</v>
      </c>
      <c r="L6" s="128" t="str">
        <f>'Operating Report'!Q14</f>
        <v>R-10</v>
      </c>
      <c r="M6" s="128" t="str">
        <f>'Operating Report'!R14</f>
        <v>R-11</v>
      </c>
      <c r="N6" s="128">
        <f>'Operating Report'!S14</f>
        <v>0</v>
      </c>
      <c r="O6" s="908" t="s">
        <v>631</v>
      </c>
      <c r="P6" s="127"/>
      <c r="Q6" s="128" t="str">
        <f>'Operating Report'!T14</f>
        <v>P-1</v>
      </c>
      <c r="R6" s="128" t="str">
        <f>'Operating Report'!U14</f>
        <v>P-2</v>
      </c>
      <c r="S6" s="128" t="str">
        <f>'Operating Report'!V14</f>
        <v>P-3</v>
      </c>
      <c r="T6" s="494" t="str">
        <f>'Operating Report'!W14</f>
        <v>P-4</v>
      </c>
      <c r="U6" s="494" t="str">
        <f>'Operating Report'!X14</f>
        <v>P-5</v>
      </c>
      <c r="V6" s="494" t="str">
        <f>'Operating Report'!Y14</f>
        <v>P-6</v>
      </c>
      <c r="W6" s="494" t="str">
        <f>'Operating Report'!Z14</f>
        <v>P-7</v>
      </c>
      <c r="X6" s="494" t="str">
        <f>'Operating Report'!AA14</f>
        <v>P-8</v>
      </c>
      <c r="Y6" s="494" t="str">
        <f>'Operating Report'!AB14</f>
        <v>P-9</v>
      </c>
      <c r="Z6" s="908" t="s">
        <v>632</v>
      </c>
      <c r="AA6" s="127"/>
      <c r="AB6" s="494" t="str">
        <f>'Operating Report'!AF14</f>
        <v>PR- 1</v>
      </c>
      <c r="AC6" s="494" t="str">
        <f>'Operating Report'!AG14</f>
        <v>PR - 2</v>
      </c>
      <c r="AD6" s="909" t="s">
        <v>633</v>
      </c>
      <c r="AE6" s="127"/>
      <c r="AF6" s="494" t="str">
        <f>'Operating Report'!AJ14</f>
        <v>PR - 3</v>
      </c>
      <c r="AG6" s="494" t="str">
        <f>'Operating Report'!AK14</f>
        <v>PR - 4</v>
      </c>
      <c r="AH6" s="494" t="str">
        <f>'Operating Report'!AL14</f>
        <v>PR - 5</v>
      </c>
      <c r="AI6" s="494" t="str">
        <f>'Operating Report'!AM14</f>
        <v>PR - 6</v>
      </c>
      <c r="AJ6" s="494" t="str">
        <f>'Operating Report'!AN14</f>
        <v>PR - 7</v>
      </c>
      <c r="AK6" s="494" t="str">
        <f>'Operating Report'!AO14</f>
        <v>PR - 8</v>
      </c>
      <c r="AL6" s="494" t="str">
        <f>'Operating Report'!AP14</f>
        <v>PR - 9</v>
      </c>
      <c r="AM6" s="494" t="str">
        <f>'Operating Report'!AQ14</f>
        <v>PR - 10</v>
      </c>
      <c r="AN6" s="909" t="s">
        <v>634</v>
      </c>
    </row>
    <row r="7" spans="1:41">
      <c r="A7" s="130">
        <v>1</v>
      </c>
      <c r="B7" s="115" t="s">
        <v>548</v>
      </c>
      <c r="C7" s="131"/>
      <c r="D7" s="131"/>
      <c r="E7" s="131"/>
      <c r="F7" s="131"/>
      <c r="G7" s="131"/>
      <c r="H7" s="131"/>
      <c r="I7" s="131"/>
      <c r="J7" s="131"/>
      <c r="K7" s="131"/>
      <c r="L7" s="131"/>
      <c r="M7" s="131"/>
      <c r="N7" s="131"/>
      <c r="O7" s="975"/>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2"/>
    </row>
    <row r="8" spans="1:41">
      <c r="A8" s="130">
        <f>A7+1</f>
        <v>2</v>
      </c>
      <c r="B8" s="110" t="s">
        <v>549</v>
      </c>
      <c r="C8" s="970">
        <f>+'Operating Report'!H18</f>
        <v>-230012436.27364391</v>
      </c>
      <c r="D8" s="970">
        <f>+'Operating Report'!I18</f>
        <v>-1659933.7522287618</v>
      </c>
      <c r="E8" s="970">
        <f>+'Operating Report'!J18</f>
        <v>412086.85258993262</v>
      </c>
      <c r="F8" s="970">
        <f>+'Operating Report'!K18</f>
        <v>1375370.8609949162</v>
      </c>
      <c r="G8" s="133">
        <f>+'Operating Report'!L18</f>
        <v>0</v>
      </c>
      <c r="H8" s="133">
        <f>+'Operating Report'!M18</f>
        <v>0</v>
      </c>
      <c r="I8" s="133">
        <f>+'Operating Report'!N18</f>
        <v>0</v>
      </c>
      <c r="J8" s="133">
        <f>+'Operating Report'!O18</f>
        <v>0</v>
      </c>
      <c r="K8" s="133">
        <f>+'Operating Report'!P18</f>
        <v>0</v>
      </c>
      <c r="L8" s="133">
        <f>+'Operating Report'!Q18</f>
        <v>0</v>
      </c>
      <c r="M8" s="133">
        <f>+'Operating Report'!R18</f>
        <v>0</v>
      </c>
      <c r="N8" s="133">
        <f>+'Operating Report'!S18</f>
        <v>0</v>
      </c>
      <c r="O8" s="976">
        <f>SUM(C8:N8)</f>
        <v>-229884912.31228784</v>
      </c>
      <c r="P8" s="133"/>
      <c r="Q8" s="133">
        <f>+'Operating Report'!T18</f>
        <v>0</v>
      </c>
      <c r="R8" s="133">
        <f>+'Operating Report'!U18</f>
        <v>0</v>
      </c>
      <c r="S8" s="133">
        <f>+'Operating Report'!V18</f>
        <v>0</v>
      </c>
      <c r="T8" s="133">
        <f>+'Operating Report'!W18</f>
        <v>0</v>
      </c>
      <c r="U8" s="133">
        <f>+'Operating Report'!X18</f>
        <v>0</v>
      </c>
      <c r="V8" s="133">
        <f>+'Operating Report'!Y18</f>
        <v>0</v>
      </c>
      <c r="W8" s="133">
        <f>+'Operating Report'!Z18</f>
        <v>0</v>
      </c>
      <c r="X8" s="133">
        <f>+'Operating Report'!AA18</f>
        <v>0</v>
      </c>
      <c r="Y8" s="133">
        <f>+'Operating Report'!AB18</f>
        <v>0</v>
      </c>
      <c r="Z8" s="134">
        <f>SUM(Q8:Y8)</f>
        <v>0</v>
      </c>
      <c r="AA8" s="133"/>
      <c r="AB8" s="133">
        <f>+'Operating Report'!AF18</f>
        <v>0</v>
      </c>
      <c r="AC8" s="133">
        <f>+'Operating Report'!AG18</f>
        <v>1571477.0432382778</v>
      </c>
      <c r="AD8" s="134">
        <f>SUM(AB8:AC8)</f>
        <v>1571477.0432382778</v>
      </c>
      <c r="AE8" s="133"/>
      <c r="AF8" s="133">
        <f>+'Operating Report'!AJ18</f>
        <v>0</v>
      </c>
      <c r="AG8" s="133">
        <f>+'Operating Report'!AK18</f>
        <v>2047077.9042532314</v>
      </c>
      <c r="AH8" s="133">
        <f>+'Operating Report'!AL18</f>
        <v>0</v>
      </c>
      <c r="AI8" s="133">
        <f>+'Operating Report'!AM18</f>
        <v>0</v>
      </c>
      <c r="AJ8" s="133">
        <f>+'Operating Report'!AN18</f>
        <v>0</v>
      </c>
      <c r="AK8" s="133">
        <f>+'Operating Report'!AO18</f>
        <v>0</v>
      </c>
      <c r="AL8" s="133">
        <f>+'Operating Report'!AP18</f>
        <v>0</v>
      </c>
      <c r="AM8" s="133">
        <f>+'Operating Report'!AQ18</f>
        <v>0</v>
      </c>
      <c r="AN8" s="134">
        <f>SUM(AF8:AM8)</f>
        <v>2047077.9042532314</v>
      </c>
      <c r="AO8" s="132"/>
    </row>
    <row r="9" spans="1:41">
      <c r="A9" s="130">
        <f t="shared" ref="A9:A38" si="1">A8+1</f>
        <v>3</v>
      </c>
      <c r="B9" s="110" t="s">
        <v>550</v>
      </c>
      <c r="C9" s="971">
        <f>'Operating Report'!H22</f>
        <v>282531.02000000008</v>
      </c>
      <c r="D9" s="971">
        <f>'Operating Report'!I22</f>
        <v>-114550.24414999811</v>
      </c>
      <c r="E9" s="971">
        <f>'Operating Report'!J22</f>
        <v>24160.173712721902</v>
      </c>
      <c r="F9" s="971">
        <f>'Operating Report'!K22</f>
        <v>456593.97759346548</v>
      </c>
      <c r="G9" s="136">
        <f>'Operating Report'!L22</f>
        <v>0</v>
      </c>
      <c r="H9" s="136">
        <f>'Operating Report'!M22</f>
        <v>0</v>
      </c>
      <c r="I9" s="136">
        <f>'Operating Report'!N22</f>
        <v>0</v>
      </c>
      <c r="J9" s="136">
        <f>'Operating Report'!O22</f>
        <v>0</v>
      </c>
      <c r="K9" s="136">
        <f>'Operating Report'!P22</f>
        <v>0</v>
      </c>
      <c r="L9" s="136">
        <f>'Operating Report'!Q22</f>
        <v>0</v>
      </c>
      <c r="M9" s="136">
        <f>'Operating Report'!R22</f>
        <v>0</v>
      </c>
      <c r="N9" s="136">
        <f>'Operating Report'!S22</f>
        <v>0</v>
      </c>
      <c r="O9" s="976">
        <f>SUM(C9:N9)</f>
        <v>648734.92715618934</v>
      </c>
      <c r="P9" s="136"/>
      <c r="Q9" s="136">
        <f>'Operating Report'!T22</f>
        <v>0</v>
      </c>
      <c r="R9" s="136">
        <f>'Operating Report'!U22</f>
        <v>0</v>
      </c>
      <c r="S9" s="136">
        <f>'Operating Report'!V22</f>
        <v>0</v>
      </c>
      <c r="T9" s="136">
        <f>'Operating Report'!W22</f>
        <v>0</v>
      </c>
      <c r="U9" s="136">
        <f>'Operating Report'!X22</f>
        <v>0</v>
      </c>
      <c r="V9" s="136">
        <f>'Operating Report'!Y22</f>
        <v>0</v>
      </c>
      <c r="W9" s="136">
        <f>'Operating Report'!Z22</f>
        <v>0</v>
      </c>
      <c r="X9" s="136">
        <f>'Operating Report'!AA22</f>
        <v>0</v>
      </c>
      <c r="Y9" s="136">
        <f>'Operating Report'!AB22</f>
        <v>0</v>
      </c>
      <c r="Z9" s="134">
        <f>SUM(Q9:Y9)</f>
        <v>0</v>
      </c>
      <c r="AA9" s="136"/>
      <c r="AB9" s="136">
        <f>'Operating Report'!AF22</f>
        <v>0</v>
      </c>
      <c r="AC9" s="136">
        <f>'Operating Report'!AG22</f>
        <v>0</v>
      </c>
      <c r="AD9" s="134">
        <f>SUM(AB9:AC9)</f>
        <v>0</v>
      </c>
      <c r="AE9" s="136"/>
      <c r="AF9" s="136">
        <f>'Operating Report'!AJ22</f>
        <v>0</v>
      </c>
      <c r="AG9" s="136">
        <f>'Operating Report'!AK22</f>
        <v>0</v>
      </c>
      <c r="AH9" s="136">
        <f>'Operating Report'!AL22</f>
        <v>0</v>
      </c>
      <c r="AI9" s="136">
        <f>'Operating Report'!AM22</f>
        <v>0</v>
      </c>
      <c r="AJ9" s="136">
        <f>'Operating Report'!AN22</f>
        <v>0</v>
      </c>
      <c r="AK9" s="136">
        <f>'Operating Report'!AO22</f>
        <v>0</v>
      </c>
      <c r="AL9" s="136">
        <f>'Operating Report'!AP22</f>
        <v>0</v>
      </c>
      <c r="AM9" s="136">
        <f>'Operating Report'!AQ22</f>
        <v>0</v>
      </c>
      <c r="AN9" s="134">
        <f>SUM(AF9:AM9)</f>
        <v>0</v>
      </c>
      <c r="AO9" s="132"/>
    </row>
    <row r="10" spans="1:41">
      <c r="A10" s="130">
        <f t="shared" si="1"/>
        <v>4</v>
      </c>
      <c r="B10" s="110" t="s">
        <v>551</v>
      </c>
      <c r="C10" s="972">
        <f>'Operating Report'!H28-'Operating Report'!H22</f>
        <v>-1384432.9500000002</v>
      </c>
      <c r="D10" s="972">
        <f>'Operating Report'!I28-'Operating Report'!I22</f>
        <v>0</v>
      </c>
      <c r="E10" s="972">
        <f>'Operating Report'!J28-'Operating Report'!J22</f>
        <v>0</v>
      </c>
      <c r="F10" s="972">
        <f>'Operating Report'!K28-'Operating Report'!K22</f>
        <v>0</v>
      </c>
      <c r="G10" s="138">
        <f>'Operating Report'!L28-'Operating Report'!L22</f>
        <v>0</v>
      </c>
      <c r="H10" s="138">
        <f>'Operating Report'!M28-'Operating Report'!M22</f>
        <v>0</v>
      </c>
      <c r="I10" s="138">
        <f>'Operating Report'!N28-'Operating Report'!N22</f>
        <v>0</v>
      </c>
      <c r="J10" s="138">
        <f>'Operating Report'!O28-'Operating Report'!O22</f>
        <v>0</v>
      </c>
      <c r="K10" s="138">
        <f>'Operating Report'!P28-'Operating Report'!P22</f>
        <v>0</v>
      </c>
      <c r="L10" s="138">
        <f>'Operating Report'!Q28-'Operating Report'!Q22</f>
        <v>0</v>
      </c>
      <c r="M10" s="138">
        <f>'Operating Report'!R28-'Operating Report'!R22</f>
        <v>0</v>
      </c>
      <c r="N10" s="138">
        <f>'Operating Report'!S28-'Operating Report'!S22</f>
        <v>0</v>
      </c>
      <c r="O10" s="977">
        <f>SUM(C10:N10)</f>
        <v>-1384432.9500000002</v>
      </c>
      <c r="P10" s="136"/>
      <c r="Q10" s="138">
        <f>'Operating Report'!T28-'Operating Report'!T22</f>
        <v>0</v>
      </c>
      <c r="R10" s="138">
        <f>'Operating Report'!U28-'Operating Report'!U22</f>
        <v>0</v>
      </c>
      <c r="S10" s="138">
        <f>'Operating Report'!V28-'Operating Report'!V22</f>
        <v>0</v>
      </c>
      <c r="T10" s="138">
        <f>'Operating Report'!W28-'Operating Report'!W22</f>
        <v>0</v>
      </c>
      <c r="U10" s="138">
        <f>'Operating Report'!X28-'Operating Report'!X22</f>
        <v>0</v>
      </c>
      <c r="V10" s="138">
        <f>'Operating Report'!Y28-'Operating Report'!Y22</f>
        <v>0</v>
      </c>
      <c r="W10" s="138">
        <f>'Operating Report'!Z28-'Operating Report'!Z22</f>
        <v>0</v>
      </c>
      <c r="X10" s="138">
        <f>'Operating Report'!AA28-'Operating Report'!AA22</f>
        <v>0</v>
      </c>
      <c r="Y10" s="138">
        <f>'Operating Report'!AB28-'Operating Report'!AB22</f>
        <v>0</v>
      </c>
      <c r="Z10" s="139">
        <f>SUM(Q10:Y10)</f>
        <v>0</v>
      </c>
      <c r="AA10" s="136"/>
      <c r="AB10" s="138">
        <f>'Operating Report'!AF28-'Operating Report'!AF22</f>
        <v>0</v>
      </c>
      <c r="AC10" s="138">
        <f>'Operating Report'!AG28-'Operating Report'!AG22</f>
        <v>0</v>
      </c>
      <c r="AD10" s="139">
        <f>SUM(AB10:AC10)</f>
        <v>0</v>
      </c>
      <c r="AE10" s="136"/>
      <c r="AF10" s="138">
        <f>'Operating Report'!AJ28-'Operating Report'!AJ22</f>
        <v>0</v>
      </c>
      <c r="AG10" s="138">
        <f>'Operating Report'!AK28-'Operating Report'!AK22</f>
        <v>0</v>
      </c>
      <c r="AH10" s="138">
        <f>'Operating Report'!AL28-'Operating Report'!AL22</f>
        <v>0</v>
      </c>
      <c r="AI10" s="138">
        <f>'Operating Report'!AM28-'Operating Report'!AM22</f>
        <v>0</v>
      </c>
      <c r="AJ10" s="138">
        <f>'Operating Report'!AN28-'Operating Report'!AN22</f>
        <v>0</v>
      </c>
      <c r="AK10" s="138">
        <f>'Operating Report'!AO28-'Operating Report'!AO22</f>
        <v>0</v>
      </c>
      <c r="AL10" s="138">
        <f>'Operating Report'!AP28-'Operating Report'!AP22</f>
        <v>0</v>
      </c>
      <c r="AM10" s="138">
        <f>'Operating Report'!AQ28-'Operating Report'!AQ22</f>
        <v>0</v>
      </c>
      <c r="AN10" s="139">
        <f>SUM(AF10:AM10)</f>
        <v>0</v>
      </c>
    </row>
    <row r="11" spans="1:41">
      <c r="A11" s="130">
        <f t="shared" si="1"/>
        <v>5</v>
      </c>
      <c r="B11" s="117" t="s">
        <v>552</v>
      </c>
      <c r="C11" s="970">
        <f>SUM(C8:C10)</f>
        <v>-231114338.20364389</v>
      </c>
      <c r="D11" s="970">
        <f>SUM(D8:D10)</f>
        <v>-1774483.9963787599</v>
      </c>
      <c r="E11" s="970">
        <f>SUM(E8:E10)</f>
        <v>436247.02630265453</v>
      </c>
      <c r="F11" s="970">
        <f>SUM(F8:F10)</f>
        <v>1831964.8385883817</v>
      </c>
      <c r="G11" s="133">
        <f t="shared" ref="G11:M11" si="2">SUM(G8:G10)</f>
        <v>0</v>
      </c>
      <c r="H11" s="133">
        <f t="shared" si="2"/>
        <v>0</v>
      </c>
      <c r="I11" s="133">
        <f t="shared" si="2"/>
        <v>0</v>
      </c>
      <c r="J11" s="133">
        <f t="shared" si="2"/>
        <v>0</v>
      </c>
      <c r="K11" s="133">
        <f t="shared" si="2"/>
        <v>0</v>
      </c>
      <c r="L11" s="133">
        <f t="shared" si="2"/>
        <v>0</v>
      </c>
      <c r="M11" s="133">
        <f t="shared" si="2"/>
        <v>0</v>
      </c>
      <c r="N11" s="133">
        <f>SUM(N8:N10)</f>
        <v>0</v>
      </c>
      <c r="O11" s="973">
        <f>SUM(C11:N11)</f>
        <v>-230620610.33513159</v>
      </c>
      <c r="P11" s="133"/>
      <c r="Q11" s="133">
        <f t="shared" ref="Q11:Y11" si="3">SUM(Q8:Q10)</f>
        <v>0</v>
      </c>
      <c r="R11" s="133">
        <f t="shared" si="3"/>
        <v>0</v>
      </c>
      <c r="S11" s="133">
        <f t="shared" si="3"/>
        <v>0</v>
      </c>
      <c r="T11" s="133">
        <f t="shared" si="3"/>
        <v>0</v>
      </c>
      <c r="U11" s="133">
        <f t="shared" si="3"/>
        <v>0</v>
      </c>
      <c r="V11" s="133">
        <f>SUM(V8:V10)</f>
        <v>0</v>
      </c>
      <c r="W11" s="133">
        <f>SUM(W8:W10)</f>
        <v>0</v>
      </c>
      <c r="X11" s="133">
        <f>SUM(X8:X10)</f>
        <v>0</v>
      </c>
      <c r="Y11" s="133">
        <f t="shared" si="3"/>
        <v>0</v>
      </c>
      <c r="Z11" s="140">
        <f>SUM(Q11:Y11)</f>
        <v>0</v>
      </c>
      <c r="AA11" s="133"/>
      <c r="AB11" s="133">
        <f>SUM(AB8:AB10)</f>
        <v>0</v>
      </c>
      <c r="AC11" s="133">
        <f>SUM(AC8:AC10)</f>
        <v>1571477.0432382778</v>
      </c>
      <c r="AD11" s="134">
        <f>SUM(AB11:AC11)</f>
        <v>1571477.0432382778</v>
      </c>
      <c r="AE11" s="133"/>
      <c r="AF11" s="970">
        <f t="shared" ref="AF11:AM11" si="4">SUM(AF8:AF10)</f>
        <v>0</v>
      </c>
      <c r="AG11" s="970">
        <f>SUM(AG8:AG10)</f>
        <v>2047077.9042532314</v>
      </c>
      <c r="AH11" s="970">
        <f>SUM(AH8:AH10)</f>
        <v>0</v>
      </c>
      <c r="AI11" s="970">
        <f t="shared" si="4"/>
        <v>0</v>
      </c>
      <c r="AJ11" s="970">
        <f t="shared" si="4"/>
        <v>0</v>
      </c>
      <c r="AK11" s="970">
        <f>SUM(AK8:AK10)</f>
        <v>0</v>
      </c>
      <c r="AL11" s="970">
        <f t="shared" si="4"/>
        <v>0</v>
      </c>
      <c r="AM11" s="970">
        <f t="shared" si="4"/>
        <v>0</v>
      </c>
      <c r="AN11" s="973">
        <f>SUM(AF11:AM11)</f>
        <v>2047077.9042532314</v>
      </c>
      <c r="AO11" s="135"/>
    </row>
    <row r="12" spans="1:41">
      <c r="A12" s="130">
        <f t="shared" si="1"/>
        <v>6</v>
      </c>
      <c r="B12" s="110"/>
      <c r="C12" s="140"/>
      <c r="D12" s="140"/>
      <c r="E12" s="140"/>
      <c r="F12" s="140"/>
      <c r="G12" s="140"/>
      <c r="H12" s="140"/>
      <c r="I12" s="140"/>
      <c r="J12" s="140"/>
      <c r="K12" s="973"/>
      <c r="L12" s="973"/>
      <c r="M12" s="973"/>
      <c r="N12" s="973"/>
      <c r="O12" s="973"/>
      <c r="P12" s="970"/>
      <c r="Q12" s="970"/>
      <c r="R12" s="970"/>
      <c r="S12" s="970"/>
      <c r="T12" s="970"/>
      <c r="U12" s="970"/>
      <c r="V12" s="970"/>
      <c r="W12" s="970"/>
      <c r="X12" s="970"/>
      <c r="Y12" s="970"/>
      <c r="Z12" s="973"/>
      <c r="AA12" s="970"/>
      <c r="AB12" s="970"/>
      <c r="AC12" s="970"/>
      <c r="AD12" s="973"/>
      <c r="AE12" s="133"/>
      <c r="AF12" s="970"/>
      <c r="AG12" s="970"/>
      <c r="AH12" s="970"/>
      <c r="AI12" s="970"/>
      <c r="AJ12" s="970"/>
      <c r="AK12" s="970"/>
      <c r="AL12" s="970"/>
      <c r="AM12" s="970"/>
      <c r="AN12" s="973"/>
      <c r="AO12" s="113"/>
    </row>
    <row r="13" spans="1:41">
      <c r="A13" s="130">
        <f t="shared" si="1"/>
        <v>7</v>
      </c>
      <c r="B13" s="115" t="s">
        <v>553</v>
      </c>
      <c r="C13" s="973"/>
      <c r="D13" s="973"/>
      <c r="E13" s="973"/>
      <c r="F13" s="973"/>
      <c r="G13" s="973"/>
      <c r="H13" s="973"/>
      <c r="I13" s="973"/>
      <c r="J13" s="973"/>
      <c r="K13" s="973"/>
      <c r="L13" s="973"/>
      <c r="M13" s="973"/>
      <c r="N13" s="973"/>
      <c r="O13" s="973"/>
      <c r="P13" s="970"/>
      <c r="Q13" s="970"/>
      <c r="R13" s="970"/>
      <c r="S13" s="970"/>
      <c r="T13" s="970"/>
      <c r="U13" s="970"/>
      <c r="V13" s="970"/>
      <c r="W13" s="970"/>
      <c r="X13" s="970"/>
      <c r="Y13" s="970"/>
      <c r="Z13" s="973"/>
      <c r="AA13" s="970"/>
      <c r="AB13" s="970"/>
      <c r="AC13" s="970"/>
      <c r="AD13" s="973"/>
      <c r="AE13" s="133"/>
      <c r="AF13" s="970"/>
      <c r="AG13" s="970"/>
      <c r="AH13" s="970"/>
      <c r="AI13" s="970"/>
      <c r="AJ13" s="970"/>
      <c r="AK13" s="970"/>
      <c r="AL13" s="970"/>
      <c r="AM13" s="970"/>
      <c r="AN13" s="973"/>
      <c r="AO13" s="135"/>
    </row>
    <row r="14" spans="1:41">
      <c r="A14" s="130">
        <f t="shared" si="1"/>
        <v>8</v>
      </c>
      <c r="B14" s="118" t="s">
        <v>554</v>
      </c>
      <c r="C14" s="970">
        <f>'Operating Report'!H38</f>
        <v>-212859301.60000002</v>
      </c>
      <c r="D14" s="970">
        <f>'Operating Report'!I38</f>
        <v>0</v>
      </c>
      <c r="E14" s="970">
        <f>'Operating Report'!J38</f>
        <v>0</v>
      </c>
      <c r="F14" s="970">
        <f>'Operating Report'!K38</f>
        <v>0</v>
      </c>
      <c r="G14" s="970">
        <f>'Operating Report'!L38</f>
        <v>0</v>
      </c>
      <c r="H14" s="970">
        <f>'Operating Report'!M38</f>
        <v>0</v>
      </c>
      <c r="I14" s="970">
        <f>'Operating Report'!N38</f>
        <v>0</v>
      </c>
      <c r="J14" s="970">
        <f>'Operating Report'!O38</f>
        <v>0</v>
      </c>
      <c r="K14" s="970">
        <f>'Operating Report'!P38</f>
        <v>0</v>
      </c>
      <c r="L14" s="970">
        <f>'Operating Report'!Q38</f>
        <v>0</v>
      </c>
      <c r="M14" s="970">
        <f>'Operating Report'!R38</f>
        <v>0</v>
      </c>
      <c r="N14" s="970">
        <f>'Operating Report'!S38</f>
        <v>0</v>
      </c>
      <c r="O14" s="973">
        <f>SUM(C14:N14)</f>
        <v>-212859301.60000002</v>
      </c>
      <c r="P14" s="971"/>
      <c r="Q14" s="970">
        <f>'Operating Report'!T38</f>
        <v>0</v>
      </c>
      <c r="R14" s="970">
        <f>'Operating Report'!U38</f>
        <v>0</v>
      </c>
      <c r="S14" s="970">
        <f>'Operating Report'!V38</f>
        <v>0</v>
      </c>
      <c r="T14" s="970">
        <f>'Operating Report'!W38</f>
        <v>0</v>
      </c>
      <c r="U14" s="970">
        <f>'Operating Report'!X38</f>
        <v>0</v>
      </c>
      <c r="V14" s="970">
        <f>'Operating Report'!Y38</f>
        <v>0</v>
      </c>
      <c r="W14" s="970">
        <f>'Operating Report'!Z38</f>
        <v>0</v>
      </c>
      <c r="X14" s="970">
        <f>'Operating Report'!AA38</f>
        <v>0</v>
      </c>
      <c r="Y14" s="970">
        <f>'Operating Report'!AB38</f>
        <v>0</v>
      </c>
      <c r="Z14" s="973">
        <f>SUM(Q14:Y14)</f>
        <v>0</v>
      </c>
      <c r="AA14" s="971"/>
      <c r="AB14" s="970">
        <f>'Operating Report'!AF38</f>
        <v>0</v>
      </c>
      <c r="AC14" s="970">
        <f>'Operating Report'!AG38</f>
        <v>0</v>
      </c>
      <c r="AD14" s="976">
        <f>SUM(AB14:AC14)</f>
        <v>0</v>
      </c>
      <c r="AE14" s="136"/>
      <c r="AF14" s="970">
        <f>'Operating Report'!AJ38</f>
        <v>0</v>
      </c>
      <c r="AG14" s="970">
        <f>'Operating Report'!AK38</f>
        <v>0</v>
      </c>
      <c r="AH14" s="970">
        <f>'Operating Report'!AL38</f>
        <v>0</v>
      </c>
      <c r="AI14" s="970">
        <f>'Operating Report'!AM38</f>
        <v>0</v>
      </c>
      <c r="AJ14" s="970">
        <f>'Operating Report'!AN38</f>
        <v>0</v>
      </c>
      <c r="AK14" s="970">
        <f>'Operating Report'!AO38</f>
        <v>0</v>
      </c>
      <c r="AL14" s="970">
        <f>'Operating Report'!AP38</f>
        <v>0</v>
      </c>
      <c r="AM14" s="970">
        <f>'Operating Report'!AQ38</f>
        <v>0</v>
      </c>
      <c r="AN14" s="976">
        <f t="shared" ref="AN14:AN28" si="5">SUM(AF14:AM14)</f>
        <v>0</v>
      </c>
    </row>
    <row r="15" spans="1:41">
      <c r="A15" s="130">
        <f t="shared" si="1"/>
        <v>9</v>
      </c>
      <c r="B15" s="118" t="s">
        <v>555</v>
      </c>
      <c r="C15" s="970">
        <f>+'Operating Report'!H54</f>
        <v>-9559397.3844596501</v>
      </c>
      <c r="D15" s="970">
        <f>+'Operating Report'!I54</f>
        <v>-75451.059526024866</v>
      </c>
      <c r="E15" s="970">
        <f>+'Operating Report'!J54</f>
        <v>18549.223558388872</v>
      </c>
      <c r="F15" s="970">
        <f>+'Operating Report'!K54</f>
        <v>77895.144936777986</v>
      </c>
      <c r="G15" s="970">
        <f>+'Operating Report'!L54</f>
        <v>0</v>
      </c>
      <c r="H15" s="970">
        <f>+'Operating Report'!M54</f>
        <v>0</v>
      </c>
      <c r="I15" s="970">
        <f>+'Operating Report'!N54</f>
        <v>0</v>
      </c>
      <c r="J15" s="970">
        <f>+'Operating Report'!O54</f>
        <v>0</v>
      </c>
      <c r="K15" s="970">
        <f>+'Operating Report'!P54</f>
        <v>0</v>
      </c>
      <c r="L15" s="970">
        <f>+'Operating Report'!Q54</f>
        <v>0</v>
      </c>
      <c r="M15" s="970">
        <f>+'Operating Report'!R54</f>
        <v>364822.07815271209</v>
      </c>
      <c r="N15" s="970">
        <f>+'Operating Report'!S54</f>
        <v>0</v>
      </c>
      <c r="O15" s="973">
        <f t="shared" ref="O15:O24" si="6">SUM(C15:N15)</f>
        <v>-9173581.9973377958</v>
      </c>
      <c r="P15" s="971"/>
      <c r="Q15" s="970">
        <f>+'Operating Report'!T54</f>
        <v>0</v>
      </c>
      <c r="R15" s="970">
        <f>+'Operating Report'!U54</f>
        <v>0</v>
      </c>
      <c r="S15" s="970">
        <f>+'Operating Report'!V54</f>
        <v>0</v>
      </c>
      <c r="T15" s="970">
        <f>+'Operating Report'!W54</f>
        <v>0</v>
      </c>
      <c r="U15" s="970">
        <f>+'Operating Report'!X54</f>
        <v>0</v>
      </c>
      <c r="V15" s="970">
        <f>+'Operating Report'!Y54</f>
        <v>0</v>
      </c>
      <c r="W15" s="970">
        <f>+'Operating Report'!Z54</f>
        <v>0</v>
      </c>
      <c r="X15" s="970">
        <f>+'Operating Report'!AA54</f>
        <v>0</v>
      </c>
      <c r="Y15" s="970">
        <f>+'Operating Report'!AB54</f>
        <v>0</v>
      </c>
      <c r="Z15" s="973">
        <f t="shared" ref="Z15:Z25" si="7">SUM(Q15:Y15)</f>
        <v>0</v>
      </c>
      <c r="AA15" s="971"/>
      <c r="AB15" s="970">
        <f>+'Operating Report'!AF54</f>
        <v>0</v>
      </c>
      <c r="AC15" s="970">
        <f>+'Operating Report'!AG54</f>
        <v>66819.203878491579</v>
      </c>
      <c r="AD15" s="976">
        <f t="shared" ref="AD15:AD27" si="8">SUM(AB15:AC15)</f>
        <v>66819.203878491579</v>
      </c>
      <c r="AE15" s="136"/>
      <c r="AF15" s="970">
        <f>+'Operating Report'!AJ54</f>
        <v>0</v>
      </c>
      <c r="AG15" s="970">
        <f>+'Operating Report'!AK54</f>
        <v>87041.7524888474</v>
      </c>
      <c r="AH15" s="970">
        <f>+'Operating Report'!AL54</f>
        <v>0</v>
      </c>
      <c r="AI15" s="970">
        <f>+'Operating Report'!AM54</f>
        <v>0</v>
      </c>
      <c r="AJ15" s="970">
        <f>+'Operating Report'!AN54</f>
        <v>0</v>
      </c>
      <c r="AK15" s="970">
        <f>+'Operating Report'!AO54</f>
        <v>0</v>
      </c>
      <c r="AL15" s="970">
        <f>+'Operating Report'!AP54</f>
        <v>0</v>
      </c>
      <c r="AM15" s="970">
        <f>+'Operating Report'!AQ54</f>
        <v>0</v>
      </c>
      <c r="AN15" s="976">
        <f t="shared" si="5"/>
        <v>87041.7524888474</v>
      </c>
    </row>
    <row r="16" spans="1:41">
      <c r="A16" s="130">
        <f t="shared" si="1"/>
        <v>10</v>
      </c>
      <c r="B16" s="119" t="s">
        <v>556</v>
      </c>
      <c r="C16" s="970">
        <f>+'Operating Report'!H58</f>
        <v>0</v>
      </c>
      <c r="D16" s="970">
        <f>+'Operating Report'!I58</f>
        <v>0</v>
      </c>
      <c r="E16" s="970">
        <f>+'Operating Report'!J58</f>
        <v>0</v>
      </c>
      <c r="F16" s="970">
        <f>+'Operating Report'!K58</f>
        <v>0</v>
      </c>
      <c r="G16" s="970">
        <f>+'Operating Report'!L58</f>
        <v>0</v>
      </c>
      <c r="H16" s="970">
        <f>+'Operating Report'!M58</f>
        <v>0</v>
      </c>
      <c r="I16" s="970">
        <f>+'Operating Report'!N58</f>
        <v>-33688.839999999997</v>
      </c>
      <c r="J16" s="970">
        <f>+'Operating Report'!O58</f>
        <v>0</v>
      </c>
      <c r="K16" s="970">
        <f>+'Operating Report'!P58</f>
        <v>0</v>
      </c>
      <c r="L16" s="970">
        <f>+'Operating Report'!Q58</f>
        <v>0</v>
      </c>
      <c r="M16" s="970">
        <f>+'Operating Report'!R58</f>
        <v>0</v>
      </c>
      <c r="N16" s="970">
        <f>+'Operating Report'!S58</f>
        <v>0</v>
      </c>
      <c r="O16" s="973">
        <f t="shared" si="6"/>
        <v>-33688.839999999997</v>
      </c>
      <c r="P16" s="971"/>
      <c r="Q16" s="970">
        <f>+'Operating Report'!T58</f>
        <v>0</v>
      </c>
      <c r="R16" s="970">
        <f>+'Operating Report'!U58</f>
        <v>16334.516615</v>
      </c>
      <c r="S16" s="970">
        <f>+'Operating Report'!V58</f>
        <v>0</v>
      </c>
      <c r="T16" s="970">
        <f>+'Operating Report'!W58</f>
        <v>0</v>
      </c>
      <c r="U16" s="970">
        <f>+'Operating Report'!X58</f>
        <v>0</v>
      </c>
      <c r="V16" s="970">
        <f>+'Operating Report'!Y58</f>
        <v>0</v>
      </c>
      <c r="W16" s="970">
        <f>+'Operating Report'!Z58</f>
        <v>0</v>
      </c>
      <c r="X16" s="970">
        <f>+'Operating Report'!AA58</f>
        <v>0</v>
      </c>
      <c r="Y16" s="970">
        <f>+'Operating Report'!AB58</f>
        <v>4038.8167840976989</v>
      </c>
      <c r="Z16" s="973">
        <f t="shared" si="7"/>
        <v>20373.333399097701</v>
      </c>
      <c r="AA16" s="971"/>
      <c r="AB16" s="970">
        <f>+'Operating Report'!AF58</f>
        <v>0</v>
      </c>
      <c r="AC16" s="970">
        <f>+'Operating Report'!AG58</f>
        <v>0</v>
      </c>
      <c r="AD16" s="976">
        <f t="shared" si="8"/>
        <v>0</v>
      </c>
      <c r="AE16" s="136"/>
      <c r="AF16" s="970">
        <f>+'Operating Report'!AJ58</f>
        <v>0</v>
      </c>
      <c r="AG16" s="970">
        <f>+'Operating Report'!AK58</f>
        <v>0</v>
      </c>
      <c r="AH16" s="970">
        <f>+'Operating Report'!AL58</f>
        <v>11243.0186646</v>
      </c>
      <c r="AI16" s="970">
        <f>+'Operating Report'!AM58</f>
        <v>0</v>
      </c>
      <c r="AJ16" s="970">
        <f>+'Operating Report'!AN58</f>
        <v>0</v>
      </c>
      <c r="AK16" s="970">
        <f>+'Operating Report'!AO58</f>
        <v>0</v>
      </c>
      <c r="AL16" s="970">
        <f>+'Operating Report'!AP58</f>
        <v>0</v>
      </c>
      <c r="AM16" s="970">
        <f>+'Operating Report'!AQ58</f>
        <v>4100.2424232633784</v>
      </c>
      <c r="AN16" s="976">
        <f t="shared" si="5"/>
        <v>15343.261087863379</v>
      </c>
    </row>
    <row r="17" spans="1:58">
      <c r="A17" s="130">
        <f t="shared" si="1"/>
        <v>11</v>
      </c>
      <c r="B17" s="119" t="s">
        <v>557</v>
      </c>
      <c r="C17" s="970">
        <f>+'Operating Report'!H88</f>
        <v>0</v>
      </c>
      <c r="D17" s="970">
        <f>+'Operating Report'!I88</f>
        <v>0</v>
      </c>
      <c r="E17" s="970">
        <f>+'Operating Report'!J88</f>
        <v>0</v>
      </c>
      <c r="F17" s="970">
        <f>+'Operating Report'!K88</f>
        <v>0</v>
      </c>
      <c r="G17" s="970">
        <f>+'Operating Report'!L88</f>
        <v>0</v>
      </c>
      <c r="H17" s="970">
        <f>+'Operating Report'!M88</f>
        <v>86313.603899999987</v>
      </c>
      <c r="I17" s="970">
        <f>+'Operating Report'!N88</f>
        <v>-419642.07999999996</v>
      </c>
      <c r="J17" s="970">
        <f>+'Operating Report'!O88</f>
        <v>0</v>
      </c>
      <c r="K17" s="970">
        <f>+'Operating Report'!P88</f>
        <v>0</v>
      </c>
      <c r="L17" s="970">
        <f>+'Operating Report'!Q88</f>
        <v>0</v>
      </c>
      <c r="M17" s="970">
        <f>+'Operating Report'!R88</f>
        <v>0</v>
      </c>
      <c r="N17" s="970">
        <f>+'Operating Report'!S88</f>
        <v>0</v>
      </c>
      <c r="O17" s="973">
        <f t="shared" si="6"/>
        <v>-333328.47609999997</v>
      </c>
      <c r="P17" s="971"/>
      <c r="Q17" s="970">
        <f>+'Operating Report'!T88</f>
        <v>0</v>
      </c>
      <c r="R17" s="970">
        <f>+'Operating Report'!U88</f>
        <v>806205.71300600003</v>
      </c>
      <c r="S17" s="970">
        <f>+'Operating Report'!V88</f>
        <v>2018196.3840000001</v>
      </c>
      <c r="T17" s="970">
        <f>+'Operating Report'!W88</f>
        <v>0</v>
      </c>
      <c r="U17" s="970">
        <f>+'Operating Report'!X88</f>
        <v>0</v>
      </c>
      <c r="V17" s="970">
        <f>+'Operating Report'!Y88</f>
        <v>0</v>
      </c>
      <c r="W17" s="970">
        <f>+'Operating Report'!Z88</f>
        <v>0</v>
      </c>
      <c r="X17" s="970">
        <f>+'Operating Report'!AA88</f>
        <v>0</v>
      </c>
      <c r="Y17" s="970">
        <f>+'Operating Report'!AB88</f>
        <v>85129.270804249943</v>
      </c>
      <c r="Z17" s="973">
        <f t="shared" si="7"/>
        <v>2909531.3678102503</v>
      </c>
      <c r="AA17" s="971"/>
      <c r="AB17" s="970">
        <f>+'Operating Report'!AF88</f>
        <v>0</v>
      </c>
      <c r="AC17" s="970">
        <f>+'Operating Report'!AG88</f>
        <v>-280000</v>
      </c>
      <c r="AD17" s="976">
        <f t="shared" si="8"/>
        <v>-280000</v>
      </c>
      <c r="AE17" s="136"/>
      <c r="AF17" s="970">
        <f>+'Operating Report'!AJ88</f>
        <v>0</v>
      </c>
      <c r="AG17" s="970">
        <f>+'Operating Report'!AK88</f>
        <v>-280000</v>
      </c>
      <c r="AH17" s="970">
        <f>+'Operating Report'!AL88</f>
        <v>522706.35806529003</v>
      </c>
      <c r="AI17" s="970">
        <f>+'Operating Report'!AM88</f>
        <v>0</v>
      </c>
      <c r="AJ17" s="970">
        <f>+'Operating Report'!AN88</f>
        <v>0</v>
      </c>
      <c r="AK17" s="970">
        <f>+'Operating Report'!AO88</f>
        <v>0</v>
      </c>
      <c r="AL17" s="970">
        <f>+'Operating Report'!AP88</f>
        <v>0</v>
      </c>
      <c r="AM17" s="970">
        <f>+'Operating Report'!AQ88</f>
        <v>86423.986596124509</v>
      </c>
      <c r="AN17" s="976">
        <f t="shared" si="5"/>
        <v>329130.34466141451</v>
      </c>
      <c r="AO17" s="132"/>
    </row>
    <row r="18" spans="1:58">
      <c r="A18" s="130">
        <f t="shared" si="1"/>
        <v>12</v>
      </c>
      <c r="B18" s="119" t="s">
        <v>558</v>
      </c>
      <c r="C18" s="970">
        <f>+'Operating Report'!H96</f>
        <v>-864008.62641261914</v>
      </c>
      <c r="D18" s="970">
        <f>+'Operating Report'!I96</f>
        <v>-11922.504384550009</v>
      </c>
      <c r="E18" s="970">
        <f>+'Operating Report'!J96</f>
        <v>2931.0814267440292</v>
      </c>
      <c r="F18" s="970">
        <f>+'Operating Report'!K96</f>
        <v>12308.709948911473</v>
      </c>
      <c r="G18" s="970">
        <f>+'Operating Report'!L96</f>
        <v>0</v>
      </c>
      <c r="H18" s="970">
        <f>+'Operating Report'!M96</f>
        <v>3063.6402000000003</v>
      </c>
      <c r="I18" s="970">
        <f>+'Operating Report'!N96</f>
        <v>-245832.48</v>
      </c>
      <c r="J18" s="970">
        <f>+'Operating Report'!O96</f>
        <v>0</v>
      </c>
      <c r="K18" s="970">
        <f>+'Operating Report'!P96</f>
        <v>0</v>
      </c>
      <c r="L18" s="970">
        <f>+'Operating Report'!Q96</f>
        <v>0</v>
      </c>
      <c r="M18" s="970">
        <f>+'Operating Report'!R96</f>
        <v>0</v>
      </c>
      <c r="N18" s="970">
        <f>+'Operating Report'!S96</f>
        <v>0</v>
      </c>
      <c r="O18" s="973">
        <f t="shared" si="6"/>
        <v>-1103460.1792215137</v>
      </c>
      <c r="P18" s="971"/>
      <c r="Q18" s="970">
        <f>+'Operating Report'!T96</f>
        <v>0</v>
      </c>
      <c r="R18" s="970">
        <f>+'Operating Report'!U96</f>
        <v>181035.88644199999</v>
      </c>
      <c r="S18" s="970">
        <f>+'Operating Report'!V96</f>
        <v>0</v>
      </c>
      <c r="T18" s="970">
        <f>+'Operating Report'!W96</f>
        <v>0</v>
      </c>
      <c r="U18" s="970">
        <f>+'Operating Report'!X96</f>
        <v>0</v>
      </c>
      <c r="V18" s="970">
        <f>+'Operating Report'!Y96</f>
        <v>0</v>
      </c>
      <c r="W18" s="970">
        <f>+'Operating Report'!Z96</f>
        <v>0</v>
      </c>
      <c r="X18" s="970">
        <f>+'Operating Report'!AA96</f>
        <v>0</v>
      </c>
      <c r="Y18" s="970">
        <f>+'Operating Report'!AB96</f>
        <v>29637.043106787522</v>
      </c>
      <c r="Z18" s="973">
        <f t="shared" si="7"/>
        <v>210672.92954878751</v>
      </c>
      <c r="AA18" s="971"/>
      <c r="AB18" s="970">
        <f>+'Operating Report'!AF96</f>
        <v>0</v>
      </c>
      <c r="AC18" s="970">
        <f>+'Operating Report'!AG96</f>
        <v>-1941.4703223793367</v>
      </c>
      <c r="AD18" s="976">
        <f t="shared" si="8"/>
        <v>-1941.4703223793367</v>
      </c>
      <c r="AE18" s="136"/>
      <c r="AF18" s="970">
        <f>+'Operating Report'!AJ96</f>
        <v>0</v>
      </c>
      <c r="AG18" s="970">
        <f>+'Operating Report'!AK96</f>
        <v>-161245.97610416255</v>
      </c>
      <c r="AH18" s="970">
        <f>+'Operating Report'!AL96</f>
        <v>123501.39495858</v>
      </c>
      <c r="AI18" s="970">
        <f>+'Operating Report'!AM96</f>
        <v>0</v>
      </c>
      <c r="AJ18" s="970">
        <f>+'Operating Report'!AN96</f>
        <v>0</v>
      </c>
      <c r="AK18" s="970">
        <f>+'Operating Report'!AO96</f>
        <v>0</v>
      </c>
      <c r="AL18" s="970">
        <f>+'Operating Report'!AP96</f>
        <v>0</v>
      </c>
      <c r="AM18" s="970">
        <f>+'Operating Report'!AQ96</f>
        <v>30087.787573083471</v>
      </c>
      <c r="AN18" s="976">
        <f t="shared" si="5"/>
        <v>-7656.7935724990748</v>
      </c>
      <c r="AO18" s="132"/>
    </row>
    <row r="19" spans="1:58">
      <c r="A19" s="130">
        <f t="shared" si="1"/>
        <v>13</v>
      </c>
      <c r="B19" s="119" t="s">
        <v>559</v>
      </c>
      <c r="C19" s="970">
        <f>+'Operating Report'!H103</f>
        <v>-8150919.2300000004</v>
      </c>
      <c r="D19" s="970">
        <f>+'Operating Report'!I103</f>
        <v>0</v>
      </c>
      <c r="E19" s="970">
        <f>+'Operating Report'!J103</f>
        <v>0</v>
      </c>
      <c r="F19" s="970">
        <f>+'Operating Report'!K103</f>
        <v>0</v>
      </c>
      <c r="G19" s="970">
        <f>+'Operating Report'!L103</f>
        <v>0</v>
      </c>
      <c r="H19" s="970">
        <f>+'Operating Report'!M103</f>
        <v>0</v>
      </c>
      <c r="I19" s="970">
        <f>+'Operating Report'!N103</f>
        <v>-63735.89</v>
      </c>
      <c r="J19" s="970">
        <f>+'Operating Report'!O103</f>
        <v>0</v>
      </c>
      <c r="K19" s="970">
        <f>+'Operating Report'!P103</f>
        <v>0</v>
      </c>
      <c r="L19" s="970">
        <f>+'Operating Report'!Q103</f>
        <v>18393.799999999992</v>
      </c>
      <c r="M19" s="970">
        <f>+'Operating Report'!R103</f>
        <v>0</v>
      </c>
      <c r="N19" s="970">
        <f>+'Operating Report'!S103</f>
        <v>0</v>
      </c>
      <c r="O19" s="973">
        <f t="shared" si="6"/>
        <v>-8196261.3200000003</v>
      </c>
      <c r="P19" s="971"/>
      <c r="Q19" s="970">
        <f>+'Operating Report'!T103</f>
        <v>0</v>
      </c>
      <c r="R19" s="970">
        <f>+'Operating Report'!U103</f>
        <v>10707.862857</v>
      </c>
      <c r="S19" s="970">
        <f>+'Operating Report'!V103</f>
        <v>0</v>
      </c>
      <c r="T19" s="970">
        <f>+'Operating Report'!W103</f>
        <v>0</v>
      </c>
      <c r="U19" s="970">
        <f>+'Operating Report'!X103</f>
        <v>0</v>
      </c>
      <c r="V19" s="970">
        <f>+'Operating Report'!Y103</f>
        <v>0</v>
      </c>
      <c r="W19" s="970">
        <f>+'Operating Report'!Z103</f>
        <v>0</v>
      </c>
      <c r="X19" s="970">
        <f>+'Operating Report'!AA103</f>
        <v>0</v>
      </c>
      <c r="Y19" s="970">
        <f>+'Operating Report'!AB103</f>
        <v>-10149.15855747521</v>
      </c>
      <c r="Z19" s="973">
        <f t="shared" si="7"/>
        <v>558.70429952479026</v>
      </c>
      <c r="AA19" s="971"/>
      <c r="AB19" s="970">
        <f>+'Operating Report'!AF103</f>
        <v>0</v>
      </c>
      <c r="AC19" s="970">
        <f>+'Operating Report'!AG103</f>
        <v>0</v>
      </c>
      <c r="AD19" s="976">
        <f t="shared" si="8"/>
        <v>0</v>
      </c>
      <c r="AE19" s="136"/>
      <c r="AF19" s="970">
        <f>+'Operating Report'!AJ103</f>
        <v>0</v>
      </c>
      <c r="AG19" s="970">
        <f>+'Operating Report'!AK103</f>
        <v>0</v>
      </c>
      <c r="AH19" s="970">
        <f>+'Operating Report'!AL103</f>
        <v>7370.2029142800002</v>
      </c>
      <c r="AI19" s="970">
        <f>+'Operating Report'!AM103</f>
        <v>0</v>
      </c>
      <c r="AJ19" s="970">
        <f>+'Operating Report'!AN103</f>
        <v>0</v>
      </c>
      <c r="AK19" s="970">
        <f>+'Operating Report'!AO103</f>
        <v>0</v>
      </c>
      <c r="AL19" s="970">
        <f>+'Operating Report'!AP103</f>
        <v>0</v>
      </c>
      <c r="AM19" s="970">
        <f>+'Operating Report'!AQ103</f>
        <v>-10303.515287357428</v>
      </c>
      <c r="AN19" s="976">
        <f t="shared" si="5"/>
        <v>-2933.3123730774278</v>
      </c>
      <c r="AO19" s="132"/>
      <c r="AT19" s="132"/>
      <c r="AU19" s="132"/>
      <c r="AV19" s="132"/>
      <c r="AW19" s="132"/>
      <c r="AX19" s="132"/>
      <c r="AZ19" s="135"/>
      <c r="BB19" s="132"/>
      <c r="BC19" s="132"/>
      <c r="BD19" s="132"/>
      <c r="BE19" s="132"/>
      <c r="BF19" s="132"/>
    </row>
    <row r="20" spans="1:58">
      <c r="A20" s="130">
        <f t="shared" si="1"/>
        <v>14</v>
      </c>
      <c r="B20" s="119" t="s">
        <v>560</v>
      </c>
      <c r="C20" s="970">
        <f>'Operating Report'!H110</f>
        <v>0</v>
      </c>
      <c r="D20" s="970">
        <f>'Operating Report'!I110</f>
        <v>0</v>
      </c>
      <c r="E20" s="970">
        <f>'Operating Report'!J110</f>
        <v>0</v>
      </c>
      <c r="F20" s="970">
        <f>'Operating Report'!K110</f>
        <v>0</v>
      </c>
      <c r="G20" s="970">
        <f>'Operating Report'!L110</f>
        <v>0</v>
      </c>
      <c r="H20" s="970">
        <f>'Operating Report'!M110</f>
        <v>0</v>
      </c>
      <c r="I20" s="970">
        <f>'Operating Report'!N110</f>
        <v>-1362.16</v>
      </c>
      <c r="J20" s="970">
        <f>'Operating Report'!O110</f>
        <v>0</v>
      </c>
      <c r="K20" s="970">
        <f>'Operating Report'!P110</f>
        <v>0</v>
      </c>
      <c r="L20" s="970">
        <f>'Operating Report'!Q110</f>
        <v>0</v>
      </c>
      <c r="M20" s="970">
        <f>'Operating Report'!R110</f>
        <v>0</v>
      </c>
      <c r="N20" s="970">
        <f>'Operating Report'!S110</f>
        <v>0</v>
      </c>
      <c r="O20" s="973">
        <f t="shared" si="6"/>
        <v>-1362.16</v>
      </c>
      <c r="P20" s="971"/>
      <c r="Q20" s="970">
        <f>'Operating Report'!T110</f>
        <v>0</v>
      </c>
      <c r="R20" s="970">
        <f>'Operating Report'!U110</f>
        <v>1045.5453709999999</v>
      </c>
      <c r="S20" s="970">
        <f>'Operating Report'!V110</f>
        <v>0</v>
      </c>
      <c r="T20" s="970">
        <f>'Operating Report'!W110</f>
        <v>0</v>
      </c>
      <c r="U20" s="970">
        <f>'Operating Report'!X110</f>
        <v>0</v>
      </c>
      <c r="V20" s="970">
        <f>'Operating Report'!Y110</f>
        <v>0</v>
      </c>
      <c r="W20" s="970">
        <f>'Operating Report'!Z110</f>
        <v>0</v>
      </c>
      <c r="X20" s="970">
        <f>'Operating Report'!AA110</f>
        <v>0</v>
      </c>
      <c r="Y20" s="970">
        <f>'Operating Report'!AB110</f>
        <v>1.3984510373243273</v>
      </c>
      <c r="Z20" s="973">
        <f t="shared" si="7"/>
        <v>1046.9438220373243</v>
      </c>
      <c r="AA20" s="971"/>
      <c r="AB20" s="970">
        <f>'Operating Report'!AF110</f>
        <v>0</v>
      </c>
      <c r="AC20" s="970">
        <f>'Operating Report'!AG110</f>
        <v>0</v>
      </c>
      <c r="AD20" s="976">
        <f t="shared" si="8"/>
        <v>0</v>
      </c>
      <c r="AE20" s="136"/>
      <c r="AF20" s="970">
        <f>'Operating Report'!AJ110</f>
        <v>0</v>
      </c>
      <c r="AG20" s="970">
        <f>'Operating Report'!AK110</f>
        <v>0</v>
      </c>
      <c r="AH20" s="970">
        <f>'Operating Report'!AL110</f>
        <v>719.64701484000011</v>
      </c>
      <c r="AI20" s="970">
        <f>'Operating Report'!AM110</f>
        <v>0</v>
      </c>
      <c r="AJ20" s="970">
        <f>'Operating Report'!AN110</f>
        <v>0</v>
      </c>
      <c r="AK20" s="970">
        <f>'Operating Report'!AO110</f>
        <v>0</v>
      </c>
      <c r="AL20" s="970">
        <f>'Operating Report'!AP110</f>
        <v>0</v>
      </c>
      <c r="AM20" s="970">
        <f>'Operating Report'!AQ110</f>
        <v>1.4197198280126737</v>
      </c>
      <c r="AN20" s="976">
        <f t="shared" si="5"/>
        <v>721.06673466801283</v>
      </c>
      <c r="AO20" s="132"/>
      <c r="AW20" s="135"/>
      <c r="AX20" s="135"/>
      <c r="BB20" s="141"/>
      <c r="BC20" s="141"/>
      <c r="BD20" s="141"/>
      <c r="BE20" s="141"/>
      <c r="BF20" s="141"/>
    </row>
    <row r="21" spans="1:58">
      <c r="A21" s="130">
        <f t="shared" si="1"/>
        <v>15</v>
      </c>
      <c r="B21" s="119" t="s">
        <v>561</v>
      </c>
      <c r="C21" s="970">
        <f>+'Operating Report'!H126</f>
        <v>0</v>
      </c>
      <c r="D21" s="970">
        <f>+'Operating Report'!I126</f>
        <v>0</v>
      </c>
      <c r="E21" s="970">
        <f>+'Operating Report'!J126</f>
        <v>0</v>
      </c>
      <c r="F21" s="970">
        <f>+'Operating Report'!K126</f>
        <v>0</v>
      </c>
      <c r="G21" s="970">
        <f>+'Operating Report'!L126</f>
        <v>-36573.89</v>
      </c>
      <c r="H21" s="970">
        <f>+'Operating Report'!M126</f>
        <v>16.9527</v>
      </c>
      <c r="I21" s="970">
        <f>+'Operating Report'!N126</f>
        <v>-1795330.17</v>
      </c>
      <c r="J21" s="970">
        <f>+'Operating Report'!O126</f>
        <v>-160480.375</v>
      </c>
      <c r="K21" s="970">
        <f>+'Operating Report'!P126</f>
        <v>1445089.6199999999</v>
      </c>
      <c r="L21" s="970">
        <f>+'Operating Report'!Q126</f>
        <v>49659.740000000005</v>
      </c>
      <c r="M21" s="970">
        <f>+'Operating Report'!R126</f>
        <v>0</v>
      </c>
      <c r="N21" s="970">
        <f>+'Operating Report'!S126</f>
        <v>0</v>
      </c>
      <c r="O21" s="973">
        <f t="shared" si="6"/>
        <v>-497618.12230000016</v>
      </c>
      <c r="P21" s="971"/>
      <c r="Q21" s="970">
        <f>+'Operating Report'!T126</f>
        <v>0</v>
      </c>
      <c r="R21" s="970">
        <f>+'Operating Report'!U126</f>
        <v>403435.53043299995</v>
      </c>
      <c r="S21" s="970">
        <f>+'Operating Report'!V126</f>
        <v>0</v>
      </c>
      <c r="T21" s="970">
        <f>+'Operating Report'!W126</f>
        <v>1321811.05</v>
      </c>
      <c r="U21" s="970">
        <f>+'Operating Report'!X126</f>
        <v>1063224.6200000001</v>
      </c>
      <c r="V21" s="970">
        <f>+'Operating Report'!Y126</f>
        <v>0</v>
      </c>
      <c r="W21" s="970">
        <f>+'Operating Report'!Z126</f>
        <v>826039.32599999988</v>
      </c>
      <c r="X21" s="970">
        <f>+'Operating Report'!AA126</f>
        <v>0</v>
      </c>
      <c r="Y21" s="970">
        <f>+'Operating Report'!AB126</f>
        <v>109736.45327905985</v>
      </c>
      <c r="Z21" s="973">
        <f t="shared" si="7"/>
        <v>3724246.9797120597</v>
      </c>
      <c r="AA21" s="971"/>
      <c r="AB21" s="970">
        <f>+'Operating Report'!AF126</f>
        <v>0</v>
      </c>
      <c r="AC21" s="970">
        <f>+'Operating Report'!AG126</f>
        <v>0</v>
      </c>
      <c r="AD21" s="976">
        <f t="shared" si="8"/>
        <v>0</v>
      </c>
      <c r="AE21" s="136"/>
      <c r="AF21" s="970">
        <f>+'Operating Report'!AJ126</f>
        <v>0</v>
      </c>
      <c r="AG21" s="970">
        <f>+'Operating Report'!AK126</f>
        <v>0</v>
      </c>
      <c r="AH21" s="970">
        <f>+'Operating Report'!AL126</f>
        <v>277681.46204696997</v>
      </c>
      <c r="AI21" s="970">
        <f>+'Operating Report'!AM126</f>
        <v>968208.79249999998</v>
      </c>
      <c r="AJ21" s="970">
        <f>+'Operating Report'!AN126</f>
        <v>120946.27963499998</v>
      </c>
      <c r="AK21" s="970">
        <f>+'Operating Report'!AO126</f>
        <v>0</v>
      </c>
      <c r="AL21" s="970">
        <f>+'Operating Report'!AP126</f>
        <v>350000</v>
      </c>
      <c r="AM21" s="970">
        <f>+'Operating Report'!AQ126</f>
        <v>111405.41529015711</v>
      </c>
      <c r="AN21" s="976">
        <f t="shared" si="5"/>
        <v>1828241.949472127</v>
      </c>
      <c r="AO21" s="132"/>
      <c r="AW21" s="135"/>
      <c r="AX21" s="135"/>
      <c r="BB21" s="141"/>
      <c r="BC21" s="141"/>
      <c r="BD21" s="141"/>
      <c r="BE21" s="141"/>
      <c r="BF21" s="141"/>
    </row>
    <row r="22" spans="1:58">
      <c r="A22" s="130">
        <f t="shared" si="1"/>
        <v>16</v>
      </c>
      <c r="B22" s="119" t="s">
        <v>562</v>
      </c>
      <c r="C22" s="970">
        <f>+'Operating Report'!H131</f>
        <v>0</v>
      </c>
      <c r="D22" s="970">
        <f>+'Operating Report'!I131</f>
        <v>0</v>
      </c>
      <c r="E22" s="970">
        <f>+'Operating Report'!J131</f>
        <v>1212420.2491410039</v>
      </c>
      <c r="F22" s="970">
        <f>+'Operating Report'!K131</f>
        <v>0</v>
      </c>
      <c r="G22" s="970">
        <f>+'Operating Report'!L131</f>
        <v>0</v>
      </c>
      <c r="H22" s="970">
        <f>+'Operating Report'!M131</f>
        <v>0</v>
      </c>
      <c r="I22" s="970">
        <f>+'Operating Report'!N131</f>
        <v>0</v>
      </c>
      <c r="J22" s="970">
        <f>+'Operating Report'!O131</f>
        <v>0</v>
      </c>
      <c r="K22" s="970">
        <f>+'Operating Report'!P131</f>
        <v>0</v>
      </c>
      <c r="L22" s="970">
        <f>+'Operating Report'!Q131</f>
        <v>0</v>
      </c>
      <c r="M22" s="970">
        <f>+'Operating Report'!R131</f>
        <v>0</v>
      </c>
      <c r="N22" s="970">
        <f>+'Operating Report'!S131</f>
        <v>0</v>
      </c>
      <c r="O22" s="973">
        <f t="shared" si="6"/>
        <v>1212420.2491410039</v>
      </c>
      <c r="P22" s="971"/>
      <c r="Q22" s="970">
        <f>+'Operating Report'!T131</f>
        <v>0</v>
      </c>
      <c r="R22" s="970">
        <f>+'Operating Report'!U131</f>
        <v>0</v>
      </c>
      <c r="S22" s="970">
        <f>+'Operating Report'!V131</f>
        <v>0</v>
      </c>
      <c r="T22" s="970">
        <f>+'Operating Report'!W131</f>
        <v>0</v>
      </c>
      <c r="U22" s="970">
        <f>+'Operating Report'!X131</f>
        <v>0</v>
      </c>
      <c r="V22" s="970">
        <f>+'Operating Report'!Y131</f>
        <v>0</v>
      </c>
      <c r="W22" s="970">
        <f>+'Operating Report'!Z131</f>
        <v>0</v>
      </c>
      <c r="X22" s="970">
        <f>+'Operating Report'!AA131</f>
        <v>0</v>
      </c>
      <c r="Y22" s="970">
        <f>+'Operating Report'!AB131</f>
        <v>0</v>
      </c>
      <c r="Z22" s="973">
        <f t="shared" si="7"/>
        <v>0</v>
      </c>
      <c r="AA22" s="971"/>
      <c r="AB22" s="970">
        <f>+'Operating Report'!AF131</f>
        <v>3791581.4324727817</v>
      </c>
      <c r="AC22" s="970">
        <f>+'Operating Report'!AG131</f>
        <v>0</v>
      </c>
      <c r="AD22" s="976">
        <f t="shared" si="8"/>
        <v>3791581.4324727817</v>
      </c>
      <c r="AE22" s="136"/>
      <c r="AF22" s="970">
        <f>+'Operating Report'!AJ131</f>
        <v>3639995.3351685349</v>
      </c>
      <c r="AG22" s="970">
        <f>+'Operating Report'!AK131</f>
        <v>0</v>
      </c>
      <c r="AH22" s="970">
        <f>+'Operating Report'!AL131</f>
        <v>0</v>
      </c>
      <c r="AI22" s="970">
        <f>+'Operating Report'!AM131</f>
        <v>0</v>
      </c>
      <c r="AJ22" s="970">
        <f>+'Operating Report'!AN131</f>
        <v>0</v>
      </c>
      <c r="AK22" s="970">
        <f>+'Operating Report'!AO131</f>
        <v>0</v>
      </c>
      <c r="AL22" s="970">
        <f>+'Operating Report'!AP131</f>
        <v>0</v>
      </c>
      <c r="AM22" s="970">
        <f>+'Operating Report'!AQ131</f>
        <v>0</v>
      </c>
      <c r="AN22" s="976">
        <f t="shared" si="5"/>
        <v>3639995.3351685349</v>
      </c>
      <c r="AO22" s="132"/>
      <c r="AW22" s="135"/>
      <c r="AX22" s="135"/>
      <c r="BB22" s="141"/>
      <c r="BC22" s="141"/>
      <c r="BD22" s="142"/>
      <c r="BE22" s="141"/>
      <c r="BF22" s="142"/>
    </row>
    <row r="23" spans="1:58">
      <c r="A23" s="130">
        <f t="shared" si="1"/>
        <v>17</v>
      </c>
      <c r="B23" s="119" t="s">
        <v>563</v>
      </c>
      <c r="C23" s="970"/>
      <c r="D23" s="970"/>
      <c r="E23" s="970"/>
      <c r="F23" s="970"/>
      <c r="G23" s="970"/>
      <c r="H23" s="970"/>
      <c r="I23" s="970"/>
      <c r="J23" s="970"/>
      <c r="K23" s="970"/>
      <c r="L23" s="970"/>
      <c r="M23" s="970"/>
      <c r="N23" s="970"/>
      <c r="O23" s="973">
        <f t="shared" si="6"/>
        <v>0</v>
      </c>
      <c r="P23" s="971"/>
      <c r="Q23" s="970"/>
      <c r="R23" s="970"/>
      <c r="S23" s="970"/>
      <c r="T23" s="970"/>
      <c r="U23" s="970"/>
      <c r="V23" s="970"/>
      <c r="W23" s="970"/>
      <c r="X23" s="970"/>
      <c r="Y23" s="970"/>
      <c r="Z23" s="973">
        <f t="shared" si="7"/>
        <v>0</v>
      </c>
      <c r="AA23" s="971"/>
      <c r="AB23" s="970"/>
      <c r="AC23" s="970"/>
      <c r="AD23" s="976">
        <f t="shared" si="8"/>
        <v>0</v>
      </c>
      <c r="AE23" s="136"/>
      <c r="AF23" s="970"/>
      <c r="AG23" s="970"/>
      <c r="AH23" s="970"/>
      <c r="AI23" s="970"/>
      <c r="AJ23" s="970"/>
      <c r="AK23" s="970"/>
      <c r="AL23" s="970"/>
      <c r="AM23" s="970"/>
      <c r="AN23" s="976">
        <f t="shared" si="5"/>
        <v>0</v>
      </c>
    </row>
    <row r="24" spans="1:58">
      <c r="A24" s="130">
        <f t="shared" si="1"/>
        <v>18</v>
      </c>
      <c r="B24" s="119" t="s">
        <v>564</v>
      </c>
      <c r="C24" s="970">
        <f>+'Operating Report'!H143</f>
        <v>0</v>
      </c>
      <c r="D24" s="970">
        <f>+'Operating Report'!I143</f>
        <v>0</v>
      </c>
      <c r="E24" s="970">
        <f>+'Operating Report'!J143</f>
        <v>0</v>
      </c>
      <c r="F24" s="970">
        <f>+'Operating Report'!K143</f>
        <v>0</v>
      </c>
      <c r="G24" s="970">
        <f>+'Operating Report'!L143</f>
        <v>0</v>
      </c>
      <c r="H24" s="970">
        <f>+'Operating Report'!M143</f>
        <v>6838.6560552000001</v>
      </c>
      <c r="I24" s="970">
        <f>+'Operating Report'!N143</f>
        <v>0</v>
      </c>
      <c r="J24" s="970">
        <f>+'Operating Report'!O143</f>
        <v>0</v>
      </c>
      <c r="K24" s="970">
        <f>+'Operating Report'!P143</f>
        <v>0</v>
      </c>
      <c r="L24" s="970">
        <f>+'Operating Report'!Q143</f>
        <v>0</v>
      </c>
      <c r="M24" s="970">
        <f>+'Operating Report'!R143</f>
        <v>0</v>
      </c>
      <c r="N24" s="970">
        <f>+'Operating Report'!S143</f>
        <v>0</v>
      </c>
      <c r="O24" s="973">
        <f t="shared" si="6"/>
        <v>6838.6560552000001</v>
      </c>
      <c r="P24" s="971"/>
      <c r="Q24" s="970">
        <f>+'Operating Report'!T143</f>
        <v>0</v>
      </c>
      <c r="R24" s="970">
        <f>+'Operating Report'!U143</f>
        <v>108535.52668638599</v>
      </c>
      <c r="S24" s="970">
        <f>+'Operating Report'!V143</f>
        <v>0</v>
      </c>
      <c r="T24" s="970">
        <f>+'Operating Report'!W143</f>
        <v>0</v>
      </c>
      <c r="U24" s="970">
        <f>+'Operating Report'!X143</f>
        <v>0</v>
      </c>
      <c r="V24" s="970">
        <f>+'Operating Report'!Y143</f>
        <v>201868.90947663653</v>
      </c>
      <c r="W24" s="970">
        <f>+'Operating Report'!Z143</f>
        <v>0</v>
      </c>
      <c r="X24" s="970">
        <f>+'Operating Report'!AA143</f>
        <v>0</v>
      </c>
      <c r="Y24" s="970">
        <f>+'Operating Report'!AB143</f>
        <v>0</v>
      </c>
      <c r="Z24" s="973">
        <f t="shared" si="7"/>
        <v>310404.43616302253</v>
      </c>
      <c r="AA24" s="971"/>
      <c r="AB24" s="970">
        <f>+'Operating Report'!AF143</f>
        <v>330312.59999999998</v>
      </c>
      <c r="AC24" s="970">
        <f>+'Operating Report'!AG143</f>
        <v>0</v>
      </c>
      <c r="AD24" s="976">
        <f t="shared" si="8"/>
        <v>330312.59999999998</v>
      </c>
      <c r="AE24" s="136"/>
      <c r="AF24" s="970">
        <f>+'Operating Report'!AJ143</f>
        <v>252714.23999999999</v>
      </c>
      <c r="AG24" s="970">
        <f>+'Operating Report'!AK143</f>
        <v>0</v>
      </c>
      <c r="AH24" s="970">
        <f>+'Operating Report'!AL143</f>
        <v>72156.489400338833</v>
      </c>
      <c r="AI24" s="970">
        <f>+'Operating Report'!AM143</f>
        <v>0</v>
      </c>
      <c r="AJ24" s="970">
        <f>+'Operating Report'!AN143</f>
        <v>0</v>
      </c>
      <c r="AK24" s="970">
        <f>+'Operating Report'!AO143</f>
        <v>0</v>
      </c>
      <c r="AL24" s="970">
        <f>+'Operating Report'!AP143</f>
        <v>0</v>
      </c>
      <c r="AM24" s="970">
        <f>+'Operating Report'!AQ143</f>
        <v>0</v>
      </c>
      <c r="AN24" s="976">
        <f t="shared" si="5"/>
        <v>324870.72940033884</v>
      </c>
      <c r="BF24" s="57"/>
    </row>
    <row r="25" spans="1:58">
      <c r="A25" s="130">
        <f t="shared" si="1"/>
        <v>19</v>
      </c>
      <c r="B25" s="119" t="s">
        <v>565</v>
      </c>
      <c r="C25" s="972">
        <f>+'Operating Report'!H152</f>
        <v>67050.613817958816</v>
      </c>
      <c r="D25" s="972">
        <f>+'Operating Report'!I152</f>
        <v>-354293.19081831881</v>
      </c>
      <c r="E25" s="972">
        <f>+'Operating Report'!J152</f>
        <v>-167507.24084293129</v>
      </c>
      <c r="F25" s="972">
        <f>+'Operating Report'!K152</f>
        <v>365769.80657756532</v>
      </c>
      <c r="G25" s="972">
        <f>+'Operating Report'!L152</f>
        <v>7680.5168999999996</v>
      </c>
      <c r="H25" s="972">
        <f>+'Operating Report'!M152</f>
        <v>-20208.899099591996</v>
      </c>
      <c r="I25" s="972">
        <f>+'Operating Report'!N152</f>
        <v>537514.24019999988</v>
      </c>
      <c r="J25" s="972">
        <f>+'Operating Report'!O152</f>
        <v>33700.878749999996</v>
      </c>
      <c r="K25" s="972">
        <f>+'Operating Report'!P152</f>
        <v>-303468.82019999996</v>
      </c>
      <c r="L25" s="972">
        <f>+'Operating Report'!Q152</f>
        <v>-14291.243399999998</v>
      </c>
      <c r="M25" s="972">
        <f>+'Operating Report'!R152</f>
        <v>-76612.636412069536</v>
      </c>
      <c r="N25" s="972">
        <f>+'Operating Report'!S152</f>
        <v>0</v>
      </c>
      <c r="O25" s="978">
        <f>SUM(C25:N25)</f>
        <v>75334.025472612338</v>
      </c>
      <c r="P25" s="971"/>
      <c r="Q25" s="972">
        <f>+'Operating Report'!T152</f>
        <v>983421.7202599966</v>
      </c>
      <c r="R25" s="972">
        <f>+'Operating Report'!U152</f>
        <v>-320733.12209618103</v>
      </c>
      <c r="S25" s="972">
        <f>+'Operating Report'!V152</f>
        <v>-423821.24063999997</v>
      </c>
      <c r="T25" s="972">
        <f>+'Operating Report'!W152</f>
        <v>-277580.32049999997</v>
      </c>
      <c r="U25" s="972">
        <f>+'Operating Report'!X152</f>
        <v>-223277.17020000002</v>
      </c>
      <c r="V25" s="972">
        <f>+'Operating Report'!Y152</f>
        <v>-42392.470990093672</v>
      </c>
      <c r="W25" s="972">
        <f>+'Operating Report'!Z152</f>
        <v>-173468.25845999998</v>
      </c>
      <c r="X25" s="972">
        <f>+'Operating Report'!AA152</f>
        <v>9175.837230000001</v>
      </c>
      <c r="Y25" s="972">
        <f>+'Operating Report'!AB152</f>
        <v>-45862.703012228987</v>
      </c>
      <c r="Z25" s="978">
        <f t="shared" si="7"/>
        <v>-514537.72840850707</v>
      </c>
      <c r="AA25" s="971"/>
      <c r="AB25" s="972">
        <f>+'Operating Report'!AF152</f>
        <v>-920480.12865328405</v>
      </c>
      <c r="AC25" s="972">
        <f>+'Operating Report'!AG152</f>
        <v>375185.85503325472</v>
      </c>
      <c r="AD25" s="977">
        <f t="shared" si="8"/>
        <v>-545294.27362002933</v>
      </c>
      <c r="AE25" s="136"/>
      <c r="AF25" s="972">
        <f>+'Operating Report'!AJ152</f>
        <v>-675800.59038539219</v>
      </c>
      <c r="AG25" s="972">
        <f>+'Operating Report'!AK152</f>
        <v>504269.24685239478</v>
      </c>
      <c r="AH25" s="972">
        <f>+'Operating Report'!AL152</f>
        <v>-213229.50034362878</v>
      </c>
      <c r="AI25" s="972">
        <f>+'Operating Report'!AM152</f>
        <v>-203323.846425</v>
      </c>
      <c r="AJ25" s="972">
        <f>+'Operating Report'!AN152</f>
        <v>-25398.718723349997</v>
      </c>
      <c r="AK25" s="972">
        <f>+'Operating Report'!AO152</f>
        <v>-1732.0762080000027</v>
      </c>
      <c r="AL25" s="972">
        <f>+'Operating Report'!AP152</f>
        <v>-73500</v>
      </c>
      <c r="AM25" s="972">
        <f>+'Operating Report'!AQ152</f>
        <v>-46560.220626170798</v>
      </c>
      <c r="AN25" s="978">
        <f t="shared" si="5"/>
        <v>-735275.7058591469</v>
      </c>
      <c r="AO25" s="143"/>
    </row>
    <row r="26" spans="1:58">
      <c r="A26" s="130">
        <f t="shared" si="1"/>
        <v>20</v>
      </c>
      <c r="B26" s="117" t="s">
        <v>566</v>
      </c>
      <c r="C26" s="971">
        <f>SUM(C14:C25)</f>
        <v>-231366576.22705433</v>
      </c>
      <c r="D26" s="971">
        <f>SUM(D14:D25)</f>
        <v>-441666.75472889369</v>
      </c>
      <c r="E26" s="971">
        <f>SUM(E14:E25)</f>
        <v>1066393.3132832057</v>
      </c>
      <c r="F26" s="971">
        <f t="shared" ref="F26:M26" si="9">SUM(F14:F25)</f>
        <v>455973.66146325477</v>
      </c>
      <c r="G26" s="971">
        <f t="shared" si="9"/>
        <v>-28893.373100000001</v>
      </c>
      <c r="H26" s="971">
        <f t="shared" si="9"/>
        <v>76023.953755607974</v>
      </c>
      <c r="I26" s="971">
        <f t="shared" si="9"/>
        <v>-2022077.3798000002</v>
      </c>
      <c r="J26" s="971">
        <f>SUM(J14:J25)</f>
        <v>-126779.49625</v>
      </c>
      <c r="K26" s="971">
        <f t="shared" si="9"/>
        <v>1141620.7997999999</v>
      </c>
      <c r="L26" s="971">
        <f t="shared" si="9"/>
        <v>53762.296599999994</v>
      </c>
      <c r="M26" s="971">
        <f t="shared" si="9"/>
        <v>288209.44174064253</v>
      </c>
      <c r="N26" s="971">
        <f>SUM(N14:N25)</f>
        <v>0</v>
      </c>
      <c r="O26" s="973">
        <f>SUM(C26:N26)</f>
        <v>-230904009.76429048</v>
      </c>
      <c r="P26" s="971"/>
      <c r="Q26" s="971">
        <f t="shared" ref="Q26:Y26" si="10">SUM(Q14:Q25)</f>
        <v>983421.7202599966</v>
      </c>
      <c r="R26" s="971">
        <f t="shared" si="10"/>
        <v>1206567.4593142048</v>
      </c>
      <c r="S26" s="971">
        <f t="shared" si="10"/>
        <v>1594375.1433600001</v>
      </c>
      <c r="T26" s="971">
        <f t="shared" si="10"/>
        <v>1044230.7295000001</v>
      </c>
      <c r="U26" s="971">
        <f t="shared" si="10"/>
        <v>839947.44980000006</v>
      </c>
      <c r="V26" s="971">
        <f>SUM(V14:V25)</f>
        <v>159476.43848654284</v>
      </c>
      <c r="W26" s="971">
        <f>SUM(W14:W25)</f>
        <v>652571.06753999996</v>
      </c>
      <c r="X26" s="971">
        <f>SUM(X14:X25)</f>
        <v>9175.837230000001</v>
      </c>
      <c r="Y26" s="971">
        <f t="shared" si="10"/>
        <v>172531.1208555281</v>
      </c>
      <c r="Z26" s="973">
        <f>SUM(Q26:Y26)</f>
        <v>6662296.9663462723</v>
      </c>
      <c r="AA26" s="971"/>
      <c r="AB26" s="971">
        <f>SUM(AB14:AB25)</f>
        <v>3201413.9038194977</v>
      </c>
      <c r="AC26" s="971">
        <f>SUM(AC14:AC25)</f>
        <v>160063.58858936696</v>
      </c>
      <c r="AD26" s="976">
        <f t="shared" si="8"/>
        <v>3361477.4924088647</v>
      </c>
      <c r="AE26" s="136"/>
      <c r="AF26" s="971">
        <f t="shared" ref="AF26:AM26" si="11">SUM(AF14:AF25)</f>
        <v>3216908.9847831428</v>
      </c>
      <c r="AG26" s="971">
        <f>SUM(AG14:AG25)</f>
        <v>150065.02323707961</v>
      </c>
      <c r="AH26" s="971">
        <f>SUM(AH14:AH25)</f>
        <v>802149.07272127003</v>
      </c>
      <c r="AI26" s="971">
        <f t="shared" si="11"/>
        <v>764884.94607499999</v>
      </c>
      <c r="AJ26" s="971">
        <f t="shared" si="11"/>
        <v>95547.560911649984</v>
      </c>
      <c r="AK26" s="971">
        <f>SUM(AK14:AK25)</f>
        <v>-1732.0762080000027</v>
      </c>
      <c r="AL26" s="971">
        <f t="shared" si="11"/>
        <v>276500</v>
      </c>
      <c r="AM26" s="971">
        <f t="shared" si="11"/>
        <v>175155.11568892826</v>
      </c>
      <c r="AN26" s="973">
        <f t="shared" si="5"/>
        <v>5479478.6272090701</v>
      </c>
      <c r="AT26" s="132"/>
      <c r="AU26" s="132"/>
      <c r="AV26" s="132"/>
      <c r="AW26" s="132"/>
      <c r="AX26" s="132"/>
      <c r="AZ26" s="132"/>
      <c r="BF26" s="144"/>
    </row>
    <row r="27" spans="1:58">
      <c r="A27" s="130">
        <f t="shared" si="1"/>
        <v>21</v>
      </c>
      <c r="B27" s="117"/>
      <c r="C27" s="971"/>
      <c r="D27" s="971"/>
      <c r="E27" s="971"/>
      <c r="F27" s="971"/>
      <c r="G27" s="971"/>
      <c r="H27" s="971"/>
      <c r="I27" s="971"/>
      <c r="J27" s="971"/>
      <c r="K27" s="971"/>
      <c r="L27" s="971"/>
      <c r="M27" s="971"/>
      <c r="N27" s="971"/>
      <c r="O27" s="973">
        <f>SUM(C27:N27)</f>
        <v>0</v>
      </c>
      <c r="P27" s="971"/>
      <c r="Q27" s="971"/>
      <c r="R27" s="971"/>
      <c r="S27" s="971"/>
      <c r="T27" s="971"/>
      <c r="U27" s="971"/>
      <c r="V27" s="971"/>
      <c r="W27" s="971"/>
      <c r="X27" s="971"/>
      <c r="Y27" s="971"/>
      <c r="Z27" s="973"/>
      <c r="AA27" s="971"/>
      <c r="AB27" s="971"/>
      <c r="AC27" s="971"/>
      <c r="AD27" s="976">
        <f t="shared" si="8"/>
        <v>0</v>
      </c>
      <c r="AE27" s="136"/>
      <c r="AF27" s="971"/>
      <c r="AG27" s="971"/>
      <c r="AH27" s="971"/>
      <c r="AI27" s="971"/>
      <c r="AJ27" s="971"/>
      <c r="AK27" s="971"/>
      <c r="AL27" s="971"/>
      <c r="AM27" s="971"/>
      <c r="AN27" s="973">
        <f t="shared" si="5"/>
        <v>0</v>
      </c>
      <c r="AT27" s="132"/>
      <c r="AU27" s="132"/>
      <c r="AV27" s="132"/>
      <c r="AW27" s="132"/>
      <c r="AX27" s="132"/>
      <c r="AZ27" s="132"/>
      <c r="BF27" s="144"/>
    </row>
    <row r="28" spans="1:58" ht="15.75" thickBot="1">
      <c r="A28" s="130">
        <f t="shared" si="1"/>
        <v>22</v>
      </c>
      <c r="B28" s="115" t="s">
        <v>567</v>
      </c>
      <c r="C28" s="974">
        <f>+C11-C26</f>
        <v>252238.02341043949</v>
      </c>
      <c r="D28" s="974">
        <f>+D11-D26</f>
        <v>-1332817.2416498661</v>
      </c>
      <c r="E28" s="974">
        <f>+E11-E26</f>
        <v>-630146.2869805512</v>
      </c>
      <c r="F28" s="974">
        <f t="shared" ref="F28:M28" si="12">+F11-F26</f>
        <v>1375991.1771251268</v>
      </c>
      <c r="G28" s="974">
        <f t="shared" si="12"/>
        <v>28893.373100000001</v>
      </c>
      <c r="H28" s="974">
        <f t="shared" si="12"/>
        <v>-76023.953755607974</v>
      </c>
      <c r="I28" s="974">
        <f t="shared" si="12"/>
        <v>2022077.3798000002</v>
      </c>
      <c r="J28" s="974">
        <f>+J11-J26</f>
        <v>126779.49625</v>
      </c>
      <c r="K28" s="974">
        <f t="shared" si="12"/>
        <v>-1141620.7997999999</v>
      </c>
      <c r="L28" s="974">
        <f t="shared" si="12"/>
        <v>-53762.296599999994</v>
      </c>
      <c r="M28" s="974">
        <f t="shared" si="12"/>
        <v>-288209.44174064253</v>
      </c>
      <c r="N28" s="974">
        <f>+N11-N26</f>
        <v>0</v>
      </c>
      <c r="O28" s="979">
        <f>SUM(C28:N28)</f>
        <v>283399.42915889877</v>
      </c>
      <c r="P28" s="970"/>
      <c r="Q28" s="974">
        <f t="shared" ref="Q28:Y28" si="13">+Q11-Q26</f>
        <v>-983421.7202599966</v>
      </c>
      <c r="R28" s="974">
        <f t="shared" si="13"/>
        <v>-1206567.4593142048</v>
      </c>
      <c r="S28" s="974">
        <f t="shared" si="13"/>
        <v>-1594375.1433600001</v>
      </c>
      <c r="T28" s="974">
        <f t="shared" si="13"/>
        <v>-1044230.7295000001</v>
      </c>
      <c r="U28" s="974">
        <f t="shared" si="13"/>
        <v>-839947.44980000006</v>
      </c>
      <c r="V28" s="974">
        <f>+V11-V26</f>
        <v>-159476.43848654284</v>
      </c>
      <c r="W28" s="974">
        <f>+W11-W26</f>
        <v>-652571.06753999996</v>
      </c>
      <c r="X28" s="974">
        <f>+X11-X26</f>
        <v>-9175.837230000001</v>
      </c>
      <c r="Y28" s="974">
        <f t="shared" si="13"/>
        <v>-172531.1208555281</v>
      </c>
      <c r="Z28" s="979">
        <f>SUM(Q28:Y28)</f>
        <v>-6662296.9663462723</v>
      </c>
      <c r="AA28" s="970"/>
      <c r="AB28" s="974">
        <f>+AB11-AB26</f>
        <v>-3201413.9038194977</v>
      </c>
      <c r="AC28" s="974">
        <f>+AC11-AC26</f>
        <v>1411413.4546489108</v>
      </c>
      <c r="AD28" s="974">
        <f>SUM(AB28:AC28)</f>
        <v>-1790000.4491705869</v>
      </c>
      <c r="AE28" s="133"/>
      <c r="AF28" s="974">
        <f t="shared" ref="AF28:AM28" si="14">+AF11-AF26</f>
        <v>-3216908.9847831428</v>
      </c>
      <c r="AG28" s="974">
        <f>+AG11-AG26</f>
        <v>1897012.8810161517</v>
      </c>
      <c r="AH28" s="974">
        <f>+AH11-AH26</f>
        <v>-802149.07272127003</v>
      </c>
      <c r="AI28" s="974">
        <f t="shared" si="14"/>
        <v>-764884.94607499999</v>
      </c>
      <c r="AJ28" s="974">
        <f t="shared" si="14"/>
        <v>-95547.560911649984</v>
      </c>
      <c r="AK28" s="974">
        <f>+AK11-AK26</f>
        <v>1732.0762080000027</v>
      </c>
      <c r="AL28" s="974">
        <f t="shared" si="14"/>
        <v>-276500</v>
      </c>
      <c r="AM28" s="974">
        <f t="shared" si="14"/>
        <v>-175155.11568892826</v>
      </c>
      <c r="AN28" s="979">
        <f t="shared" si="5"/>
        <v>-3432400.7229558392</v>
      </c>
      <c r="AW28" s="135"/>
      <c r="AX28" s="135"/>
    </row>
    <row r="29" spans="1:58" ht="15.75" thickTop="1">
      <c r="A29" s="130">
        <f t="shared" si="1"/>
        <v>23</v>
      </c>
      <c r="B29" s="115"/>
      <c r="C29" s="133"/>
      <c r="D29" s="133"/>
      <c r="E29" s="140"/>
      <c r="F29" s="140"/>
      <c r="G29" s="140"/>
      <c r="H29" s="140"/>
      <c r="I29" s="133"/>
      <c r="J29" s="133"/>
      <c r="K29" s="133"/>
      <c r="L29" s="133"/>
      <c r="M29" s="133"/>
      <c r="N29" s="133"/>
      <c r="O29" s="140"/>
      <c r="P29" s="136"/>
      <c r="Q29" s="133"/>
      <c r="R29" s="133"/>
      <c r="S29" s="133"/>
      <c r="T29" s="133"/>
      <c r="U29" s="133"/>
      <c r="V29" s="133"/>
      <c r="W29" s="133"/>
      <c r="X29" s="133"/>
      <c r="Y29" s="133"/>
      <c r="Z29" s="140"/>
      <c r="AA29" s="136"/>
      <c r="AB29" s="133"/>
      <c r="AC29" s="133"/>
      <c r="AD29" s="140"/>
      <c r="AE29" s="136"/>
      <c r="AF29" s="133"/>
      <c r="AG29" s="133"/>
      <c r="AH29" s="133"/>
      <c r="AI29" s="133"/>
      <c r="AJ29" s="133"/>
      <c r="AK29" s="133"/>
      <c r="AL29" s="133"/>
      <c r="AM29" s="133"/>
      <c r="AN29" s="140"/>
      <c r="AW29" s="135"/>
      <c r="AX29" s="135"/>
      <c r="BF29" s="144"/>
    </row>
    <row r="30" spans="1:58">
      <c r="A30" s="130">
        <f t="shared" si="1"/>
        <v>24</v>
      </c>
      <c r="B30" s="115" t="s">
        <v>568</v>
      </c>
      <c r="C30" s="136"/>
      <c r="D30" s="136"/>
      <c r="E30" s="971"/>
      <c r="F30" s="136"/>
      <c r="G30" s="136"/>
      <c r="H30" s="136"/>
      <c r="I30" s="136"/>
      <c r="J30" s="136"/>
      <c r="K30" s="136"/>
      <c r="L30" s="136"/>
      <c r="M30" s="136"/>
      <c r="N30" s="136"/>
      <c r="O30" s="134"/>
      <c r="P30" s="136"/>
      <c r="Q30" s="136"/>
      <c r="R30" s="136"/>
      <c r="S30" s="136"/>
      <c r="T30" s="136"/>
      <c r="U30" s="136"/>
      <c r="V30" s="136"/>
      <c r="W30" s="136"/>
      <c r="X30" s="136"/>
      <c r="Y30" s="136"/>
      <c r="Z30" s="134"/>
      <c r="AA30" s="136"/>
      <c r="AB30" s="136"/>
      <c r="AC30" s="136"/>
      <c r="AD30" s="134"/>
      <c r="AE30" s="136"/>
      <c r="AF30" s="136"/>
      <c r="AG30" s="136"/>
      <c r="AH30" s="136"/>
      <c r="AI30" s="136"/>
      <c r="AJ30" s="136"/>
      <c r="AK30" s="136"/>
      <c r="AL30" s="136"/>
      <c r="AM30" s="136"/>
      <c r="AN30" s="134"/>
      <c r="AW30" s="135"/>
      <c r="AX30" s="135"/>
      <c r="AZ30" s="135"/>
    </row>
    <row r="31" spans="1:58">
      <c r="A31" s="130">
        <f t="shared" si="1"/>
        <v>25</v>
      </c>
      <c r="B31" s="110" t="s">
        <v>569</v>
      </c>
      <c r="C31" s="136"/>
      <c r="D31" s="136"/>
      <c r="E31" s="971">
        <f>+'Rate Base'!D10-'Rate Base'!C10</f>
        <v>48540095.357916594</v>
      </c>
      <c r="F31" s="136"/>
      <c r="G31" s="136"/>
      <c r="I31" s="136"/>
      <c r="J31" s="136"/>
      <c r="K31" s="136"/>
      <c r="L31" s="136"/>
      <c r="M31" s="136"/>
      <c r="N31" s="136"/>
      <c r="O31" s="973">
        <f t="shared" ref="O31:O36" si="15">SUM(C31:N31)</f>
        <v>48540095.357916594</v>
      </c>
      <c r="P31" s="136"/>
      <c r="Q31" s="136"/>
      <c r="R31" s="136"/>
      <c r="Z31" s="140">
        <f t="shared" ref="Z31:Z36" si="16">SUM(Q31:Y31)</f>
        <v>0</v>
      </c>
      <c r="AA31" s="136"/>
      <c r="AB31" s="177">
        <f>'Provisional Plant Additions'!C13</f>
        <v>136127827.58551073</v>
      </c>
      <c r="AC31" s="177"/>
      <c r="AD31" s="134">
        <f t="shared" ref="AD31:AD36" si="17">SUM(AB31:AC31)</f>
        <v>136127827.58551073</v>
      </c>
      <c r="AE31" s="136"/>
      <c r="AF31" s="177">
        <f>+'Provisional Plant Additions'!C43</f>
        <v>104148133.47050501</v>
      </c>
      <c r="AG31" s="177"/>
      <c r="AI31" s="1"/>
      <c r="AJ31" s="1"/>
      <c r="AK31" s="47"/>
      <c r="AL31" s="47"/>
      <c r="AM31" s="47"/>
      <c r="AN31" s="140">
        <f t="shared" ref="AN31:AN36" si="18">SUM(AF31:AM31)</f>
        <v>104148133.47050501</v>
      </c>
      <c r="BF31" s="121"/>
    </row>
    <row r="32" spans="1:58">
      <c r="A32" s="130">
        <f t="shared" si="1"/>
        <v>26</v>
      </c>
      <c r="B32" s="110" t="s">
        <v>570</v>
      </c>
      <c r="C32" s="136"/>
      <c r="D32" s="136"/>
      <c r="E32" s="971">
        <f>+'Rate Base'!D11-'Rate Base'!C11</f>
        <v>-12430503.90749985</v>
      </c>
      <c r="F32" s="136"/>
      <c r="G32" s="136"/>
      <c r="I32" s="136"/>
      <c r="J32" s="136"/>
      <c r="K32" s="136"/>
      <c r="L32" s="136"/>
      <c r="M32" s="136"/>
      <c r="N32" s="136"/>
      <c r="O32" s="973">
        <f t="shared" si="15"/>
        <v>-12430503.90749985</v>
      </c>
      <c r="P32" s="136"/>
      <c r="Q32" s="136"/>
      <c r="R32" s="136"/>
      <c r="Z32" s="140">
        <f t="shared" si="16"/>
        <v>0</v>
      </c>
      <c r="AA32" s="136"/>
      <c r="AB32" s="177">
        <f>'Provisional Plant Additions'!C18</f>
        <v>-31646070.765377395</v>
      </c>
      <c r="AC32" s="177"/>
      <c r="AD32" s="976">
        <f t="shared" si="17"/>
        <v>-31646070.765377395</v>
      </c>
      <c r="AE32" s="136"/>
      <c r="AF32" s="177">
        <f>'Provisional Plant Additions'!C48</f>
        <v>-34196119.939198054</v>
      </c>
      <c r="AG32" s="177"/>
      <c r="AI32" s="1"/>
      <c r="AJ32" s="1"/>
      <c r="AK32" s="47"/>
      <c r="AL32" s="47"/>
      <c r="AM32" s="47"/>
      <c r="AN32" s="973">
        <f t="shared" si="18"/>
        <v>-34196119.939198054</v>
      </c>
      <c r="AX32" s="5"/>
      <c r="BF32" s="112"/>
    </row>
    <row r="33" spans="1:150">
      <c r="A33" s="130">
        <f t="shared" si="1"/>
        <v>27</v>
      </c>
      <c r="B33" s="110" t="s">
        <v>571</v>
      </c>
      <c r="C33" s="136"/>
      <c r="D33" s="136"/>
      <c r="E33" s="971">
        <f>+'Rate Base'!D13-'Rate Base'!C13</f>
        <v>18869.531666666655</v>
      </c>
      <c r="F33" s="136"/>
      <c r="G33" s="136"/>
      <c r="I33" s="136"/>
      <c r="J33" s="136"/>
      <c r="K33" s="136"/>
      <c r="L33" s="136"/>
      <c r="M33" s="136"/>
      <c r="N33" s="136"/>
      <c r="O33" s="973">
        <f t="shared" si="15"/>
        <v>18869.531666666655</v>
      </c>
      <c r="P33" s="136"/>
      <c r="Q33" s="136"/>
      <c r="R33" s="136"/>
      <c r="Z33" s="140">
        <f t="shared" si="16"/>
        <v>0</v>
      </c>
      <c r="AA33" s="136"/>
      <c r="AB33" s="227"/>
      <c r="AC33" s="227"/>
      <c r="AD33" s="134">
        <f t="shared" si="17"/>
        <v>0</v>
      </c>
      <c r="AE33" s="136"/>
      <c r="AF33" s="227"/>
      <c r="AG33" s="227"/>
      <c r="AI33" s="1"/>
      <c r="AJ33" s="1"/>
      <c r="AK33" s="1"/>
      <c r="AL33" s="1"/>
      <c r="AM33" s="1"/>
      <c r="AN33" s="973">
        <f t="shared" si="18"/>
        <v>0</v>
      </c>
    </row>
    <row r="34" spans="1:150">
      <c r="A34" s="130">
        <f t="shared" si="1"/>
        <v>28</v>
      </c>
      <c r="B34" s="110" t="s">
        <v>572</v>
      </c>
      <c r="C34" s="136"/>
      <c r="D34" s="136"/>
      <c r="E34" s="971">
        <f>+'Rate Base'!D14-'Rate Base'!C14</f>
        <v>-308101.97333334386</v>
      </c>
      <c r="F34" s="136"/>
      <c r="G34" s="136"/>
      <c r="I34" s="136"/>
      <c r="J34" s="136"/>
      <c r="K34" s="136"/>
      <c r="L34" s="136"/>
      <c r="M34" s="136"/>
      <c r="N34" s="136"/>
      <c r="O34" s="973">
        <f t="shared" si="15"/>
        <v>-308101.97333334386</v>
      </c>
      <c r="P34" s="136"/>
      <c r="Q34" s="136"/>
      <c r="R34" s="136"/>
      <c r="Z34" s="140">
        <f t="shared" si="16"/>
        <v>0</v>
      </c>
      <c r="AA34" s="136"/>
      <c r="AB34" s="227">
        <f>'Provisional Plant Additions'!C20</f>
        <v>68761.561904037371</v>
      </c>
      <c r="AC34" s="227"/>
      <c r="AD34" s="134">
        <f t="shared" si="17"/>
        <v>68761.561904037371</v>
      </c>
      <c r="AE34" s="136"/>
      <c r="AF34" s="227">
        <f>'Provisional Plant Additions'!C50</f>
        <v>-1767078.8683187142</v>
      </c>
      <c r="AG34" s="227"/>
      <c r="AI34" s="1"/>
      <c r="AJ34" s="1"/>
      <c r="AK34" s="1"/>
      <c r="AL34" s="1"/>
      <c r="AM34" s="1"/>
      <c r="AN34" s="973">
        <f t="shared" si="18"/>
        <v>-1767078.8683187142</v>
      </c>
    </row>
    <row r="35" spans="1:150">
      <c r="A35" s="130">
        <f t="shared" si="1"/>
        <v>29</v>
      </c>
      <c r="B35" s="110" t="s">
        <v>573</v>
      </c>
      <c r="C35" s="136"/>
      <c r="D35" s="136"/>
      <c r="E35" s="971">
        <v>0</v>
      </c>
      <c r="F35" s="136"/>
      <c r="G35" s="136"/>
      <c r="I35" s="136"/>
      <c r="J35" s="136"/>
      <c r="K35" s="136"/>
      <c r="L35" s="136"/>
      <c r="M35" s="136"/>
      <c r="N35" s="136"/>
      <c r="O35" s="140">
        <f t="shared" si="15"/>
        <v>0</v>
      </c>
      <c r="P35" s="136"/>
      <c r="Q35" s="136"/>
      <c r="R35" s="136"/>
      <c r="T35" s="135"/>
      <c r="U35" s="135"/>
      <c r="V35" s="135"/>
      <c r="W35" s="135">
        <f>'Pension Adjustment'!C27</f>
        <v>523326.95746225631</v>
      </c>
      <c r="X35" s="135"/>
      <c r="Y35" s="135"/>
      <c r="Z35" s="140">
        <f t="shared" si="16"/>
        <v>523326.95746225631</v>
      </c>
      <c r="AA35" s="136"/>
      <c r="AB35" s="53"/>
      <c r="AC35" s="53"/>
      <c r="AD35" s="134">
        <f t="shared" si="17"/>
        <v>0</v>
      </c>
      <c r="AE35" s="136"/>
      <c r="AI35" s="6">
        <f>'Pension Adjustment'!C37</f>
        <v>-635126.63849578728</v>
      </c>
      <c r="AJ35" s="1"/>
      <c r="AK35" s="1"/>
      <c r="AL35" s="1"/>
      <c r="AM35" s="1"/>
      <c r="AN35" s="973">
        <f t="shared" si="18"/>
        <v>-635126.63849578728</v>
      </c>
      <c r="AW35" s="121"/>
      <c r="AX35" s="121"/>
    </row>
    <row r="36" spans="1:150" ht="15.75" thickBot="1">
      <c r="A36" s="130">
        <f t="shared" si="1"/>
        <v>30</v>
      </c>
      <c r="B36" s="117" t="s">
        <v>574</v>
      </c>
      <c r="C36" s="147">
        <f>SUM(C31:C35)</f>
        <v>0</v>
      </c>
      <c r="D36" s="147">
        <f>SUM(D31:D35)</f>
        <v>0</v>
      </c>
      <c r="E36" s="147">
        <f>SUM(E31:E35)</f>
        <v>35820359.008750066</v>
      </c>
      <c r="F36" s="147">
        <f t="shared" ref="F36:M36" si="19">SUM(F31:F35)</f>
        <v>0</v>
      </c>
      <c r="G36" s="147">
        <f t="shared" si="19"/>
        <v>0</v>
      </c>
      <c r="H36" s="147">
        <f t="shared" si="19"/>
        <v>0</v>
      </c>
      <c r="I36" s="147">
        <f t="shared" si="19"/>
        <v>0</v>
      </c>
      <c r="J36" s="147">
        <f t="shared" si="19"/>
        <v>0</v>
      </c>
      <c r="K36" s="147">
        <f t="shared" si="19"/>
        <v>0</v>
      </c>
      <c r="L36" s="147">
        <f t="shared" si="19"/>
        <v>0</v>
      </c>
      <c r="M36" s="147">
        <f t="shared" si="19"/>
        <v>0</v>
      </c>
      <c r="N36" s="147">
        <f>SUM(N31:N35)</f>
        <v>0</v>
      </c>
      <c r="O36" s="148">
        <f t="shared" si="15"/>
        <v>35820359.008750066</v>
      </c>
      <c r="P36" s="136"/>
      <c r="Q36" s="147">
        <f t="shared" ref="Q36:Y36" si="20">SUM(Q31:Q35)</f>
        <v>0</v>
      </c>
      <c r="R36" s="147">
        <f t="shared" si="20"/>
        <v>0</v>
      </c>
      <c r="S36" s="147">
        <f t="shared" si="20"/>
        <v>0</v>
      </c>
      <c r="T36" s="147">
        <f t="shared" si="20"/>
        <v>0</v>
      </c>
      <c r="U36" s="147">
        <f t="shared" si="20"/>
        <v>0</v>
      </c>
      <c r="V36" s="147">
        <f>SUM(V31:V35)</f>
        <v>0</v>
      </c>
      <c r="W36" s="147">
        <f>SUM(W31:W35)</f>
        <v>523326.95746225631</v>
      </c>
      <c r="X36" s="147">
        <f>SUM(X31:X35)</f>
        <v>0</v>
      </c>
      <c r="Y36" s="147">
        <f t="shared" si="20"/>
        <v>0</v>
      </c>
      <c r="Z36" s="148">
        <f t="shared" si="16"/>
        <v>523326.95746225631</v>
      </c>
      <c r="AA36" s="136"/>
      <c r="AB36" s="147">
        <f>SUM(AB31:AB35)</f>
        <v>104550518.38203737</v>
      </c>
      <c r="AC36" s="147">
        <f>SUM(AC31:AC35)</f>
        <v>0</v>
      </c>
      <c r="AD36" s="148">
        <f t="shared" si="17"/>
        <v>104550518.38203737</v>
      </c>
      <c r="AE36" s="136"/>
      <c r="AF36" s="147">
        <f t="shared" ref="AF36:AM36" si="21">SUM(AF31:AF35)</f>
        <v>68184934.662988245</v>
      </c>
      <c r="AG36" s="147">
        <f>SUM(AG31:AG35)</f>
        <v>0</v>
      </c>
      <c r="AH36" s="147">
        <f>SUM(AH31:AH35)</f>
        <v>0</v>
      </c>
      <c r="AI36" s="980">
        <f t="shared" si="21"/>
        <v>-635126.63849578728</v>
      </c>
      <c r="AJ36" s="147">
        <f t="shared" si="21"/>
        <v>0</v>
      </c>
      <c r="AK36" s="147">
        <f>SUM(AK31:AK35)</f>
        <v>0</v>
      </c>
      <c r="AL36" s="147">
        <f t="shared" si="21"/>
        <v>0</v>
      </c>
      <c r="AM36" s="147">
        <f t="shared" si="21"/>
        <v>0</v>
      </c>
      <c r="AN36" s="148">
        <f t="shared" si="18"/>
        <v>67549808.024492458</v>
      </c>
      <c r="AW36" s="121"/>
      <c r="AX36" s="121"/>
    </row>
    <row r="37" spans="1:150" ht="15.75" thickTop="1">
      <c r="A37" s="130">
        <f t="shared" si="1"/>
        <v>31</v>
      </c>
      <c r="B37" s="149"/>
      <c r="C37" s="151"/>
      <c r="D37" s="151"/>
      <c r="E37" s="150"/>
      <c r="F37" s="150"/>
      <c r="G37" s="150"/>
      <c r="H37" s="150"/>
      <c r="I37" s="151"/>
      <c r="J37" s="151"/>
      <c r="K37" s="151"/>
      <c r="L37" s="151"/>
      <c r="M37" s="151"/>
      <c r="N37" s="151"/>
      <c r="O37" s="152"/>
      <c r="P37" s="153"/>
      <c r="Q37" s="151"/>
      <c r="R37" s="151"/>
      <c r="S37" s="151"/>
      <c r="T37" s="151"/>
      <c r="U37" s="151"/>
      <c r="V37" s="151"/>
      <c r="W37" s="151"/>
      <c r="X37" s="151"/>
      <c r="Y37" s="151"/>
      <c r="Z37" s="152"/>
      <c r="AA37" s="153"/>
      <c r="AB37" s="151"/>
      <c r="AC37" s="151"/>
      <c r="AD37" s="152"/>
      <c r="AE37" s="153"/>
      <c r="AF37" s="151"/>
      <c r="AG37" s="151"/>
      <c r="AH37" s="151"/>
      <c r="AI37" s="151"/>
      <c r="AJ37" s="151"/>
      <c r="AK37" s="151"/>
      <c r="AL37" s="151"/>
      <c r="AM37" s="151"/>
      <c r="AN37" s="152"/>
      <c r="AO37" s="149"/>
      <c r="AP37" s="149"/>
      <c r="AQ37" s="149"/>
      <c r="AR37" s="149"/>
      <c r="AS37" s="149"/>
      <c r="AT37" s="149"/>
      <c r="AU37" s="149"/>
      <c r="AV37" s="121"/>
      <c r="AW37" s="154"/>
      <c r="AX37" s="121"/>
      <c r="AY37" s="127"/>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row>
    <row r="38" spans="1:150">
      <c r="A38" s="130">
        <f t="shared" si="1"/>
        <v>32</v>
      </c>
      <c r="B38" s="155" t="s">
        <v>635</v>
      </c>
      <c r="C38" s="156">
        <f>((+C36*'WACC Calculation'!$E$14)-'Exh JAD-7, Summary of Adj'!C28)/'Exh JAD-6, Conversion Factor'!$C$26</f>
        <v>-335824.23893764371</v>
      </c>
      <c r="D38" s="156">
        <f>((+D36*'WACC Calculation'!$E$14)-'Exh JAD-7, Summary of Adj'!D28)/'Exh JAD-6, Conversion Factor'!$C$26</f>
        <v>1774483.9963787599</v>
      </c>
      <c r="E38" s="156">
        <f>((+E36*'WACC Calculation'!$E$14)-'Exh JAD-7, Summary of Adj'!E28)/'Exh JAD-6, Conversion Factor'!$C$26</f>
        <v>4603647.2228110423</v>
      </c>
      <c r="F38" s="156">
        <f>((+F36*'WACC Calculation'!$E$14)-'Exh JAD-7, Summary of Adj'!F28)/'Exh JAD-6, Conversion Factor'!$C$26</f>
        <v>-1831964.8385883817</v>
      </c>
      <c r="G38" s="156">
        <f>((+G36*'WACC Calculation'!$E$14)-'Exh JAD-7, Summary of Adj'!G28)/'Exh JAD-6, Conversion Factor'!$C$26</f>
        <v>-38468.010890888152</v>
      </c>
      <c r="H38" s="156">
        <f>((+H36*'WACC Calculation'!$E$14)-'Exh JAD-7, Summary of Adj'!H28)/'Exh JAD-6, Conversion Factor'!$C$26</f>
        <v>101216.64476201656</v>
      </c>
      <c r="I38" s="156">
        <f>((+I36*'WACC Calculation'!$E$14)-'Exh JAD-7, Summary of Adj'!I28)/'Exh JAD-6, Conversion Factor'!$C$26</f>
        <v>-2692150.0095938952</v>
      </c>
      <c r="J38" s="156">
        <f>((+J36*'WACC Calculation'!$E$14)-'Exh JAD-7, Summary of Adj'!J28)/'Exh JAD-6, Conversion Factor'!$C$26</f>
        <v>-168791.47428052675</v>
      </c>
      <c r="K38" s="156">
        <f>((+K36*'WACC Calculation'!$E$14)-'Exh JAD-7, Summary of Adj'!K28)/'Exh JAD-6, Conversion Factor'!$C$26</f>
        <v>1519929.1964969933</v>
      </c>
      <c r="L38" s="156">
        <f>((+L36*'WACC Calculation'!$E$14)-'Exh JAD-7, Summary of Adj'!L28)/'Exh JAD-6, Conversion Factor'!$C$26</f>
        <v>71577.956785113434</v>
      </c>
      <c r="M38" s="156">
        <f>((+M36*'WACC Calculation'!$E$14)-'Exh JAD-7, Summary of Adj'!M28)/'Exh JAD-6, Conversion Factor'!$C$26</f>
        <v>383715.80588269327</v>
      </c>
      <c r="N38" s="156">
        <f>((+N36*'WACC Calculation'!$E$14)-'Exh JAD-7, Summary of Adj'!N28)/'Exh JAD-6, Conversion Factor'!$C$26</f>
        <v>0</v>
      </c>
      <c r="O38" s="156">
        <f>((+O36*'WACC Calculation'!$E$14)-'Exh JAD-7, Summary of Adj'!O28)/'Exh JAD-6, Conversion Factor'!$C$26</f>
        <v>3387372.250825284</v>
      </c>
      <c r="P38" s="156"/>
      <c r="Q38" s="156">
        <f>((+Q36*'WACC Calculation'!$E$14)-'Exh JAD-7, Summary of Adj'!Q28)/'Exh JAD-6, Conversion Factor'!$C$26</f>
        <v>1309306.3698159046</v>
      </c>
      <c r="R38" s="156">
        <f>((+R36*'WACC Calculation'!$E$14)-'Exh JAD-7, Summary of Adj'!R28)/'Exh JAD-6, Conversion Factor'!$C$26</f>
        <v>1606397.7717260737</v>
      </c>
      <c r="S38" s="156">
        <f>((+S36*'WACC Calculation'!$E$14)-'Exh JAD-7, Summary of Adj'!S28)/'Exh JAD-6, Conversion Factor'!$C$26</f>
        <v>2122716.5193438022</v>
      </c>
      <c r="T38" s="156">
        <f>((+T36*'WACC Calculation'!$E$14)-'Exh JAD-7, Summary of Adj'!T28)/'Exh JAD-6, Conversion Factor'!$C$26</f>
        <v>1390266.1671234947</v>
      </c>
      <c r="U38" s="156">
        <f>((+U36*'WACC Calculation'!$E$14)-'Exh JAD-7, Summary of Adj'!U28)/'Exh JAD-6, Conversion Factor'!$C$26</f>
        <v>1118287.834890421</v>
      </c>
      <c r="V38" s="156">
        <f>((+V36*'WACC Calculation'!$E$14)-'Exh JAD-7, Summary of Adj'!V28)/'Exh JAD-6, Conversion Factor'!$C$26</f>
        <v>212323.47470501409</v>
      </c>
      <c r="W38" s="156">
        <f>((+W36*'WACC Calculation'!$E$14)-'Exh JAD-7, Summary of Adj'!W28)/'Exh JAD-6, Conversion Factor'!$C$26</f>
        <v>923820.1223800485</v>
      </c>
      <c r="X38" s="156">
        <f>((+X36*'WACC Calculation'!$E$14)-'Exh JAD-7, Summary of Adj'!X28)/'Exh JAD-6, Conversion Factor'!$C$26</f>
        <v>12216.510868253628</v>
      </c>
      <c r="Y38" s="156">
        <f>((+Y36*'WACC Calculation'!$E$14)-'Exh JAD-7, Summary of Adj'!Y28)/'Exh JAD-6, Conversion Factor'!$C$26</f>
        <v>229704.19594545697</v>
      </c>
      <c r="Z38" s="156">
        <f>((+Z36*'WACC Calculation'!$E$14)-'Exh JAD-7, Summary of Adj'!Z28)/'Exh JAD-6, Conversion Factor'!$C$26</f>
        <v>8925038.9667984694</v>
      </c>
      <c r="AA38" s="156"/>
      <c r="AB38" s="156">
        <f>((+AB36*'WACC Calculation'!$E$14)-'Exh JAD-7, Summary of Adj'!AB28)/'Exh JAD-6, Conversion Factor'!$C$26</f>
        <v>15250448.615543339</v>
      </c>
      <c r="AC38" s="156">
        <f>((+AC36*'WACC Calculation'!$E$14)-'Exh JAD-7, Summary of Adj'!AC28)/'Exh JAD-6, Conversion Factor'!$C$26</f>
        <v>-1879125.2913624118</v>
      </c>
      <c r="AD38" s="156">
        <f>((+AD36*'WACC Calculation'!$E$14)-'Exh JAD-7, Summary of Adj'!AD28)/'Exh JAD-6, Conversion Factor'!$C$26</f>
        <v>13371323.324180927</v>
      </c>
      <c r="AE38" s="156"/>
      <c r="AF38" s="156">
        <f>((+AF36*'WACC Calculation'!$E$14)-'Exh JAD-7, Summary of Adj'!AF28)/'Exh JAD-6, Conversion Factor'!$C$26</f>
        <v>11449091.745563526</v>
      </c>
      <c r="AG38" s="156">
        <f>((+AG36*'WACC Calculation'!$E$14)-'Exh JAD-7, Summary of Adj'!AG28)/'Exh JAD-6, Conversion Factor'!$C$26</f>
        <v>-2525641.845779662</v>
      </c>
      <c r="AH38" s="156">
        <f>((+AH36*'WACC Calculation'!$E$14)-'Exh JAD-7, Summary of Adj'!AH28)/'Exh JAD-6, Conversion Factor'!$C$26</f>
        <v>1067963.8946536724</v>
      </c>
      <c r="AI38" s="156">
        <f>((+AI36*'WACC Calculation'!$E$14)-'Exh JAD-7, Summary of Adj'!AI28)/'Exh JAD-6, Conversion Factor'!$C$26</f>
        <v>951600.06576397689</v>
      </c>
      <c r="AJ38" s="156">
        <f>((+AJ36*'WACC Calculation'!$E$14)-'Exh JAD-7, Summary of Adj'!AJ28)/'Exh JAD-6, Conversion Factor'!$C$26</f>
        <v>127209.95229688675</v>
      </c>
      <c r="AK38" s="156">
        <f>((+AK36*'WACC Calculation'!$E$14)-'Exh JAD-7, Summary of Adj'!AK28)/'Exh JAD-6, Conversion Factor'!$C$26</f>
        <v>-2306.0487331329396</v>
      </c>
      <c r="AL38" s="156">
        <f>((+AL36*'WACC Calculation'!$E$14)-'Exh JAD-7, Summary of Adj'!AL28)/'Exh JAD-6, Conversion Factor'!$C$26</f>
        <v>368126.10886648518</v>
      </c>
      <c r="AM38" s="156">
        <f>((+AM36*'WACC Calculation'!$E$14)-'Exh JAD-7, Summary of Adj'!AM28)/'Exh JAD-6, Conversion Factor'!$C$26</f>
        <v>233197.72581057579</v>
      </c>
      <c r="AN38" s="156">
        <f>((+AN36*'WACC Calculation'!$E$14)-'Exh JAD-7, Summary of Adj'!AN28)/'Exh JAD-6, Conversion Factor'!$C$26+1</f>
        <v>11669242.598442329</v>
      </c>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row>
    <row r="39" spans="1:150">
      <c r="A39" s="130"/>
      <c r="B39" s="445"/>
      <c r="C39" s="157"/>
      <c r="D39" s="157"/>
      <c r="E39" s="157"/>
      <c r="F39" s="157"/>
      <c r="G39" s="157"/>
      <c r="H39" s="157"/>
      <c r="I39" s="157"/>
      <c r="J39" s="157"/>
      <c r="K39" s="157"/>
      <c r="L39" s="157"/>
      <c r="M39" s="157"/>
      <c r="N39" s="157"/>
      <c r="O39" s="127"/>
      <c r="P39" s="157"/>
      <c r="Q39" s="157"/>
      <c r="R39" s="157"/>
      <c r="S39" s="157"/>
      <c r="T39" s="157"/>
      <c r="U39" s="157"/>
      <c r="V39" s="157"/>
      <c r="W39" s="157"/>
      <c r="X39" s="157"/>
      <c r="Y39" s="157"/>
      <c r="Z39" s="127"/>
      <c r="AA39" s="157"/>
      <c r="AB39" s="157"/>
      <c r="AC39" s="157"/>
      <c r="AD39" s="127"/>
      <c r="AE39" s="157"/>
      <c r="AF39" s="157"/>
      <c r="AG39" s="157"/>
      <c r="AH39" s="157"/>
      <c r="AI39" s="157"/>
      <c r="AJ39" s="157"/>
      <c r="AK39" s="157"/>
      <c r="AL39" s="157"/>
      <c r="AM39" s="15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row>
    <row r="40" spans="1:150">
      <c r="A40" s="130"/>
      <c r="B40" s="127"/>
      <c r="C40" s="158"/>
      <c r="D40" s="158"/>
      <c r="E40" s="158"/>
      <c r="F40" s="158"/>
      <c r="G40" s="158"/>
      <c r="H40" s="158"/>
      <c r="I40" s="158"/>
      <c r="J40" s="158"/>
      <c r="K40" s="158"/>
      <c r="L40" s="158"/>
      <c r="N40" s="158"/>
      <c r="O40" s="127"/>
      <c r="P40" s="157"/>
      <c r="Q40" s="158"/>
      <c r="R40" s="158"/>
      <c r="S40" s="158"/>
      <c r="T40" s="158"/>
      <c r="U40" s="158"/>
      <c r="V40" s="158"/>
      <c r="W40" s="158"/>
      <c r="X40" s="158"/>
      <c r="Y40" s="158"/>
      <c r="Z40" s="127"/>
      <c r="AA40" s="157"/>
      <c r="AB40" s="158"/>
      <c r="AC40" s="158"/>
      <c r="AD40" s="127"/>
      <c r="AE40" s="157"/>
      <c r="AF40" s="158"/>
      <c r="AG40" s="158"/>
      <c r="AH40" s="158"/>
      <c r="AI40" s="158"/>
      <c r="AJ40" s="158"/>
      <c r="AK40" s="158"/>
      <c r="AL40" s="158"/>
      <c r="AM40" s="158"/>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row>
    <row r="41" spans="1:150">
      <c r="A41" s="130"/>
    </row>
    <row r="42" spans="1:150">
      <c r="A42" s="130"/>
      <c r="E42" s="56"/>
    </row>
    <row r="43" spans="1:150">
      <c r="A43" s="130"/>
      <c r="C43" s="136"/>
      <c r="D43" s="136"/>
      <c r="E43" s="136"/>
      <c r="F43" s="136"/>
      <c r="G43" s="136"/>
      <c r="H43" s="136"/>
      <c r="I43" s="136"/>
      <c r="J43" s="136"/>
      <c r="K43" s="136"/>
      <c r="L43" s="136"/>
      <c r="M43" s="136"/>
      <c r="N43" s="136"/>
      <c r="O43" s="420"/>
      <c r="P43" s="136"/>
      <c r="Q43" s="136"/>
      <c r="R43" s="136"/>
      <c r="S43" s="136"/>
      <c r="T43" s="136"/>
      <c r="U43" s="136"/>
      <c r="V43" s="136"/>
      <c r="W43" s="136"/>
      <c r="X43" s="136"/>
      <c r="Z43" s="136"/>
    </row>
    <row r="44" spans="1:150">
      <c r="C44" s="420"/>
      <c r="D44" s="420"/>
      <c r="E44" s="420"/>
      <c r="F44" s="420"/>
      <c r="G44" s="420"/>
      <c r="H44" s="420"/>
      <c r="I44" s="420"/>
      <c r="J44" s="420"/>
      <c r="K44" s="420"/>
      <c r="L44" s="420"/>
      <c r="M44" s="420"/>
      <c r="N44" s="420"/>
      <c r="O44" s="420"/>
      <c r="P44" s="420"/>
      <c r="Q44" s="420"/>
      <c r="R44" s="420"/>
      <c r="S44" s="420"/>
      <c r="T44" s="420"/>
      <c r="U44" s="420"/>
      <c r="V44" s="420"/>
      <c r="W44" s="420"/>
      <c r="X44" s="420"/>
      <c r="Z44" s="420"/>
    </row>
    <row r="45" spans="1:150">
      <c r="E45" s="123"/>
      <c r="F45" s="420"/>
      <c r="M45" s="123"/>
    </row>
    <row r="46" spans="1:15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row>
    <row r="47" spans="1:150">
      <c r="B47"/>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row>
    <row r="48" spans="1:15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row>
    <row r="49" spans="2:40">
      <c r="B49"/>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row>
    <row r="50" spans="2:40">
      <c r="B5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row>
    <row r="51" spans="2:4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row>
    <row r="52" spans="2:40">
      <c r="B52"/>
      <c r="C52" s="136"/>
      <c r="D52" s="136"/>
      <c r="E52" s="136"/>
      <c r="F52" s="136"/>
      <c r="G52" s="136"/>
      <c r="H52" s="136"/>
      <c r="I52" s="136"/>
      <c r="J52" s="136"/>
      <c r="K52" s="136"/>
      <c r="L52" s="136"/>
      <c r="M52" s="136"/>
      <c r="N52" s="136"/>
      <c r="O52" s="420"/>
      <c r="P52" s="136"/>
      <c r="Q52" s="136"/>
      <c r="R52" s="136"/>
      <c r="S52" s="136"/>
      <c r="T52" s="136"/>
      <c r="U52" s="136"/>
      <c r="V52" s="136"/>
      <c r="W52" s="136"/>
      <c r="X52" s="136"/>
    </row>
    <row r="53" spans="2:40">
      <c r="B53"/>
      <c r="C53" s="136"/>
      <c r="D53" s="136"/>
      <c r="E53" s="136"/>
      <c r="F53" s="136"/>
      <c r="G53" s="136"/>
      <c r="H53" s="136"/>
      <c r="I53" s="136"/>
      <c r="J53" s="136"/>
      <c r="K53" s="136"/>
      <c r="L53" s="136"/>
      <c r="M53" s="136"/>
      <c r="N53" s="136"/>
      <c r="O53" s="420"/>
      <c r="P53" s="136"/>
      <c r="Q53" s="136"/>
      <c r="R53" s="136"/>
      <c r="S53" s="136"/>
      <c r="T53" s="136"/>
      <c r="U53" s="136"/>
      <c r="V53" s="136"/>
      <c r="W53" s="136"/>
      <c r="X53" s="136"/>
      <c r="Z53" s="136"/>
    </row>
    <row r="55" spans="2:40">
      <c r="Z55" s="420"/>
    </row>
    <row r="56" spans="2:40">
      <c r="F56" s="158"/>
    </row>
    <row r="57" spans="2:40">
      <c r="B57"/>
      <c r="F57" s="420"/>
    </row>
    <row r="58" spans="2:40">
      <c r="B58"/>
      <c r="F58" s="158"/>
    </row>
    <row r="59" spans="2:40">
      <c r="B59"/>
      <c r="F59" s="158"/>
    </row>
    <row r="60" spans="2:40">
      <c r="F60" s="158"/>
    </row>
  </sheetData>
  <phoneticPr fontId="122" type="noConversion"/>
  <printOptions horizontalCentered="1"/>
  <pageMargins left="0" right="0" top="0.5" bottom="0.5" header="0.3" footer="0.3"/>
  <pageSetup paperSize="5" scale="85" fitToWidth="0" orientation="landscape" r:id="rId1"/>
  <headerFooter scaleWithDoc="0" alignWithMargins="0">
    <oddHeader>&amp;RDocket UG-240008
Exh. JAD-7
Page &amp;P</oddHeader>
  </headerFooter>
  <colBreaks count="2" manualBreakCount="2">
    <brk id="10" max="37" man="1"/>
    <brk id="31" max="3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T64"/>
  <sheetViews>
    <sheetView view="pageBreakPreview" topLeftCell="A25" zoomScale="60" zoomScaleNormal="100" workbookViewId="0">
      <selection activeCell="A4" sqref="A1:XFD1048576"/>
    </sheetView>
  </sheetViews>
  <sheetFormatPr defaultColWidth="17.85546875" defaultRowHeight="15"/>
  <cols>
    <col min="1" max="1" width="5.5703125" style="81" customWidth="1"/>
    <col min="2" max="2" width="22.5703125" style="79" bestFit="1" customWidth="1"/>
    <col min="3" max="3" width="15.140625" style="79" bestFit="1" customWidth="1"/>
    <col min="4" max="4" width="13.85546875" style="79" bestFit="1" customWidth="1"/>
    <col min="5" max="5" width="15.140625" style="79" bestFit="1" customWidth="1"/>
    <col min="6" max="6" width="4" style="79" customWidth="1"/>
    <col min="7" max="7" width="29" style="79" bestFit="1" customWidth="1"/>
    <col min="8" max="8" width="15.140625" style="79" bestFit="1" customWidth="1"/>
    <col min="9" max="9" width="14" style="79" bestFit="1" customWidth="1"/>
    <col min="10" max="10" width="15.140625" style="79" bestFit="1" customWidth="1"/>
    <col min="11" max="11" width="4" style="79" customWidth="1"/>
    <col min="12" max="14" width="17.85546875" style="79"/>
    <col min="15" max="15" width="13.5703125" style="79" bestFit="1" customWidth="1"/>
    <col min="16" max="16384" width="17.85546875" style="79"/>
  </cols>
  <sheetData>
    <row r="1" spans="1:20">
      <c r="A1" s="1402" t="str">
        <f>Company</f>
        <v>Cascade Natural Gas Corp.</v>
      </c>
      <c r="B1" s="1402"/>
      <c r="C1" s="1402"/>
      <c r="D1" s="1402"/>
      <c r="E1" s="1402"/>
      <c r="F1" s="1402"/>
      <c r="G1" s="1402"/>
      <c r="H1" s="1402"/>
      <c r="I1" s="1402"/>
      <c r="J1" s="1402"/>
    </row>
    <row r="2" spans="1:20">
      <c r="A2" s="1402" t="str">
        <f>Title1</f>
        <v>Washington Jurisdiction</v>
      </c>
      <c r="B2" s="1402"/>
      <c r="C2" s="1402"/>
      <c r="D2" s="1402"/>
      <c r="E2" s="1402"/>
      <c r="F2" s="1402"/>
      <c r="G2" s="1402"/>
      <c r="H2" s="1402"/>
      <c r="I2" s="1402"/>
      <c r="J2" s="1402"/>
    </row>
    <row r="3" spans="1:20">
      <c r="A3" s="1402" t="str">
        <f>Title2</f>
        <v>Twelve-Months ended December 31, 2023</v>
      </c>
      <c r="B3" s="1402"/>
      <c r="C3" s="1402"/>
      <c r="D3" s="1402"/>
      <c r="E3" s="1402"/>
      <c r="F3" s="1402"/>
      <c r="G3" s="1402"/>
      <c r="H3" s="1402"/>
      <c r="I3" s="1402"/>
      <c r="J3" s="1402"/>
    </row>
    <row r="4" spans="1:20">
      <c r="A4" s="1402" t="s">
        <v>636</v>
      </c>
      <c r="B4" s="1402"/>
      <c r="C4" s="1402"/>
      <c r="D4" s="1402"/>
      <c r="E4" s="1402"/>
      <c r="F4" s="1402"/>
      <c r="G4" s="1402"/>
      <c r="H4" s="1402"/>
      <c r="I4" s="1402"/>
      <c r="J4" s="1402"/>
      <c r="T4" s="438"/>
    </row>
    <row r="5" spans="1:20">
      <c r="A5" s="1447"/>
      <c r="B5" s="1447"/>
      <c r="C5" s="1447"/>
      <c r="D5" s="1447"/>
      <c r="E5" s="1447"/>
      <c r="F5" s="1447"/>
      <c r="G5" s="1447"/>
      <c r="H5" s="1447"/>
      <c r="I5" s="1447"/>
      <c r="J5" s="1447"/>
      <c r="T5" s="438"/>
    </row>
    <row r="6" spans="1:20">
      <c r="A6" s="724"/>
      <c r="B6" s="724"/>
      <c r="C6" s="724"/>
      <c r="D6" s="724"/>
      <c r="E6" s="724"/>
      <c r="T6" s="438"/>
    </row>
    <row r="7" spans="1:20" s="81" customFormat="1">
      <c r="B7" s="1448" t="s">
        <v>637</v>
      </c>
      <c r="C7" s="1448"/>
      <c r="D7" s="1448"/>
      <c r="E7" s="1448"/>
      <c r="G7" s="1448" t="s">
        <v>638</v>
      </c>
      <c r="H7" s="1448"/>
      <c r="I7" s="1448"/>
      <c r="J7" s="1448"/>
      <c r="P7" s="1"/>
      <c r="Q7" s="1"/>
      <c r="R7" s="1"/>
      <c r="T7" s="438"/>
    </row>
    <row r="8" spans="1:20" s="92" customFormat="1" ht="30">
      <c r="A8" s="93" t="s">
        <v>536</v>
      </c>
      <c r="B8" s="93" t="s">
        <v>537</v>
      </c>
      <c r="C8" s="93" t="s">
        <v>639</v>
      </c>
      <c r="D8" s="93" t="s">
        <v>640</v>
      </c>
      <c r="E8" s="93" t="s">
        <v>200</v>
      </c>
      <c r="G8" s="93"/>
      <c r="H8" s="93" t="s">
        <v>639</v>
      </c>
      <c r="I8" s="93" t="s">
        <v>640</v>
      </c>
      <c r="J8" s="93" t="s">
        <v>200</v>
      </c>
      <c r="P8" s="1"/>
      <c r="Q8" s="1"/>
      <c r="R8" s="1"/>
      <c r="S8" s="79"/>
    </row>
    <row r="9" spans="1:20">
      <c r="A9" s="93"/>
      <c r="B9" s="95" t="s">
        <v>439</v>
      </c>
      <c r="C9" s="95" t="s">
        <v>208</v>
      </c>
      <c r="D9" s="95" t="s">
        <v>209</v>
      </c>
      <c r="E9" s="95" t="s">
        <v>440</v>
      </c>
      <c r="G9" s="95" t="s">
        <v>441</v>
      </c>
      <c r="H9" s="95" t="s">
        <v>442</v>
      </c>
      <c r="I9" s="95" t="s">
        <v>443</v>
      </c>
      <c r="J9" s="95" t="s">
        <v>444</v>
      </c>
      <c r="P9" s="1"/>
      <c r="Q9" s="1"/>
      <c r="R9" s="1"/>
    </row>
    <row r="10" spans="1:20">
      <c r="A10" s="102">
        <v>1</v>
      </c>
      <c r="B10" s="97" t="s">
        <v>636</v>
      </c>
      <c r="C10" s="78"/>
      <c r="D10" s="78"/>
      <c r="E10" s="78"/>
      <c r="G10" s="97" t="s">
        <v>636</v>
      </c>
      <c r="H10" s="78"/>
      <c r="I10" s="78"/>
      <c r="J10" s="78"/>
      <c r="P10" s="1"/>
      <c r="Q10" s="1"/>
      <c r="R10" s="1"/>
    </row>
    <row r="11" spans="1:20">
      <c r="A11" s="102">
        <f>1+MAX($A$10:A10)</f>
        <v>2</v>
      </c>
      <c r="B11" s="910" t="s">
        <v>641</v>
      </c>
      <c r="C11" s="84">
        <f>+C35</f>
        <v>0.73470000000000002</v>
      </c>
      <c r="D11" s="84">
        <f>+D35</f>
        <v>0.26529999999999998</v>
      </c>
      <c r="E11" s="84">
        <f>SUM(C11:D11)</f>
        <v>1</v>
      </c>
      <c r="G11" s="910" t="s">
        <v>641</v>
      </c>
      <c r="H11" s="84">
        <f>H35</f>
        <v>0.73599999999999999</v>
      </c>
      <c r="I11" s="84">
        <f>I35</f>
        <v>0.26400000000000001</v>
      </c>
      <c r="J11" s="84">
        <f>SUM(H11:I11)</f>
        <v>1</v>
      </c>
      <c r="P11" s="1"/>
      <c r="Q11" s="1"/>
      <c r="R11" s="1"/>
    </row>
    <row r="12" spans="1:20">
      <c r="A12" s="102">
        <f>1+MAX($A$10:A11)</f>
        <v>3</v>
      </c>
      <c r="B12" s="910" t="s">
        <v>642</v>
      </c>
      <c r="C12" s="84">
        <f>+C40</f>
        <v>0.77990000000000004</v>
      </c>
      <c r="D12" s="84">
        <f>+D40</f>
        <v>0.22009999999999999</v>
      </c>
      <c r="E12" s="84">
        <f>SUM(C12:D12)</f>
        <v>1</v>
      </c>
      <c r="G12" s="910" t="s">
        <v>642</v>
      </c>
      <c r="H12" s="84">
        <f>H40</f>
        <v>0.77939999999999998</v>
      </c>
      <c r="I12" s="84">
        <f>I40</f>
        <v>0.22059999999999999</v>
      </c>
      <c r="J12" s="84">
        <f>SUM(H12:I12)</f>
        <v>1</v>
      </c>
      <c r="P12" s="1"/>
      <c r="Q12" s="1"/>
      <c r="R12" s="1"/>
    </row>
    <row r="13" spans="1:20">
      <c r="A13" s="102">
        <f>1+MAX($A$10:A12)</f>
        <v>4</v>
      </c>
      <c r="B13" s="910" t="s">
        <v>643</v>
      </c>
      <c r="C13" s="84">
        <f>+C58</f>
        <v>0.73750000000000004</v>
      </c>
      <c r="D13" s="84">
        <f>+D58</f>
        <v>0.26250000000000001</v>
      </c>
      <c r="E13" s="84">
        <f>SUM(C13:D13)</f>
        <v>1</v>
      </c>
      <c r="G13" s="910" t="s">
        <v>643</v>
      </c>
      <c r="H13" s="84">
        <f>H58</f>
        <v>0.73599999999999999</v>
      </c>
      <c r="I13" s="84">
        <f>I58</f>
        <v>0.26400000000000001</v>
      </c>
      <c r="J13" s="84">
        <f>SUM(H13:I13)</f>
        <v>1</v>
      </c>
      <c r="P13" s="1"/>
      <c r="Q13" s="1"/>
      <c r="R13" s="1"/>
    </row>
    <row r="14" spans="1:20" ht="15.75" thickBot="1">
      <c r="A14" s="102">
        <f>1+MAX($A$10:A13)</f>
        <v>5</v>
      </c>
      <c r="B14" s="101" t="s">
        <v>644</v>
      </c>
      <c r="C14" s="90">
        <f>ROUND(AVERAGE(C11:C13),4)</f>
        <v>0.75070000000000003</v>
      </c>
      <c r="D14" s="90">
        <f>ROUND(AVERAGE(D11:D13),4)</f>
        <v>0.24929999999999999</v>
      </c>
      <c r="E14" s="90">
        <f>AVERAGE(E11:E13)</f>
        <v>1</v>
      </c>
      <c r="G14" s="101" t="s">
        <v>644</v>
      </c>
      <c r="H14" s="90">
        <f>ROUND(AVERAGE(H11:H13),4)</f>
        <v>0.75049999999999994</v>
      </c>
      <c r="I14" s="90">
        <f>ROUND(AVERAGE(I11:I13),4)</f>
        <v>0.2495</v>
      </c>
      <c r="J14" s="90">
        <f>AVERAGE(J11:J13)</f>
        <v>1</v>
      </c>
      <c r="P14" s="1"/>
      <c r="Q14" s="1"/>
      <c r="R14" s="1"/>
    </row>
    <row r="15" spans="1:20" ht="15.75" thickTop="1">
      <c r="A15" s="102">
        <f>1+MAX($A$10:A14)</f>
        <v>6</v>
      </c>
      <c r="C15" s="83"/>
      <c r="D15" s="83"/>
      <c r="E15" s="83"/>
      <c r="H15" s="83"/>
      <c r="I15" s="83"/>
      <c r="J15" s="83"/>
      <c r="P15" s="1"/>
      <c r="Q15" s="1"/>
      <c r="R15" s="1"/>
    </row>
    <row r="16" spans="1:20" ht="15.75" thickBot="1">
      <c r="A16" s="102">
        <f>1+MAX($A$10:A15)</f>
        <v>7</v>
      </c>
      <c r="B16" s="101" t="s">
        <v>645</v>
      </c>
      <c r="C16" s="90">
        <f>+C63</f>
        <v>0.79179999999999995</v>
      </c>
      <c r="D16" s="90">
        <f>+D63</f>
        <v>0.2082</v>
      </c>
      <c r="E16" s="90">
        <f>SUM(C16:D16)</f>
        <v>1</v>
      </c>
      <c r="G16" s="101" t="s">
        <v>645</v>
      </c>
      <c r="H16" s="90">
        <f>H63</f>
        <v>0.7923</v>
      </c>
      <c r="I16" s="90">
        <f>I63</f>
        <v>0.2077</v>
      </c>
      <c r="J16" s="90">
        <f>SUM(H16:I16)</f>
        <v>1</v>
      </c>
      <c r="P16" s="1"/>
      <c r="Q16" s="1"/>
      <c r="R16" s="1"/>
    </row>
    <row r="17" spans="1:18" ht="15.75" thickTop="1">
      <c r="A17" s="102">
        <f>1+MAX($A$10:A16)</f>
        <v>8</v>
      </c>
      <c r="P17" s="1"/>
      <c r="Q17" s="1"/>
      <c r="R17" s="1"/>
    </row>
    <row r="18" spans="1:18">
      <c r="A18" s="102">
        <f>1+MAX($A$10:A17)</f>
        <v>9</v>
      </c>
      <c r="B18" s="912" t="s">
        <v>646</v>
      </c>
      <c r="C18" s="913"/>
      <c r="D18" s="913"/>
      <c r="E18" s="914"/>
      <c r="G18" s="96" t="s">
        <v>646</v>
      </c>
      <c r="H18" s="80"/>
      <c r="I18" s="80"/>
    </row>
    <row r="19" spans="1:18" ht="30">
      <c r="A19" s="102">
        <f>1+MAX($A$10:A18)</f>
        <v>10</v>
      </c>
      <c r="B19" s="915" t="s">
        <v>647</v>
      </c>
      <c r="C19" s="916" t="s">
        <v>648</v>
      </c>
      <c r="D19" s="916" t="s">
        <v>649</v>
      </c>
      <c r="E19" s="914" t="s">
        <v>200</v>
      </c>
      <c r="G19" s="82" t="s">
        <v>647</v>
      </c>
      <c r="H19" s="916" t="s">
        <v>648</v>
      </c>
      <c r="I19" s="916" t="s">
        <v>649</v>
      </c>
      <c r="J19" s="79" t="s">
        <v>200</v>
      </c>
    </row>
    <row r="20" spans="1:18">
      <c r="A20" s="102">
        <f>1+MAX($A$10:A19)</f>
        <v>11</v>
      </c>
      <c r="B20" s="85">
        <v>44561</v>
      </c>
      <c r="C20" s="981">
        <v>175</v>
      </c>
      <c r="D20" s="981">
        <v>62</v>
      </c>
      <c r="E20" s="914">
        <f t="shared" ref="E20:E35" si="0">SUM(C20:D20)</f>
        <v>237</v>
      </c>
      <c r="G20" s="85">
        <v>44926</v>
      </c>
      <c r="H20" s="983">
        <v>174</v>
      </c>
      <c r="I20" s="983">
        <v>63</v>
      </c>
      <c r="J20" s="79">
        <f>SUM(H20:I20)</f>
        <v>237</v>
      </c>
    </row>
    <row r="21" spans="1:18">
      <c r="A21" s="102">
        <f>1+MAX($A$10:A20)</f>
        <v>12</v>
      </c>
      <c r="B21" s="917">
        <f t="shared" ref="B21:B32" si="1">EDATE(B20, 1)</f>
        <v>44592</v>
      </c>
      <c r="C21" s="981">
        <v>171</v>
      </c>
      <c r="D21" s="981">
        <v>63</v>
      </c>
      <c r="E21" s="914">
        <f t="shared" si="0"/>
        <v>234</v>
      </c>
      <c r="G21" s="85">
        <v>44957</v>
      </c>
      <c r="H21" s="983">
        <v>177</v>
      </c>
      <c r="I21" s="983">
        <v>63</v>
      </c>
      <c r="J21" s="79">
        <f t="shared" ref="J21:J33" si="2">SUM(H21:I21)</f>
        <v>240</v>
      </c>
    </row>
    <row r="22" spans="1:18">
      <c r="A22" s="102">
        <f>1+MAX($A$10:A21)</f>
        <v>13</v>
      </c>
      <c r="B22" s="917">
        <f t="shared" si="1"/>
        <v>44620</v>
      </c>
      <c r="C22" s="981">
        <v>173</v>
      </c>
      <c r="D22" s="981">
        <v>63</v>
      </c>
      <c r="E22" s="914">
        <f t="shared" si="0"/>
        <v>236</v>
      </c>
      <c r="G22" s="85">
        <v>44985</v>
      </c>
      <c r="H22" s="983">
        <v>177</v>
      </c>
      <c r="I22" s="983">
        <v>63</v>
      </c>
      <c r="J22" s="79">
        <f t="shared" si="2"/>
        <v>240</v>
      </c>
    </row>
    <row r="23" spans="1:18">
      <c r="A23" s="102">
        <f>1+MAX($A$10:A22)</f>
        <v>14</v>
      </c>
      <c r="B23" s="917">
        <f t="shared" si="1"/>
        <v>44648</v>
      </c>
      <c r="C23" s="981">
        <v>173</v>
      </c>
      <c r="D23" s="981">
        <v>62</v>
      </c>
      <c r="E23" s="914">
        <f t="shared" si="0"/>
        <v>235</v>
      </c>
      <c r="G23" s="85">
        <v>45013</v>
      </c>
      <c r="H23" s="983">
        <v>175</v>
      </c>
      <c r="I23" s="983">
        <v>63</v>
      </c>
      <c r="J23" s="79">
        <f t="shared" si="2"/>
        <v>238</v>
      </c>
    </row>
    <row r="24" spans="1:18">
      <c r="A24" s="102">
        <f>1+MAX($A$10:A23)</f>
        <v>15</v>
      </c>
      <c r="B24" s="917">
        <f t="shared" si="1"/>
        <v>44679</v>
      </c>
      <c r="C24" s="981">
        <v>174</v>
      </c>
      <c r="D24" s="981">
        <v>63</v>
      </c>
      <c r="E24" s="914">
        <f t="shared" si="0"/>
        <v>237</v>
      </c>
      <c r="G24" s="85">
        <v>45044</v>
      </c>
      <c r="H24" s="983">
        <v>172</v>
      </c>
      <c r="I24" s="983">
        <v>62</v>
      </c>
      <c r="J24" s="79">
        <f t="shared" si="2"/>
        <v>234</v>
      </c>
    </row>
    <row r="25" spans="1:18">
      <c r="A25" s="102">
        <f>1+MAX($A$10:A24)</f>
        <v>16</v>
      </c>
      <c r="B25" s="917">
        <f t="shared" si="1"/>
        <v>44709</v>
      </c>
      <c r="C25" s="981">
        <v>177</v>
      </c>
      <c r="D25" s="981">
        <v>64</v>
      </c>
      <c r="E25" s="914">
        <f t="shared" si="0"/>
        <v>241</v>
      </c>
      <c r="G25" s="85">
        <v>45074</v>
      </c>
      <c r="H25" s="983">
        <v>169</v>
      </c>
      <c r="I25" s="983">
        <v>62</v>
      </c>
      <c r="J25" s="79">
        <f t="shared" si="2"/>
        <v>231</v>
      </c>
    </row>
    <row r="26" spans="1:18">
      <c r="A26" s="102">
        <f>1+MAX($A$10:A25)</f>
        <v>17</v>
      </c>
      <c r="B26" s="917">
        <f t="shared" si="1"/>
        <v>44740</v>
      </c>
      <c r="C26" s="981">
        <v>180</v>
      </c>
      <c r="D26" s="981">
        <v>64</v>
      </c>
      <c r="E26" s="914">
        <f t="shared" si="0"/>
        <v>244</v>
      </c>
      <c r="G26" s="85">
        <v>45105</v>
      </c>
      <c r="H26" s="983">
        <v>169</v>
      </c>
      <c r="I26" s="983">
        <v>61</v>
      </c>
      <c r="J26" s="79">
        <f t="shared" si="2"/>
        <v>230</v>
      </c>
    </row>
    <row r="27" spans="1:18">
      <c r="A27" s="102">
        <f>1+MAX($A$10:A26)</f>
        <v>18</v>
      </c>
      <c r="B27" s="917">
        <f t="shared" si="1"/>
        <v>44770</v>
      </c>
      <c r="C27" s="981">
        <v>178</v>
      </c>
      <c r="D27" s="981">
        <v>65</v>
      </c>
      <c r="E27" s="914">
        <f t="shared" si="0"/>
        <v>243</v>
      </c>
      <c r="G27" s="85">
        <v>45135</v>
      </c>
      <c r="H27" s="983">
        <v>168</v>
      </c>
      <c r="I27" s="983">
        <v>60</v>
      </c>
      <c r="J27" s="79">
        <f t="shared" si="2"/>
        <v>228</v>
      </c>
    </row>
    <row r="28" spans="1:18">
      <c r="A28" s="102">
        <f>1+MAX($A$10:A27)</f>
        <v>19</v>
      </c>
      <c r="B28" s="917">
        <f t="shared" si="1"/>
        <v>44801</v>
      </c>
      <c r="C28" s="981">
        <v>180</v>
      </c>
      <c r="D28" s="981">
        <v>65</v>
      </c>
      <c r="E28" s="914">
        <f t="shared" si="0"/>
        <v>245</v>
      </c>
      <c r="G28" s="85">
        <v>45166</v>
      </c>
      <c r="H28" s="983">
        <v>165</v>
      </c>
      <c r="I28" s="983">
        <v>59</v>
      </c>
      <c r="J28" s="79">
        <f t="shared" si="2"/>
        <v>224</v>
      </c>
    </row>
    <row r="29" spans="1:18">
      <c r="A29" s="102">
        <f>1+MAX($A$10:A28)</f>
        <v>20</v>
      </c>
      <c r="B29" s="917">
        <f t="shared" si="1"/>
        <v>44832</v>
      </c>
      <c r="C29" s="981">
        <v>176</v>
      </c>
      <c r="D29" s="981">
        <v>64</v>
      </c>
      <c r="E29" s="914">
        <f t="shared" si="0"/>
        <v>240</v>
      </c>
      <c r="G29" s="85">
        <v>45197</v>
      </c>
      <c r="H29" s="983">
        <v>165</v>
      </c>
      <c r="I29" s="983">
        <v>59</v>
      </c>
      <c r="J29" s="79">
        <f t="shared" si="2"/>
        <v>224</v>
      </c>
    </row>
    <row r="30" spans="1:18">
      <c r="A30" s="102">
        <f>1+MAX($A$10:A29)</f>
        <v>21</v>
      </c>
      <c r="B30" s="917">
        <f t="shared" si="1"/>
        <v>44862</v>
      </c>
      <c r="C30" s="981">
        <v>177</v>
      </c>
      <c r="D30" s="981">
        <v>63</v>
      </c>
      <c r="E30" s="914">
        <f t="shared" si="0"/>
        <v>240</v>
      </c>
      <c r="G30" s="85">
        <v>45227</v>
      </c>
      <c r="H30" s="983">
        <v>165</v>
      </c>
      <c r="I30" s="983">
        <v>59</v>
      </c>
      <c r="J30" s="79">
        <f t="shared" si="2"/>
        <v>224</v>
      </c>
    </row>
    <row r="31" spans="1:18">
      <c r="A31" s="102">
        <f>1+MAX($A$10:A30)</f>
        <v>22</v>
      </c>
      <c r="B31" s="917">
        <f t="shared" si="1"/>
        <v>44893</v>
      </c>
      <c r="C31" s="981">
        <v>175</v>
      </c>
      <c r="D31" s="981">
        <v>63</v>
      </c>
      <c r="E31" s="914">
        <f t="shared" si="0"/>
        <v>238</v>
      </c>
      <c r="G31" s="85">
        <v>45258</v>
      </c>
      <c r="H31" s="983">
        <v>167</v>
      </c>
      <c r="I31" s="983">
        <v>59</v>
      </c>
      <c r="J31" s="79">
        <f t="shared" si="2"/>
        <v>226</v>
      </c>
    </row>
    <row r="32" spans="1:18">
      <c r="A32" s="102">
        <f>1+MAX($A$10:A31)</f>
        <v>23</v>
      </c>
      <c r="B32" s="917">
        <f t="shared" si="1"/>
        <v>44923</v>
      </c>
      <c r="C32" s="982">
        <v>174</v>
      </c>
      <c r="D32" s="982">
        <v>63</v>
      </c>
      <c r="E32" s="918">
        <f t="shared" si="0"/>
        <v>237</v>
      </c>
      <c r="G32" s="85">
        <v>45288</v>
      </c>
      <c r="H32" s="984">
        <v>167</v>
      </c>
      <c r="I32" s="984">
        <v>60</v>
      </c>
      <c r="J32" s="94">
        <f t="shared" si="2"/>
        <v>227</v>
      </c>
    </row>
    <row r="33" spans="1:10">
      <c r="A33" s="102">
        <f>1+MAX($A$10:A32)</f>
        <v>24</v>
      </c>
      <c r="B33" s="919" t="s">
        <v>200</v>
      </c>
      <c r="C33" s="920">
        <f>SUM(C20:C32)</f>
        <v>2283</v>
      </c>
      <c r="D33" s="920">
        <f>SUM(D20:D32)</f>
        <v>824</v>
      </c>
      <c r="E33" s="914">
        <f t="shared" si="0"/>
        <v>3107</v>
      </c>
      <c r="G33" s="87" t="s">
        <v>200</v>
      </c>
      <c r="H33" s="88">
        <f>SUM(H20:H32)</f>
        <v>2210</v>
      </c>
      <c r="I33" s="88">
        <f>SUM(I20:I32)</f>
        <v>793</v>
      </c>
      <c r="J33" s="79">
        <f t="shared" si="2"/>
        <v>3003</v>
      </c>
    </row>
    <row r="34" spans="1:10">
      <c r="A34" s="102">
        <f>1+MAX($A$10:A33)</f>
        <v>25</v>
      </c>
      <c r="B34" s="921" t="s">
        <v>650</v>
      </c>
      <c r="C34" s="920">
        <f>ROUND(AVERAGE(C20:C31,C21:C32),2)</f>
        <v>175.71</v>
      </c>
      <c r="D34" s="920">
        <f>ROUND(AVERAGE(D20:D31,D21:D32),2)</f>
        <v>63.46</v>
      </c>
      <c r="E34" s="914">
        <f t="shared" si="0"/>
        <v>239.17000000000002</v>
      </c>
      <c r="G34" s="89" t="s">
        <v>650</v>
      </c>
      <c r="H34" s="88">
        <f>ROUND(AVERAGE(H20:H31,H21:H32),2)</f>
        <v>169.96</v>
      </c>
      <c r="I34" s="88">
        <f>ROUND(AVERAGE(I20:I31,I21:I32),2)</f>
        <v>60.96</v>
      </c>
      <c r="J34" s="79">
        <f>SUM(H34:I34)</f>
        <v>230.92000000000002</v>
      </c>
    </row>
    <row r="35" spans="1:10">
      <c r="A35" s="102">
        <f>1+MAX($A$10:A34)</f>
        <v>26</v>
      </c>
      <c r="B35" s="922" t="s">
        <v>651</v>
      </c>
      <c r="C35" s="923">
        <f>ROUND(C34/SUM($C$34:$D$34),4)</f>
        <v>0.73470000000000002</v>
      </c>
      <c r="D35" s="923">
        <f>ROUND(D34/SUM($C$34:$D$34),4)</f>
        <v>0.26529999999999998</v>
      </c>
      <c r="E35" s="923">
        <f t="shared" si="0"/>
        <v>1</v>
      </c>
      <c r="G35" s="501" t="s">
        <v>651</v>
      </c>
      <c r="H35" s="502">
        <f>ROUND(H34/SUM($H$34:$I$34),4)</f>
        <v>0.73599999999999999</v>
      </c>
      <c r="I35" s="502">
        <f>ROUND(I34/SUM($H$34:$I$34),4)</f>
        <v>0.26400000000000001</v>
      </c>
      <c r="J35" s="502">
        <f>SUM(H35:I35)</f>
        <v>1</v>
      </c>
    </row>
    <row r="36" spans="1:10">
      <c r="A36" s="102">
        <f>1+MAX($A$10:A35)</f>
        <v>27</v>
      </c>
      <c r="B36" s="914"/>
      <c r="C36" s="924"/>
      <c r="D36" s="924"/>
      <c r="E36" s="914"/>
      <c r="H36" s="83"/>
      <c r="I36" s="83"/>
    </row>
    <row r="37" spans="1:10">
      <c r="A37" s="102">
        <f>1+MAX($A$10:A36)</f>
        <v>28</v>
      </c>
      <c r="B37" s="912" t="s">
        <v>642</v>
      </c>
      <c r="C37" s="915"/>
      <c r="D37" s="915"/>
      <c r="E37" s="914"/>
      <c r="G37" s="96" t="s">
        <v>642</v>
      </c>
      <c r="H37" s="82"/>
      <c r="I37" s="82"/>
    </row>
    <row r="38" spans="1:10">
      <c r="A38" s="102">
        <f>1+MAX($A$10:A37)</f>
        <v>29</v>
      </c>
      <c r="B38" s="914"/>
      <c r="C38" s="926" t="s">
        <v>639</v>
      </c>
      <c r="D38" s="926" t="s">
        <v>640</v>
      </c>
      <c r="E38" s="927" t="s">
        <v>200</v>
      </c>
      <c r="H38" s="926" t="s">
        <v>639</v>
      </c>
      <c r="I38" s="926" t="s">
        <v>640</v>
      </c>
      <c r="J38" s="81" t="s">
        <v>200</v>
      </c>
    </row>
    <row r="39" spans="1:10">
      <c r="A39" s="102">
        <f>1+MAX($A$10:A38)</f>
        <v>30</v>
      </c>
      <c r="B39" s="925" t="s">
        <v>652</v>
      </c>
      <c r="C39" s="914">
        <v>1023584630.3204166</v>
      </c>
      <c r="D39" s="914">
        <v>288855256.34875</v>
      </c>
      <c r="E39" s="914">
        <f>SUM(C39:D39)</f>
        <v>1312439886.6691666</v>
      </c>
      <c r="G39" s="910" t="s">
        <v>653</v>
      </c>
      <c r="H39" s="79">
        <v>1093224989</v>
      </c>
      <c r="I39" s="79">
        <v>309447785</v>
      </c>
      <c r="J39" s="79">
        <f>SUM(H39:I39)</f>
        <v>1402672774</v>
      </c>
    </row>
    <row r="40" spans="1:10">
      <c r="A40" s="102">
        <f>1+MAX($A$10:A39)</f>
        <v>31</v>
      </c>
      <c r="B40" s="928" t="s">
        <v>654</v>
      </c>
      <c r="C40" s="923">
        <f>ROUND(C39/SUM($C$39:$D$39),4)</f>
        <v>0.77990000000000004</v>
      </c>
      <c r="D40" s="923">
        <f>ROUND(D39/SUM($C$39:$D$39),4)</f>
        <v>0.22009999999999999</v>
      </c>
      <c r="E40" s="923">
        <f>SUM(C40:D40)</f>
        <v>1</v>
      </c>
      <c r="G40" s="503" t="s">
        <v>654</v>
      </c>
      <c r="H40" s="502">
        <f>ROUND(H39/SUM($H$39:$I$39),4)</f>
        <v>0.77939999999999998</v>
      </c>
      <c r="I40" s="502">
        <f>ROUND(I39/SUM($H$39:$I$39),4)</f>
        <v>0.22059999999999999</v>
      </c>
      <c r="J40" s="502">
        <f>SUM(H40:I40)</f>
        <v>1</v>
      </c>
    </row>
    <row r="41" spans="1:10">
      <c r="A41" s="102">
        <f>1+MAX($A$10:A40)</f>
        <v>32</v>
      </c>
      <c r="B41" s="914"/>
      <c r="C41" s="914"/>
      <c r="D41" s="914"/>
      <c r="E41" s="914"/>
    </row>
    <row r="42" spans="1:10">
      <c r="A42" s="102">
        <f>1+MAX($A$10:A41)</f>
        <v>33</v>
      </c>
      <c r="B42" s="914"/>
      <c r="C42" s="914"/>
      <c r="D42" s="914"/>
      <c r="E42" s="914"/>
    </row>
    <row r="43" spans="1:10">
      <c r="A43" s="102">
        <f>1+MAX($A$10:A42)</f>
        <v>34</v>
      </c>
      <c r="B43" s="912" t="s">
        <v>643</v>
      </c>
      <c r="C43" s="915"/>
      <c r="D43" s="927"/>
      <c r="E43" s="914"/>
      <c r="G43" s="96" t="s">
        <v>643</v>
      </c>
      <c r="H43" s="82"/>
      <c r="I43" s="81"/>
    </row>
    <row r="44" spans="1:10">
      <c r="A44" s="102">
        <f>1+MAX($A$10:A43)</f>
        <v>35</v>
      </c>
      <c r="B44" s="915" t="s">
        <v>647</v>
      </c>
      <c r="C44" s="926" t="s">
        <v>639</v>
      </c>
      <c r="D44" s="926" t="s">
        <v>640</v>
      </c>
      <c r="E44" s="927" t="s">
        <v>200</v>
      </c>
      <c r="G44" s="82" t="s">
        <v>647</v>
      </c>
      <c r="H44" s="926" t="s">
        <v>639</v>
      </c>
      <c r="I44" s="926" t="s">
        <v>640</v>
      </c>
      <c r="J44" s="81" t="s">
        <v>200</v>
      </c>
    </row>
    <row r="45" spans="1:10">
      <c r="A45" s="102">
        <f>1+MAX($A$10:A44)</f>
        <v>36</v>
      </c>
      <c r="B45" s="917">
        <f t="shared" ref="B45:B56" si="3">B21</f>
        <v>44592</v>
      </c>
      <c r="C45" s="20">
        <v>228785</v>
      </c>
      <c r="D45" s="20">
        <v>81107</v>
      </c>
      <c r="E45" s="51">
        <f t="shared" ref="E45:E57" si="4">SUM(C45:D45)</f>
        <v>309892</v>
      </c>
      <c r="G45" s="85">
        <v>44957</v>
      </c>
      <c r="H45" s="65">
        <v>231428</v>
      </c>
      <c r="I45" s="65">
        <v>82826</v>
      </c>
      <c r="J45" s="98">
        <f>SUM(H45:I45)</f>
        <v>314254</v>
      </c>
    </row>
    <row r="46" spans="1:10">
      <c r="A46" s="102">
        <f>1+MAX($A$10:A45)</f>
        <v>37</v>
      </c>
      <c r="B46" s="917">
        <f t="shared" si="3"/>
        <v>44620</v>
      </c>
      <c r="C46" s="914">
        <v>229021</v>
      </c>
      <c r="D46" s="914">
        <v>81244</v>
      </c>
      <c r="E46" s="51">
        <f t="shared" si="4"/>
        <v>310265</v>
      </c>
      <c r="G46" s="85">
        <v>44985</v>
      </c>
      <c r="H46" s="79">
        <v>231517</v>
      </c>
      <c r="I46" s="79">
        <v>82908</v>
      </c>
      <c r="J46" s="98">
        <f t="shared" ref="J46:J57" si="5">SUM(H46:I46)</f>
        <v>314425</v>
      </c>
    </row>
    <row r="47" spans="1:10">
      <c r="A47" s="102">
        <f>1+MAX($A$10:A46)</f>
        <v>38</v>
      </c>
      <c r="B47" s="917">
        <f t="shared" si="3"/>
        <v>44648</v>
      </c>
      <c r="C47" s="914">
        <v>229142</v>
      </c>
      <c r="D47" s="914">
        <v>81371</v>
      </c>
      <c r="E47" s="51">
        <f t="shared" si="4"/>
        <v>310513</v>
      </c>
      <c r="G47" s="85">
        <v>45013</v>
      </c>
      <c r="H47" s="79">
        <v>231517</v>
      </c>
      <c r="I47" s="79">
        <v>83005</v>
      </c>
      <c r="J47" s="98">
        <f t="shared" si="5"/>
        <v>314522</v>
      </c>
    </row>
    <row r="48" spans="1:10">
      <c r="A48" s="102">
        <f>1+MAX($A$10:A47)</f>
        <v>39</v>
      </c>
      <c r="B48" s="917">
        <f t="shared" si="3"/>
        <v>44679</v>
      </c>
      <c r="C48" s="914">
        <v>229156</v>
      </c>
      <c r="D48" s="914">
        <v>81456</v>
      </c>
      <c r="E48" s="51">
        <f t="shared" si="4"/>
        <v>310612</v>
      </c>
      <c r="G48" s="85">
        <v>45044</v>
      </c>
      <c r="H48" s="79">
        <v>231538</v>
      </c>
      <c r="I48" s="79">
        <v>83039</v>
      </c>
      <c r="J48" s="98">
        <f t="shared" si="5"/>
        <v>314577</v>
      </c>
    </row>
    <row r="49" spans="1:15">
      <c r="A49" s="102">
        <f>1+MAX($A$10:A48)</f>
        <v>40</v>
      </c>
      <c r="B49" s="917">
        <f t="shared" si="3"/>
        <v>44709</v>
      </c>
      <c r="C49" s="914">
        <v>229092</v>
      </c>
      <c r="D49" s="914">
        <v>81519</v>
      </c>
      <c r="E49" s="51">
        <f t="shared" si="4"/>
        <v>310611</v>
      </c>
      <c r="G49" s="85">
        <v>45074</v>
      </c>
      <c r="H49" s="79">
        <v>231171</v>
      </c>
      <c r="I49" s="79">
        <v>82886</v>
      </c>
      <c r="J49" s="98">
        <f t="shared" si="5"/>
        <v>314057</v>
      </c>
    </row>
    <row r="50" spans="1:15">
      <c r="A50" s="102">
        <f>1+MAX($A$10:A49)</f>
        <v>41</v>
      </c>
      <c r="B50" s="917">
        <f t="shared" si="3"/>
        <v>44740</v>
      </c>
      <c r="C50" s="914">
        <v>228972</v>
      </c>
      <c r="D50" s="914">
        <v>81485</v>
      </c>
      <c r="E50" s="51">
        <f t="shared" si="4"/>
        <v>310457</v>
      </c>
      <c r="G50" s="85">
        <v>45105</v>
      </c>
      <c r="H50" s="79">
        <v>231112</v>
      </c>
      <c r="I50" s="79">
        <v>82747</v>
      </c>
      <c r="J50" s="98">
        <f t="shared" si="5"/>
        <v>313859</v>
      </c>
    </row>
    <row r="51" spans="1:15">
      <c r="A51" s="102">
        <f>1+MAX($A$10:A50)</f>
        <v>42</v>
      </c>
      <c r="B51" s="917">
        <f t="shared" si="3"/>
        <v>44770</v>
      </c>
      <c r="C51" s="914">
        <v>228895</v>
      </c>
      <c r="D51" s="914">
        <v>81407</v>
      </c>
      <c r="E51" s="51">
        <f t="shared" si="4"/>
        <v>310302</v>
      </c>
      <c r="G51" s="85">
        <v>45135</v>
      </c>
      <c r="H51" s="79">
        <v>230953</v>
      </c>
      <c r="I51" s="79">
        <v>82698</v>
      </c>
      <c r="J51" s="98">
        <f t="shared" si="5"/>
        <v>313651</v>
      </c>
    </row>
    <row r="52" spans="1:15">
      <c r="A52" s="102">
        <f>1+MAX($A$10:A51)</f>
        <v>43</v>
      </c>
      <c r="B52" s="917">
        <f t="shared" si="3"/>
        <v>44801</v>
      </c>
      <c r="C52" s="914">
        <v>228951</v>
      </c>
      <c r="D52" s="914">
        <v>81452</v>
      </c>
      <c r="E52" s="51">
        <f t="shared" si="4"/>
        <v>310403</v>
      </c>
      <c r="G52" s="85">
        <v>45166</v>
      </c>
      <c r="H52" s="79">
        <v>230726</v>
      </c>
      <c r="I52" s="79">
        <v>82756</v>
      </c>
      <c r="J52" s="98">
        <f t="shared" si="5"/>
        <v>313482</v>
      </c>
    </row>
    <row r="53" spans="1:15">
      <c r="A53" s="102">
        <f>1+MAX($A$10:A52)</f>
        <v>44</v>
      </c>
      <c r="B53" s="917">
        <f t="shared" si="3"/>
        <v>44832</v>
      </c>
      <c r="C53" s="914">
        <v>229151</v>
      </c>
      <c r="D53" s="914">
        <v>81675</v>
      </c>
      <c r="E53" s="51">
        <f t="shared" si="4"/>
        <v>310826</v>
      </c>
      <c r="G53" s="85">
        <v>45197</v>
      </c>
      <c r="H53" s="79">
        <v>230942</v>
      </c>
      <c r="I53" s="79">
        <v>82918</v>
      </c>
      <c r="J53" s="98">
        <f t="shared" si="5"/>
        <v>313860</v>
      </c>
    </row>
    <row r="54" spans="1:15">
      <c r="A54" s="102">
        <f>1+MAX($A$10:A53)</f>
        <v>45</v>
      </c>
      <c r="B54" s="917">
        <f t="shared" si="3"/>
        <v>44862</v>
      </c>
      <c r="C54" s="914">
        <v>229886</v>
      </c>
      <c r="D54" s="914">
        <v>82099</v>
      </c>
      <c r="E54" s="51">
        <f t="shared" si="4"/>
        <v>311985</v>
      </c>
      <c r="G54" s="85">
        <v>45227</v>
      </c>
      <c r="H54" s="79">
        <v>231948</v>
      </c>
      <c r="I54" s="79">
        <v>83367</v>
      </c>
      <c r="J54" s="98">
        <f t="shared" si="5"/>
        <v>315315</v>
      </c>
    </row>
    <row r="55" spans="1:15">
      <c r="A55" s="102">
        <f>1+MAX($A$10:A54)</f>
        <v>46</v>
      </c>
      <c r="B55" s="917">
        <f t="shared" si="3"/>
        <v>44893</v>
      </c>
      <c r="C55" s="914">
        <v>230760</v>
      </c>
      <c r="D55" s="914">
        <v>82530</v>
      </c>
      <c r="E55" s="51">
        <f t="shared" si="4"/>
        <v>313290</v>
      </c>
      <c r="G55" s="85">
        <v>45258</v>
      </c>
      <c r="H55" s="79">
        <v>232637</v>
      </c>
      <c r="I55" s="79">
        <v>83721</v>
      </c>
      <c r="J55" s="98">
        <f t="shared" si="5"/>
        <v>316358</v>
      </c>
    </row>
    <row r="56" spans="1:15">
      <c r="A56" s="102">
        <f>1+MAX($A$10:A55)</f>
        <v>47</v>
      </c>
      <c r="B56" s="917">
        <f t="shared" si="3"/>
        <v>44923</v>
      </c>
      <c r="C56" s="918">
        <v>231209</v>
      </c>
      <c r="D56" s="918">
        <v>82705</v>
      </c>
      <c r="E56" s="929">
        <f t="shared" si="4"/>
        <v>313914</v>
      </c>
      <c r="G56" s="85">
        <v>45288</v>
      </c>
      <c r="H56" s="94">
        <v>232973</v>
      </c>
      <c r="I56" s="94">
        <v>83956</v>
      </c>
      <c r="J56" s="100">
        <f t="shared" si="5"/>
        <v>316929</v>
      </c>
    </row>
    <row r="57" spans="1:15">
      <c r="A57" s="102">
        <f>1+MAX($A$10:A56)</f>
        <v>48</v>
      </c>
      <c r="B57" s="921" t="s">
        <v>655</v>
      </c>
      <c r="C57" s="981">
        <f>AVERAGE(C45:C56)</f>
        <v>229418.33333333334</v>
      </c>
      <c r="D57" s="981">
        <f>AVERAGE(D45:D56)</f>
        <v>81670.833333333328</v>
      </c>
      <c r="E57" s="51">
        <f t="shared" si="4"/>
        <v>311089.16666666669</v>
      </c>
      <c r="G57" s="89" t="s">
        <v>655</v>
      </c>
      <c r="H57" s="983">
        <f>AVERAGE(H45:H56)</f>
        <v>231538.5</v>
      </c>
      <c r="I57" s="983">
        <f>AVERAGE(I45:I56)</f>
        <v>83068.916666666672</v>
      </c>
      <c r="J57" s="98">
        <f t="shared" si="5"/>
        <v>314607.41666666669</v>
      </c>
    </row>
    <row r="58" spans="1:15">
      <c r="A58" s="102">
        <f>1+MAX($A$10:A57)</f>
        <v>49</v>
      </c>
      <c r="B58" s="928" t="s">
        <v>654</v>
      </c>
      <c r="C58" s="923">
        <f>ROUND(C57/SUM($C$57:$D$57),4)</f>
        <v>0.73750000000000004</v>
      </c>
      <c r="D58" s="923">
        <f>ROUND(D57/SUM($C$57:$D$57),4)</f>
        <v>0.26250000000000001</v>
      </c>
      <c r="E58" s="923">
        <v>1</v>
      </c>
      <c r="G58" s="503" t="s">
        <v>654</v>
      </c>
      <c r="H58" s="502">
        <f>ROUND(H57/SUM($H$57:$I$57),4)</f>
        <v>0.73599999999999999</v>
      </c>
      <c r="I58" s="502">
        <f>ROUND(I57/SUM($H$57:$I$57),4)</f>
        <v>0.26400000000000001</v>
      </c>
      <c r="J58" s="502">
        <v>1</v>
      </c>
    </row>
    <row r="59" spans="1:15">
      <c r="A59" s="102">
        <f>1+MAX($A$10:A58)</f>
        <v>50</v>
      </c>
      <c r="B59" s="914"/>
      <c r="C59" s="914"/>
      <c r="D59" s="914"/>
      <c r="E59" s="914"/>
    </row>
    <row r="60" spans="1:15">
      <c r="A60" s="102">
        <f>1+MAX($A$10:A59)</f>
        <v>51</v>
      </c>
      <c r="B60" s="912" t="s">
        <v>568</v>
      </c>
      <c r="C60" s="930"/>
      <c r="D60" s="927"/>
      <c r="E60" s="914"/>
      <c r="G60" s="96" t="s">
        <v>568</v>
      </c>
      <c r="H60" s="86"/>
      <c r="I60" s="81"/>
    </row>
    <row r="61" spans="1:15">
      <c r="A61" s="102">
        <f>1+MAX($A$10:A60)</f>
        <v>52</v>
      </c>
      <c r="B61" s="914"/>
      <c r="C61" s="915" t="s">
        <v>639</v>
      </c>
      <c r="D61" s="915" t="s">
        <v>640</v>
      </c>
      <c r="E61" s="914" t="s">
        <v>200</v>
      </c>
      <c r="H61" s="82" t="s">
        <v>639</v>
      </c>
      <c r="I61" s="82" t="s">
        <v>640</v>
      </c>
      <c r="J61" s="79" t="s">
        <v>200</v>
      </c>
    </row>
    <row r="62" spans="1:15">
      <c r="A62" s="102">
        <f>1+MAX($A$10:A61)</f>
        <v>53</v>
      </c>
      <c r="B62" s="915" t="s">
        <v>656</v>
      </c>
      <c r="C62" s="981">
        <v>530175011.89916658</v>
      </c>
      <c r="D62" s="981">
        <v>139401297.78461483</v>
      </c>
      <c r="E62" s="920">
        <f>SUM(C62:D62)</f>
        <v>669576309.68378139</v>
      </c>
      <c r="G62" s="82" t="s">
        <v>657</v>
      </c>
      <c r="H62" s="983">
        <v>583520559.54999995</v>
      </c>
      <c r="I62" s="983">
        <v>152922513.18000001</v>
      </c>
      <c r="J62" s="88">
        <f>SUM(H62:I62)</f>
        <v>736443072.73000002</v>
      </c>
    </row>
    <row r="63" spans="1:15">
      <c r="A63" s="102">
        <f>1+MAX($A$10:A62)</f>
        <v>54</v>
      </c>
      <c r="B63" s="928" t="s">
        <v>654</v>
      </c>
      <c r="C63" s="931">
        <f>ROUND(C62/SUM($C$62:$D$62),4)</f>
        <v>0.79179999999999995</v>
      </c>
      <c r="D63" s="931">
        <f>ROUND(D62/SUM($C$62:$D$62),4)</f>
        <v>0.2082</v>
      </c>
      <c r="E63" s="931">
        <f>SUM(C63:D63)</f>
        <v>1</v>
      </c>
      <c r="G63" s="503" t="s">
        <v>654</v>
      </c>
      <c r="H63" s="504">
        <f>ROUND(H62/SUM($H$62:$I$62),4)</f>
        <v>0.7923</v>
      </c>
      <c r="I63" s="504">
        <f>ROUND(I62/SUM($H$62:$I$62),4)</f>
        <v>0.2077</v>
      </c>
      <c r="J63" s="504">
        <f>SUM(H63:I63)</f>
        <v>1</v>
      </c>
    </row>
    <row r="64" spans="1:15">
      <c r="L64" s="914"/>
      <c r="M64" s="914"/>
      <c r="N64" s="914"/>
      <c r="O64" s="914"/>
    </row>
  </sheetData>
  <mergeCells count="7">
    <mergeCell ref="A5:J5"/>
    <mergeCell ref="A4:J4"/>
    <mergeCell ref="B7:E7"/>
    <mergeCell ref="G7:J7"/>
    <mergeCell ref="A1:J1"/>
    <mergeCell ref="A2:J2"/>
    <mergeCell ref="A3:J3"/>
  </mergeCells>
  <phoneticPr fontId="122" type="noConversion"/>
  <printOptions horizontalCentered="1"/>
  <pageMargins left="0.31" right="0.3" top="1" bottom="1" header="0.5" footer="0.5"/>
  <pageSetup scale="67" fitToHeight="0" orientation="portrait" r:id="rId1"/>
  <headerFooter scaleWithDoc="0" alignWithMargins="0">
    <oddHeader>&amp;RDocket UG-240008
Exh. JAD-8
Page &amp;P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826C-87B0-47BF-9AFA-27FE57931F2A}">
  <sheetPr codeName="Sheet60"/>
  <dimension ref="A1:M18"/>
  <sheetViews>
    <sheetView workbookViewId="0"/>
  </sheetViews>
  <sheetFormatPr defaultColWidth="8.85546875" defaultRowHeight="15"/>
  <cols>
    <col min="1" max="16384" width="8.85546875" style="53"/>
  </cols>
  <sheetData>
    <row r="1" spans="1:13">
      <c r="A1" s="12" t="str">
        <f ca="1">MID(CELL("filename",A1),FIND("]",CELL("filename",A1))+1,255)</f>
        <v>RR WPs ---&gt;</v>
      </c>
    </row>
    <row r="2" spans="1:13">
      <c r="B2" s="1414" t="s">
        <v>658</v>
      </c>
      <c r="C2" s="1414"/>
      <c r="D2" s="1414"/>
      <c r="E2" s="1414"/>
      <c r="F2" s="1414"/>
      <c r="G2" s="1414"/>
      <c r="H2" s="1414"/>
      <c r="I2" s="1414"/>
      <c r="J2" s="1414"/>
      <c r="K2" s="1414"/>
      <c r="L2" s="1414"/>
      <c r="M2" s="1414"/>
    </row>
    <row r="3" spans="1:13">
      <c r="B3" s="1414"/>
      <c r="C3" s="1414"/>
      <c r="D3" s="1414"/>
      <c r="E3" s="1414"/>
      <c r="F3" s="1414"/>
      <c r="G3" s="1414"/>
      <c r="H3" s="1414"/>
      <c r="I3" s="1414"/>
      <c r="J3" s="1414"/>
      <c r="K3" s="1414"/>
      <c r="L3" s="1414"/>
      <c r="M3" s="1414"/>
    </row>
    <row r="4" spans="1:13">
      <c r="B4" s="1414"/>
      <c r="C4" s="1414"/>
      <c r="D4" s="1414"/>
      <c r="E4" s="1414"/>
      <c r="F4" s="1414"/>
      <c r="G4" s="1414"/>
      <c r="H4" s="1414"/>
      <c r="I4" s="1414"/>
      <c r="J4" s="1414"/>
      <c r="K4" s="1414"/>
      <c r="L4" s="1414"/>
      <c r="M4" s="1414"/>
    </row>
    <row r="5" spans="1:13">
      <c r="B5" s="1414"/>
      <c r="C5" s="1414"/>
      <c r="D5" s="1414"/>
      <c r="E5" s="1414"/>
      <c r="F5" s="1414"/>
      <c r="G5" s="1414"/>
      <c r="H5" s="1414"/>
      <c r="I5" s="1414"/>
      <c r="J5" s="1414"/>
      <c r="K5" s="1414"/>
      <c r="L5" s="1414"/>
      <c r="M5" s="1414"/>
    </row>
    <row r="6" spans="1:13">
      <c r="B6" s="1414"/>
      <c r="C6" s="1414"/>
      <c r="D6" s="1414"/>
      <c r="E6" s="1414"/>
      <c r="F6" s="1414"/>
      <c r="G6" s="1414"/>
      <c r="H6" s="1414"/>
      <c r="I6" s="1414"/>
      <c r="J6" s="1414"/>
      <c r="K6" s="1414"/>
      <c r="L6" s="1414"/>
      <c r="M6" s="1414"/>
    </row>
    <row r="7" spans="1:13">
      <c r="B7" s="1414"/>
      <c r="C7" s="1414"/>
      <c r="D7" s="1414"/>
      <c r="E7" s="1414"/>
      <c r="F7" s="1414"/>
      <c r="G7" s="1414"/>
      <c r="H7" s="1414"/>
      <c r="I7" s="1414"/>
      <c r="J7" s="1414"/>
      <c r="K7" s="1414"/>
      <c r="L7" s="1414"/>
      <c r="M7" s="1414"/>
    </row>
    <row r="8" spans="1:13">
      <c r="B8" s="1414"/>
      <c r="C8" s="1414"/>
      <c r="D8" s="1414"/>
      <c r="E8" s="1414"/>
      <c r="F8" s="1414"/>
      <c r="G8" s="1414"/>
      <c r="H8" s="1414"/>
      <c r="I8" s="1414"/>
      <c r="J8" s="1414"/>
      <c r="K8" s="1414"/>
      <c r="L8" s="1414"/>
      <c r="M8" s="1414"/>
    </row>
    <row r="9" spans="1:13">
      <c r="B9" s="1414"/>
      <c r="C9" s="1414"/>
      <c r="D9" s="1414"/>
      <c r="E9" s="1414"/>
      <c r="F9" s="1414"/>
      <c r="G9" s="1414"/>
      <c r="H9" s="1414"/>
      <c r="I9" s="1414"/>
      <c r="J9" s="1414"/>
      <c r="K9" s="1414"/>
      <c r="L9" s="1414"/>
      <c r="M9" s="1414"/>
    </row>
    <row r="10" spans="1:13">
      <c r="B10" s="1414"/>
      <c r="C10" s="1414"/>
      <c r="D10" s="1414"/>
      <c r="E10" s="1414"/>
      <c r="F10" s="1414"/>
      <c r="G10" s="1414"/>
      <c r="H10" s="1414"/>
      <c r="I10" s="1414"/>
      <c r="J10" s="1414"/>
      <c r="K10" s="1414"/>
      <c r="L10" s="1414"/>
      <c r="M10" s="1414"/>
    </row>
    <row r="11" spans="1:13">
      <c r="B11" s="1414"/>
      <c r="C11" s="1414"/>
      <c r="D11" s="1414"/>
      <c r="E11" s="1414"/>
      <c r="F11" s="1414"/>
      <c r="G11" s="1414"/>
      <c r="H11" s="1414"/>
      <c r="I11" s="1414"/>
      <c r="J11" s="1414"/>
      <c r="K11" s="1414"/>
      <c r="L11" s="1414"/>
      <c r="M11" s="1414"/>
    </row>
    <row r="12" spans="1:13">
      <c r="B12" s="1414"/>
      <c r="C12" s="1414"/>
      <c r="D12" s="1414"/>
      <c r="E12" s="1414"/>
      <c r="F12" s="1414"/>
      <c r="G12" s="1414"/>
      <c r="H12" s="1414"/>
      <c r="I12" s="1414"/>
      <c r="J12" s="1414"/>
      <c r="K12" s="1414"/>
      <c r="L12" s="1414"/>
      <c r="M12" s="1414"/>
    </row>
    <row r="13" spans="1:13">
      <c r="B13" s="1414"/>
      <c r="C13" s="1414"/>
      <c r="D13" s="1414"/>
      <c r="E13" s="1414"/>
      <c r="F13" s="1414"/>
      <c r="G13" s="1414"/>
      <c r="H13" s="1414"/>
      <c r="I13" s="1414"/>
      <c r="J13" s="1414"/>
      <c r="K13" s="1414"/>
      <c r="L13" s="1414"/>
      <c r="M13" s="1414"/>
    </row>
    <row r="14" spans="1:13">
      <c r="B14" s="1414"/>
      <c r="C14" s="1414"/>
      <c r="D14" s="1414"/>
      <c r="E14" s="1414"/>
      <c r="F14" s="1414"/>
      <c r="G14" s="1414"/>
      <c r="H14" s="1414"/>
      <c r="I14" s="1414"/>
      <c r="J14" s="1414"/>
      <c r="K14" s="1414"/>
      <c r="L14" s="1414"/>
      <c r="M14" s="1414"/>
    </row>
    <row r="15" spans="1:13">
      <c r="B15" s="1414"/>
      <c r="C15" s="1414"/>
      <c r="D15" s="1414"/>
      <c r="E15" s="1414"/>
      <c r="F15" s="1414"/>
      <c r="G15" s="1414"/>
      <c r="H15" s="1414"/>
      <c r="I15" s="1414"/>
      <c r="J15" s="1414"/>
      <c r="K15" s="1414"/>
      <c r="L15" s="1414"/>
      <c r="M15" s="1414"/>
    </row>
    <row r="16" spans="1:13">
      <c r="B16" s="1414"/>
      <c r="C16" s="1414"/>
      <c r="D16" s="1414"/>
      <c r="E16" s="1414"/>
      <c r="F16" s="1414"/>
      <c r="G16" s="1414"/>
      <c r="H16" s="1414"/>
      <c r="I16" s="1414"/>
      <c r="J16" s="1414"/>
      <c r="K16" s="1414"/>
      <c r="L16" s="1414"/>
      <c r="M16" s="1414"/>
    </row>
    <row r="17" spans="2:13">
      <c r="B17" s="1414"/>
      <c r="C17" s="1414"/>
      <c r="D17" s="1414"/>
      <c r="E17" s="1414"/>
      <c r="F17" s="1414"/>
      <c r="G17" s="1414"/>
      <c r="H17" s="1414"/>
      <c r="I17" s="1414"/>
      <c r="J17" s="1414"/>
      <c r="K17" s="1414"/>
      <c r="L17" s="1414"/>
      <c r="M17" s="1414"/>
    </row>
    <row r="18" spans="2:13">
      <c r="B18" s="1414"/>
      <c r="C18" s="1414"/>
      <c r="D18" s="1414"/>
      <c r="E18" s="1414"/>
      <c r="F18" s="1414"/>
      <c r="G18" s="1414"/>
      <c r="H18" s="1414"/>
      <c r="I18" s="1414"/>
      <c r="J18" s="1414"/>
      <c r="K18" s="1414"/>
      <c r="L18" s="1414"/>
      <c r="M18" s="1414"/>
    </row>
  </sheetData>
  <mergeCells count="1">
    <mergeCell ref="B2:M18"/>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9FFC0-0EE9-4684-823A-27738936012D}">
  <sheetPr codeName="Sheet32">
    <pageSetUpPr fitToPage="1"/>
  </sheetPr>
  <dimension ref="A2:J50"/>
  <sheetViews>
    <sheetView topLeftCell="A31" workbookViewId="0">
      <selection activeCell="B52" sqref="B52"/>
    </sheetView>
  </sheetViews>
  <sheetFormatPr defaultColWidth="9.140625" defaultRowHeight="15.75"/>
  <cols>
    <col min="1" max="1" width="9.42578125" style="363" bestFit="1" customWidth="1"/>
    <col min="2" max="2" width="68" style="363" bestFit="1" customWidth="1"/>
    <col min="3" max="3" width="3.42578125" style="363" customWidth="1"/>
    <col min="4" max="4" width="14.5703125" style="363" bestFit="1" customWidth="1"/>
    <col min="5" max="5" width="4" style="363" customWidth="1"/>
    <col min="6" max="6" width="13.7109375" style="364" bestFit="1" customWidth="1"/>
    <col min="7" max="7" width="9.140625" style="363"/>
    <col min="8" max="8" width="8.140625" style="363" bestFit="1" customWidth="1"/>
    <col min="9" max="16384" width="9.140625" style="363"/>
  </cols>
  <sheetData>
    <row r="2" spans="1:10">
      <c r="A2" s="1449" t="str">
        <f>Company</f>
        <v>Cascade Natural Gas Corp.</v>
      </c>
      <c r="B2" s="1449"/>
      <c r="C2" s="1449"/>
      <c r="D2" s="1449"/>
      <c r="E2" s="1449"/>
      <c r="F2" s="1449"/>
      <c r="G2" s="365"/>
      <c r="H2" s="365"/>
    </row>
    <row r="3" spans="1:10">
      <c r="A3" s="1449" t="str">
        <f>Title1</f>
        <v>Washington Jurisdiction</v>
      </c>
      <c r="B3" s="1449"/>
      <c r="C3" s="1449"/>
      <c r="D3" s="1449"/>
      <c r="E3" s="1449"/>
      <c r="F3" s="1449"/>
      <c r="G3" s="365"/>
      <c r="H3" s="365"/>
    </row>
    <row r="4" spans="1:10">
      <c r="A4" s="1449" t="str">
        <f>Title2</f>
        <v>Twelve-Months ended December 31, 2023</v>
      </c>
      <c r="B4" s="1449"/>
      <c r="C4" s="1449"/>
      <c r="D4" s="1449"/>
      <c r="E4" s="1449"/>
      <c r="F4" s="1449"/>
      <c r="G4" s="365"/>
      <c r="H4" s="365"/>
    </row>
    <row r="5" spans="1:10">
      <c r="A5" s="1449" t="str">
        <f>Title8</f>
        <v>UG-240008</v>
      </c>
      <c r="B5" s="1449"/>
      <c r="C5" s="1449"/>
      <c r="D5" s="1449"/>
      <c r="E5" s="1449"/>
      <c r="F5" s="1449"/>
      <c r="G5" s="365"/>
      <c r="H5" s="365"/>
    </row>
    <row r="6" spans="1:10">
      <c r="A6" s="1419" t="s">
        <v>205</v>
      </c>
      <c r="B6" s="1419"/>
      <c r="C6" s="1419"/>
      <c r="D6" s="1419"/>
      <c r="E6" s="1419"/>
      <c r="F6" s="1419"/>
      <c r="G6" s="365"/>
      <c r="H6" s="365"/>
    </row>
    <row r="7" spans="1:10">
      <c r="A7" s="1449" t="s">
        <v>206</v>
      </c>
      <c r="B7" s="1449"/>
      <c r="C7" s="1449"/>
      <c r="D7" s="1449"/>
      <c r="E7" s="1449"/>
      <c r="F7" s="1449"/>
      <c r="G7" s="365"/>
      <c r="H7" s="365"/>
    </row>
    <row r="8" spans="1:10">
      <c r="B8" s="366" t="s">
        <v>207</v>
      </c>
      <c r="C8" s="366"/>
      <c r="D8" s="366" t="s">
        <v>208</v>
      </c>
      <c r="E8" s="366"/>
      <c r="F8" s="364" t="s">
        <v>209</v>
      </c>
    </row>
    <row r="9" spans="1:10">
      <c r="B9" s="367"/>
      <c r="C9" s="367"/>
      <c r="D9" s="367"/>
      <c r="E9" s="367"/>
      <c r="F9" s="368"/>
    </row>
    <row r="10" spans="1:10">
      <c r="A10" s="369" t="s">
        <v>210</v>
      </c>
      <c r="B10" s="370" t="s">
        <v>211</v>
      </c>
      <c r="D10" s="370" t="s">
        <v>212</v>
      </c>
      <c r="E10" s="370"/>
      <c r="F10" s="371" t="s">
        <v>213</v>
      </c>
      <c r="G10" s="370"/>
    </row>
    <row r="11" spans="1:10">
      <c r="A11" s="369"/>
      <c r="B11" s="366" t="s">
        <v>214</v>
      </c>
      <c r="D11" s="370"/>
      <c r="E11" s="370"/>
      <c r="F11" s="371"/>
      <c r="G11" s="370"/>
    </row>
    <row r="12" spans="1:10">
      <c r="A12" s="366">
        <v>1</v>
      </c>
      <c r="B12" s="363" t="s">
        <v>206</v>
      </c>
      <c r="D12" s="363" t="s">
        <v>205</v>
      </c>
      <c r="F12" s="364">
        <v>1</v>
      </c>
    </row>
    <row r="13" spans="1:10">
      <c r="A13" s="366">
        <f>A12+1</f>
        <v>2</v>
      </c>
      <c r="B13" s="363" t="s">
        <v>659</v>
      </c>
      <c r="D13" s="363" t="s">
        <v>216</v>
      </c>
      <c r="F13" s="372" t="s">
        <v>660</v>
      </c>
    </row>
    <row r="14" spans="1:10">
      <c r="A14" s="366">
        <f t="shared" ref="A14:A44" si="0">A13+1</f>
        <v>3</v>
      </c>
      <c r="B14" s="363" t="s">
        <v>568</v>
      </c>
      <c r="D14" s="363" t="s">
        <v>219</v>
      </c>
      <c r="F14" s="364">
        <v>8</v>
      </c>
    </row>
    <row r="15" spans="1:10">
      <c r="A15" s="366">
        <f t="shared" si="0"/>
        <v>4</v>
      </c>
      <c r="B15" s="363" t="s">
        <v>661</v>
      </c>
      <c r="D15" s="363" t="s">
        <v>222</v>
      </c>
      <c r="F15" s="364">
        <v>9</v>
      </c>
      <c r="G15" s="373"/>
      <c r="H15" s="374"/>
      <c r="J15" s="377"/>
    </row>
    <row r="16" spans="1:10">
      <c r="A16" s="366">
        <f t="shared" si="0"/>
        <v>5</v>
      </c>
      <c r="B16" s="363" t="s">
        <v>662</v>
      </c>
      <c r="C16" s="375"/>
      <c r="D16" s="363" t="s">
        <v>224</v>
      </c>
      <c r="E16" s="375"/>
      <c r="F16" s="364">
        <v>10</v>
      </c>
      <c r="G16" s="376"/>
      <c r="H16" s="375"/>
      <c r="I16" s="375"/>
    </row>
    <row r="17" spans="1:10">
      <c r="A17" s="366">
        <f t="shared" si="0"/>
        <v>6</v>
      </c>
      <c r="B17" s="363" t="s">
        <v>663</v>
      </c>
      <c r="D17" s="363" t="s">
        <v>226</v>
      </c>
      <c r="F17" s="364">
        <v>11</v>
      </c>
    </row>
    <row r="18" spans="1:10">
      <c r="A18" s="366">
        <f t="shared" si="0"/>
        <v>7</v>
      </c>
      <c r="B18" s="363" t="s">
        <v>664</v>
      </c>
      <c r="D18" s="363" t="s">
        <v>228</v>
      </c>
      <c r="F18" s="364">
        <v>12</v>
      </c>
      <c r="J18" s="375"/>
    </row>
    <row r="19" spans="1:10">
      <c r="A19" s="366">
        <v>8</v>
      </c>
      <c r="B19" s="363" t="s">
        <v>665</v>
      </c>
      <c r="D19" s="363" t="s">
        <v>230</v>
      </c>
      <c r="F19" s="364">
        <v>13</v>
      </c>
      <c r="H19" s="374"/>
    </row>
    <row r="20" spans="1:10">
      <c r="A20" s="366">
        <f t="shared" si="0"/>
        <v>9</v>
      </c>
      <c r="B20" s="363" t="s">
        <v>666</v>
      </c>
      <c r="D20" s="363" t="s">
        <v>232</v>
      </c>
      <c r="F20" s="364">
        <v>14</v>
      </c>
    </row>
    <row r="21" spans="1:10">
      <c r="A21" s="366">
        <f t="shared" si="0"/>
        <v>10</v>
      </c>
      <c r="B21" s="363" t="s">
        <v>667</v>
      </c>
      <c r="D21" s="363" t="s">
        <v>235</v>
      </c>
      <c r="F21" s="364" t="s">
        <v>668</v>
      </c>
    </row>
    <row r="22" spans="1:10">
      <c r="A22" s="366">
        <f t="shared" si="0"/>
        <v>11</v>
      </c>
      <c r="B22" s="363" t="s">
        <v>669</v>
      </c>
      <c r="D22" s="363" t="s">
        <v>237</v>
      </c>
      <c r="F22" s="364" t="s">
        <v>233</v>
      </c>
    </row>
    <row r="23" spans="1:10">
      <c r="A23" s="366">
        <f t="shared" si="0"/>
        <v>12</v>
      </c>
      <c r="B23" s="363" t="s">
        <v>670</v>
      </c>
      <c r="D23" s="363" t="s">
        <v>238</v>
      </c>
      <c r="F23" s="364" t="s">
        <v>671</v>
      </c>
    </row>
    <row r="24" spans="1:10">
      <c r="A24" s="366">
        <f t="shared" si="0"/>
        <v>13</v>
      </c>
      <c r="B24" s="375" t="s">
        <v>672</v>
      </c>
      <c r="D24" s="363" t="s">
        <v>673</v>
      </c>
      <c r="F24" s="364">
        <v>22</v>
      </c>
    </row>
    <row r="25" spans="1:10">
      <c r="A25" s="366">
        <f t="shared" si="0"/>
        <v>14</v>
      </c>
      <c r="B25" s="363" t="s">
        <v>674</v>
      </c>
      <c r="D25" s="363" t="s">
        <v>675</v>
      </c>
      <c r="F25" s="364">
        <v>23</v>
      </c>
    </row>
    <row r="26" spans="1:10">
      <c r="A26" s="366">
        <f t="shared" si="0"/>
        <v>15</v>
      </c>
      <c r="B26" s="363" t="s">
        <v>676</v>
      </c>
      <c r="D26" s="363" t="s">
        <v>677</v>
      </c>
      <c r="F26" s="364">
        <v>24</v>
      </c>
    </row>
    <row r="27" spans="1:10">
      <c r="A27" s="366">
        <f t="shared" si="0"/>
        <v>16</v>
      </c>
      <c r="B27" s="363" t="s">
        <v>678</v>
      </c>
      <c r="D27" s="363" t="s">
        <v>679</v>
      </c>
      <c r="F27" s="364">
        <v>25</v>
      </c>
    </row>
    <row r="28" spans="1:10">
      <c r="A28" s="366">
        <f t="shared" si="0"/>
        <v>17</v>
      </c>
      <c r="B28" s="363" t="s">
        <v>680</v>
      </c>
      <c r="D28" s="363" t="s">
        <v>681</v>
      </c>
      <c r="F28" s="364">
        <v>26</v>
      </c>
    </row>
    <row r="29" spans="1:10">
      <c r="A29" s="366">
        <f t="shared" si="0"/>
        <v>18</v>
      </c>
      <c r="B29" s="363" t="s">
        <v>682</v>
      </c>
      <c r="D29" s="363" t="s">
        <v>683</v>
      </c>
      <c r="F29" s="366">
        <v>27</v>
      </c>
    </row>
    <row r="30" spans="1:10">
      <c r="A30" s="366">
        <f t="shared" si="0"/>
        <v>19</v>
      </c>
      <c r="B30" s="363" t="s">
        <v>684</v>
      </c>
      <c r="D30" s="363" t="s">
        <v>685</v>
      </c>
      <c r="F30" s="364">
        <v>28</v>
      </c>
    </row>
    <row r="31" spans="1:10">
      <c r="A31" s="366">
        <f t="shared" si="0"/>
        <v>20</v>
      </c>
      <c r="B31" s="363" t="s">
        <v>686</v>
      </c>
      <c r="D31" s="363" t="s">
        <v>687</v>
      </c>
      <c r="F31" s="364">
        <v>29</v>
      </c>
    </row>
    <row r="32" spans="1:10">
      <c r="A32" s="366">
        <f t="shared" si="0"/>
        <v>21</v>
      </c>
      <c r="B32" s="363" t="s">
        <v>688</v>
      </c>
      <c r="D32" s="363" t="s">
        <v>689</v>
      </c>
      <c r="F32" s="364">
        <v>30</v>
      </c>
    </row>
    <row r="33" spans="1:6">
      <c r="A33" s="366">
        <f t="shared" si="0"/>
        <v>22</v>
      </c>
      <c r="B33" s="363" t="s">
        <v>690</v>
      </c>
      <c r="D33" s="363" t="s">
        <v>691</v>
      </c>
      <c r="F33" s="364">
        <v>31</v>
      </c>
    </row>
    <row r="34" spans="1:6">
      <c r="A34" s="366">
        <f t="shared" si="0"/>
        <v>23</v>
      </c>
      <c r="B34" s="363" t="s">
        <v>692</v>
      </c>
      <c r="D34" s="363" t="s">
        <v>693</v>
      </c>
      <c r="F34" s="364">
        <v>32</v>
      </c>
    </row>
    <row r="35" spans="1:6">
      <c r="A35" s="366">
        <f t="shared" si="0"/>
        <v>24</v>
      </c>
      <c r="B35" s="363" t="s">
        <v>694</v>
      </c>
      <c r="D35" s="363" t="s">
        <v>695</v>
      </c>
      <c r="F35" s="364" t="s">
        <v>696</v>
      </c>
    </row>
    <row r="36" spans="1:6">
      <c r="A36" s="366">
        <f t="shared" si="0"/>
        <v>25</v>
      </c>
      <c r="B36" s="363" t="s">
        <v>697</v>
      </c>
      <c r="D36" s="363" t="s">
        <v>698</v>
      </c>
      <c r="F36" s="364">
        <v>35</v>
      </c>
    </row>
    <row r="37" spans="1:6">
      <c r="A37" s="366">
        <f t="shared" si="0"/>
        <v>26</v>
      </c>
      <c r="B37" s="363" t="s">
        <v>699</v>
      </c>
      <c r="D37" s="363" t="s">
        <v>700</v>
      </c>
      <c r="F37" s="364">
        <v>36</v>
      </c>
    </row>
    <row r="38" spans="1:6">
      <c r="A38" s="366">
        <f t="shared" si="0"/>
        <v>27</v>
      </c>
      <c r="B38" s="363" t="s">
        <v>701</v>
      </c>
      <c r="D38" s="363" t="s">
        <v>702</v>
      </c>
      <c r="F38" s="364" t="s">
        <v>703</v>
      </c>
    </row>
    <row r="39" spans="1:6">
      <c r="A39" s="366">
        <f t="shared" si="0"/>
        <v>28</v>
      </c>
      <c r="B39" s="363" t="s">
        <v>704</v>
      </c>
      <c r="D39" s="363" t="s">
        <v>705</v>
      </c>
      <c r="F39" s="364" t="s">
        <v>706</v>
      </c>
    </row>
    <row r="40" spans="1:6">
      <c r="A40" s="366">
        <f t="shared" si="0"/>
        <v>29</v>
      </c>
      <c r="B40" s="950" t="s">
        <v>707</v>
      </c>
      <c r="D40" s="363" t="s">
        <v>708</v>
      </c>
      <c r="F40" s="364" t="s">
        <v>709</v>
      </c>
    </row>
    <row r="41" spans="1:6">
      <c r="A41" s="366">
        <f t="shared" si="0"/>
        <v>30</v>
      </c>
      <c r="B41" s="363" t="s">
        <v>710</v>
      </c>
      <c r="D41" s="363" t="s">
        <v>711</v>
      </c>
      <c r="F41" s="364" t="s">
        <v>712</v>
      </c>
    </row>
    <row r="42" spans="1:6">
      <c r="A42" s="366">
        <f t="shared" si="0"/>
        <v>31</v>
      </c>
      <c r="B42" s="363" t="s">
        <v>713</v>
      </c>
      <c r="D42" s="363" t="s">
        <v>714</v>
      </c>
      <c r="F42" s="364" t="s">
        <v>715</v>
      </c>
    </row>
    <row r="43" spans="1:6">
      <c r="A43" s="366">
        <f t="shared" si="0"/>
        <v>32</v>
      </c>
      <c r="B43" s="363" t="s">
        <v>716</v>
      </c>
      <c r="D43" s="363" t="s">
        <v>717</v>
      </c>
      <c r="F43" s="364">
        <v>61</v>
      </c>
    </row>
    <row r="44" spans="1:6">
      <c r="A44" s="366">
        <f t="shared" si="0"/>
        <v>33</v>
      </c>
      <c r="B44" s="363" t="s">
        <v>718</v>
      </c>
      <c r="D44" s="363" t="s">
        <v>719</v>
      </c>
      <c r="F44" s="364" t="s">
        <v>720</v>
      </c>
    </row>
    <row r="46" spans="1:6">
      <c r="A46" s="366">
        <v>34</v>
      </c>
      <c r="B46" s="366" t="s">
        <v>3803</v>
      </c>
    </row>
    <row r="47" spans="1:6">
      <c r="A47" s="366">
        <v>35</v>
      </c>
      <c r="B47" s="363" t="s">
        <v>3800</v>
      </c>
      <c r="D47" s="363" t="s">
        <v>3801</v>
      </c>
      <c r="F47" s="364" t="s">
        <v>4099</v>
      </c>
    </row>
    <row r="48" spans="1:6">
      <c r="A48" s="366">
        <v>36</v>
      </c>
      <c r="B48" s="363" t="s">
        <v>3804</v>
      </c>
      <c r="D48" s="363" t="s">
        <v>3802</v>
      </c>
      <c r="F48" s="364">
        <v>96</v>
      </c>
    </row>
    <row r="49" spans="1:6">
      <c r="A49" s="366">
        <v>37</v>
      </c>
      <c r="B49" s="363" t="s">
        <v>4095</v>
      </c>
      <c r="D49" s="363" t="s">
        <v>4096</v>
      </c>
      <c r="F49" s="364" t="s">
        <v>4100</v>
      </c>
    </row>
    <row r="50" spans="1:6">
      <c r="A50" s="366">
        <v>38</v>
      </c>
      <c r="B50" s="363" t="s">
        <v>4098</v>
      </c>
      <c r="D50" s="363" t="s">
        <v>4097</v>
      </c>
      <c r="F50" s="364">
        <v>122</v>
      </c>
    </row>
  </sheetData>
  <mergeCells count="6">
    <mergeCell ref="A2:F2"/>
    <mergeCell ref="A3:F3"/>
    <mergeCell ref="A4:F4"/>
    <mergeCell ref="A5:F5"/>
    <mergeCell ref="A7:F7"/>
    <mergeCell ref="A6:F6"/>
  </mergeCells>
  <phoneticPr fontId="122" type="noConversion"/>
  <printOptions horizontalCentered="1"/>
  <pageMargins left="0.31" right="0.3" top="1" bottom="1" header="0.5" footer="0.5"/>
  <pageSetup scale="84" orientation="portrait" r:id="rId1"/>
  <headerFooter scaleWithDoc="0" alignWithMargins="0">
    <oddFooter>&amp;LElectronic Tab Name: &amp;A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V191"/>
  <sheetViews>
    <sheetView view="pageBreakPreview" topLeftCell="M1" zoomScale="60" zoomScaleNormal="100" workbookViewId="0">
      <selection activeCell="AG16" sqref="AG16"/>
    </sheetView>
  </sheetViews>
  <sheetFormatPr defaultColWidth="9.140625" defaultRowHeight="15"/>
  <cols>
    <col min="1" max="1" width="38.7109375" style="429" customWidth="1"/>
    <col min="2" max="2" width="10.5703125" style="1" bestFit="1" customWidth="1"/>
    <col min="3" max="3" width="45.7109375" style="1" customWidth="1"/>
    <col min="4" max="4" width="17.28515625" style="1" bestFit="1" customWidth="1"/>
    <col min="5" max="5" width="16.7109375" style="1" bestFit="1" customWidth="1"/>
    <col min="6" max="6" width="17.85546875" style="1" bestFit="1" customWidth="1"/>
    <col min="7" max="7" width="10.28515625" style="1" customWidth="1"/>
    <col min="8" max="8" width="18" style="42" bestFit="1" customWidth="1"/>
    <col min="9" max="9" width="16.85546875" style="42" customWidth="1"/>
    <col min="10" max="10" width="14.140625" style="42" bestFit="1" customWidth="1"/>
    <col min="11" max="11" width="14.7109375" style="42" bestFit="1" customWidth="1"/>
    <col min="12" max="13" width="13" style="42" bestFit="1" customWidth="1"/>
    <col min="14" max="14" width="16.140625" style="42" bestFit="1" customWidth="1"/>
    <col min="15" max="15" width="13.7109375" style="42" bestFit="1" customWidth="1"/>
    <col min="16" max="16" width="14.7109375" style="42" bestFit="1" customWidth="1"/>
    <col min="17" max="17" width="17.28515625" style="42" bestFit="1" customWidth="1"/>
    <col min="18" max="18" width="16.5703125" style="42" bestFit="1" customWidth="1"/>
    <col min="19" max="19" width="6.140625" style="42" bestFit="1" customWidth="1"/>
    <col min="20" max="20" width="13.7109375" style="42" bestFit="1" customWidth="1"/>
    <col min="21" max="21" width="15.42578125" style="105" bestFit="1" customWidth="1"/>
    <col min="22" max="22" width="14.85546875" style="851" bestFit="1" customWidth="1"/>
    <col min="23" max="23" width="15.42578125" style="851" bestFit="1" customWidth="1"/>
    <col min="24" max="24" width="14.7109375" style="851" bestFit="1" customWidth="1"/>
    <col min="25" max="25" width="13.7109375" style="851" bestFit="1" customWidth="1"/>
    <col min="26" max="26" width="14.5703125" style="851" bestFit="1" customWidth="1"/>
    <col min="27" max="27" width="13.42578125" style="851" bestFit="1" customWidth="1"/>
    <col min="28" max="28" width="14" style="1" bestFit="1" customWidth="1"/>
    <col min="29" max="29" width="18.42578125" style="1" bestFit="1" customWidth="1"/>
    <col min="30" max="30" width="17.28515625" style="1" bestFit="1" customWidth="1"/>
    <col min="31" max="31" width="2.7109375" style="1" customWidth="1"/>
    <col min="32" max="32" width="14.85546875" style="1" bestFit="1" customWidth="1"/>
    <col min="33" max="33" width="14.7109375" style="1" bestFit="1" customWidth="1"/>
    <col min="34" max="34" width="19.85546875" style="1" bestFit="1" customWidth="1"/>
    <col min="35" max="35" width="2.7109375" style="1" customWidth="1"/>
    <col min="36" max="36" width="15.42578125" style="1" bestFit="1" customWidth="1"/>
    <col min="37" max="37" width="14.7109375" style="1" bestFit="1" customWidth="1"/>
    <col min="38" max="38" width="14.140625" style="1" bestFit="1" customWidth="1"/>
    <col min="39" max="39" width="21.7109375" style="1" bestFit="1" customWidth="1"/>
    <col min="40" max="40" width="15.7109375" style="1" bestFit="1" customWidth="1"/>
    <col min="41" max="41" width="14.140625" style="1" bestFit="1" customWidth="1"/>
    <col min="42" max="42" width="15.140625" style="1" customWidth="1"/>
    <col min="43" max="43" width="14.140625" style="1" bestFit="1" customWidth="1"/>
    <col min="44" max="44" width="20.42578125" style="1" bestFit="1" customWidth="1"/>
    <col min="45" max="45" width="5.140625" style="1" customWidth="1"/>
    <col min="46" max="16384" width="9.140625" style="1"/>
  </cols>
  <sheetData>
    <row r="1" spans="1:47">
      <c r="A1" s="91" t="str">
        <f>Company</f>
        <v>Cascade Natural Gas Corp.</v>
      </c>
      <c r="D1" s="91"/>
      <c r="E1" s="91"/>
      <c r="F1" s="91"/>
      <c r="H1" s="91"/>
      <c r="I1" s="91"/>
      <c r="J1" s="91"/>
      <c r="M1" s="91"/>
      <c r="N1" s="91"/>
      <c r="O1" s="91"/>
      <c r="P1" s="91"/>
      <c r="Q1" s="91"/>
      <c r="R1" s="91"/>
      <c r="S1" s="91"/>
      <c r="T1" s="91"/>
      <c r="U1" s="91"/>
    </row>
    <row r="2" spans="1:47">
      <c r="A2" s="91" t="str">
        <f>Title1</f>
        <v>Washington Jurisdiction</v>
      </c>
      <c r="D2" s="91"/>
      <c r="E2" s="91"/>
      <c r="F2" s="91"/>
      <c r="H2" s="91"/>
      <c r="I2" s="91"/>
      <c r="J2" s="91"/>
      <c r="M2" s="91"/>
      <c r="N2" s="91"/>
      <c r="O2" s="91"/>
      <c r="P2" s="91"/>
      <c r="Q2" s="91"/>
      <c r="R2" s="91"/>
      <c r="S2" s="91"/>
      <c r="T2" s="91"/>
      <c r="U2" s="91"/>
    </row>
    <row r="3" spans="1:47">
      <c r="A3" s="91" t="str">
        <f>Title2</f>
        <v>Twelve-Months ended December 31, 2023</v>
      </c>
      <c r="D3" s="91"/>
      <c r="E3" s="91"/>
      <c r="F3" s="91"/>
      <c r="H3" s="91"/>
      <c r="I3" s="91"/>
      <c r="J3" s="91"/>
      <c r="M3" s="91"/>
      <c r="N3" s="91"/>
      <c r="O3" s="91"/>
      <c r="P3" s="91"/>
      <c r="Q3" s="91"/>
      <c r="R3" s="91"/>
      <c r="S3" s="91"/>
      <c r="T3" s="91"/>
      <c r="U3" s="91"/>
      <c r="AO3" s="721"/>
    </row>
    <row r="4" spans="1:47">
      <c r="A4" s="91" t="str">
        <f>Title8</f>
        <v>UG-240008</v>
      </c>
      <c r="D4" s="91"/>
      <c r="E4" s="91"/>
      <c r="F4" s="91"/>
      <c r="H4" s="91"/>
      <c r="I4" s="91"/>
      <c r="J4" s="91"/>
      <c r="M4" s="91"/>
      <c r="N4" s="91"/>
      <c r="O4" s="91"/>
      <c r="P4" s="91"/>
      <c r="Q4" s="91"/>
      <c r="R4" s="91"/>
      <c r="S4" s="91"/>
      <c r="T4" s="91"/>
      <c r="U4" s="91"/>
    </row>
    <row r="5" spans="1:47">
      <c r="A5" s="91" t="s">
        <v>216</v>
      </c>
      <c r="D5" s="91"/>
      <c r="E5" s="91"/>
      <c r="F5" s="91"/>
      <c r="H5" s="91"/>
      <c r="I5" s="91"/>
      <c r="J5" s="91"/>
      <c r="M5" s="91"/>
      <c r="N5" s="91"/>
      <c r="O5" s="91"/>
      <c r="P5" s="91"/>
      <c r="Q5" s="91"/>
      <c r="R5" s="91"/>
      <c r="S5" s="91"/>
      <c r="T5" s="91"/>
      <c r="U5" s="91"/>
    </row>
    <row r="6" spans="1:47">
      <c r="A6" s="91" t="s">
        <v>659</v>
      </c>
      <c r="D6" s="91"/>
      <c r="E6" s="91"/>
      <c r="F6" s="91"/>
      <c r="H6" s="91"/>
      <c r="I6" s="91"/>
      <c r="J6" s="91"/>
      <c r="M6" s="91"/>
      <c r="N6" s="91"/>
      <c r="O6" s="91"/>
      <c r="P6" s="91"/>
      <c r="Q6" s="91"/>
      <c r="R6" s="91"/>
      <c r="S6" s="91"/>
      <c r="T6" s="91"/>
      <c r="U6" s="91"/>
    </row>
    <row r="7" spans="1:47">
      <c r="AT7"/>
      <c r="AU7"/>
    </row>
    <row r="8" spans="1:47" s="429" customFormat="1">
      <c r="A8" s="429" t="s">
        <v>721</v>
      </c>
      <c r="AT8"/>
      <c r="AU8"/>
    </row>
    <row r="9" spans="1:47" ht="30">
      <c r="A9" s="429">
        <v>1</v>
      </c>
      <c r="B9" s="499"/>
      <c r="C9" s="500"/>
      <c r="D9" s="849"/>
      <c r="E9" s="850" t="s">
        <v>644</v>
      </c>
      <c r="F9" s="850" t="s">
        <v>722</v>
      </c>
      <c r="G9" s="850" t="s">
        <v>645</v>
      </c>
      <c r="H9" s="130"/>
      <c r="I9" s="130"/>
      <c r="J9" s="273"/>
      <c r="K9" s="273"/>
      <c r="L9" s="273"/>
      <c r="M9" s="130"/>
      <c r="N9" s="130"/>
      <c r="P9" s="130"/>
      <c r="Q9" s="130"/>
      <c r="R9" s="130"/>
      <c r="S9" s="130"/>
      <c r="T9" s="273"/>
      <c r="U9" s="704"/>
      <c r="V9" s="274"/>
      <c r="W9" s="274"/>
      <c r="X9" s="274"/>
      <c r="Y9" s="274"/>
      <c r="Z9" s="274"/>
      <c r="AA9" s="274"/>
      <c r="AT9"/>
      <c r="AU9"/>
    </row>
    <row r="10" spans="1:47">
      <c r="A10" s="429">
        <f>MAX($A$9:A9)+1</f>
        <v>2</v>
      </c>
      <c r="B10" s="288"/>
      <c r="D10" s="9" t="s">
        <v>723</v>
      </c>
      <c r="E10" s="271">
        <f>'Exh JAD-8, State Allocators'!C14</f>
        <v>0.75070000000000003</v>
      </c>
      <c r="F10" s="272">
        <f>'Exh JAD-8, State Allocators'!C13</f>
        <v>0.73750000000000004</v>
      </c>
      <c r="G10" s="272">
        <f>'Exh JAD-8, State Allocators'!C16</f>
        <v>0.79179999999999995</v>
      </c>
      <c r="H10" s="130"/>
      <c r="I10" s="130"/>
      <c r="J10" s="273"/>
      <c r="K10" s="273"/>
      <c r="L10" s="273"/>
      <c r="M10" s="130"/>
      <c r="N10" s="130"/>
      <c r="P10" s="130"/>
      <c r="Q10" s="130"/>
      <c r="R10" s="130"/>
      <c r="S10" s="130"/>
      <c r="T10" s="273"/>
      <c r="U10" s="704"/>
      <c r="V10" s="274"/>
      <c r="W10" s="274"/>
      <c r="X10" s="274"/>
      <c r="Y10" s="274"/>
      <c r="Z10" s="274"/>
      <c r="AA10" s="274"/>
      <c r="AC10" s="130"/>
      <c r="AT10"/>
      <c r="AU10"/>
    </row>
    <row r="11" spans="1:47">
      <c r="A11" s="429">
        <f>MAX($A$9:A10)+1</f>
        <v>3</v>
      </c>
      <c r="B11" s="288"/>
      <c r="D11" s="9" t="s">
        <v>724</v>
      </c>
      <c r="E11" s="271">
        <f>'Exh JAD-8, State Allocators'!D14</f>
        <v>0.24929999999999999</v>
      </c>
      <c r="F11" s="272">
        <f>'Exh JAD-8, State Allocators'!D13</f>
        <v>0.26250000000000001</v>
      </c>
      <c r="G11" s="272">
        <f>'Exh JAD-8, State Allocators'!D16</f>
        <v>0.2082</v>
      </c>
      <c r="H11"/>
      <c r="I11"/>
      <c r="J11"/>
      <c r="K11"/>
      <c r="L11"/>
      <c r="M11"/>
      <c r="N11"/>
      <c r="O11"/>
      <c r="P11"/>
      <c r="Q11"/>
      <c r="R11"/>
      <c r="S11"/>
      <c r="T11"/>
      <c r="U11"/>
      <c r="V11"/>
      <c r="W11"/>
      <c r="X11"/>
      <c r="Y11"/>
      <c r="Z11"/>
      <c r="AA11"/>
      <c r="AB11"/>
      <c r="AC11"/>
      <c r="AD11"/>
    </row>
    <row r="12" spans="1:47" ht="45">
      <c r="A12" s="429">
        <f>MAX($A$9:A11)+1</f>
        <v>4</v>
      </c>
      <c r="B12" s="1456" t="s">
        <v>725</v>
      </c>
      <c r="C12" s="1457"/>
      <c r="D12" s="1460" t="s">
        <v>726</v>
      </c>
      <c r="E12" s="1461"/>
      <c r="F12" s="1462"/>
      <c r="H12" s="1451" t="s">
        <v>727</v>
      </c>
      <c r="I12" s="1451"/>
      <c r="J12" s="1451"/>
      <c r="K12" s="1451"/>
      <c r="L12" s="1451"/>
      <c r="M12" s="1451"/>
      <c r="N12" s="1451"/>
      <c r="O12" s="1451"/>
      <c r="P12" s="1451"/>
      <c r="Q12" s="1451"/>
      <c r="R12" s="1451"/>
      <c r="S12" s="1451"/>
      <c r="T12" s="1451" t="s">
        <v>728</v>
      </c>
      <c r="U12" s="1451"/>
      <c r="V12" s="1451"/>
      <c r="W12" s="1451"/>
      <c r="X12" s="1451"/>
      <c r="Y12" s="1451"/>
      <c r="Z12" s="1451"/>
      <c r="AA12" s="1451"/>
      <c r="AB12" s="1451"/>
      <c r="AC12" s="67" t="s">
        <v>729</v>
      </c>
      <c r="AD12" s="67" t="s">
        <v>730</v>
      </c>
      <c r="AF12" s="1450" t="s">
        <v>579</v>
      </c>
      <c r="AG12" s="1450"/>
      <c r="AH12" s="67" t="s">
        <v>731</v>
      </c>
      <c r="AJ12" s="1450" t="s">
        <v>584</v>
      </c>
      <c r="AK12" s="1450"/>
      <c r="AL12" s="1450"/>
      <c r="AM12" s="1450"/>
      <c r="AN12" s="1450"/>
      <c r="AO12" s="1450"/>
      <c r="AP12" s="1450"/>
      <c r="AQ12" s="1450"/>
      <c r="AR12" s="67" t="s">
        <v>732</v>
      </c>
      <c r="AS12" s="545"/>
    </row>
    <row r="13" spans="1:47" ht="90">
      <c r="A13" s="429">
        <f>MAX($A$9:A12)+1</f>
        <v>5</v>
      </c>
      <c r="B13" s="1458"/>
      <c r="C13" s="1459"/>
      <c r="D13" s="1463" t="s">
        <v>733</v>
      </c>
      <c r="E13" s="1464"/>
      <c r="F13" s="1465"/>
      <c r="H13" s="270" t="s">
        <v>734</v>
      </c>
      <c r="I13" s="270" t="s">
        <v>735</v>
      </c>
      <c r="J13" s="270" t="s">
        <v>736</v>
      </c>
      <c r="K13" s="270" t="s">
        <v>666</v>
      </c>
      <c r="L13" s="270" t="s">
        <v>737</v>
      </c>
      <c r="M13" s="270" t="s">
        <v>738</v>
      </c>
      <c r="N13" s="270" t="s">
        <v>739</v>
      </c>
      <c r="O13" s="270" t="s">
        <v>740</v>
      </c>
      <c r="P13" s="270" t="s">
        <v>674</v>
      </c>
      <c r="Q13" s="270" t="s">
        <v>741</v>
      </c>
      <c r="R13" s="270" t="s">
        <v>678</v>
      </c>
      <c r="S13" s="270" t="str">
        <f>IF(S10="On", S9, "OPEN")</f>
        <v>OPEN</v>
      </c>
      <c r="T13" s="270" t="s">
        <v>742</v>
      </c>
      <c r="U13" s="270" t="s">
        <v>743</v>
      </c>
      <c r="V13" s="270" t="s">
        <v>682</v>
      </c>
      <c r="W13" s="270" t="s">
        <v>684</v>
      </c>
      <c r="X13" s="270" t="s">
        <v>686</v>
      </c>
      <c r="Y13" s="270" t="s">
        <v>744</v>
      </c>
      <c r="Z13" s="545" t="s">
        <v>745</v>
      </c>
      <c r="AA13" s="545" t="s">
        <v>746</v>
      </c>
      <c r="AB13" s="545" t="s">
        <v>3752</v>
      </c>
      <c r="AE13" s="545"/>
      <c r="AF13" s="545" t="s">
        <v>747</v>
      </c>
      <c r="AG13" s="545" t="s">
        <v>748</v>
      </c>
      <c r="AH13" s="545"/>
      <c r="AI13" s="545"/>
      <c r="AJ13" s="545" t="s">
        <v>749</v>
      </c>
      <c r="AK13" s="545" t="s">
        <v>750</v>
      </c>
      <c r="AL13" s="545" t="s">
        <v>751</v>
      </c>
      <c r="AM13" s="545" t="s">
        <v>752</v>
      </c>
      <c r="AN13" s="545" t="s">
        <v>697</v>
      </c>
      <c r="AO13" s="545" t="s">
        <v>753</v>
      </c>
      <c r="AP13" s="545" t="s">
        <v>699</v>
      </c>
      <c r="AQ13" s="545" t="s">
        <v>754</v>
      </c>
      <c r="AR13" s="545"/>
      <c r="AS13" s="545"/>
    </row>
    <row r="14" spans="1:47">
      <c r="A14" s="429">
        <f>MAX($A$9:A13)+1</f>
        <v>6</v>
      </c>
      <c r="B14" s="1452" t="s">
        <v>755</v>
      </c>
      <c r="C14" s="1453"/>
      <c r="D14" s="295" t="s">
        <v>756</v>
      </c>
      <c r="E14" s="296" t="s">
        <v>757</v>
      </c>
      <c r="F14" s="297" t="s">
        <v>758</v>
      </c>
      <c r="H14" s="275" t="s">
        <v>759</v>
      </c>
      <c r="I14" s="275" t="s">
        <v>760</v>
      </c>
      <c r="J14" s="275" t="s">
        <v>761</v>
      </c>
      <c r="K14" s="275" t="s">
        <v>762</v>
      </c>
      <c r="L14" s="275" t="s">
        <v>763</v>
      </c>
      <c r="M14" s="275" t="s">
        <v>764</v>
      </c>
      <c r="N14" s="275" t="s">
        <v>765</v>
      </c>
      <c r="O14" s="275" t="s">
        <v>766</v>
      </c>
      <c r="P14" s="275" t="s">
        <v>767</v>
      </c>
      <c r="Q14" s="275" t="s">
        <v>768</v>
      </c>
      <c r="R14" s="275" t="s">
        <v>769</v>
      </c>
      <c r="S14" s="275"/>
      <c r="T14" s="275" t="s">
        <v>770</v>
      </c>
      <c r="U14" s="275" t="s">
        <v>771</v>
      </c>
      <c r="V14" s="275" t="s">
        <v>772</v>
      </c>
      <c r="W14" s="275" t="s">
        <v>773</v>
      </c>
      <c r="X14" s="275" t="s">
        <v>774</v>
      </c>
      <c r="Y14" s="275" t="s">
        <v>775</v>
      </c>
      <c r="Z14" s="275" t="s">
        <v>776</v>
      </c>
      <c r="AA14" s="275" t="s">
        <v>777</v>
      </c>
      <c r="AB14" s="275" t="s">
        <v>778</v>
      </c>
      <c r="AC14" s="429" t="s">
        <v>779</v>
      </c>
      <c r="AD14" s="429" t="s">
        <v>780</v>
      </c>
      <c r="AE14" s="872"/>
      <c r="AF14" s="872" t="s">
        <v>781</v>
      </c>
      <c r="AG14" s="872" t="s">
        <v>782</v>
      </c>
      <c r="AH14" s="872" t="s">
        <v>633</v>
      </c>
      <c r="AI14" s="872"/>
      <c r="AJ14" s="872" t="s">
        <v>783</v>
      </c>
      <c r="AK14" s="872" t="s">
        <v>784</v>
      </c>
      <c r="AL14" s="872" t="s">
        <v>785</v>
      </c>
      <c r="AM14" s="872" t="s">
        <v>786</v>
      </c>
      <c r="AN14" s="872" t="s">
        <v>787</v>
      </c>
      <c r="AO14" s="872" t="s">
        <v>788</v>
      </c>
      <c r="AP14" s="872" t="s">
        <v>789</v>
      </c>
      <c r="AQ14" s="872" t="s">
        <v>790</v>
      </c>
      <c r="AR14" s="872" t="s">
        <v>634</v>
      </c>
    </row>
    <row r="15" spans="1:47">
      <c r="A15" s="429">
        <f>MAX($A$9:A14)+1</f>
        <v>7</v>
      </c>
      <c r="B15" s="298" t="s">
        <v>509</v>
      </c>
      <c r="C15" s="276"/>
      <c r="D15" s="288"/>
      <c r="F15" s="277"/>
      <c r="Z15" s="42"/>
      <c r="AA15" s="42"/>
      <c r="AB15" s="42"/>
      <c r="AE15" s="42"/>
      <c r="AF15" s="42"/>
      <c r="AG15" s="42"/>
      <c r="AH15" s="42"/>
      <c r="AI15" s="42"/>
      <c r="AJ15" s="851"/>
      <c r="AK15" s="851"/>
      <c r="AL15" s="851"/>
      <c r="AM15" s="42"/>
      <c r="AN15" s="851"/>
      <c r="AO15" s="851"/>
      <c r="AP15" s="851"/>
      <c r="AQ15" s="851"/>
      <c r="AR15" s="42"/>
      <c r="AS15" s="42"/>
    </row>
    <row r="16" spans="1:47">
      <c r="A16" s="429">
        <f>MAX($A$9:A15)+1</f>
        <v>8</v>
      </c>
      <c r="B16" s="299" t="s">
        <v>510</v>
      </c>
      <c r="C16" s="278" t="s">
        <v>511</v>
      </c>
      <c r="D16" s="864">
        <v>184788541.16999999</v>
      </c>
      <c r="E16" s="21">
        <v>0</v>
      </c>
      <c r="F16" s="857">
        <f>SUM(D16:E16)</f>
        <v>184788541.16999999</v>
      </c>
      <c r="H16" s="21">
        <f>'Suppl Sch Adj'!J10</f>
        <v>-116632080.3452</v>
      </c>
      <c r="I16" s="21">
        <f>'Normalize Rev Adj'!C11+'Normalize Rev Adj'!C16+'Normalize Rev Adj'!C20</f>
        <v>-1607680.8659822065</v>
      </c>
      <c r="J16" s="21">
        <f>'EOP Rev Adj'!C11</f>
        <v>299472.23647885129</v>
      </c>
      <c r="K16" s="21">
        <f>'Annualized CRM'!C11+'Annualized CRM'!C16</f>
        <v>924919.66538781719</v>
      </c>
      <c r="L16" s="21"/>
      <c r="M16" s="21"/>
      <c r="N16" s="21"/>
      <c r="O16" s="21"/>
      <c r="P16" s="21"/>
      <c r="Q16" s="21"/>
      <c r="R16" s="21"/>
      <c r="S16" s="21"/>
      <c r="T16" s="21"/>
      <c r="U16" s="184">
        <v>0</v>
      </c>
      <c r="V16" s="184"/>
      <c r="W16" s="184"/>
      <c r="X16" s="184"/>
      <c r="Y16" s="184"/>
      <c r="Z16" s="21"/>
      <c r="AA16" s="21"/>
      <c r="AB16" s="21"/>
      <c r="AC16" s="21">
        <f>SUM(H16:AB16)</f>
        <v>-117015369.30931553</v>
      </c>
      <c r="AD16" s="21">
        <f>+F16+AC16</f>
        <v>67773171.860684454</v>
      </c>
      <c r="AE16" s="49"/>
      <c r="AF16" s="21"/>
      <c r="AG16" s="21">
        <f>+'Provisional Plant Additions'!C23</f>
        <v>1571477.0432382778</v>
      </c>
      <c r="AH16" s="21">
        <f>SUM(AF16:AG16)</f>
        <v>1571477.0432382778</v>
      </c>
      <c r="AI16" s="49"/>
      <c r="AJ16" s="184"/>
      <c r="AK16" s="184">
        <f>'Provisional Plant Additions'!C53</f>
        <v>2047077.9042532314</v>
      </c>
      <c r="AL16" s="184"/>
      <c r="AM16" s="21"/>
      <c r="AN16" s="184"/>
      <c r="AO16" s="184"/>
      <c r="AP16" s="184"/>
      <c r="AQ16" s="184"/>
      <c r="AR16" s="21">
        <f>SUM(AJ16:AQ16)</f>
        <v>2047077.9042532314</v>
      </c>
      <c r="AS16" s="21"/>
    </row>
    <row r="17" spans="1:48">
      <c r="A17" s="429">
        <f>MAX($A$9:A16)+1</f>
        <v>9</v>
      </c>
      <c r="B17" s="299" t="s">
        <v>512</v>
      </c>
      <c r="C17" s="278" t="s">
        <v>513</v>
      </c>
      <c r="D17" s="864">
        <v>158423482.77000001</v>
      </c>
      <c r="E17" s="21">
        <v>0</v>
      </c>
      <c r="F17" s="857">
        <f>SUM(D17:E17)</f>
        <v>158423482.77000001</v>
      </c>
      <c r="H17" s="21">
        <f>'Suppl Sch Adj'!J11</f>
        <v>-113380355.92844389</v>
      </c>
      <c r="I17" s="21">
        <f>'Normalize Rev Adj'!C12+'Normalize Rev Adj'!C17+'Normalize Rev Adj'!C21</f>
        <v>-52252.886246555194</v>
      </c>
      <c r="J17" s="21">
        <f>'EOP Rev Adj'!C12</f>
        <v>112614.6161110813</v>
      </c>
      <c r="K17" s="21">
        <f>'Annualized CRM'!C12+'Annualized CRM'!C17</f>
        <v>450451.19560709898</v>
      </c>
      <c r="L17" s="21"/>
      <c r="M17" s="21"/>
      <c r="N17" s="21"/>
      <c r="O17" s="21"/>
      <c r="P17" s="21"/>
      <c r="Q17" s="21"/>
      <c r="R17" s="21"/>
      <c r="S17" s="21"/>
      <c r="T17" s="21"/>
      <c r="U17" s="184"/>
      <c r="V17" s="184"/>
      <c r="W17" s="184"/>
      <c r="X17" s="184"/>
      <c r="Y17" s="184"/>
      <c r="Z17" s="21"/>
      <c r="AA17" s="21"/>
      <c r="AB17" s="21"/>
      <c r="AC17" s="21">
        <f>SUM(H17:AB17)</f>
        <v>-112869543.00297228</v>
      </c>
      <c r="AD17" s="21">
        <f>+F17+AC17</f>
        <v>45553939.767027736</v>
      </c>
      <c r="AE17" s="49"/>
      <c r="AF17" s="21"/>
      <c r="AG17" s="21"/>
      <c r="AH17" s="21">
        <f t="shared" ref="AH17:AH80" si="0">SUM(AF17:AG17)</f>
        <v>0</v>
      </c>
      <c r="AI17" s="49"/>
      <c r="AJ17" s="184"/>
      <c r="AK17" s="184"/>
      <c r="AL17" s="184"/>
      <c r="AM17" s="21"/>
      <c r="AN17" s="184"/>
      <c r="AO17" s="184"/>
      <c r="AP17" s="184"/>
      <c r="AQ17" s="184"/>
      <c r="AR17" s="21">
        <f>SUM(AJ17:AQ17)</f>
        <v>0</v>
      </c>
      <c r="AS17" s="21"/>
    </row>
    <row r="18" spans="1:48">
      <c r="A18" s="429">
        <f>MAX($A$9:A17)+1</f>
        <v>10</v>
      </c>
      <c r="B18" s="298" t="s">
        <v>514</v>
      </c>
      <c r="C18" s="276"/>
      <c r="D18" s="865">
        <f>SUM(D16:D17)</f>
        <v>343212023.94</v>
      </c>
      <c r="E18" s="517">
        <f>SUM(E16:E17)</f>
        <v>0</v>
      </c>
      <c r="F18" s="853">
        <f>SUM(F16:F17)</f>
        <v>343212023.94</v>
      </c>
      <c r="H18" s="853">
        <f>SUM(H16:H17)</f>
        <v>-230012436.27364391</v>
      </c>
      <c r="I18" s="853">
        <f>SUM(I16:I17)</f>
        <v>-1659933.7522287618</v>
      </c>
      <c r="J18" s="853">
        <f>SUM(J16:J17)</f>
        <v>412086.85258993262</v>
      </c>
      <c r="K18" s="853">
        <f>SUM(K16:K17)</f>
        <v>1375370.8609949162</v>
      </c>
      <c r="L18" s="853">
        <f t="shared" ref="L18:S18" si="1">SUM(L16:L17)</f>
        <v>0</v>
      </c>
      <c r="M18" s="853">
        <f t="shared" si="1"/>
        <v>0</v>
      </c>
      <c r="N18" s="853">
        <f t="shared" si="1"/>
        <v>0</v>
      </c>
      <c r="O18" s="853">
        <f t="shared" si="1"/>
        <v>0</v>
      </c>
      <c r="P18" s="853">
        <f t="shared" si="1"/>
        <v>0</v>
      </c>
      <c r="Q18" s="853">
        <f t="shared" si="1"/>
        <v>0</v>
      </c>
      <c r="R18" s="853">
        <f t="shared" si="1"/>
        <v>0</v>
      </c>
      <c r="S18" s="853">
        <f t="shared" si="1"/>
        <v>0</v>
      </c>
      <c r="T18" s="853">
        <f t="shared" ref="T18:AD18" si="2">SUM(T16:T17)</f>
        <v>0</v>
      </c>
      <c r="U18" s="854">
        <f t="shared" si="2"/>
        <v>0</v>
      </c>
      <c r="V18" s="854">
        <f t="shared" si="2"/>
        <v>0</v>
      </c>
      <c r="W18" s="853">
        <f t="shared" si="2"/>
        <v>0</v>
      </c>
      <c r="X18" s="853">
        <f t="shared" si="2"/>
        <v>0</v>
      </c>
      <c r="Y18" s="853">
        <f>SUM(Y16:Y17)</f>
        <v>0</v>
      </c>
      <c r="Z18" s="853">
        <f>SUM(Z16:Z17)</f>
        <v>0</v>
      </c>
      <c r="AA18" s="853">
        <f>SUM(AA16:AA17)</f>
        <v>0</v>
      </c>
      <c r="AB18" s="853">
        <f t="shared" si="2"/>
        <v>0</v>
      </c>
      <c r="AC18" s="853">
        <f t="shared" si="2"/>
        <v>-229884912.31228781</v>
      </c>
      <c r="AD18" s="853">
        <f t="shared" si="2"/>
        <v>113327111.62771219</v>
      </c>
      <c r="AE18" s="49"/>
      <c r="AF18" s="853">
        <f>SUM(AF16:AF17)</f>
        <v>0</v>
      </c>
      <c r="AG18" s="853">
        <f>SUM(AG16:AG17)</f>
        <v>1571477.0432382778</v>
      </c>
      <c r="AH18" s="853">
        <f t="shared" si="0"/>
        <v>1571477.0432382778</v>
      </c>
      <c r="AI18" s="49"/>
      <c r="AJ18" s="853">
        <f t="shared" ref="AJ18:AQ18" si="3">SUM(AJ16:AJ17)</f>
        <v>0</v>
      </c>
      <c r="AK18" s="853">
        <f t="shared" si="3"/>
        <v>2047077.9042532314</v>
      </c>
      <c r="AL18" s="854">
        <f t="shared" si="3"/>
        <v>0</v>
      </c>
      <c r="AM18" s="854">
        <f t="shared" si="3"/>
        <v>0</v>
      </c>
      <c r="AN18" s="854">
        <f t="shared" si="3"/>
        <v>0</v>
      </c>
      <c r="AO18" s="854">
        <f t="shared" si="3"/>
        <v>0</v>
      </c>
      <c r="AP18" s="854">
        <f t="shared" si="3"/>
        <v>0</v>
      </c>
      <c r="AQ18" s="854">
        <f t="shared" si="3"/>
        <v>0</v>
      </c>
      <c r="AR18" s="853">
        <f>SUM(AJ18:AQ18)</f>
        <v>2047077.9042532314</v>
      </c>
      <c r="AS18" s="49"/>
      <c r="AT18" s="21"/>
      <c r="AU18" s="42"/>
      <c r="AV18" s="42"/>
    </row>
    <row r="19" spans="1:48">
      <c r="A19" s="429">
        <f>MAX($A$9:A18)+1</f>
        <v>11</v>
      </c>
      <c r="B19" s="300"/>
      <c r="C19" s="276"/>
      <c r="D19" s="864"/>
      <c r="E19" s="21"/>
      <c r="F19" s="857"/>
      <c r="H19" s="21"/>
      <c r="I19" s="21"/>
      <c r="J19" s="21"/>
      <c r="K19" s="21"/>
      <c r="L19" s="21"/>
      <c r="M19" s="21"/>
      <c r="N19" s="21"/>
      <c r="O19" s="21"/>
      <c r="P19" s="21"/>
      <c r="Q19" s="21"/>
      <c r="R19" s="21"/>
      <c r="S19" s="21"/>
      <c r="T19" s="21"/>
      <c r="U19" s="184"/>
      <c r="V19" s="184"/>
      <c r="W19" s="184"/>
      <c r="X19" s="184"/>
      <c r="Y19" s="21"/>
      <c r="Z19" s="21"/>
      <c r="AA19" s="21"/>
      <c r="AB19" s="21"/>
      <c r="AC19" s="21"/>
      <c r="AD19" s="21"/>
      <c r="AE19" s="49"/>
      <c r="AF19" s="21"/>
      <c r="AG19" s="21"/>
      <c r="AH19" s="21"/>
      <c r="AI19" s="49"/>
      <c r="AJ19" s="184"/>
      <c r="AK19" s="184"/>
      <c r="AL19" s="184"/>
      <c r="AM19" s="21"/>
      <c r="AN19" s="184"/>
      <c r="AO19" s="184"/>
      <c r="AP19" s="184"/>
      <c r="AQ19" s="184"/>
      <c r="AR19" s="21"/>
      <c r="AS19" s="21"/>
      <c r="AT19" s="21"/>
    </row>
    <row r="20" spans="1:48">
      <c r="A20" s="429">
        <f>MAX($A$9:A19)+1</f>
        <v>12</v>
      </c>
      <c r="B20" s="298" t="s">
        <v>515</v>
      </c>
      <c r="C20" s="276"/>
      <c r="D20" s="864"/>
      <c r="E20" s="21"/>
      <c r="F20" s="857"/>
      <c r="H20" s="21"/>
      <c r="I20" s="21"/>
      <c r="J20" s="21"/>
      <c r="K20" s="21"/>
      <c r="L20" s="21"/>
      <c r="M20" s="21"/>
      <c r="N20" s="21"/>
      <c r="O20" s="21"/>
      <c r="P20" s="21"/>
      <c r="Q20" s="21"/>
      <c r="R20" s="21"/>
      <c r="S20" s="21"/>
      <c r="T20" s="21"/>
      <c r="U20" s="184"/>
      <c r="V20" s="184"/>
      <c r="W20" s="184"/>
      <c r="X20" s="184"/>
      <c r="Y20" s="21"/>
      <c r="Z20" s="21"/>
      <c r="AA20" s="21"/>
      <c r="AB20" s="21"/>
      <c r="AC20" s="21"/>
      <c r="AD20" s="21"/>
      <c r="AE20" s="49"/>
      <c r="AF20" s="21"/>
      <c r="AG20" s="21"/>
      <c r="AH20" s="21"/>
      <c r="AI20" s="49"/>
      <c r="AJ20" s="184"/>
      <c r="AK20" s="184"/>
      <c r="AL20" s="184"/>
      <c r="AM20" s="21"/>
      <c r="AN20" s="184"/>
      <c r="AO20" s="184"/>
      <c r="AP20" s="184"/>
      <c r="AQ20" s="184"/>
      <c r="AR20" s="21"/>
      <c r="AS20" s="21"/>
      <c r="AT20" s="21"/>
    </row>
    <row r="21" spans="1:48">
      <c r="A21" s="429">
        <f>MAX($A$9:A20)+1</f>
        <v>13</v>
      </c>
      <c r="B21" s="299" t="s">
        <v>516</v>
      </c>
      <c r="C21" s="278" t="s">
        <v>189</v>
      </c>
      <c r="D21" s="864">
        <v>363239.85</v>
      </c>
      <c r="E21" s="21">
        <v>0</v>
      </c>
      <c r="F21" s="857">
        <f t="shared" ref="F21:F27" si="4">SUM(D21:E21)</f>
        <v>363239.85</v>
      </c>
      <c r="H21" s="21"/>
      <c r="I21" s="21"/>
      <c r="J21" s="21"/>
      <c r="K21" s="21"/>
      <c r="L21" s="21"/>
      <c r="M21" s="21"/>
      <c r="N21" s="21"/>
      <c r="O21" s="21"/>
      <c r="P21" s="21"/>
      <c r="Q21" s="21"/>
      <c r="R21" s="21"/>
      <c r="S21" s="21"/>
      <c r="T21" s="21"/>
      <c r="U21" s="184"/>
      <c r="V21" s="184"/>
      <c r="W21" s="184"/>
      <c r="X21" s="184"/>
      <c r="Y21" s="21"/>
      <c r="Z21" s="21"/>
      <c r="AA21" s="21"/>
      <c r="AB21" s="21"/>
      <c r="AC21" s="21">
        <f t="shared" ref="AC21:AC27" si="5">SUM(H21:AB21)</f>
        <v>0</v>
      </c>
      <c r="AD21" s="21">
        <f t="shared" ref="AD21:AD27" si="6">+F21+AC21</f>
        <v>363239.85</v>
      </c>
      <c r="AE21" s="49"/>
      <c r="AF21" s="21"/>
      <c r="AG21" s="21"/>
      <c r="AH21" s="21">
        <f t="shared" si="0"/>
        <v>0</v>
      </c>
      <c r="AI21" s="49"/>
      <c r="AJ21" s="184"/>
      <c r="AK21" s="184"/>
      <c r="AL21" s="184"/>
      <c r="AM21" s="21"/>
      <c r="AN21" s="184"/>
      <c r="AO21" s="184"/>
      <c r="AP21" s="184"/>
      <c r="AQ21" s="184"/>
      <c r="AR21" s="21">
        <f>SUM(AJ21:AQ21)</f>
        <v>0</v>
      </c>
      <c r="AS21" s="21"/>
      <c r="AT21" s="21"/>
    </row>
    <row r="22" spans="1:48">
      <c r="A22" s="429">
        <f>MAX($A$9:A21)+1</f>
        <v>14</v>
      </c>
      <c r="B22" s="301" t="s">
        <v>517</v>
      </c>
      <c r="C22" s="278" t="s">
        <v>518</v>
      </c>
      <c r="D22" s="864">
        <v>30892186.289999999</v>
      </c>
      <c r="E22" s="21">
        <v>0</v>
      </c>
      <c r="F22" s="857">
        <f t="shared" si="4"/>
        <v>30892186.289999999</v>
      </c>
      <c r="H22" s="21">
        <f>'Suppl Sch Adj'!J12</f>
        <v>282531.02000000008</v>
      </c>
      <c r="I22" s="21">
        <f>'Normalize Rev Adj'!C13</f>
        <v>-114550.24414999811</v>
      </c>
      <c r="J22" s="21">
        <f>'EOP Rev Adj'!C13</f>
        <v>24160.173712721902</v>
      </c>
      <c r="K22" s="21">
        <f>'Annualized CRM'!C13+'Annualized CRM'!C18</f>
        <v>456593.97759346548</v>
      </c>
      <c r="L22" s="21"/>
      <c r="M22" s="21"/>
      <c r="N22" s="21"/>
      <c r="O22" s="21"/>
      <c r="P22" s="21"/>
      <c r="Q22" s="21"/>
      <c r="R22" s="21"/>
      <c r="S22" s="21"/>
      <c r="T22" s="21"/>
      <c r="U22" s="184"/>
      <c r="V22" s="184"/>
      <c r="W22" s="184"/>
      <c r="X22" s="184"/>
      <c r="Y22" s="21"/>
      <c r="Z22" s="21"/>
      <c r="AA22" s="21"/>
      <c r="AB22" s="21"/>
      <c r="AC22" s="21">
        <f t="shared" si="5"/>
        <v>648734.92715618934</v>
      </c>
      <c r="AD22" s="21">
        <f t="shared" si="6"/>
        <v>31540921.217156187</v>
      </c>
      <c r="AE22" s="49"/>
      <c r="AF22" s="21"/>
      <c r="AG22" s="21"/>
      <c r="AH22" s="21">
        <f t="shared" si="0"/>
        <v>0</v>
      </c>
      <c r="AI22" s="49"/>
      <c r="AJ22" s="184"/>
      <c r="AK22" s="184"/>
      <c r="AL22" s="184"/>
      <c r="AM22" s="21"/>
      <c r="AN22" s="184"/>
      <c r="AO22" s="184"/>
      <c r="AP22" s="184"/>
      <c r="AQ22" s="184"/>
      <c r="AR22" s="21">
        <f t="shared" ref="AR22:AR29" si="7">SUM(AJ22:AQ22)</f>
        <v>0</v>
      </c>
      <c r="AS22" s="21"/>
      <c r="AT22" s="21"/>
    </row>
    <row r="23" spans="1:48">
      <c r="A23" s="429">
        <f>MAX($A$9:A22)+1</f>
        <v>15</v>
      </c>
      <c r="B23" s="301" t="s">
        <v>519</v>
      </c>
      <c r="C23" s="278" t="s">
        <v>190</v>
      </c>
      <c r="D23" s="864">
        <v>100</v>
      </c>
      <c r="E23" s="21">
        <v>330410.09999999998</v>
      </c>
      <c r="F23" s="857">
        <f t="shared" si="4"/>
        <v>330510.09999999998</v>
      </c>
      <c r="H23" s="21"/>
      <c r="I23" s="21"/>
      <c r="J23" s="21"/>
      <c r="K23" s="21"/>
      <c r="L23" s="21"/>
      <c r="M23" s="21"/>
      <c r="N23" s="21"/>
      <c r="O23" s="21"/>
      <c r="P23" s="21"/>
      <c r="Q23" s="21"/>
      <c r="R23" s="21"/>
      <c r="S23" s="21"/>
      <c r="T23" s="21"/>
      <c r="U23" s="184"/>
      <c r="V23" s="184"/>
      <c r="W23" s="184"/>
      <c r="X23" s="184"/>
      <c r="Y23" s="21"/>
      <c r="Z23" s="21"/>
      <c r="AA23" s="21"/>
      <c r="AB23" s="21"/>
      <c r="AC23" s="21">
        <f t="shared" si="5"/>
        <v>0</v>
      </c>
      <c r="AD23" s="21">
        <f t="shared" si="6"/>
        <v>330510.09999999998</v>
      </c>
      <c r="AE23" s="49"/>
      <c r="AF23" s="21"/>
      <c r="AG23" s="21"/>
      <c r="AH23" s="21">
        <f t="shared" si="0"/>
        <v>0</v>
      </c>
      <c r="AI23" s="49"/>
      <c r="AJ23" s="184"/>
      <c r="AK23" s="184"/>
      <c r="AL23" s="184"/>
      <c r="AM23" s="21"/>
      <c r="AN23" s="184"/>
      <c r="AO23" s="184"/>
      <c r="AP23" s="184"/>
      <c r="AQ23" s="184"/>
      <c r="AR23" s="21">
        <f t="shared" si="7"/>
        <v>0</v>
      </c>
      <c r="AS23" s="21"/>
      <c r="AT23" s="21"/>
    </row>
    <row r="24" spans="1:48">
      <c r="A24" s="429">
        <f>MAX($A$9:A23)+1</f>
        <v>16</v>
      </c>
      <c r="B24" s="301" t="s">
        <v>520</v>
      </c>
      <c r="C24" s="278" t="s">
        <v>191</v>
      </c>
      <c r="D24" s="864">
        <v>0</v>
      </c>
      <c r="E24" s="21">
        <v>96651.1</v>
      </c>
      <c r="F24" s="857">
        <f t="shared" si="4"/>
        <v>96651.1</v>
      </c>
      <c r="H24" s="21"/>
      <c r="I24" s="21"/>
      <c r="J24" s="21"/>
      <c r="K24" s="21"/>
      <c r="L24" s="21"/>
      <c r="M24" s="21"/>
      <c r="N24" s="21"/>
      <c r="O24" s="21"/>
      <c r="P24" s="21"/>
      <c r="Q24" s="21"/>
      <c r="R24" s="21"/>
      <c r="S24" s="21"/>
      <c r="T24" s="21"/>
      <c r="U24" s="184"/>
      <c r="V24" s="184"/>
      <c r="W24" s="184"/>
      <c r="X24" s="184"/>
      <c r="Y24" s="21"/>
      <c r="Z24" s="21"/>
      <c r="AA24" s="21"/>
      <c r="AB24" s="21"/>
      <c r="AC24" s="21">
        <f t="shared" si="5"/>
        <v>0</v>
      </c>
      <c r="AD24" s="21">
        <f t="shared" si="6"/>
        <v>96651.1</v>
      </c>
      <c r="AE24" s="49"/>
      <c r="AF24" s="21"/>
      <c r="AG24" s="21"/>
      <c r="AH24" s="21">
        <f t="shared" si="0"/>
        <v>0</v>
      </c>
      <c r="AI24" s="49"/>
      <c r="AJ24" s="184"/>
      <c r="AK24" s="184"/>
      <c r="AL24" s="184"/>
      <c r="AM24" s="21"/>
      <c r="AN24" s="184"/>
      <c r="AO24" s="184"/>
      <c r="AP24" s="184"/>
      <c r="AQ24" s="184"/>
      <c r="AR24" s="21">
        <f t="shared" si="7"/>
        <v>0</v>
      </c>
      <c r="AS24" s="21"/>
      <c r="AT24" s="21"/>
    </row>
    <row r="25" spans="1:48">
      <c r="A25" s="429">
        <f>MAX($A$9:A24)+1</f>
        <v>17</v>
      </c>
      <c r="B25" s="301" t="s">
        <v>521</v>
      </c>
      <c r="C25" s="278" t="s">
        <v>192</v>
      </c>
      <c r="D25" s="864">
        <v>140418.15</v>
      </c>
      <c r="E25" s="21">
        <v>467.30000000000018</v>
      </c>
      <c r="F25" s="857">
        <f t="shared" si="4"/>
        <v>140885.44999999998</v>
      </c>
      <c r="H25" s="21"/>
      <c r="I25" s="21"/>
      <c r="J25" s="21"/>
      <c r="K25" s="21"/>
      <c r="L25" s="21"/>
      <c r="M25" s="21"/>
      <c r="N25" s="21"/>
      <c r="O25" s="21"/>
      <c r="P25" s="21"/>
      <c r="Q25" s="21"/>
      <c r="R25" s="21"/>
      <c r="S25" s="21"/>
      <c r="T25" s="21"/>
      <c r="U25" s="184"/>
      <c r="V25" s="184"/>
      <c r="W25" s="184"/>
      <c r="X25" s="184"/>
      <c r="Y25" s="21"/>
      <c r="Z25" s="21"/>
      <c r="AA25" s="21"/>
      <c r="AB25" s="21"/>
      <c r="AC25" s="21">
        <f t="shared" si="5"/>
        <v>0</v>
      </c>
      <c r="AD25" s="21">
        <f t="shared" si="6"/>
        <v>140885.44999999998</v>
      </c>
      <c r="AE25" s="49"/>
      <c r="AF25" s="21"/>
      <c r="AG25" s="21"/>
      <c r="AH25" s="21">
        <f t="shared" si="0"/>
        <v>0</v>
      </c>
      <c r="AI25" s="49"/>
      <c r="AJ25" s="184"/>
      <c r="AK25" s="184"/>
      <c r="AL25" s="184"/>
      <c r="AM25" s="21"/>
      <c r="AN25" s="184"/>
      <c r="AO25" s="184"/>
      <c r="AP25" s="184"/>
      <c r="AQ25" s="184"/>
      <c r="AR25" s="21">
        <f t="shared" si="7"/>
        <v>0</v>
      </c>
      <c r="AS25" s="21"/>
      <c r="AT25" s="21"/>
    </row>
    <row r="26" spans="1:48">
      <c r="A26" s="429">
        <f>MAX($A$9:A25)+1</f>
        <v>18</v>
      </c>
      <c r="B26" s="299" t="s">
        <v>522</v>
      </c>
      <c r="C26" s="278" t="s">
        <v>523</v>
      </c>
      <c r="D26" s="864">
        <v>0</v>
      </c>
      <c r="E26" s="21">
        <v>0</v>
      </c>
      <c r="F26" s="857">
        <f t="shared" si="4"/>
        <v>0</v>
      </c>
      <c r="H26" s="21"/>
      <c r="I26" s="21"/>
      <c r="J26" s="21"/>
      <c r="K26" s="21"/>
      <c r="L26" s="21"/>
      <c r="M26" s="21"/>
      <c r="N26" s="21"/>
      <c r="O26" s="21"/>
      <c r="P26" s="21"/>
      <c r="Q26" s="21"/>
      <c r="R26" s="21"/>
      <c r="S26" s="21"/>
      <c r="T26" s="21"/>
      <c r="U26" s="184"/>
      <c r="V26" s="184"/>
      <c r="W26" s="184"/>
      <c r="X26" s="184"/>
      <c r="Y26" s="21"/>
      <c r="Z26" s="21"/>
      <c r="AA26" s="21"/>
      <c r="AB26" s="21"/>
      <c r="AC26" s="21">
        <f t="shared" si="5"/>
        <v>0</v>
      </c>
      <c r="AD26" s="21">
        <f t="shared" si="6"/>
        <v>0</v>
      </c>
      <c r="AE26" s="49"/>
      <c r="AF26" s="21"/>
      <c r="AG26" s="21"/>
      <c r="AH26" s="21">
        <f t="shared" si="0"/>
        <v>0</v>
      </c>
      <c r="AI26" s="49"/>
      <c r="AJ26" s="184"/>
      <c r="AK26" s="184"/>
      <c r="AL26" s="184"/>
      <c r="AM26" s="21"/>
      <c r="AN26" s="184"/>
      <c r="AO26" s="184"/>
      <c r="AP26" s="184"/>
      <c r="AQ26" s="184"/>
      <c r="AR26" s="21">
        <f t="shared" si="7"/>
        <v>0</v>
      </c>
      <c r="AS26" s="21"/>
      <c r="AT26" s="21"/>
    </row>
    <row r="27" spans="1:48">
      <c r="A27" s="429">
        <f>MAX($A$9:A26)+1</f>
        <v>19</v>
      </c>
      <c r="B27" s="302">
        <v>4962</v>
      </c>
      <c r="C27" s="278" t="s">
        <v>193</v>
      </c>
      <c r="D27" s="864">
        <v>1214363.21</v>
      </c>
      <c r="E27" s="21">
        <v>0</v>
      </c>
      <c r="F27" s="857">
        <f t="shared" si="4"/>
        <v>1214363.21</v>
      </c>
      <c r="H27" s="21">
        <f>'Suppl Sch Adj'!J13</f>
        <v>-1384432.9500000002</v>
      </c>
      <c r="I27" s="21"/>
      <c r="J27" s="21"/>
      <c r="K27" s="21"/>
      <c r="L27" s="21"/>
      <c r="M27" s="21"/>
      <c r="N27" s="21"/>
      <c r="O27" s="21"/>
      <c r="P27" s="21"/>
      <c r="Q27" s="21"/>
      <c r="R27" s="21"/>
      <c r="S27" s="21"/>
      <c r="T27" s="21"/>
      <c r="U27" s="184"/>
      <c r="V27" s="184"/>
      <c r="W27" s="184"/>
      <c r="X27" s="184"/>
      <c r="Y27" s="21"/>
      <c r="Z27" s="21"/>
      <c r="AA27" s="21"/>
      <c r="AB27" s="21"/>
      <c r="AC27" s="21">
        <f t="shared" si="5"/>
        <v>-1384432.9500000002</v>
      </c>
      <c r="AD27" s="21">
        <f t="shared" si="6"/>
        <v>-170069.74000000022</v>
      </c>
      <c r="AE27" s="49"/>
      <c r="AF27" s="21"/>
      <c r="AG27" s="21"/>
      <c r="AH27" s="21">
        <f t="shared" si="0"/>
        <v>0</v>
      </c>
      <c r="AI27" s="49"/>
      <c r="AJ27" s="184"/>
      <c r="AK27" s="184"/>
      <c r="AL27" s="184"/>
      <c r="AM27" s="21"/>
      <c r="AN27" s="184"/>
      <c r="AO27" s="184"/>
      <c r="AP27" s="184"/>
      <c r="AQ27" s="184"/>
      <c r="AR27" s="21">
        <f t="shared" si="7"/>
        <v>0</v>
      </c>
      <c r="AS27" s="21"/>
      <c r="AT27" s="21"/>
    </row>
    <row r="28" spans="1:48">
      <c r="A28" s="429">
        <f>MAX($A$9:A27)+1</f>
        <v>20</v>
      </c>
      <c r="B28" s="298" t="s">
        <v>524</v>
      </c>
      <c r="C28" s="276"/>
      <c r="D28" s="865">
        <f>SUM(D21:D27)</f>
        <v>32610307.5</v>
      </c>
      <c r="E28" s="517">
        <f>SUM(E21:E27)</f>
        <v>427528.49999999994</v>
      </c>
      <c r="F28" s="517">
        <f>SUM(F21:F27)</f>
        <v>33037836.000000004</v>
      </c>
      <c r="H28" s="853">
        <f>SUM(H21:H27)</f>
        <v>-1101901.9300000002</v>
      </c>
      <c r="I28" s="853">
        <f>SUM(I21:I27)</f>
        <v>-114550.24414999811</v>
      </c>
      <c r="J28" s="853">
        <f>SUM(J21:J27)</f>
        <v>24160.173712721902</v>
      </c>
      <c r="K28" s="853">
        <f>SUM(K21:K27)</f>
        <v>456593.97759346548</v>
      </c>
      <c r="L28" s="853">
        <f t="shared" ref="L28:AD28" si="8">SUM(L21:L27)</f>
        <v>0</v>
      </c>
      <c r="M28" s="853">
        <f t="shared" si="8"/>
        <v>0</v>
      </c>
      <c r="N28" s="853">
        <f t="shared" si="8"/>
        <v>0</v>
      </c>
      <c r="O28" s="853">
        <f t="shared" si="8"/>
        <v>0</v>
      </c>
      <c r="P28" s="853">
        <f t="shared" si="8"/>
        <v>0</v>
      </c>
      <c r="Q28" s="853">
        <f t="shared" si="8"/>
        <v>0</v>
      </c>
      <c r="R28" s="853">
        <f t="shared" si="8"/>
        <v>0</v>
      </c>
      <c r="S28" s="853">
        <f t="shared" si="8"/>
        <v>0</v>
      </c>
      <c r="T28" s="853">
        <f t="shared" si="8"/>
        <v>0</v>
      </c>
      <c r="U28" s="854">
        <f t="shared" si="8"/>
        <v>0</v>
      </c>
      <c r="V28" s="853">
        <f t="shared" ref="V28:AB28" si="9">SUM(V21:V27)</f>
        <v>0</v>
      </c>
      <c r="W28" s="853">
        <f t="shared" si="9"/>
        <v>0</v>
      </c>
      <c r="X28" s="853">
        <f t="shared" si="9"/>
        <v>0</v>
      </c>
      <c r="Y28" s="853">
        <f t="shared" si="9"/>
        <v>0</v>
      </c>
      <c r="Z28" s="853">
        <f t="shared" si="9"/>
        <v>0</v>
      </c>
      <c r="AA28" s="853">
        <f>SUM(AA21:AA27)</f>
        <v>0</v>
      </c>
      <c r="AB28" s="853">
        <f t="shared" si="9"/>
        <v>0</v>
      </c>
      <c r="AC28" s="853">
        <f t="shared" si="8"/>
        <v>-735698.02284381085</v>
      </c>
      <c r="AD28" s="853">
        <f t="shared" si="8"/>
        <v>32302137.977156192</v>
      </c>
      <c r="AE28" s="49"/>
      <c r="AF28" s="853">
        <f>SUM(AF21:AF27)</f>
        <v>0</v>
      </c>
      <c r="AG28" s="853">
        <f>SUM(AG21:AG27)</f>
        <v>0</v>
      </c>
      <c r="AH28" s="853">
        <f t="shared" si="0"/>
        <v>0</v>
      </c>
      <c r="AI28" s="49"/>
      <c r="AJ28" s="853">
        <f t="shared" ref="AJ28:AQ28" si="10">SUM(AJ21:AJ27)</f>
        <v>0</v>
      </c>
      <c r="AK28" s="853">
        <f>SUM(AK21:AK27)</f>
        <v>0</v>
      </c>
      <c r="AL28" s="854">
        <f>SUM(AL21:AL27)</f>
        <v>0</v>
      </c>
      <c r="AM28" s="854">
        <f t="shared" si="10"/>
        <v>0</v>
      </c>
      <c r="AN28" s="853">
        <f t="shared" si="10"/>
        <v>0</v>
      </c>
      <c r="AO28" s="853">
        <f t="shared" si="10"/>
        <v>0</v>
      </c>
      <c r="AP28" s="853">
        <f t="shared" si="10"/>
        <v>0</v>
      </c>
      <c r="AQ28" s="853">
        <f t="shared" si="10"/>
        <v>0</v>
      </c>
      <c r="AR28" s="853">
        <f t="shared" si="7"/>
        <v>0</v>
      </c>
      <c r="AS28" s="49"/>
      <c r="AT28" s="21"/>
    </row>
    <row r="29" spans="1:48" ht="15.75" thickBot="1">
      <c r="A29" s="429">
        <f>MAX($A$9:A28)+1</f>
        <v>21</v>
      </c>
      <c r="B29" s="298" t="s">
        <v>525</v>
      </c>
      <c r="C29" s="276"/>
      <c r="D29" s="866">
        <f>D18+D28</f>
        <v>375822331.44</v>
      </c>
      <c r="E29" s="861">
        <f>E18+E28</f>
        <v>427528.49999999994</v>
      </c>
      <c r="F29" s="855">
        <f>F18+F28</f>
        <v>376249859.94</v>
      </c>
      <c r="H29" s="855">
        <f t="shared" ref="H29:R29" si="11">H18+H28</f>
        <v>-231114338.20364392</v>
      </c>
      <c r="I29" s="855">
        <f t="shared" si="11"/>
        <v>-1774483.9963787599</v>
      </c>
      <c r="J29" s="855">
        <f t="shared" si="11"/>
        <v>436247.02630265453</v>
      </c>
      <c r="K29" s="855">
        <f t="shared" si="11"/>
        <v>1831964.8385883817</v>
      </c>
      <c r="L29" s="855">
        <f t="shared" si="11"/>
        <v>0</v>
      </c>
      <c r="M29" s="855">
        <f t="shared" si="11"/>
        <v>0</v>
      </c>
      <c r="N29" s="855">
        <f t="shared" si="11"/>
        <v>0</v>
      </c>
      <c r="O29" s="855">
        <f t="shared" si="11"/>
        <v>0</v>
      </c>
      <c r="P29" s="855">
        <f t="shared" si="11"/>
        <v>0</v>
      </c>
      <c r="Q29" s="855">
        <f t="shared" si="11"/>
        <v>0</v>
      </c>
      <c r="R29" s="855">
        <f t="shared" si="11"/>
        <v>0</v>
      </c>
      <c r="S29" s="855">
        <f t="shared" ref="S29:AD29" si="12">S18+S28</f>
        <v>0</v>
      </c>
      <c r="T29" s="855">
        <f t="shared" si="12"/>
        <v>0</v>
      </c>
      <c r="U29" s="856">
        <f t="shared" si="12"/>
        <v>0</v>
      </c>
      <c r="V29" s="856">
        <f t="shared" si="12"/>
        <v>0</v>
      </c>
      <c r="W29" s="855">
        <f t="shared" si="12"/>
        <v>0</v>
      </c>
      <c r="X29" s="855">
        <f t="shared" si="12"/>
        <v>0</v>
      </c>
      <c r="Y29" s="855">
        <f>Y18+Y28</f>
        <v>0</v>
      </c>
      <c r="Z29" s="855">
        <f t="shared" si="12"/>
        <v>0</v>
      </c>
      <c r="AA29" s="855">
        <f>AA18+AA28</f>
        <v>0</v>
      </c>
      <c r="AB29" s="855">
        <f t="shared" si="12"/>
        <v>0</v>
      </c>
      <c r="AC29" s="855">
        <f t="shared" si="12"/>
        <v>-230620610.33513162</v>
      </c>
      <c r="AD29" s="855">
        <f t="shared" si="12"/>
        <v>145629249.60486838</v>
      </c>
      <c r="AE29" s="49"/>
      <c r="AF29" s="855">
        <f>AF18+AF28</f>
        <v>0</v>
      </c>
      <c r="AG29" s="855">
        <f>AG18+AG28</f>
        <v>1571477.0432382778</v>
      </c>
      <c r="AH29" s="855">
        <f t="shared" si="0"/>
        <v>1571477.0432382778</v>
      </c>
      <c r="AI29" s="49"/>
      <c r="AJ29" s="856">
        <f t="shared" ref="AJ29:AQ29" si="13">AJ18+AJ28</f>
        <v>0</v>
      </c>
      <c r="AK29" s="856">
        <f>AK18+AK28</f>
        <v>2047077.9042532314</v>
      </c>
      <c r="AL29" s="856">
        <f>AL18+AL28</f>
        <v>0</v>
      </c>
      <c r="AM29" s="856">
        <f t="shared" si="13"/>
        <v>0</v>
      </c>
      <c r="AN29" s="856">
        <f t="shared" si="13"/>
        <v>0</v>
      </c>
      <c r="AO29" s="856">
        <f t="shared" si="13"/>
        <v>0</v>
      </c>
      <c r="AP29" s="856">
        <f t="shared" si="13"/>
        <v>0</v>
      </c>
      <c r="AQ29" s="856">
        <f t="shared" si="13"/>
        <v>0</v>
      </c>
      <c r="AR29" s="855">
        <f t="shared" si="7"/>
        <v>2047077.9042532314</v>
      </c>
      <c r="AS29" s="49"/>
      <c r="AT29" s="21">
        <f>AD29-'Exh JAD-3 ROO Summary'!G13</f>
        <v>0</v>
      </c>
      <c r="AU29" s="42">
        <f>AH29-'Exh JAD-4 MYRP Summary'!D13</f>
        <v>0</v>
      </c>
      <c r="AV29" s="42">
        <f>AR29-'Exh JAD-4 MYRP Summary'!J13</f>
        <v>0</v>
      </c>
    </row>
    <row r="30" spans="1:48" ht="15.75" thickTop="1">
      <c r="A30" s="429">
        <f>MAX($A$9:A29)+1</f>
        <v>22</v>
      </c>
      <c r="B30" s="303" t="s">
        <v>51</v>
      </c>
      <c r="C30" s="276"/>
      <c r="D30" s="864"/>
      <c r="E30" s="21"/>
      <c r="F30" s="857"/>
      <c r="H30" s="21"/>
      <c r="I30" s="21"/>
      <c r="J30" s="21"/>
      <c r="K30" s="21"/>
      <c r="L30" s="21"/>
      <c r="M30" s="21"/>
      <c r="N30" s="21"/>
      <c r="O30" s="21"/>
      <c r="P30" s="21"/>
      <c r="Q30" s="21"/>
      <c r="R30" s="21"/>
      <c r="S30" s="21"/>
      <c r="T30" s="21"/>
      <c r="U30" s="184"/>
      <c r="V30" s="184"/>
      <c r="W30" s="184"/>
      <c r="X30" s="184"/>
      <c r="Y30" s="21"/>
      <c r="Z30" s="21"/>
      <c r="AA30" s="21"/>
      <c r="AB30" s="21"/>
      <c r="AC30" s="21"/>
      <c r="AD30" s="21"/>
      <c r="AE30" s="49"/>
      <c r="AF30" s="21"/>
      <c r="AG30" s="21"/>
      <c r="AH30" s="21"/>
      <c r="AI30" s="49"/>
      <c r="AJ30" s="184"/>
      <c r="AK30" s="184"/>
      <c r="AL30" s="184"/>
      <c r="AM30" s="21"/>
      <c r="AN30" s="184"/>
      <c r="AO30" s="184"/>
      <c r="AP30" s="184"/>
      <c r="AQ30" s="184"/>
      <c r="AR30" s="21"/>
      <c r="AS30" s="21"/>
      <c r="AT30" s="21"/>
    </row>
    <row r="31" spans="1:48">
      <c r="A31" s="429">
        <f>MAX($A$9:A30)+1</f>
        <v>23</v>
      </c>
      <c r="B31" s="298" t="s">
        <v>791</v>
      </c>
      <c r="C31" s="276"/>
      <c r="D31" s="864"/>
      <c r="E31" s="21"/>
      <c r="F31" s="857"/>
      <c r="H31" s="21"/>
      <c r="I31" s="21"/>
      <c r="J31" s="21"/>
      <c r="K31" s="21"/>
      <c r="L31" s="21"/>
      <c r="M31" s="21"/>
      <c r="N31" s="21"/>
      <c r="O31" s="21"/>
      <c r="P31" s="21"/>
      <c r="Q31" s="21"/>
      <c r="R31" s="21"/>
      <c r="S31" s="21"/>
      <c r="T31" s="21"/>
      <c r="U31" s="184"/>
      <c r="V31" s="184"/>
      <c r="W31" s="184"/>
      <c r="X31" s="184"/>
      <c r="Y31" s="21"/>
      <c r="Z31" s="21"/>
      <c r="AA31" s="21"/>
      <c r="AB31" s="21"/>
      <c r="AC31" s="21"/>
      <c r="AD31" s="21"/>
      <c r="AE31" s="49"/>
      <c r="AF31" s="21"/>
      <c r="AG31" s="21"/>
      <c r="AH31" s="21"/>
      <c r="AI31" s="49"/>
      <c r="AJ31" s="184"/>
      <c r="AK31" s="184"/>
      <c r="AL31" s="184"/>
      <c r="AM31" s="21"/>
      <c r="AN31" s="184"/>
      <c r="AO31" s="184"/>
      <c r="AP31" s="184"/>
      <c r="AQ31" s="184"/>
      <c r="AR31" s="21"/>
      <c r="AS31" s="21"/>
      <c r="AT31" s="21"/>
    </row>
    <row r="32" spans="1:48">
      <c r="A32" s="429">
        <f>MAX($A$9:A31)+1</f>
        <v>24</v>
      </c>
      <c r="B32" s="299" t="s">
        <v>792</v>
      </c>
      <c r="C32" s="278" t="s">
        <v>793</v>
      </c>
      <c r="D32" s="864">
        <v>291587555.47000003</v>
      </c>
      <c r="E32" s="21">
        <v>0</v>
      </c>
      <c r="F32" s="857">
        <f t="shared" ref="F32:F37" si="14">SUM(D32:E32)</f>
        <v>291587555.47000003</v>
      </c>
      <c r="H32" s="21">
        <f>'Suppl Sch Adj'!J16</f>
        <v>-212859301.60000002</v>
      </c>
      <c r="I32" s="21"/>
      <c r="J32" s="21"/>
      <c r="K32" s="21"/>
      <c r="L32" s="21"/>
      <c r="M32" s="21"/>
      <c r="N32" s="21"/>
      <c r="O32" s="21"/>
      <c r="P32" s="21"/>
      <c r="Q32" s="21"/>
      <c r="R32" s="21"/>
      <c r="S32" s="21"/>
      <c r="T32" s="21"/>
      <c r="U32" s="184"/>
      <c r="V32" s="184"/>
      <c r="W32" s="184"/>
      <c r="X32" s="184"/>
      <c r="Y32" s="21"/>
      <c r="Z32" s="21"/>
      <c r="AA32" s="21"/>
      <c r="AB32" s="21"/>
      <c r="AC32" s="21">
        <f t="shared" ref="AC32:AC37" si="15">SUM(H32:AB32)</f>
        <v>-212859301.60000002</v>
      </c>
      <c r="AD32" s="21">
        <f t="shared" ref="AD32:AD37" si="16">+F32+AC32</f>
        <v>78728253.870000005</v>
      </c>
      <c r="AE32" s="49"/>
      <c r="AF32" s="21"/>
      <c r="AG32" s="21"/>
      <c r="AH32" s="21">
        <f t="shared" si="0"/>
        <v>0</v>
      </c>
      <c r="AI32" s="49"/>
      <c r="AJ32" s="184"/>
      <c r="AK32" s="184"/>
      <c r="AL32" s="184"/>
      <c r="AM32" s="21"/>
      <c r="AN32" s="184"/>
      <c r="AO32" s="184"/>
      <c r="AP32" s="184"/>
      <c r="AQ32" s="184"/>
      <c r="AR32" s="21">
        <f t="shared" ref="AR32:AR38" si="17">SUM(AJ32:AQ32)</f>
        <v>0</v>
      </c>
      <c r="AS32" s="21"/>
      <c r="AT32" s="21"/>
    </row>
    <row r="33" spans="1:48">
      <c r="A33" s="429">
        <f>MAX($A$9:A32)+1</f>
        <v>25</v>
      </c>
      <c r="B33" s="299" t="s">
        <v>794</v>
      </c>
      <c r="C33" s="278" t="s">
        <v>795</v>
      </c>
      <c r="D33" s="864">
        <v>0</v>
      </c>
      <c r="E33" s="21">
        <v>0</v>
      </c>
      <c r="F33" s="857">
        <f t="shared" si="14"/>
        <v>0</v>
      </c>
      <c r="H33" s="21"/>
      <c r="I33" s="21"/>
      <c r="J33" s="21"/>
      <c r="K33" s="21"/>
      <c r="L33" s="21"/>
      <c r="M33" s="21"/>
      <c r="N33" s="21"/>
      <c r="O33" s="21"/>
      <c r="P33" s="21"/>
      <c r="Q33" s="21"/>
      <c r="R33" s="21"/>
      <c r="S33" s="21"/>
      <c r="T33" s="21"/>
      <c r="U33" s="184"/>
      <c r="V33" s="184"/>
      <c r="W33" s="184"/>
      <c r="X33" s="184"/>
      <c r="Y33" s="21"/>
      <c r="Z33" s="21"/>
      <c r="AA33" s="21"/>
      <c r="AB33" s="21"/>
      <c r="AC33" s="21">
        <f t="shared" si="15"/>
        <v>0</v>
      </c>
      <c r="AD33" s="21">
        <f t="shared" si="16"/>
        <v>0</v>
      </c>
      <c r="AE33" s="49"/>
      <c r="AF33" s="21"/>
      <c r="AG33" s="21"/>
      <c r="AH33" s="21">
        <f t="shared" si="0"/>
        <v>0</v>
      </c>
      <c r="AI33" s="49"/>
      <c r="AJ33" s="184"/>
      <c r="AK33" s="184"/>
      <c r="AL33" s="184"/>
      <c r="AM33" s="21"/>
      <c r="AN33" s="184"/>
      <c r="AO33" s="184"/>
      <c r="AP33" s="184"/>
      <c r="AQ33" s="184"/>
      <c r="AR33" s="21">
        <f t="shared" si="17"/>
        <v>0</v>
      </c>
      <c r="AS33" s="21"/>
      <c r="AT33" s="21"/>
    </row>
    <row r="34" spans="1:48">
      <c r="A34" s="429">
        <f>MAX($A$9:A33)+1</f>
        <v>26</v>
      </c>
      <c r="B34" s="299" t="s">
        <v>796</v>
      </c>
      <c r="C34" s="278" t="s">
        <v>797</v>
      </c>
      <c r="D34" s="864">
        <v>-77022264.359999999</v>
      </c>
      <c r="E34" s="21">
        <v>0</v>
      </c>
      <c r="F34" s="857">
        <f t="shared" si="14"/>
        <v>-77022264.359999999</v>
      </c>
      <c r="H34" s="21"/>
      <c r="I34" s="21"/>
      <c r="J34" s="21"/>
      <c r="K34" s="21"/>
      <c r="L34" s="21"/>
      <c r="M34" s="21"/>
      <c r="N34" s="21"/>
      <c r="O34" s="21"/>
      <c r="P34" s="21"/>
      <c r="Q34" s="21"/>
      <c r="R34" s="21"/>
      <c r="S34" s="21"/>
      <c r="T34" s="21"/>
      <c r="U34" s="184"/>
      <c r="V34" s="184"/>
      <c r="W34" s="184"/>
      <c r="X34" s="184"/>
      <c r="Y34" s="21"/>
      <c r="Z34" s="21"/>
      <c r="AA34" s="21"/>
      <c r="AB34" s="21"/>
      <c r="AC34" s="21">
        <f t="shared" si="15"/>
        <v>0</v>
      </c>
      <c r="AD34" s="21">
        <f t="shared" si="16"/>
        <v>-77022264.359999999</v>
      </c>
      <c r="AE34" s="49"/>
      <c r="AF34" s="21"/>
      <c r="AG34" s="21"/>
      <c r="AH34" s="21">
        <f t="shared" si="0"/>
        <v>0</v>
      </c>
      <c r="AI34" s="49"/>
      <c r="AJ34" s="184"/>
      <c r="AK34" s="184"/>
      <c r="AL34" s="184"/>
      <c r="AM34" s="21"/>
      <c r="AN34" s="184"/>
      <c r="AO34" s="184"/>
      <c r="AP34" s="184"/>
      <c r="AQ34" s="184"/>
      <c r="AR34" s="21">
        <f t="shared" si="17"/>
        <v>0</v>
      </c>
      <c r="AS34" s="21"/>
      <c r="AT34" s="21"/>
    </row>
    <row r="35" spans="1:48">
      <c r="A35" s="429">
        <f>MAX($A$9:A34)+1</f>
        <v>27</v>
      </c>
      <c r="B35" s="299" t="s">
        <v>798</v>
      </c>
      <c r="C35" s="278" t="s">
        <v>799</v>
      </c>
      <c r="D35" s="864">
        <v>18052002</v>
      </c>
      <c r="E35" s="21">
        <v>0</v>
      </c>
      <c r="F35" s="857">
        <f t="shared" si="14"/>
        <v>18052002</v>
      </c>
      <c r="H35" s="21"/>
      <c r="I35" s="21"/>
      <c r="J35" s="21"/>
      <c r="K35" s="21"/>
      <c r="L35" s="21"/>
      <c r="M35" s="21"/>
      <c r="N35" s="21"/>
      <c r="O35" s="21"/>
      <c r="P35" s="21"/>
      <c r="Q35" s="21"/>
      <c r="R35" s="21"/>
      <c r="S35" s="21"/>
      <c r="T35" s="21"/>
      <c r="U35" s="184"/>
      <c r="V35" s="184"/>
      <c r="W35" s="184"/>
      <c r="X35" s="184"/>
      <c r="Y35" s="21"/>
      <c r="Z35" s="21"/>
      <c r="AA35" s="21"/>
      <c r="AB35" s="21"/>
      <c r="AC35" s="21">
        <f t="shared" si="15"/>
        <v>0</v>
      </c>
      <c r="AD35" s="21">
        <f t="shared" si="16"/>
        <v>18052002</v>
      </c>
      <c r="AE35" s="49"/>
      <c r="AF35" s="21"/>
      <c r="AG35" s="21"/>
      <c r="AH35" s="21">
        <f t="shared" si="0"/>
        <v>0</v>
      </c>
      <c r="AI35" s="49"/>
      <c r="AJ35" s="184"/>
      <c r="AK35" s="184"/>
      <c r="AL35" s="184"/>
      <c r="AM35" s="21"/>
      <c r="AN35" s="184"/>
      <c r="AO35" s="184"/>
      <c r="AP35" s="184"/>
      <c r="AQ35" s="184"/>
      <c r="AR35" s="21">
        <f t="shared" si="17"/>
        <v>0</v>
      </c>
      <c r="AS35" s="21"/>
      <c r="AT35" s="21"/>
    </row>
    <row r="36" spans="1:48">
      <c r="A36" s="429">
        <f>MAX($A$9:A35)+1</f>
        <v>28</v>
      </c>
      <c r="B36" s="299" t="s">
        <v>800</v>
      </c>
      <c r="C36" s="278" t="s">
        <v>801</v>
      </c>
      <c r="D36" s="864">
        <v>-19336006.359999999</v>
      </c>
      <c r="E36" s="21">
        <v>0</v>
      </c>
      <c r="F36" s="857">
        <f t="shared" si="14"/>
        <v>-19336006.359999999</v>
      </c>
      <c r="H36" s="21"/>
      <c r="I36" s="21"/>
      <c r="J36" s="21"/>
      <c r="K36" s="21"/>
      <c r="L36" s="21"/>
      <c r="M36" s="21"/>
      <c r="N36" s="21"/>
      <c r="O36" s="21"/>
      <c r="P36" s="21"/>
      <c r="Q36" s="21"/>
      <c r="R36" s="21"/>
      <c r="S36" s="21"/>
      <c r="T36" s="21"/>
      <c r="U36" s="184"/>
      <c r="V36" s="184"/>
      <c r="W36" s="184"/>
      <c r="X36" s="184"/>
      <c r="Y36" s="21"/>
      <c r="Z36" s="21"/>
      <c r="AA36" s="21"/>
      <c r="AB36" s="21"/>
      <c r="AC36" s="21">
        <f t="shared" si="15"/>
        <v>0</v>
      </c>
      <c r="AD36" s="21">
        <f t="shared" si="16"/>
        <v>-19336006.359999999</v>
      </c>
      <c r="AE36" s="49"/>
      <c r="AF36" s="21"/>
      <c r="AG36" s="21"/>
      <c r="AH36" s="21">
        <f t="shared" si="0"/>
        <v>0</v>
      </c>
      <c r="AI36" s="49"/>
      <c r="AJ36" s="184"/>
      <c r="AK36" s="184"/>
      <c r="AL36" s="184"/>
      <c r="AM36" s="21"/>
      <c r="AN36" s="184"/>
      <c r="AO36" s="184"/>
      <c r="AP36" s="184"/>
      <c r="AQ36" s="184"/>
      <c r="AR36" s="21">
        <f t="shared" si="17"/>
        <v>0</v>
      </c>
      <c r="AS36" s="21"/>
      <c r="AT36" s="21"/>
    </row>
    <row r="37" spans="1:48">
      <c r="A37" s="429">
        <f>MAX($A$9:A36)+1</f>
        <v>29</v>
      </c>
      <c r="B37" s="299" t="s">
        <v>802</v>
      </c>
      <c r="C37" s="278" t="s">
        <v>803</v>
      </c>
      <c r="D37" s="864">
        <v>-421985.15</v>
      </c>
      <c r="E37" s="21">
        <v>0</v>
      </c>
      <c r="F37" s="857">
        <f t="shared" si="14"/>
        <v>-421985.15</v>
      </c>
      <c r="H37" s="21"/>
      <c r="I37" s="21"/>
      <c r="J37" s="21"/>
      <c r="K37" s="21"/>
      <c r="L37" s="21"/>
      <c r="M37" s="21"/>
      <c r="N37" s="21"/>
      <c r="O37" s="21"/>
      <c r="P37" s="21"/>
      <c r="Q37" s="21"/>
      <c r="R37" s="21"/>
      <c r="S37" s="21"/>
      <c r="T37" s="21"/>
      <c r="U37" s="184"/>
      <c r="V37" s="184"/>
      <c r="W37" s="184"/>
      <c r="X37" s="184"/>
      <c r="Y37" s="21"/>
      <c r="Z37" s="21"/>
      <c r="AA37" s="21"/>
      <c r="AB37" s="21"/>
      <c r="AC37" s="21">
        <f t="shared" si="15"/>
        <v>0</v>
      </c>
      <c r="AD37" s="21">
        <f t="shared" si="16"/>
        <v>-421985.15</v>
      </c>
      <c r="AE37" s="49"/>
      <c r="AF37" s="21"/>
      <c r="AG37" s="21"/>
      <c r="AH37" s="21">
        <f t="shared" si="0"/>
        <v>0</v>
      </c>
      <c r="AI37" s="49"/>
      <c r="AJ37" s="184"/>
      <c r="AK37" s="184"/>
      <c r="AL37" s="184"/>
      <c r="AM37" s="21"/>
      <c r="AN37" s="184"/>
      <c r="AO37" s="184"/>
      <c r="AP37" s="184"/>
      <c r="AQ37" s="184"/>
      <c r="AR37" s="21">
        <f t="shared" si="17"/>
        <v>0</v>
      </c>
      <c r="AS37" s="21"/>
      <c r="AT37" s="21"/>
    </row>
    <row r="38" spans="1:48">
      <c r="A38" s="429">
        <f>MAX($A$9:A37)+1</f>
        <v>30</v>
      </c>
      <c r="B38" s="298" t="s">
        <v>804</v>
      </c>
      <c r="C38" s="276"/>
      <c r="D38" s="865">
        <f>SUM(D32:D37)</f>
        <v>212859301.59999999</v>
      </c>
      <c r="E38" s="517">
        <f>SUM(E32:E37)</f>
        <v>0</v>
      </c>
      <c r="F38" s="853">
        <f>SUM(F32:F37)</f>
        <v>212859301.59999999</v>
      </c>
      <c r="H38" s="853">
        <f>SUM(H32:H37)</f>
        <v>-212859301.60000002</v>
      </c>
      <c r="I38" s="853">
        <f>SUM(I32:I37)</f>
        <v>0</v>
      </c>
      <c r="J38" s="853">
        <f>SUM(J32:J37)</f>
        <v>0</v>
      </c>
      <c r="K38" s="853">
        <f>SUM(K32:K37)</f>
        <v>0</v>
      </c>
      <c r="L38" s="853">
        <f t="shared" ref="L38:S38" si="18">SUM(L32:L37)</f>
        <v>0</v>
      </c>
      <c r="M38" s="853">
        <f t="shared" si="18"/>
        <v>0</v>
      </c>
      <c r="N38" s="853">
        <f t="shared" si="18"/>
        <v>0</v>
      </c>
      <c r="O38" s="853">
        <f t="shared" si="18"/>
        <v>0</v>
      </c>
      <c r="P38" s="853">
        <f t="shared" si="18"/>
        <v>0</v>
      </c>
      <c r="Q38" s="853">
        <f t="shared" si="18"/>
        <v>0</v>
      </c>
      <c r="R38" s="853">
        <f t="shared" si="18"/>
        <v>0</v>
      </c>
      <c r="S38" s="853">
        <f t="shared" si="18"/>
        <v>0</v>
      </c>
      <c r="T38" s="853">
        <f t="shared" ref="T38:AD38" si="19">SUM(T32:T37)</f>
        <v>0</v>
      </c>
      <c r="U38" s="854">
        <f t="shared" si="19"/>
        <v>0</v>
      </c>
      <c r="V38" s="854">
        <f t="shared" si="19"/>
        <v>0</v>
      </c>
      <c r="W38" s="853">
        <f t="shared" si="19"/>
        <v>0</v>
      </c>
      <c r="X38" s="853">
        <f t="shared" si="19"/>
        <v>0</v>
      </c>
      <c r="Y38" s="853">
        <f>SUM(Y32:Y37)</f>
        <v>0</v>
      </c>
      <c r="Z38" s="853">
        <f>SUM(Z32:Z37)</f>
        <v>0</v>
      </c>
      <c r="AA38" s="853">
        <f>SUM(AA32:AA37)</f>
        <v>0</v>
      </c>
      <c r="AB38" s="853">
        <f t="shared" si="19"/>
        <v>0</v>
      </c>
      <c r="AC38" s="853">
        <f t="shared" si="19"/>
        <v>-212859301.60000002</v>
      </c>
      <c r="AD38" s="853">
        <f t="shared" si="19"/>
        <v>5.9371814131736755E-9</v>
      </c>
      <c r="AE38" s="49"/>
      <c r="AF38" s="853">
        <f>SUM(AF32:AF37)</f>
        <v>0</v>
      </c>
      <c r="AG38" s="853">
        <f>SUM(AG32:AG37)</f>
        <v>0</v>
      </c>
      <c r="AH38" s="853">
        <f t="shared" si="0"/>
        <v>0</v>
      </c>
      <c r="AI38" s="49"/>
      <c r="AJ38" s="854">
        <f t="shared" ref="AJ38:AQ38" si="20">SUM(AJ32:AJ37)</f>
        <v>0</v>
      </c>
      <c r="AK38" s="854">
        <f t="shared" si="20"/>
        <v>0</v>
      </c>
      <c r="AL38" s="854">
        <f t="shared" si="20"/>
        <v>0</v>
      </c>
      <c r="AM38" s="854">
        <f t="shared" si="20"/>
        <v>0</v>
      </c>
      <c r="AN38" s="854">
        <f t="shared" si="20"/>
        <v>0</v>
      </c>
      <c r="AO38" s="854">
        <f t="shared" si="20"/>
        <v>0</v>
      </c>
      <c r="AP38" s="854">
        <f t="shared" si="20"/>
        <v>0</v>
      </c>
      <c r="AQ38" s="854">
        <f t="shared" si="20"/>
        <v>0</v>
      </c>
      <c r="AR38" s="853">
        <f t="shared" si="17"/>
        <v>0</v>
      </c>
      <c r="AS38" s="49"/>
      <c r="AT38" s="21">
        <f>AD38-'Exh JAD-3 ROO Summary'!G16</f>
        <v>5.9371814131736755E-9</v>
      </c>
      <c r="AU38" s="42">
        <f>AH38-'Exh JAD-4 MYRP Summary'!D16</f>
        <v>0</v>
      </c>
      <c r="AV38" s="42">
        <f>AR38-'Exh JAD-4 MYRP Summary'!J16</f>
        <v>0</v>
      </c>
    </row>
    <row r="39" spans="1:48">
      <c r="A39" s="429">
        <f>MAX($A$9:A38)+1</f>
        <v>31</v>
      </c>
      <c r="B39" s="303"/>
      <c r="C39" s="276"/>
      <c r="D39" s="864"/>
      <c r="E39" s="21"/>
      <c r="F39" s="857"/>
      <c r="H39" s="21"/>
      <c r="I39" s="21"/>
      <c r="J39" s="21"/>
      <c r="K39" s="21"/>
      <c r="L39" s="21"/>
      <c r="M39" s="21"/>
      <c r="N39" s="21"/>
      <c r="O39" s="21"/>
      <c r="P39" s="21"/>
      <c r="Q39" s="21"/>
      <c r="R39" s="21"/>
      <c r="S39" s="21"/>
      <c r="T39" s="21"/>
      <c r="U39" s="184"/>
      <c r="V39" s="184"/>
      <c r="W39" s="184"/>
      <c r="X39" s="184"/>
      <c r="Y39" s="21"/>
      <c r="Z39" s="21"/>
      <c r="AA39" s="21"/>
      <c r="AB39" s="21"/>
      <c r="AC39" s="21"/>
      <c r="AD39" s="21"/>
      <c r="AE39" s="49"/>
      <c r="AF39" s="21"/>
      <c r="AG39" s="21"/>
      <c r="AH39" s="21"/>
      <c r="AI39" s="49"/>
      <c r="AJ39" s="184"/>
      <c r="AK39" s="184"/>
      <c r="AL39" s="184"/>
      <c r="AM39" s="21"/>
      <c r="AN39" s="184"/>
      <c r="AO39" s="184"/>
      <c r="AP39" s="184"/>
      <c r="AQ39" s="184"/>
      <c r="AR39" s="21"/>
      <c r="AS39" s="21"/>
      <c r="AT39" s="21"/>
    </row>
    <row r="40" spans="1:48">
      <c r="A40" s="429">
        <f>MAX($A$9:A39)+1</f>
        <v>32</v>
      </c>
      <c r="B40" s="298" t="s">
        <v>805</v>
      </c>
      <c r="C40" s="276"/>
      <c r="D40" s="864"/>
      <c r="E40" s="21"/>
      <c r="F40" s="857"/>
      <c r="H40" s="21"/>
      <c r="I40" s="21"/>
      <c r="J40" s="21"/>
      <c r="K40" s="21"/>
      <c r="L40" s="21"/>
      <c r="M40" s="21"/>
      <c r="N40" s="21"/>
      <c r="O40" s="21"/>
      <c r="P40" s="21"/>
      <c r="Q40" s="21"/>
      <c r="R40" s="21"/>
      <c r="S40" s="21"/>
      <c r="T40" s="21"/>
      <c r="U40" s="184"/>
      <c r="V40" s="184"/>
      <c r="W40" s="184"/>
      <c r="X40" s="184"/>
      <c r="Y40" s="21"/>
      <c r="Z40" s="21"/>
      <c r="AA40" s="21"/>
      <c r="AB40" s="21"/>
      <c r="AC40" s="21"/>
      <c r="AD40" s="21"/>
      <c r="AE40" s="49"/>
      <c r="AF40" s="21"/>
      <c r="AG40" s="21"/>
      <c r="AH40" s="21"/>
      <c r="AI40" s="49"/>
      <c r="AJ40" s="184"/>
      <c r="AK40" s="184"/>
      <c r="AL40" s="184"/>
      <c r="AM40" s="21"/>
      <c r="AN40" s="184"/>
      <c r="AO40" s="184"/>
      <c r="AP40" s="184"/>
      <c r="AQ40" s="184"/>
      <c r="AR40" s="21"/>
      <c r="AS40" s="21"/>
      <c r="AT40" s="21"/>
    </row>
    <row r="41" spans="1:48">
      <c r="A41" s="429">
        <f>MAX($A$9:A40)+1</f>
        <v>33</v>
      </c>
      <c r="B41" s="299" t="s">
        <v>806</v>
      </c>
      <c r="C41" s="278" t="s">
        <v>807</v>
      </c>
      <c r="D41" s="864">
        <v>0</v>
      </c>
      <c r="E41" s="21">
        <v>0</v>
      </c>
      <c r="F41" s="857">
        <v>0</v>
      </c>
      <c r="H41" s="21"/>
      <c r="I41" s="21"/>
      <c r="J41" s="21"/>
      <c r="K41" s="21"/>
      <c r="L41" s="21"/>
      <c r="M41" s="21"/>
      <c r="N41" s="21"/>
      <c r="O41" s="21"/>
      <c r="P41" s="21"/>
      <c r="Q41" s="21"/>
      <c r="R41" s="21"/>
      <c r="S41" s="21"/>
      <c r="T41" s="21"/>
      <c r="U41" s="184"/>
      <c r="V41" s="184"/>
      <c r="W41" s="184"/>
      <c r="X41" s="184"/>
      <c r="Y41" s="21"/>
      <c r="Z41" s="21"/>
      <c r="AA41" s="21"/>
      <c r="AB41" s="21"/>
      <c r="AC41" s="21">
        <f t="shared" ref="AC41:AC51" si="21">SUM(H41:AB41)</f>
        <v>0</v>
      </c>
      <c r="AD41" s="21">
        <f t="shared" ref="AD41:AD51" si="22">+F41+AC41</f>
        <v>0</v>
      </c>
      <c r="AE41" s="49"/>
      <c r="AF41" s="21"/>
      <c r="AG41" s="21"/>
      <c r="AH41" s="21">
        <f t="shared" si="0"/>
        <v>0</v>
      </c>
      <c r="AI41" s="49"/>
      <c r="AJ41" s="184"/>
      <c r="AK41" s="184"/>
      <c r="AL41" s="184"/>
      <c r="AM41" s="21"/>
      <c r="AN41" s="184"/>
      <c r="AO41" s="184"/>
      <c r="AP41" s="184"/>
      <c r="AQ41" s="184"/>
      <c r="AR41" s="21">
        <f t="shared" ref="AR41:AR52" si="23">SUM(AJ41:AQ41)</f>
        <v>0</v>
      </c>
      <c r="AS41" s="21"/>
      <c r="AT41" s="21"/>
    </row>
    <row r="42" spans="1:48">
      <c r="A42" s="429">
        <f>MAX($A$9:A41)+1</f>
        <v>34</v>
      </c>
      <c r="B42" s="299" t="s">
        <v>808</v>
      </c>
      <c r="C42" s="278" t="s">
        <v>809</v>
      </c>
      <c r="D42" s="864">
        <v>0</v>
      </c>
      <c r="E42" s="21">
        <v>0</v>
      </c>
      <c r="F42" s="857">
        <v>0</v>
      </c>
      <c r="H42" s="21"/>
      <c r="I42" s="21"/>
      <c r="J42" s="21"/>
      <c r="K42" s="21"/>
      <c r="L42" s="21"/>
      <c r="M42" s="21"/>
      <c r="N42" s="21"/>
      <c r="O42" s="21"/>
      <c r="P42" s="21"/>
      <c r="Q42" s="21"/>
      <c r="R42" s="21"/>
      <c r="S42" s="21"/>
      <c r="T42" s="21"/>
      <c r="U42" s="184"/>
      <c r="V42" s="184"/>
      <c r="W42" s="184"/>
      <c r="X42" s="184"/>
      <c r="Y42" s="21"/>
      <c r="Z42" s="21"/>
      <c r="AA42" s="21"/>
      <c r="AB42" s="21"/>
      <c r="AC42" s="21">
        <f t="shared" si="21"/>
        <v>0</v>
      </c>
      <c r="AD42" s="21">
        <f t="shared" si="22"/>
        <v>0</v>
      </c>
      <c r="AE42" s="49"/>
      <c r="AF42" s="21"/>
      <c r="AG42" s="21"/>
      <c r="AH42" s="21">
        <f t="shared" si="0"/>
        <v>0</v>
      </c>
      <c r="AI42" s="49"/>
      <c r="AJ42" s="184"/>
      <c r="AK42" s="184"/>
      <c r="AL42" s="184"/>
      <c r="AM42" s="21"/>
      <c r="AN42" s="184"/>
      <c r="AO42" s="184"/>
      <c r="AP42" s="184"/>
      <c r="AQ42" s="184"/>
      <c r="AR42" s="21">
        <f t="shared" si="23"/>
        <v>0</v>
      </c>
      <c r="AS42" s="21"/>
      <c r="AT42" s="21"/>
    </row>
    <row r="43" spans="1:48">
      <c r="A43" s="429">
        <f>MAX($A$9:A42)+1</f>
        <v>35</v>
      </c>
      <c r="B43" s="299" t="s">
        <v>810</v>
      </c>
      <c r="C43" s="278" t="s">
        <v>811</v>
      </c>
      <c r="D43" s="864">
        <v>0</v>
      </c>
      <c r="E43" s="21">
        <v>0</v>
      </c>
      <c r="F43" s="857">
        <v>0</v>
      </c>
      <c r="H43" s="21"/>
      <c r="I43" s="21"/>
      <c r="J43" s="21"/>
      <c r="K43" s="21"/>
      <c r="L43" s="21"/>
      <c r="M43" s="21"/>
      <c r="N43" s="21"/>
      <c r="O43" s="21"/>
      <c r="P43" s="21"/>
      <c r="Q43" s="21"/>
      <c r="R43" s="21"/>
      <c r="S43" s="21"/>
      <c r="T43" s="21"/>
      <c r="U43" s="184"/>
      <c r="V43" s="184"/>
      <c r="W43" s="184"/>
      <c r="X43" s="184"/>
      <c r="Y43" s="21"/>
      <c r="Z43" s="21"/>
      <c r="AA43" s="21"/>
      <c r="AB43" s="21"/>
      <c r="AC43" s="21">
        <f t="shared" si="21"/>
        <v>0</v>
      </c>
      <c r="AD43" s="21">
        <f t="shared" si="22"/>
        <v>0</v>
      </c>
      <c r="AE43" s="49"/>
      <c r="AF43" s="21"/>
      <c r="AG43" s="21"/>
      <c r="AH43" s="21">
        <f t="shared" si="0"/>
        <v>0</v>
      </c>
      <c r="AI43" s="49"/>
      <c r="AJ43" s="184"/>
      <c r="AK43" s="184"/>
      <c r="AL43" s="184"/>
      <c r="AM43" s="21"/>
      <c r="AN43" s="184"/>
      <c r="AO43" s="184"/>
      <c r="AP43" s="184"/>
      <c r="AQ43" s="184"/>
      <c r="AR43" s="21">
        <f t="shared" si="23"/>
        <v>0</v>
      </c>
      <c r="AS43" s="21"/>
      <c r="AT43" s="21"/>
    </row>
    <row r="44" spans="1:48">
      <c r="A44" s="429">
        <f>MAX($A$9:A43)+1</f>
        <v>36</v>
      </c>
      <c r="B44" s="299" t="s">
        <v>812</v>
      </c>
      <c r="C44" s="278" t="s">
        <v>813</v>
      </c>
      <c r="D44" s="864">
        <v>0</v>
      </c>
      <c r="E44" s="21">
        <v>0</v>
      </c>
      <c r="F44" s="857">
        <v>0</v>
      </c>
      <c r="H44" s="21"/>
      <c r="I44" s="21"/>
      <c r="J44" s="21"/>
      <c r="K44" s="21"/>
      <c r="L44" s="21"/>
      <c r="M44" s="21"/>
      <c r="N44" s="21"/>
      <c r="O44" s="21"/>
      <c r="P44" s="21"/>
      <c r="Q44" s="21"/>
      <c r="R44" s="21"/>
      <c r="S44" s="21"/>
      <c r="T44" s="21"/>
      <c r="U44" s="184"/>
      <c r="V44" s="184"/>
      <c r="W44" s="184"/>
      <c r="X44" s="184"/>
      <c r="Y44" s="21"/>
      <c r="Z44" s="21"/>
      <c r="AA44" s="21"/>
      <c r="AB44" s="21"/>
      <c r="AC44" s="21">
        <f t="shared" si="21"/>
        <v>0</v>
      </c>
      <c r="AD44" s="21">
        <f t="shared" si="22"/>
        <v>0</v>
      </c>
      <c r="AE44" s="49"/>
      <c r="AF44" s="21"/>
      <c r="AG44" s="21"/>
      <c r="AH44" s="21">
        <f t="shared" si="0"/>
        <v>0</v>
      </c>
      <c r="AI44" s="49"/>
      <c r="AJ44" s="184"/>
      <c r="AK44" s="184"/>
      <c r="AL44" s="184"/>
      <c r="AM44" s="21"/>
      <c r="AN44" s="184"/>
      <c r="AO44" s="184"/>
      <c r="AP44" s="184"/>
      <c r="AQ44" s="184"/>
      <c r="AR44" s="21">
        <f t="shared" si="23"/>
        <v>0</v>
      </c>
      <c r="AS44" s="21"/>
      <c r="AT44" s="21"/>
    </row>
    <row r="45" spans="1:48">
      <c r="A45" s="429">
        <f>MAX($A$9:A44)+1</f>
        <v>37</v>
      </c>
      <c r="B45" s="299" t="s">
        <v>814</v>
      </c>
      <c r="C45" s="278" t="s">
        <v>815</v>
      </c>
      <c r="D45" s="864">
        <v>0</v>
      </c>
      <c r="E45" s="21">
        <v>0</v>
      </c>
      <c r="F45" s="857">
        <v>0</v>
      </c>
      <c r="H45" s="21"/>
      <c r="I45" s="21"/>
      <c r="J45" s="21"/>
      <c r="K45" s="21"/>
      <c r="L45" s="21"/>
      <c r="M45" s="21"/>
      <c r="N45" s="21"/>
      <c r="O45" s="21"/>
      <c r="P45" s="21"/>
      <c r="Q45" s="21"/>
      <c r="R45" s="21"/>
      <c r="S45" s="21"/>
      <c r="T45" s="21"/>
      <c r="U45" s="184"/>
      <c r="V45" s="184"/>
      <c r="W45" s="184"/>
      <c r="X45" s="184"/>
      <c r="Y45" s="21"/>
      <c r="Z45" s="21"/>
      <c r="AA45" s="21"/>
      <c r="AB45" s="21"/>
      <c r="AC45" s="21">
        <f t="shared" si="21"/>
        <v>0</v>
      </c>
      <c r="AD45" s="21">
        <f t="shared" si="22"/>
        <v>0</v>
      </c>
      <c r="AE45" s="49"/>
      <c r="AF45" s="21"/>
      <c r="AG45" s="21"/>
      <c r="AH45" s="21">
        <f t="shared" si="0"/>
        <v>0</v>
      </c>
      <c r="AI45" s="49"/>
      <c r="AJ45" s="184"/>
      <c r="AK45" s="184"/>
      <c r="AL45" s="184"/>
      <c r="AM45" s="21"/>
      <c r="AN45" s="184"/>
      <c r="AO45" s="184"/>
      <c r="AP45" s="184"/>
      <c r="AQ45" s="184"/>
      <c r="AR45" s="21">
        <f t="shared" si="23"/>
        <v>0</v>
      </c>
      <c r="AS45" s="21"/>
      <c r="AT45" s="21"/>
    </row>
    <row r="46" spans="1:48">
      <c r="A46" s="429">
        <f>MAX($A$9:A45)+1</f>
        <v>38</v>
      </c>
      <c r="B46" s="299" t="s">
        <v>816</v>
      </c>
      <c r="C46" s="278" t="s">
        <v>817</v>
      </c>
      <c r="D46" s="864">
        <v>0</v>
      </c>
      <c r="E46" s="21">
        <v>0</v>
      </c>
      <c r="F46" s="857">
        <v>0</v>
      </c>
      <c r="H46" s="21"/>
      <c r="I46" s="21"/>
      <c r="J46" s="21"/>
      <c r="K46" s="21"/>
      <c r="L46" s="21"/>
      <c r="M46" s="21"/>
      <c r="N46" s="21"/>
      <c r="O46" s="21"/>
      <c r="P46" s="21"/>
      <c r="Q46" s="21"/>
      <c r="R46" s="21"/>
      <c r="S46" s="21"/>
      <c r="T46" s="21"/>
      <c r="U46" s="184"/>
      <c r="V46" s="184"/>
      <c r="W46" s="184"/>
      <c r="X46" s="184"/>
      <c r="Y46" s="21"/>
      <c r="Z46" s="21"/>
      <c r="AA46" s="21"/>
      <c r="AB46" s="21"/>
      <c r="AC46" s="21">
        <f t="shared" si="21"/>
        <v>0</v>
      </c>
      <c r="AD46" s="21">
        <f t="shared" si="22"/>
        <v>0</v>
      </c>
      <c r="AE46" s="49"/>
      <c r="AF46" s="21"/>
      <c r="AG46" s="21"/>
      <c r="AH46" s="21">
        <f t="shared" si="0"/>
        <v>0</v>
      </c>
      <c r="AI46" s="49"/>
      <c r="AJ46" s="184"/>
      <c r="AK46" s="184"/>
      <c r="AL46" s="184"/>
      <c r="AM46" s="21"/>
      <c r="AN46" s="184"/>
      <c r="AO46" s="184"/>
      <c r="AP46" s="184"/>
      <c r="AQ46" s="184"/>
      <c r="AR46" s="21">
        <f t="shared" si="23"/>
        <v>0</v>
      </c>
      <c r="AS46" s="21"/>
      <c r="AT46" s="21"/>
    </row>
    <row r="47" spans="1:48">
      <c r="A47" s="429">
        <f>MAX($A$9:A46)+1</f>
        <v>39</v>
      </c>
      <c r="B47" s="299" t="s">
        <v>818</v>
      </c>
      <c r="C47" s="278" t="s">
        <v>819</v>
      </c>
      <c r="D47" s="864">
        <v>0</v>
      </c>
      <c r="E47" s="21">
        <v>0</v>
      </c>
      <c r="F47" s="857">
        <v>0</v>
      </c>
      <c r="H47" s="21"/>
      <c r="I47" s="21"/>
      <c r="J47" s="21"/>
      <c r="K47" s="21"/>
      <c r="L47" s="21"/>
      <c r="M47" s="21"/>
      <c r="N47" s="21"/>
      <c r="O47" s="21"/>
      <c r="P47" s="21"/>
      <c r="Q47" s="21"/>
      <c r="R47" s="21"/>
      <c r="S47" s="21"/>
      <c r="T47" s="21"/>
      <c r="U47" s="184"/>
      <c r="V47" s="184"/>
      <c r="W47" s="184"/>
      <c r="X47" s="184"/>
      <c r="Y47" s="21"/>
      <c r="Z47" s="21"/>
      <c r="AA47" s="21"/>
      <c r="AB47" s="21"/>
      <c r="AC47" s="21">
        <f t="shared" si="21"/>
        <v>0</v>
      </c>
      <c r="AD47" s="21">
        <f t="shared" si="22"/>
        <v>0</v>
      </c>
      <c r="AE47" s="49"/>
      <c r="AF47" s="21"/>
      <c r="AG47" s="21"/>
      <c r="AH47" s="21">
        <f t="shared" si="0"/>
        <v>0</v>
      </c>
      <c r="AI47" s="49"/>
      <c r="AJ47" s="184"/>
      <c r="AK47" s="184"/>
      <c r="AL47" s="184"/>
      <c r="AM47" s="21"/>
      <c r="AN47" s="184"/>
      <c r="AO47" s="184"/>
      <c r="AP47" s="184"/>
      <c r="AQ47" s="184"/>
      <c r="AR47" s="21">
        <f t="shared" si="23"/>
        <v>0</v>
      </c>
      <c r="AS47" s="21"/>
      <c r="AT47" s="21"/>
    </row>
    <row r="48" spans="1:48">
      <c r="A48" s="429">
        <f>MAX($A$9:A47)+1</f>
        <v>40</v>
      </c>
      <c r="B48" s="299" t="s">
        <v>820</v>
      </c>
      <c r="C48" s="278" t="s">
        <v>821</v>
      </c>
      <c r="D48" s="864">
        <v>0</v>
      </c>
      <c r="E48" s="21">
        <v>0</v>
      </c>
      <c r="F48" s="857">
        <v>0</v>
      </c>
      <c r="H48" s="21"/>
      <c r="I48" s="21"/>
      <c r="J48" s="21"/>
      <c r="K48" s="21"/>
      <c r="L48" s="21"/>
      <c r="M48" s="21"/>
      <c r="N48" s="21"/>
      <c r="O48" s="21"/>
      <c r="P48" s="21"/>
      <c r="Q48" s="21"/>
      <c r="R48" s="21"/>
      <c r="S48" s="21"/>
      <c r="T48" s="21"/>
      <c r="U48" s="184"/>
      <c r="V48" s="184"/>
      <c r="W48" s="184"/>
      <c r="X48" s="184"/>
      <c r="Y48" s="21"/>
      <c r="Z48" s="21"/>
      <c r="AA48" s="21"/>
      <c r="AB48" s="21"/>
      <c r="AC48" s="21">
        <f t="shared" si="21"/>
        <v>0</v>
      </c>
      <c r="AD48" s="21">
        <f t="shared" si="22"/>
        <v>0</v>
      </c>
      <c r="AE48" s="49"/>
      <c r="AF48" s="21"/>
      <c r="AG48" s="21"/>
      <c r="AH48" s="21">
        <f t="shared" si="0"/>
        <v>0</v>
      </c>
      <c r="AI48" s="49"/>
      <c r="AJ48" s="184"/>
      <c r="AK48" s="184"/>
      <c r="AL48" s="184"/>
      <c r="AM48" s="21"/>
      <c r="AN48" s="184"/>
      <c r="AO48" s="184"/>
      <c r="AP48" s="184"/>
      <c r="AQ48" s="184"/>
      <c r="AR48" s="21">
        <f t="shared" si="23"/>
        <v>0</v>
      </c>
      <c r="AS48" s="21"/>
      <c r="AT48" s="21"/>
    </row>
    <row r="49" spans="1:48">
      <c r="A49" s="429">
        <f>MAX($A$9:A48)+1</f>
        <v>41</v>
      </c>
      <c r="B49" s="299" t="s">
        <v>822</v>
      </c>
      <c r="C49" s="278" t="s">
        <v>823</v>
      </c>
      <c r="D49" s="864">
        <v>0</v>
      </c>
      <c r="E49" s="21">
        <v>0</v>
      </c>
      <c r="F49" s="857">
        <v>0</v>
      </c>
      <c r="H49" s="21"/>
      <c r="I49" s="21"/>
      <c r="J49" s="21"/>
      <c r="K49" s="21"/>
      <c r="L49" s="21"/>
      <c r="M49" s="21"/>
      <c r="N49" s="21"/>
      <c r="O49" s="21"/>
      <c r="P49" s="21"/>
      <c r="Q49" s="21"/>
      <c r="R49" s="21"/>
      <c r="S49" s="21"/>
      <c r="T49" s="21"/>
      <c r="U49" s="184"/>
      <c r="V49" s="184"/>
      <c r="W49" s="184"/>
      <c r="X49" s="184"/>
      <c r="Y49" s="21"/>
      <c r="Z49" s="21"/>
      <c r="AA49" s="21"/>
      <c r="AB49" s="21"/>
      <c r="AC49" s="21">
        <f t="shared" si="21"/>
        <v>0</v>
      </c>
      <c r="AD49" s="21">
        <f t="shared" si="22"/>
        <v>0</v>
      </c>
      <c r="AE49" s="49"/>
      <c r="AF49" s="21"/>
      <c r="AG49" s="21"/>
      <c r="AH49" s="21">
        <f t="shared" si="0"/>
        <v>0</v>
      </c>
      <c r="AI49" s="49"/>
      <c r="AJ49" s="184"/>
      <c r="AK49" s="184"/>
      <c r="AL49" s="184"/>
      <c r="AM49" s="21"/>
      <c r="AN49" s="184"/>
      <c r="AO49" s="184"/>
      <c r="AP49" s="184"/>
      <c r="AQ49" s="184"/>
      <c r="AR49" s="21">
        <f t="shared" si="23"/>
        <v>0</v>
      </c>
      <c r="AS49" s="21"/>
      <c r="AT49" s="21"/>
    </row>
    <row r="50" spans="1:48">
      <c r="A50" s="429">
        <f>MAX($A$9:A49)+1</f>
        <v>42</v>
      </c>
      <c r="B50" s="299" t="s">
        <v>824</v>
      </c>
      <c r="C50" s="278" t="s">
        <v>825</v>
      </c>
      <c r="D50" s="864">
        <v>0</v>
      </c>
      <c r="E50" s="21">
        <v>0</v>
      </c>
      <c r="F50" s="857">
        <v>0</v>
      </c>
      <c r="H50" s="21"/>
      <c r="I50" s="21"/>
      <c r="J50" s="21"/>
      <c r="K50" s="21"/>
      <c r="L50" s="21"/>
      <c r="M50" s="21"/>
      <c r="N50" s="21"/>
      <c r="O50" s="21"/>
      <c r="P50" s="21"/>
      <c r="Q50" s="21"/>
      <c r="R50" s="21"/>
      <c r="S50" s="21"/>
      <c r="T50" s="21"/>
      <c r="U50" s="184"/>
      <c r="V50" s="184"/>
      <c r="W50" s="184"/>
      <c r="X50" s="184"/>
      <c r="Y50" s="21"/>
      <c r="Z50" s="21"/>
      <c r="AA50" s="21"/>
      <c r="AB50" s="21"/>
      <c r="AC50" s="21">
        <f t="shared" si="21"/>
        <v>0</v>
      </c>
      <c r="AD50" s="21">
        <f t="shared" si="22"/>
        <v>0</v>
      </c>
      <c r="AE50" s="49"/>
      <c r="AF50" s="21"/>
      <c r="AG50" s="21"/>
      <c r="AH50" s="21">
        <f t="shared" si="0"/>
        <v>0</v>
      </c>
      <c r="AI50" s="49"/>
      <c r="AJ50" s="184"/>
      <c r="AK50" s="184"/>
      <c r="AL50" s="184"/>
      <c r="AM50" s="21"/>
      <c r="AN50" s="184"/>
      <c r="AO50" s="184"/>
      <c r="AP50" s="184"/>
      <c r="AQ50" s="184"/>
      <c r="AR50" s="21">
        <f t="shared" si="23"/>
        <v>0</v>
      </c>
      <c r="AS50" s="21"/>
      <c r="AT50" s="21"/>
    </row>
    <row r="51" spans="1:48">
      <c r="A51" s="429">
        <f>MAX($A$9:A50)+1</f>
        <v>43</v>
      </c>
      <c r="B51" s="299" t="s">
        <v>826</v>
      </c>
      <c r="C51" s="278" t="s">
        <v>827</v>
      </c>
      <c r="D51" s="864">
        <v>0</v>
      </c>
      <c r="E51" s="21">
        <v>0</v>
      </c>
      <c r="F51" s="857">
        <v>0</v>
      </c>
      <c r="H51" s="21"/>
      <c r="I51" s="21"/>
      <c r="J51" s="21"/>
      <c r="K51" s="21"/>
      <c r="L51" s="21"/>
      <c r="M51" s="21"/>
      <c r="N51" s="21"/>
      <c r="O51" s="21"/>
      <c r="P51" s="21"/>
      <c r="Q51" s="21"/>
      <c r="R51" s="21"/>
      <c r="S51" s="21"/>
      <c r="T51" s="21"/>
      <c r="U51" s="184"/>
      <c r="V51" s="184"/>
      <c r="W51" s="184"/>
      <c r="X51" s="184"/>
      <c r="Y51" s="21"/>
      <c r="Z51" s="21"/>
      <c r="AA51" s="21"/>
      <c r="AB51" s="21"/>
      <c r="AC51" s="21">
        <f t="shared" si="21"/>
        <v>0</v>
      </c>
      <c r="AD51" s="21">
        <f t="shared" si="22"/>
        <v>0</v>
      </c>
      <c r="AE51" s="49"/>
      <c r="AF51" s="21"/>
      <c r="AG51" s="21"/>
      <c r="AH51" s="21">
        <f t="shared" si="0"/>
        <v>0</v>
      </c>
      <c r="AI51" s="49"/>
      <c r="AJ51" s="184"/>
      <c r="AK51" s="184"/>
      <c r="AL51" s="184"/>
      <c r="AM51" s="21"/>
      <c r="AN51" s="184"/>
      <c r="AO51" s="184"/>
      <c r="AP51" s="184"/>
      <c r="AQ51" s="184"/>
      <c r="AR51" s="21">
        <f t="shared" si="23"/>
        <v>0</v>
      </c>
      <c r="AS51" s="21"/>
      <c r="AT51" s="21"/>
    </row>
    <row r="52" spans="1:48">
      <c r="A52" s="429">
        <f>MAX($A$9:A51)+1</f>
        <v>44</v>
      </c>
      <c r="B52" s="298" t="s">
        <v>828</v>
      </c>
      <c r="C52" s="279"/>
      <c r="D52" s="865">
        <f>SUM(D41:D51)</f>
        <v>0</v>
      </c>
      <c r="E52" s="517">
        <f>SUM(E41:E51)</f>
        <v>0</v>
      </c>
      <c r="F52" s="853">
        <f>SUM(F41:F51)</f>
        <v>0</v>
      </c>
      <c r="H52" s="853">
        <f>SUM(H41:H51)</f>
        <v>0</v>
      </c>
      <c r="I52" s="853">
        <f>SUM(I41:I51)</f>
        <v>0</v>
      </c>
      <c r="J52" s="853">
        <f>SUM(J41:J51)</f>
        <v>0</v>
      </c>
      <c r="K52" s="853">
        <f>SUM(K41:K51)</f>
        <v>0</v>
      </c>
      <c r="L52" s="853">
        <f t="shared" ref="L52:S52" si="24">SUM(L41:L51)</f>
        <v>0</v>
      </c>
      <c r="M52" s="853">
        <f t="shared" si="24"/>
        <v>0</v>
      </c>
      <c r="N52" s="853">
        <f t="shared" si="24"/>
        <v>0</v>
      </c>
      <c r="O52" s="853">
        <f t="shared" si="24"/>
        <v>0</v>
      </c>
      <c r="P52" s="853">
        <f t="shared" si="24"/>
        <v>0</v>
      </c>
      <c r="Q52" s="853">
        <f t="shared" si="24"/>
        <v>0</v>
      </c>
      <c r="R52" s="853">
        <f t="shared" si="24"/>
        <v>0</v>
      </c>
      <c r="S52" s="853">
        <f t="shared" si="24"/>
        <v>0</v>
      </c>
      <c r="T52" s="853">
        <f t="shared" ref="T52:AD52" si="25">SUM(T41:T51)</f>
        <v>0</v>
      </c>
      <c r="U52" s="854">
        <f t="shared" si="25"/>
        <v>0</v>
      </c>
      <c r="V52" s="854">
        <f t="shared" si="25"/>
        <v>0</v>
      </c>
      <c r="W52" s="853">
        <f t="shared" si="25"/>
        <v>0</v>
      </c>
      <c r="X52" s="853">
        <f t="shared" si="25"/>
        <v>0</v>
      </c>
      <c r="Y52" s="853">
        <f>SUM(Y41:Y51)</f>
        <v>0</v>
      </c>
      <c r="Z52" s="853">
        <f>SUM(Z41:Z51)</f>
        <v>0</v>
      </c>
      <c r="AA52" s="853">
        <f>SUM(AA41:AA51)</f>
        <v>0</v>
      </c>
      <c r="AB52" s="853">
        <f t="shared" si="25"/>
        <v>0</v>
      </c>
      <c r="AC52" s="853">
        <f t="shared" si="25"/>
        <v>0</v>
      </c>
      <c r="AD52" s="853">
        <f t="shared" si="25"/>
        <v>0</v>
      </c>
      <c r="AE52" s="49"/>
      <c r="AF52" s="853">
        <f>SUM(AF41:AF51)</f>
        <v>0</v>
      </c>
      <c r="AG52" s="853">
        <f>SUM(AG41:AG51)</f>
        <v>0</v>
      </c>
      <c r="AH52" s="853">
        <f t="shared" si="0"/>
        <v>0</v>
      </c>
      <c r="AI52" s="49"/>
      <c r="AJ52" s="854">
        <f t="shared" ref="AJ52:AQ52" si="26">SUM(AJ41:AJ51)</f>
        <v>0</v>
      </c>
      <c r="AK52" s="854">
        <f t="shared" si="26"/>
        <v>0</v>
      </c>
      <c r="AL52" s="854">
        <f>SUM(AL41:AL51)</f>
        <v>0</v>
      </c>
      <c r="AM52" s="854">
        <f t="shared" si="26"/>
        <v>0</v>
      </c>
      <c r="AN52" s="854">
        <f t="shared" si="26"/>
        <v>0</v>
      </c>
      <c r="AO52" s="854">
        <f t="shared" si="26"/>
        <v>0</v>
      </c>
      <c r="AP52" s="854">
        <f t="shared" si="26"/>
        <v>0</v>
      </c>
      <c r="AQ52" s="854">
        <f t="shared" si="26"/>
        <v>0</v>
      </c>
      <c r="AR52" s="853">
        <f t="shared" si="23"/>
        <v>0</v>
      </c>
      <c r="AS52" s="49"/>
      <c r="AT52" s="21"/>
    </row>
    <row r="53" spans="1:48">
      <c r="A53" s="429">
        <f>MAX($A$9:A52)+1</f>
        <v>45</v>
      </c>
      <c r="B53" s="303"/>
      <c r="C53" s="276"/>
      <c r="D53" s="864"/>
      <c r="E53" s="21"/>
      <c r="F53" s="857"/>
      <c r="H53" s="857"/>
      <c r="I53" s="857"/>
      <c r="J53" s="857"/>
      <c r="K53" s="857"/>
      <c r="L53" s="857"/>
      <c r="M53" s="857"/>
      <c r="N53" s="857"/>
      <c r="O53" s="857"/>
      <c r="P53" s="857"/>
      <c r="Q53" s="857"/>
      <c r="R53" s="857"/>
      <c r="S53" s="857"/>
      <c r="T53" s="857"/>
      <c r="U53" s="599"/>
      <c r="V53" s="599"/>
      <c r="W53" s="857"/>
      <c r="X53" s="857"/>
      <c r="Y53" s="857"/>
      <c r="Z53" s="857"/>
      <c r="AA53" s="857"/>
      <c r="AB53" s="857"/>
      <c r="AC53" s="857"/>
      <c r="AD53" s="857"/>
      <c r="AE53" s="49"/>
      <c r="AF53" s="857"/>
      <c r="AG53" s="857"/>
      <c r="AH53" s="857"/>
      <c r="AI53" s="49"/>
      <c r="AJ53" s="599"/>
      <c r="AK53" s="599"/>
      <c r="AL53" s="599"/>
      <c r="AM53" s="599"/>
      <c r="AN53" s="599"/>
      <c r="AO53" s="599"/>
      <c r="AP53" s="599"/>
      <c r="AQ53" s="599"/>
      <c r="AR53" s="857"/>
      <c r="AS53" s="49"/>
      <c r="AT53" s="21"/>
    </row>
    <row r="54" spans="1:48">
      <c r="A54" s="429">
        <f>MAX($A$9:A53)+1</f>
        <v>46</v>
      </c>
      <c r="B54" s="299" t="s">
        <v>829</v>
      </c>
      <c r="C54" s="278" t="s">
        <v>555</v>
      </c>
      <c r="D54" s="867">
        <v>32918615.609999999</v>
      </c>
      <c r="E54" s="868">
        <v>0</v>
      </c>
      <c r="F54" s="858">
        <f>SUM(D54:E54)</f>
        <v>32918615.609999999</v>
      </c>
      <c r="H54" s="859">
        <f>'Suppl Sch Adj'!J17</f>
        <v>-9559397.3844596501</v>
      </c>
      <c r="I54" s="858">
        <f>+I29*(+'Exh JAD-6, Conversion Factor'!$C$11+'Exh JAD-6, Conversion Factor'!$C$12)</f>
        <v>-75451.059526024866</v>
      </c>
      <c r="J54" s="858">
        <f>+J29*(+'Exh JAD-6, Conversion Factor'!$C$11+'Exh JAD-6, Conversion Factor'!$C$12)</f>
        <v>18549.223558388872</v>
      </c>
      <c r="K54" s="858">
        <f>+K29*(+'Exh JAD-6, Conversion Factor'!$C$11+'Exh JAD-6, Conversion Factor'!$C$12)</f>
        <v>77895.144936777986</v>
      </c>
      <c r="L54" s="858">
        <f>+L29*(+'Exh JAD-6, Conversion Factor'!$C$11+'Exh JAD-6, Conversion Factor'!$C$12)</f>
        <v>0</v>
      </c>
      <c r="M54" s="858">
        <f>+M29*(+'Exh JAD-6, Conversion Factor'!$C$11+'Exh JAD-6, Conversion Factor'!$C$12)</f>
        <v>0</v>
      </c>
      <c r="N54" s="858">
        <f>+N29*(+'Exh JAD-6, Conversion Factor'!$C$11+'Exh JAD-6, Conversion Factor'!$C$12)</f>
        <v>0</v>
      </c>
      <c r="O54" s="858">
        <f>+O29*(+'Exh JAD-6, Conversion Factor'!$C$11+'Exh JAD-6, Conversion Factor'!$C$12)</f>
        <v>0</v>
      </c>
      <c r="P54" s="858">
        <f>+P29*(+'Exh JAD-6, Conversion Factor'!$C$11+'Exh JAD-6, Conversion Factor'!$C$12)</f>
        <v>0</v>
      </c>
      <c r="Q54" s="858">
        <f>+Q29*(+'Exh JAD-6, Conversion Factor'!$C$11+'Exh JAD-6, Conversion Factor'!$C$12)</f>
        <v>0</v>
      </c>
      <c r="R54" s="858">
        <f>'Commission Fees'!C14</f>
        <v>364822.07815271209</v>
      </c>
      <c r="S54" s="858">
        <f>+S29*(+'Exh JAD-6, Conversion Factor'!$C$11+'Exh JAD-6, Conversion Factor'!$C$12)</f>
        <v>0</v>
      </c>
      <c r="T54" s="858">
        <f>+T29*(+'Exh JAD-6, Conversion Factor'!$C$11+'Exh JAD-6, Conversion Factor'!$C$12)</f>
        <v>0</v>
      </c>
      <c r="U54" s="859">
        <f>+U29*(+'Exh JAD-6, Conversion Factor'!$C$11+'Exh JAD-6, Conversion Factor'!$C$12)</f>
        <v>0</v>
      </c>
      <c r="V54" s="858">
        <f>+V29*(+'Exh JAD-6, Conversion Factor'!$C$11+'Exh JAD-6, Conversion Factor'!$C$12)</f>
        <v>0</v>
      </c>
      <c r="W54" s="858">
        <f>+W29*(+'Exh JAD-6, Conversion Factor'!$C$11+'Exh JAD-6, Conversion Factor'!$C$12)</f>
        <v>0</v>
      </c>
      <c r="X54" s="858">
        <f>+X29*(+'Exh JAD-6, Conversion Factor'!$C$11+'Exh JAD-6, Conversion Factor'!$C$12)</f>
        <v>0</v>
      </c>
      <c r="Y54" s="858">
        <f>+Y29*(+'Exh JAD-6, Conversion Factor'!$C$11+'Exh JAD-6, Conversion Factor'!$C$12)</f>
        <v>0</v>
      </c>
      <c r="Z54" s="858">
        <f>+Z29*(+'Exh JAD-6, Conversion Factor'!$C$11+'Exh JAD-6, Conversion Factor'!$C$12)</f>
        <v>0</v>
      </c>
      <c r="AA54" s="858">
        <f>+AA29*(+'Exh JAD-6, Conversion Factor'!$C$11+'Exh JAD-6, Conversion Factor'!$C$12)</f>
        <v>0</v>
      </c>
      <c r="AB54" s="858">
        <f>+AB29*(+'Exh JAD-6, Conversion Factor'!$C$11+'Exh JAD-6, Conversion Factor'!$C$12)</f>
        <v>0</v>
      </c>
      <c r="AC54" s="867">
        <f>SUM(H54:AB54)</f>
        <v>-9173581.9973377958</v>
      </c>
      <c r="AD54" s="868">
        <f>+F54+AC54</f>
        <v>23745033.612662204</v>
      </c>
      <c r="AE54" s="49"/>
      <c r="AF54" s="858">
        <f>+AF29*(+'Exh JAD-6, Conversion Factor'!$C$11+'Exh JAD-6, Conversion Factor'!$C$12)</f>
        <v>0</v>
      </c>
      <c r="AG54" s="858">
        <f>+AG29*(+'Exh JAD-6, Conversion Factor'!$C$11+'Exh JAD-6, Conversion Factor'!$C$12)</f>
        <v>66819.203878491579</v>
      </c>
      <c r="AH54" s="858">
        <f t="shared" si="0"/>
        <v>66819.203878491579</v>
      </c>
      <c r="AI54" s="49"/>
      <c r="AJ54" s="858">
        <f>+AJ29*(+'Exh JAD-6, Conversion Factor'!$C$11+'Exh JAD-6, Conversion Factor'!$C$12)</f>
        <v>0</v>
      </c>
      <c r="AK54" s="858">
        <f>+AK29*(+'Exh JAD-6, Conversion Factor'!$C$11+'Exh JAD-6, Conversion Factor'!$C$12)</f>
        <v>87041.7524888474</v>
      </c>
      <c r="AL54" s="859">
        <f>+AL29*(+'Exh JAD-6, Conversion Factor'!$C$11+'Exh JAD-6, Conversion Factor'!$C$12)</f>
        <v>0</v>
      </c>
      <c r="AM54" s="859">
        <f>+AM29*(+'Exh JAD-6, Conversion Factor'!$C$11+'Exh JAD-6, Conversion Factor'!$C$12)</f>
        <v>0</v>
      </c>
      <c r="AN54" s="858">
        <f>+AN29*(+'Exh JAD-6, Conversion Factor'!$C$11+'Exh JAD-6, Conversion Factor'!$C$12)</f>
        <v>0</v>
      </c>
      <c r="AO54" s="858">
        <f>+AO29*(+'Exh JAD-6, Conversion Factor'!$C$11+'Exh JAD-6, Conversion Factor'!$C$12)</f>
        <v>0</v>
      </c>
      <c r="AP54" s="858">
        <f>+AP29*(+'Exh JAD-6, Conversion Factor'!$C$11+'Exh JAD-6, Conversion Factor'!$C$12)</f>
        <v>0</v>
      </c>
      <c r="AQ54" s="858">
        <f>+AQ29*(+'Exh JAD-6, Conversion Factor'!$C$11+'Exh JAD-6, Conversion Factor'!$C$12)</f>
        <v>0</v>
      </c>
      <c r="AR54" s="858">
        <f>SUM(AJ54:AQ54)</f>
        <v>87041.7524888474</v>
      </c>
      <c r="AS54" s="49"/>
      <c r="AT54" s="21">
        <f>AD54-'Exh JAD-3 ROO Summary'!G17</f>
        <v>0</v>
      </c>
      <c r="AU54" s="42">
        <f>AH54-'Exh JAD-4 MYRP Summary'!D17</f>
        <v>0</v>
      </c>
      <c r="AV54" s="42">
        <f>AR54-'Exh JAD-4 MYRP Summary'!J17</f>
        <v>0</v>
      </c>
    </row>
    <row r="55" spans="1:48" ht="15.75" thickBot="1">
      <c r="A55" s="429">
        <f>MAX($A$9:A54)+1</f>
        <v>47</v>
      </c>
      <c r="B55" s="298" t="s">
        <v>830</v>
      </c>
      <c r="C55" s="276"/>
      <c r="D55" s="866">
        <f>D29-D38-D54</f>
        <v>130044414.23</v>
      </c>
      <c r="E55" s="861">
        <f>E29-E38-E54</f>
        <v>427528.49999999994</v>
      </c>
      <c r="F55" s="855">
        <f>F29-F38-F54</f>
        <v>130471942.73</v>
      </c>
      <c r="H55" s="855">
        <f t="shared" ref="H55:R55" si="27">H29-H38-H54</f>
        <v>-8695639.2191842441</v>
      </c>
      <c r="I55" s="855">
        <f t="shared" si="27"/>
        <v>-1699032.936852735</v>
      </c>
      <c r="J55" s="855">
        <f t="shared" si="27"/>
        <v>417697.80274426565</v>
      </c>
      <c r="K55" s="855">
        <f t="shared" si="27"/>
        <v>1754069.6936516038</v>
      </c>
      <c r="L55" s="855">
        <f t="shared" si="27"/>
        <v>0</v>
      </c>
      <c r="M55" s="855">
        <f t="shared" si="27"/>
        <v>0</v>
      </c>
      <c r="N55" s="855">
        <f t="shared" si="27"/>
        <v>0</v>
      </c>
      <c r="O55" s="855">
        <f t="shared" si="27"/>
        <v>0</v>
      </c>
      <c r="P55" s="855">
        <f t="shared" si="27"/>
        <v>0</v>
      </c>
      <c r="Q55" s="855">
        <f t="shared" si="27"/>
        <v>0</v>
      </c>
      <c r="R55" s="855">
        <f t="shared" si="27"/>
        <v>-364822.07815271209</v>
      </c>
      <c r="S55" s="855">
        <f t="shared" ref="S55:AD55" si="28">S29-S38-S54</f>
        <v>0</v>
      </c>
      <c r="T55" s="855">
        <f t="shared" si="28"/>
        <v>0</v>
      </c>
      <c r="U55" s="856">
        <f t="shared" si="28"/>
        <v>0</v>
      </c>
      <c r="V55" s="856">
        <f t="shared" si="28"/>
        <v>0</v>
      </c>
      <c r="W55" s="855">
        <f t="shared" si="28"/>
        <v>0</v>
      </c>
      <c r="X55" s="855">
        <f t="shared" si="28"/>
        <v>0</v>
      </c>
      <c r="Y55" s="855">
        <f>Y29-Y38-Y54</f>
        <v>0</v>
      </c>
      <c r="Z55" s="855">
        <f>Z29-Z38-Z54</f>
        <v>0</v>
      </c>
      <c r="AA55" s="855">
        <f>AA29-AA38-AA54</f>
        <v>0</v>
      </c>
      <c r="AB55" s="855">
        <f t="shared" si="28"/>
        <v>0</v>
      </c>
      <c r="AC55" s="855">
        <f t="shared" si="28"/>
        <v>-8587726.7377937958</v>
      </c>
      <c r="AD55" s="855">
        <f t="shared" si="28"/>
        <v>121884215.99220619</v>
      </c>
      <c r="AE55" s="49"/>
      <c r="AF55" s="855">
        <f>AF29-AF38-AF54</f>
        <v>0</v>
      </c>
      <c r="AG55" s="855">
        <f>AG29-AG38-AG54</f>
        <v>1504657.8393597861</v>
      </c>
      <c r="AH55" s="855">
        <f t="shared" si="0"/>
        <v>1504657.8393597861</v>
      </c>
      <c r="AI55" s="49"/>
      <c r="AJ55" s="856">
        <f t="shared" ref="AJ55:AQ55" si="29">AJ29-AJ38-AJ54</f>
        <v>0</v>
      </c>
      <c r="AK55" s="856">
        <f>AK29-AK38-AK54</f>
        <v>1960036.151764384</v>
      </c>
      <c r="AL55" s="856">
        <f>AL29-AL38-AL54</f>
        <v>0</v>
      </c>
      <c r="AM55" s="856">
        <f t="shared" si="29"/>
        <v>0</v>
      </c>
      <c r="AN55" s="856">
        <f t="shared" si="29"/>
        <v>0</v>
      </c>
      <c r="AO55" s="856">
        <f t="shared" si="29"/>
        <v>0</v>
      </c>
      <c r="AP55" s="856">
        <f t="shared" si="29"/>
        <v>0</v>
      </c>
      <c r="AQ55" s="856">
        <f t="shared" si="29"/>
        <v>0</v>
      </c>
      <c r="AR55" s="855">
        <f>SUM(AJ55:AQ55)</f>
        <v>1960036.151764384</v>
      </c>
      <c r="AS55" s="49"/>
      <c r="AT55" s="21"/>
    </row>
    <row r="56" spans="1:48" ht="15.75" thickTop="1">
      <c r="A56" s="429">
        <f>MAX($A$9:A55)+1</f>
        <v>48</v>
      </c>
      <c r="B56" s="303"/>
      <c r="C56" s="276"/>
      <c r="D56" s="864"/>
      <c r="E56" s="21"/>
      <c r="F56" s="857"/>
      <c r="H56" s="21"/>
      <c r="I56" s="21"/>
      <c r="J56" s="21"/>
      <c r="K56" s="21"/>
      <c r="L56" s="21"/>
      <c r="M56" s="21"/>
      <c r="N56" s="21"/>
      <c r="O56" s="21"/>
      <c r="P56" s="21"/>
      <c r="Q56" s="21"/>
      <c r="R56" s="21"/>
      <c r="S56" s="21"/>
      <c r="T56" s="21"/>
      <c r="U56" s="184"/>
      <c r="V56" s="184"/>
      <c r="W56" s="184"/>
      <c r="X56" s="184"/>
      <c r="Y56" s="21"/>
      <c r="Z56" s="21"/>
      <c r="AA56" s="21"/>
      <c r="AB56" s="21"/>
      <c r="AC56" s="21"/>
      <c r="AD56" s="21"/>
      <c r="AE56" s="49"/>
      <c r="AF56" s="21"/>
      <c r="AG56" s="21"/>
      <c r="AH56" s="21"/>
      <c r="AI56" s="49"/>
      <c r="AJ56" s="184"/>
      <c r="AK56" s="184"/>
      <c r="AL56" s="184"/>
      <c r="AM56" s="21"/>
      <c r="AN56" s="184"/>
      <c r="AO56" s="184"/>
      <c r="AP56" s="184"/>
      <c r="AQ56" s="184"/>
      <c r="AR56" s="21"/>
      <c r="AS56" s="21"/>
      <c r="AT56" s="21"/>
    </row>
    <row r="57" spans="1:48">
      <c r="A57" s="429">
        <f>MAX($A$9:A56)+1</f>
        <v>49</v>
      </c>
      <c r="B57" s="298" t="s">
        <v>831</v>
      </c>
      <c r="C57" s="276"/>
      <c r="D57" s="864"/>
      <c r="E57" s="21"/>
      <c r="F57" s="857"/>
      <c r="H57" s="21"/>
      <c r="I57" s="21"/>
      <c r="J57" s="21"/>
      <c r="K57" s="21"/>
      <c r="L57" s="21"/>
      <c r="M57" s="21"/>
      <c r="N57" s="21"/>
      <c r="O57" s="21"/>
      <c r="P57" s="21"/>
      <c r="Q57" s="21"/>
      <c r="R57" s="21"/>
      <c r="S57" s="21"/>
      <c r="T57" s="21"/>
      <c r="U57" s="184"/>
      <c r="V57" s="184"/>
      <c r="W57" s="184"/>
      <c r="X57" s="184"/>
      <c r="Y57" s="21"/>
      <c r="Z57" s="21"/>
      <c r="AA57" s="21"/>
      <c r="AB57" s="21"/>
      <c r="AC57" s="21"/>
      <c r="AD57" s="21"/>
      <c r="AE57" s="49"/>
      <c r="AF57" s="21"/>
      <c r="AG57" s="21"/>
      <c r="AH57" s="21"/>
      <c r="AI57" s="49"/>
      <c r="AJ57" s="184"/>
      <c r="AK57" s="184"/>
      <c r="AL57" s="184"/>
      <c r="AM57" s="21"/>
      <c r="AN57" s="184"/>
      <c r="AO57" s="184"/>
      <c r="AP57" s="184"/>
      <c r="AQ57" s="184"/>
      <c r="AR57" s="21"/>
      <c r="AS57" s="21"/>
      <c r="AT57" s="21"/>
    </row>
    <row r="58" spans="1:48">
      <c r="A58" s="429">
        <f>MAX($A$9:A57)+1</f>
        <v>50</v>
      </c>
      <c r="B58" s="304">
        <v>813</v>
      </c>
      <c r="C58" s="278" t="s">
        <v>832</v>
      </c>
      <c r="D58" s="864">
        <v>2195.13</v>
      </c>
      <c r="E58" s="21">
        <v>583215.18000000005</v>
      </c>
      <c r="F58" s="857">
        <f>SUM(D58:E58)</f>
        <v>585410.31000000006</v>
      </c>
      <c r="H58" s="21"/>
      <c r="I58" s="21"/>
      <c r="J58" s="21"/>
      <c r="K58" s="21"/>
      <c r="L58" s="21"/>
      <c r="M58" s="21"/>
      <c r="N58" s="21">
        <f>SUMIF('Incentives Adj'!$B$42:$B$63,B58,'Incentives Adj'!$E$42:$E$63)</f>
        <v>-33688.839999999997</v>
      </c>
      <c r="O58" s="21"/>
      <c r="P58" s="21"/>
      <c r="Q58" s="21"/>
      <c r="R58" s="21"/>
      <c r="S58" s="21"/>
      <c r="T58" s="21"/>
      <c r="U58" s="184">
        <f>+'Wage Adjustments'!K19+'Wage Adjustments'!K72</f>
        <v>16334.516615</v>
      </c>
      <c r="V58" s="184"/>
      <c r="W58" s="184"/>
      <c r="X58" s="184"/>
      <c r="Y58" s="21"/>
      <c r="Z58" s="21"/>
      <c r="AA58" s="21"/>
      <c r="AB58" s="21">
        <f>'O&amp;M Adj'!M28</f>
        <v>4038.8167840976989</v>
      </c>
      <c r="AC58" s="21">
        <f>SUM(H58:AB58)</f>
        <v>-13315.506600902298</v>
      </c>
      <c r="AD58" s="21">
        <f>+F58+AC58</f>
        <v>572094.80339909776</v>
      </c>
      <c r="AE58" s="49"/>
      <c r="AF58" s="21"/>
      <c r="AG58" s="21"/>
      <c r="AH58" s="21">
        <f t="shared" si="0"/>
        <v>0</v>
      </c>
      <c r="AI58" s="49"/>
      <c r="AJ58" s="21"/>
      <c r="AK58" s="21"/>
      <c r="AL58" s="184">
        <f>+'Wage Adjustments'!N19+'Wage Adjustments'!N72</f>
        <v>11243.0186646</v>
      </c>
      <c r="AM58" s="21"/>
      <c r="AN58" s="184"/>
      <c r="AO58" s="184"/>
      <c r="AP58" s="184"/>
      <c r="AQ58" s="184">
        <f>'O&amp;M Adj'!N28</f>
        <v>4100.2424232633784</v>
      </c>
      <c r="AR58" s="21">
        <f t="shared" ref="AR58:AR74" si="30">SUM(AJ58:AQ58)</f>
        <v>15343.261087863379</v>
      </c>
      <c r="AS58" s="21"/>
      <c r="AT58" s="21">
        <f>AD58-'Exh JAD-3 ROO Summary'!G18</f>
        <v>0</v>
      </c>
      <c r="AU58" s="42">
        <f>AH58-'Exh JAD-4 MYRP Summary'!D18</f>
        <v>0</v>
      </c>
      <c r="AV58" s="42">
        <f>AR58-'Exh JAD-4 MYRP Summary'!J18</f>
        <v>0</v>
      </c>
    </row>
    <row r="59" spans="1:48">
      <c r="A59" s="429">
        <f>MAX($A$9:A58)+1</f>
        <v>51</v>
      </c>
      <c r="B59" s="304"/>
      <c r="C59" s="278"/>
      <c r="D59" s="864"/>
      <c r="E59" s="21"/>
      <c r="F59" s="857"/>
      <c r="H59" s="21"/>
      <c r="I59" s="21"/>
      <c r="J59" s="21"/>
      <c r="K59" s="21"/>
      <c r="L59" s="21"/>
      <c r="M59" s="21"/>
      <c r="N59" s="21"/>
      <c r="O59" s="21"/>
      <c r="P59" s="21"/>
      <c r="Q59" s="21"/>
      <c r="R59" s="21"/>
      <c r="S59" s="21"/>
      <c r="T59" s="21"/>
      <c r="U59" s="184"/>
      <c r="V59" s="184"/>
      <c r="W59" s="184"/>
      <c r="X59" s="184"/>
      <c r="Y59" s="21"/>
      <c r="Z59" s="21"/>
      <c r="AA59" s="21"/>
      <c r="AB59" s="21"/>
      <c r="AC59" s="21"/>
      <c r="AD59" s="21"/>
      <c r="AE59" s="49"/>
      <c r="AF59" s="21"/>
      <c r="AG59" s="21"/>
      <c r="AH59" s="21"/>
      <c r="AI59" s="49"/>
      <c r="AJ59" s="21"/>
      <c r="AK59" s="21"/>
      <c r="AL59" s="184"/>
      <c r="AM59" s="21"/>
      <c r="AN59" s="184"/>
      <c r="AO59" s="184"/>
      <c r="AP59" s="184"/>
      <c r="AQ59" s="184"/>
      <c r="AR59" s="21"/>
      <c r="AS59" s="21"/>
      <c r="AT59" s="21"/>
    </row>
    <row r="60" spans="1:48">
      <c r="A60" s="429">
        <f>MAX($A$9:A59)+1</f>
        <v>52</v>
      </c>
      <c r="B60" s="298" t="s">
        <v>833</v>
      </c>
      <c r="C60" s="276"/>
      <c r="D60" s="864"/>
      <c r="E60" s="21"/>
      <c r="F60" s="857"/>
      <c r="H60" s="21"/>
      <c r="I60" s="21"/>
      <c r="J60" s="21"/>
      <c r="K60" s="21"/>
      <c r="L60" s="21"/>
      <c r="M60" s="21"/>
      <c r="N60" s="21"/>
      <c r="O60" s="21"/>
      <c r="P60" s="21"/>
      <c r="Q60" s="21"/>
      <c r="R60" s="21"/>
      <c r="S60" s="21"/>
      <c r="T60" s="21"/>
      <c r="U60" s="184"/>
      <c r="V60" s="184"/>
      <c r="W60" s="184"/>
      <c r="X60" s="184"/>
      <c r="Y60" s="21"/>
      <c r="Z60" s="21"/>
      <c r="AA60" s="21"/>
      <c r="AB60" s="21"/>
      <c r="AC60" s="21"/>
      <c r="AD60" s="21"/>
      <c r="AE60" s="49"/>
      <c r="AF60" s="21"/>
      <c r="AG60" s="21"/>
      <c r="AH60" s="21"/>
      <c r="AI60" s="49"/>
      <c r="AJ60" s="21"/>
      <c r="AK60" s="21"/>
      <c r="AL60" s="184"/>
      <c r="AM60" s="21"/>
      <c r="AN60" s="184"/>
      <c r="AO60" s="184"/>
      <c r="AP60" s="184"/>
      <c r="AQ60" s="184"/>
      <c r="AR60" s="21"/>
      <c r="AS60" s="21"/>
      <c r="AT60" s="21"/>
    </row>
    <row r="61" spans="1:48">
      <c r="A61" s="429">
        <f>MAX($A$9:A60)+1</f>
        <v>53</v>
      </c>
      <c r="B61" s="298" t="s">
        <v>834</v>
      </c>
      <c r="C61" s="276"/>
      <c r="D61" s="864"/>
      <c r="E61" s="21"/>
      <c r="F61" s="857"/>
      <c r="H61" s="21"/>
      <c r="I61" s="21"/>
      <c r="J61" s="21"/>
      <c r="K61" s="21"/>
      <c r="L61" s="21"/>
      <c r="M61" s="21"/>
      <c r="N61" s="21"/>
      <c r="O61" s="21"/>
      <c r="P61" s="21"/>
      <c r="Q61" s="21"/>
      <c r="R61" s="21"/>
      <c r="S61" s="21"/>
      <c r="T61" s="21"/>
      <c r="U61" s="184"/>
      <c r="V61" s="184"/>
      <c r="W61" s="184"/>
      <c r="X61" s="184"/>
      <c r="Y61" s="21"/>
      <c r="Z61" s="21"/>
      <c r="AA61" s="21"/>
      <c r="AB61" s="21"/>
      <c r="AC61" s="21"/>
      <c r="AD61" s="21"/>
      <c r="AE61" s="49"/>
      <c r="AF61" s="21"/>
      <c r="AG61" s="21"/>
      <c r="AH61" s="21"/>
      <c r="AI61" s="49"/>
      <c r="AJ61" s="21"/>
      <c r="AK61" s="21"/>
      <c r="AL61" s="184"/>
      <c r="AM61" s="21"/>
      <c r="AN61" s="184"/>
      <c r="AO61" s="184"/>
      <c r="AP61" s="184"/>
      <c r="AQ61" s="184"/>
      <c r="AR61" s="21"/>
      <c r="AS61" s="21"/>
      <c r="AT61" s="21"/>
    </row>
    <row r="62" spans="1:48">
      <c r="A62" s="429">
        <f>MAX($A$9:A61)+1</f>
        <v>54</v>
      </c>
      <c r="B62" s="299" t="s">
        <v>835</v>
      </c>
      <c r="C62" s="278" t="s">
        <v>836</v>
      </c>
      <c r="D62" s="864">
        <v>1602357.35</v>
      </c>
      <c r="E62" s="21">
        <v>1277919.8799999999</v>
      </c>
      <c r="F62" s="857">
        <f t="shared" ref="F62:F73" si="31">SUM(D62:E62)</f>
        <v>2880277.23</v>
      </c>
      <c r="H62" s="21"/>
      <c r="I62" s="21"/>
      <c r="J62" s="21"/>
      <c r="K62" s="21"/>
      <c r="L62" s="21"/>
      <c r="M62" s="21"/>
      <c r="N62" s="21">
        <f>SUMIF('Incentives Adj'!$B$42:$B$63,B62,'Incentives Adj'!$E$42:$E$63)</f>
        <v>-245992.69</v>
      </c>
      <c r="O62" s="21"/>
      <c r="P62" s="21"/>
      <c r="Q62" s="21"/>
      <c r="R62" s="21"/>
      <c r="S62" s="21"/>
      <c r="T62" s="21"/>
      <c r="U62" s="184">
        <f>+'Wage Adjustments'!K20+'Wage Adjustments'!K73</f>
        <v>137795.897062</v>
      </c>
      <c r="V62" s="184"/>
      <c r="W62" s="184"/>
      <c r="X62" s="184"/>
      <c r="Y62" s="21"/>
      <c r="Z62" s="21"/>
      <c r="AA62" s="21"/>
      <c r="AB62" s="21">
        <f>'O&amp;M Adj'!M32</f>
        <v>3391.1604211755898</v>
      </c>
      <c r="AC62" s="21">
        <f t="shared" ref="AC62:AC73" si="32">SUM(H62:AB62)</f>
        <v>-104805.63251682441</v>
      </c>
      <c r="AD62" s="21">
        <f t="shared" ref="AD62:AD73" si="33">+F62+AC62</f>
        <v>2775471.5974831758</v>
      </c>
      <c r="AE62" s="49"/>
      <c r="AF62" s="21"/>
      <c r="AG62" s="21"/>
      <c r="AH62" s="21">
        <f t="shared" si="0"/>
        <v>0</v>
      </c>
      <c r="AI62" s="49"/>
      <c r="AJ62" s="21"/>
      <c r="AK62" s="21"/>
      <c r="AL62" s="184">
        <f>+'Wage Adjustments'!N20+'Wage Adjustments'!N73</f>
        <v>94844.670282480001</v>
      </c>
      <c r="AM62" s="21"/>
      <c r="AN62" s="184"/>
      <c r="AO62" s="184"/>
      <c r="AP62" s="184"/>
      <c r="AQ62" s="184">
        <f>'O&amp;M Adj'!N32</f>
        <v>3442.7359710257929</v>
      </c>
      <c r="AR62" s="21">
        <f t="shared" si="30"/>
        <v>98287.406253505789</v>
      </c>
      <c r="AS62" s="21"/>
      <c r="AT62" s="21"/>
    </row>
    <row r="63" spans="1:48">
      <c r="A63" s="429">
        <f>MAX($A$9:A62)+1</f>
        <v>55</v>
      </c>
      <c r="B63" s="299" t="s">
        <v>837</v>
      </c>
      <c r="C63" s="278" t="s">
        <v>838</v>
      </c>
      <c r="D63" s="864">
        <v>4520.93</v>
      </c>
      <c r="E63" s="21">
        <v>224802.77</v>
      </c>
      <c r="F63" s="857">
        <f t="shared" si="31"/>
        <v>229323.69999999998</v>
      </c>
      <c r="H63" s="21"/>
      <c r="I63" s="21"/>
      <c r="J63" s="21"/>
      <c r="K63" s="21"/>
      <c r="L63" s="21"/>
      <c r="M63" s="21">
        <f>+'Wage Adjustments'!H21+'Wage Adjustments'!H41</f>
        <v>11.099399999999999</v>
      </c>
      <c r="N63" s="21">
        <f>SUMIF('Incentives Adj'!$B$42:$B$63,B63,'Incentives Adj'!$E$42:$E$63)</f>
        <v>-18626.41</v>
      </c>
      <c r="O63" s="21"/>
      <c r="P63" s="21"/>
      <c r="Q63" s="21"/>
      <c r="R63" s="21"/>
      <c r="S63" s="21"/>
      <c r="T63" s="21"/>
      <c r="U63" s="184">
        <f>+'Wage Adjustments'!K21+'Wage Adjustments'!K41</f>
        <v>11964.020299</v>
      </c>
      <c r="V63" s="184"/>
      <c r="W63" s="184"/>
      <c r="X63" s="184"/>
      <c r="Y63" s="21"/>
      <c r="Z63" s="21"/>
      <c r="AA63" s="21"/>
      <c r="AB63" s="21">
        <f>'O&amp;M Adj'!M33</f>
        <v>70.382162419211369</v>
      </c>
      <c r="AC63" s="21">
        <f t="shared" si="32"/>
        <v>-6580.9081385807895</v>
      </c>
      <c r="AD63" s="21">
        <f t="shared" si="33"/>
        <v>222742.79186141919</v>
      </c>
      <c r="AE63" s="49"/>
      <c r="AF63" s="21"/>
      <c r="AG63" s="21"/>
      <c r="AH63" s="21">
        <f t="shared" si="0"/>
        <v>0</v>
      </c>
      <c r="AI63" s="49"/>
      <c r="AJ63" s="21"/>
      <c r="AK63" s="21"/>
      <c r="AL63" s="184">
        <f>+'Wage Adjustments'!N21+'Wage Adjustments'!N41</f>
        <v>8233.3176492599996</v>
      </c>
      <c r="AM63" s="21"/>
      <c r="AN63" s="184"/>
      <c r="AO63" s="184"/>
      <c r="AP63" s="184"/>
      <c r="AQ63" s="184">
        <f>'O&amp;M Adj'!N33</f>
        <v>71.452592087990865</v>
      </c>
      <c r="AR63" s="21">
        <f t="shared" si="30"/>
        <v>8304.770241347991</v>
      </c>
      <c r="AS63" s="21"/>
      <c r="AT63" s="21"/>
    </row>
    <row r="64" spans="1:48">
      <c r="A64" s="429">
        <f>MAX($A$9:A63)+1</f>
        <v>56</v>
      </c>
      <c r="B64" s="301" t="s">
        <v>839</v>
      </c>
      <c r="C64" s="278" t="s">
        <v>840</v>
      </c>
      <c r="D64" s="864">
        <v>74444.14</v>
      </c>
      <c r="E64" s="21">
        <v>0</v>
      </c>
      <c r="F64" s="857">
        <f t="shared" si="31"/>
        <v>74444.14</v>
      </c>
      <c r="H64" s="21"/>
      <c r="I64" s="21"/>
      <c r="J64" s="21"/>
      <c r="K64" s="21"/>
      <c r="L64" s="21"/>
      <c r="M64" s="21">
        <f>+'Wage Adjustments'!H42</f>
        <v>262.92</v>
      </c>
      <c r="N64" s="21">
        <f>SUMIF('Incentives Adj'!$B$42:$B$63,B64,'Incentives Adj'!$E$42:$E$63)</f>
        <v>-2458.2199999999998</v>
      </c>
      <c r="O64" s="21"/>
      <c r="P64" s="21"/>
      <c r="Q64" s="21"/>
      <c r="R64" s="21"/>
      <c r="S64" s="21"/>
      <c r="T64" s="21"/>
      <c r="U64" s="184">
        <f>+'Wage Adjustments'!K42+'Wage Adjustments'!K74</f>
        <v>2450.6589350000004</v>
      </c>
      <c r="V64" s="184"/>
      <c r="W64" s="184"/>
      <c r="X64" s="184"/>
      <c r="Y64" s="21"/>
      <c r="Z64" s="21"/>
      <c r="AA64" s="21"/>
      <c r="AB64" s="21">
        <f>'O&amp;M Adj'!M34</f>
        <v>437.76414708425301</v>
      </c>
      <c r="AC64" s="21">
        <f t="shared" si="32"/>
        <v>693.12308208425361</v>
      </c>
      <c r="AD64" s="21">
        <f t="shared" si="33"/>
        <v>75137.263082084246</v>
      </c>
      <c r="AE64" s="49"/>
      <c r="AF64" s="21"/>
      <c r="AG64" s="21"/>
      <c r="AH64" s="21">
        <f t="shared" si="0"/>
        <v>0</v>
      </c>
      <c r="AI64" s="49"/>
      <c r="AJ64" s="21"/>
      <c r="AK64" s="21"/>
      <c r="AL64" s="184">
        <f>+'Wage Adjustments'!N42+'Wage Adjustments'!N74</f>
        <v>1642.3130424000005</v>
      </c>
      <c r="AM64" s="21"/>
      <c r="AN64" s="184"/>
      <c r="AO64" s="184"/>
      <c r="AP64" s="184"/>
      <c r="AQ64" s="184">
        <f>'O&amp;M Adj'!N34</f>
        <v>444.42202338216896</v>
      </c>
      <c r="AR64" s="21">
        <f t="shared" si="30"/>
        <v>2086.7350657821694</v>
      </c>
      <c r="AS64" s="21"/>
      <c r="AT64" s="21"/>
    </row>
    <row r="65" spans="1:46">
      <c r="A65" s="429">
        <f>MAX($A$9:A64)+1</f>
        <v>57</v>
      </c>
      <c r="B65" s="301" t="s">
        <v>841</v>
      </c>
      <c r="C65" s="278" t="s">
        <v>842</v>
      </c>
      <c r="D65" s="864">
        <v>2991985.9</v>
      </c>
      <c r="E65" s="21">
        <v>259441.17000000004</v>
      </c>
      <c r="F65" s="857">
        <f t="shared" si="31"/>
        <v>3251427.07</v>
      </c>
      <c r="H65" s="21"/>
      <c r="I65" s="21"/>
      <c r="J65" s="21"/>
      <c r="K65" s="21"/>
      <c r="L65" s="21"/>
      <c r="M65" s="21">
        <f>+'Wage Adjustments'!H43+'Wage Adjustments'!H44+'Wage Adjustments'!H45</f>
        <v>13931.5461</v>
      </c>
      <c r="N65" s="21">
        <f>SUMIF('Incentives Adj'!$B$42:$B$63,B65,'Incentives Adj'!$E$42:$E$63)</f>
        <v>-9449.89</v>
      </c>
      <c r="O65" s="21"/>
      <c r="P65" s="21"/>
      <c r="Q65" s="21"/>
      <c r="R65" s="21"/>
      <c r="S65" s="21"/>
      <c r="T65" s="21"/>
      <c r="U65" s="184">
        <f>+'Wage Adjustments'!K22+'Wage Adjustments'!K43+'Wage Adjustments'!K75+'Wage Adjustments'!K44+'Wage Adjustments'!K45</f>
        <v>115081.82205100001</v>
      </c>
      <c r="V65" s="184"/>
      <c r="W65" s="184"/>
      <c r="X65" s="184"/>
      <c r="Y65" s="21"/>
      <c r="Z65" s="21"/>
      <c r="AA65" s="21"/>
      <c r="AB65" s="21">
        <f>'O&amp;M Adj'!M35</f>
        <v>14528.668431905906</v>
      </c>
      <c r="AC65" s="21">
        <f t="shared" si="32"/>
        <v>134092.14658290593</v>
      </c>
      <c r="AD65" s="21">
        <f t="shared" si="33"/>
        <v>3385519.216582906</v>
      </c>
      <c r="AE65" s="49"/>
      <c r="AF65" s="21"/>
      <c r="AG65" s="21"/>
      <c r="AH65" s="21">
        <f t="shared" si="0"/>
        <v>0</v>
      </c>
      <c r="AI65" s="49"/>
      <c r="AJ65" s="21"/>
      <c r="AK65" s="21"/>
      <c r="AL65" s="184">
        <f>+'Wage Adjustments'!N22+'Wage Adjustments'!N43+'Wage Adjustments'!N75+'Wage Adjustments'!N44+'Wage Adjustments'!N45</f>
        <v>72874.500606990012</v>
      </c>
      <c r="AM65" s="21"/>
      <c r="AN65" s="184"/>
      <c r="AO65" s="184"/>
      <c r="AP65" s="184"/>
      <c r="AQ65" s="184">
        <f>'O&amp;M Adj'!N35</f>
        <v>14749.632340981923</v>
      </c>
      <c r="AR65" s="21">
        <f t="shared" si="30"/>
        <v>87624.132947971928</v>
      </c>
      <c r="AS65" s="21"/>
      <c r="AT65" s="21"/>
    </row>
    <row r="66" spans="1:46">
      <c r="A66" s="429">
        <f>MAX($A$9:A65)+1</f>
        <v>58</v>
      </c>
      <c r="B66" s="299" t="s">
        <v>843</v>
      </c>
      <c r="C66" s="278" t="s">
        <v>844</v>
      </c>
      <c r="D66" s="864">
        <v>498101.79</v>
      </c>
      <c r="E66" s="21">
        <v>95748.42</v>
      </c>
      <c r="F66" s="857">
        <f t="shared" si="31"/>
        <v>593850.21</v>
      </c>
      <c r="H66" s="21"/>
      <c r="I66" s="21"/>
      <c r="J66" s="21"/>
      <c r="K66" s="21"/>
      <c r="L66" s="21"/>
      <c r="M66" s="21">
        <f>+'Wage Adjustments'!H46</f>
        <v>2629.4915999999998</v>
      </c>
      <c r="N66" s="21">
        <f>SUMIF('Incentives Adj'!$B$42:$B$63,B66,'Incentives Adj'!$E$42:$E$63)</f>
        <v>-11.42</v>
      </c>
      <c r="O66" s="21"/>
      <c r="P66" s="21"/>
      <c r="Q66" s="21"/>
      <c r="R66" s="21"/>
      <c r="S66" s="21"/>
      <c r="T66" s="21"/>
      <c r="U66" s="184">
        <f>+'Wage Adjustments'!K46+'Wage Adjustments'!K23</f>
        <v>9552.8931020000018</v>
      </c>
      <c r="V66" s="184"/>
      <c r="W66" s="184"/>
      <c r="X66" s="184"/>
      <c r="Y66" s="21"/>
      <c r="Z66" s="21"/>
      <c r="AA66" s="21"/>
      <c r="AB66" s="21">
        <f>'O&amp;M Adj'!M36</f>
        <v>6273.9345376615229</v>
      </c>
      <c r="AC66" s="21">
        <f t="shared" si="32"/>
        <v>18444.899239661525</v>
      </c>
      <c r="AD66" s="21">
        <f t="shared" si="33"/>
        <v>612295.10923966148</v>
      </c>
      <c r="AE66" s="49"/>
      <c r="AF66" s="21"/>
      <c r="AG66" s="21"/>
      <c r="AH66" s="21">
        <f t="shared" si="0"/>
        <v>0</v>
      </c>
      <c r="AI66" s="49"/>
      <c r="AJ66" s="21"/>
      <c r="AK66" s="21"/>
      <c r="AL66" s="184">
        <f>+'Wage Adjustments'!N23+'Wage Adjustments'!N46</f>
        <v>6019.0588162800004</v>
      </c>
      <c r="AM66" s="21"/>
      <c r="AN66" s="184"/>
      <c r="AO66" s="184"/>
      <c r="AP66" s="184"/>
      <c r="AQ66" s="184">
        <f>'O&amp;M Adj'!N36</f>
        <v>6369.3536813515457</v>
      </c>
      <c r="AR66" s="21">
        <f t="shared" si="30"/>
        <v>12388.412497631547</v>
      </c>
      <c r="AS66" s="21"/>
      <c r="AT66" s="21"/>
    </row>
    <row r="67" spans="1:46">
      <c r="A67" s="429">
        <f>MAX($A$9:A66)+1</f>
        <v>59</v>
      </c>
      <c r="B67" s="299" t="s">
        <v>845</v>
      </c>
      <c r="C67" s="278" t="s">
        <v>846</v>
      </c>
      <c r="D67" s="864">
        <v>557399.16999999993</v>
      </c>
      <c r="E67" s="21">
        <v>43955.57</v>
      </c>
      <c r="F67" s="857">
        <f t="shared" si="31"/>
        <v>601354.73999999987</v>
      </c>
      <c r="H67" s="21"/>
      <c r="I67" s="21"/>
      <c r="J67" s="21"/>
      <c r="K67" s="21"/>
      <c r="L67" s="21"/>
      <c r="M67" s="21">
        <f>+'Wage Adjustments'!H47</f>
        <v>2262.2226000000001</v>
      </c>
      <c r="N67" s="21">
        <f>SUMIF('Incentives Adj'!$B$42:$B$63,B67,'Incentives Adj'!$E$42:$E$63)</f>
        <v>-39.53</v>
      </c>
      <c r="O67" s="21"/>
      <c r="P67" s="21"/>
      <c r="Q67" s="21"/>
      <c r="R67" s="21"/>
      <c r="S67" s="21"/>
      <c r="T67" s="21"/>
      <c r="U67" s="184">
        <f>+'Wage Adjustments'!K47+'Wage Adjustments'!K24</f>
        <v>18902.325108999998</v>
      </c>
      <c r="V67" s="184"/>
      <c r="W67" s="184"/>
      <c r="X67" s="184"/>
      <c r="Y67" s="21"/>
      <c r="Z67" s="21"/>
      <c r="AA67" s="21"/>
      <c r="AB67" s="21">
        <f>'O&amp;M Adj'!M37</f>
        <v>3372.2899251552303</v>
      </c>
      <c r="AC67" s="21">
        <f t="shared" si="32"/>
        <v>24497.307634155226</v>
      </c>
      <c r="AD67" s="21">
        <f t="shared" si="33"/>
        <v>625852.04763415514</v>
      </c>
      <c r="AE67" s="49"/>
      <c r="AF67" s="21"/>
      <c r="AG67" s="21"/>
      <c r="AH67" s="21">
        <f t="shared" si="0"/>
        <v>0</v>
      </c>
      <c r="AI67" s="49"/>
      <c r="AJ67" s="21"/>
      <c r="AK67" s="21"/>
      <c r="AL67" s="184">
        <f>+'Wage Adjustments'!N47+'Wage Adjustments'!N24</f>
        <v>11910.946281059998</v>
      </c>
      <c r="AM67" s="21"/>
      <c r="AN67" s="184"/>
      <c r="AO67" s="184"/>
      <c r="AP67" s="184"/>
      <c r="AQ67" s="184">
        <f>'O&amp;M Adj'!N37</f>
        <v>3423.5784770202836</v>
      </c>
      <c r="AR67" s="21">
        <f t="shared" si="30"/>
        <v>15334.524758080282</v>
      </c>
      <c r="AS67" s="21"/>
      <c r="AT67" s="21"/>
    </row>
    <row r="68" spans="1:46">
      <c r="A68" s="429">
        <f>MAX($A$9:A67)+1</f>
        <v>60</v>
      </c>
      <c r="B68" s="483">
        <v>877</v>
      </c>
      <c r="C68" s="278" t="s">
        <v>847</v>
      </c>
      <c r="D68" s="864">
        <v>69303.349999999991</v>
      </c>
      <c r="E68" s="21">
        <v>15696.66</v>
      </c>
      <c r="F68" s="857">
        <f t="shared" si="31"/>
        <v>85000.01</v>
      </c>
      <c r="H68" s="21"/>
      <c r="I68" s="21"/>
      <c r="J68" s="21"/>
      <c r="K68" s="21"/>
      <c r="L68" s="21"/>
      <c r="M68" s="21">
        <f>+'Wage Adjustments'!H48</f>
        <v>130.63650000000001</v>
      </c>
      <c r="N68" s="21">
        <f>SUMIF('Incentives Adj'!$B$42:$B$63,B68,'Incentives Adj'!$E$42:$E$63)</f>
        <v>-9.91</v>
      </c>
      <c r="O68" s="21"/>
      <c r="P68" s="21"/>
      <c r="Q68" s="21"/>
      <c r="R68" s="21"/>
      <c r="S68" s="21"/>
      <c r="T68" s="21"/>
      <c r="U68" s="871">
        <f>+'Wage Adjustments'!K25+'Wage Adjustments'!K48</f>
        <v>1960.5691049999998</v>
      </c>
      <c r="V68" s="184"/>
      <c r="W68" s="184"/>
      <c r="X68" s="184"/>
      <c r="Y68" s="21"/>
      <c r="Z68" s="21"/>
      <c r="AA68" s="21"/>
      <c r="AB68" s="21">
        <f>'O&amp;M Adj'!M38</f>
        <v>668.09869053253249</v>
      </c>
      <c r="AC68" s="21">
        <f t="shared" si="32"/>
        <v>2749.3942955325324</v>
      </c>
      <c r="AD68" s="21">
        <f t="shared" si="33"/>
        <v>87749.404295532528</v>
      </c>
      <c r="AE68" s="49"/>
      <c r="AF68" s="21"/>
      <c r="AG68" s="21"/>
      <c r="AH68" s="21">
        <f t="shared" si="0"/>
        <v>0</v>
      </c>
      <c r="AI68" s="49"/>
      <c r="AJ68" s="21"/>
      <c r="AK68" s="21"/>
      <c r="AL68" s="184">
        <f>+'Wage Adjustments'!N25+'Wage Adjustments'!N48</f>
        <v>1235.7822559499998</v>
      </c>
      <c r="AM68" s="21"/>
      <c r="AN68" s="184"/>
      <c r="AO68" s="184"/>
      <c r="AP68" s="184"/>
      <c r="AQ68" s="184">
        <f>'O&amp;M Adj'!N38</f>
        <v>678.25968353753785</v>
      </c>
      <c r="AR68" s="21">
        <f t="shared" si="30"/>
        <v>1914.0419394875375</v>
      </c>
      <c r="AS68" s="21"/>
      <c r="AT68" s="21"/>
    </row>
    <row r="69" spans="1:46">
      <c r="A69" s="429">
        <f>MAX($A$9:A68)+1</f>
        <v>61</v>
      </c>
      <c r="B69" s="299" t="s">
        <v>848</v>
      </c>
      <c r="C69" s="278" t="s">
        <v>849</v>
      </c>
      <c r="D69" s="864">
        <v>982559.91</v>
      </c>
      <c r="E69" s="21">
        <v>-1200876.04</v>
      </c>
      <c r="F69" s="857">
        <f t="shared" si="31"/>
        <v>-218316.13</v>
      </c>
      <c r="H69" s="21"/>
      <c r="I69" s="21"/>
      <c r="J69" s="21"/>
      <c r="K69" s="21"/>
      <c r="L69" s="21"/>
      <c r="M69" s="21">
        <f>+'Wage Adjustments'!H49</f>
        <v>5380.4507999999996</v>
      </c>
      <c r="N69" s="21">
        <f>SUMIF('Incentives Adj'!$B$42:$B$63,B69,'Incentives Adj'!$E$42:$E$63)</f>
        <v>0</v>
      </c>
      <c r="O69" s="21"/>
      <c r="P69" s="21"/>
      <c r="Q69" s="21"/>
      <c r="R69" s="21"/>
      <c r="S69" s="21"/>
      <c r="T69" s="21"/>
      <c r="U69" s="184">
        <f>+'Wage Adjustments'!K49</f>
        <v>40166.786040000006</v>
      </c>
      <c r="V69" s="184"/>
      <c r="W69" s="184"/>
      <c r="X69" s="184"/>
      <c r="Y69" s="21"/>
      <c r="Z69" s="21"/>
      <c r="AA69" s="21"/>
      <c r="AB69" s="21">
        <f>'O&amp;M Adj'!M39</f>
        <v>-15549.510617452333</v>
      </c>
      <c r="AC69" s="21">
        <f t="shared" si="32"/>
        <v>29997.726222547673</v>
      </c>
      <c r="AD69" s="21">
        <f t="shared" si="33"/>
        <v>-188318.40377745233</v>
      </c>
      <c r="AE69" s="49"/>
      <c r="AF69" s="21"/>
      <c r="AG69" s="21"/>
      <c r="AH69" s="21">
        <f t="shared" si="0"/>
        <v>0</v>
      </c>
      <c r="AI69" s="49"/>
      <c r="AJ69" s="21"/>
      <c r="AK69" s="21"/>
      <c r="AL69" s="184">
        <f>+'Wage Adjustments'!N49</f>
        <v>25305.075205199999</v>
      </c>
      <c r="AM69" s="21"/>
      <c r="AN69" s="184"/>
      <c r="AO69" s="184"/>
      <c r="AP69" s="184"/>
      <c r="AQ69" s="184">
        <f>'O&amp;M Adj'!N39</f>
        <v>-15786.000332002215</v>
      </c>
      <c r="AR69" s="21">
        <f t="shared" si="30"/>
        <v>9519.0748731977837</v>
      </c>
      <c r="AS69" s="21"/>
      <c r="AT69" s="21"/>
    </row>
    <row r="70" spans="1:46">
      <c r="A70" s="429">
        <f>MAX($A$9:A69)+1</f>
        <v>62</v>
      </c>
      <c r="B70" s="299" t="s">
        <v>850</v>
      </c>
      <c r="C70" s="278" t="s">
        <v>851</v>
      </c>
      <c r="D70" s="864">
        <v>392583.16</v>
      </c>
      <c r="E70" s="21">
        <v>0</v>
      </c>
      <c r="F70" s="857">
        <f t="shared" si="31"/>
        <v>392583.16</v>
      </c>
      <c r="H70" s="21"/>
      <c r="I70" s="21"/>
      <c r="J70" s="21"/>
      <c r="K70" s="21"/>
      <c r="L70" s="21"/>
      <c r="M70" s="21">
        <f>+'Wage Adjustments'!H50</f>
        <v>2903.7359999999999</v>
      </c>
      <c r="N70" s="21">
        <f>SUMIF('Incentives Adj'!$B$42:$B$63,B70,'Incentives Adj'!$E$42:$E$63)</f>
        <v>0</v>
      </c>
      <c r="O70" s="21"/>
      <c r="P70" s="21"/>
      <c r="Q70" s="21"/>
      <c r="R70" s="21"/>
      <c r="S70" s="21"/>
      <c r="T70" s="21"/>
      <c r="U70" s="184">
        <f>+'Wage Adjustments'!K50</f>
        <v>18878.549800000001</v>
      </c>
      <c r="V70" s="184"/>
      <c r="W70" s="184"/>
      <c r="X70" s="184"/>
      <c r="Y70" s="21"/>
      <c r="Z70" s="21"/>
      <c r="AA70" s="21"/>
      <c r="AB70" s="21">
        <f>'O&amp;M Adj'!M40</f>
        <v>519.81816664413202</v>
      </c>
      <c r="AC70" s="21">
        <f t="shared" si="32"/>
        <v>22302.103966644132</v>
      </c>
      <c r="AD70" s="21">
        <f t="shared" si="33"/>
        <v>414885.26396664412</v>
      </c>
      <c r="AE70" s="49"/>
      <c r="AF70" s="21"/>
      <c r="AG70" s="21"/>
      <c r="AH70" s="21">
        <f t="shared" si="0"/>
        <v>0</v>
      </c>
      <c r="AI70" s="49"/>
      <c r="AJ70" s="21"/>
      <c r="AK70" s="21"/>
      <c r="AL70" s="184">
        <f>+'Wage Adjustments'!N50</f>
        <v>11893.486373999998</v>
      </c>
      <c r="AM70" s="21"/>
      <c r="AN70" s="184"/>
      <c r="AO70" s="184"/>
      <c r="AP70" s="184"/>
      <c r="AQ70" s="184">
        <f>'O&amp;M Adj'!N40</f>
        <v>527.72398779001037</v>
      </c>
      <c r="AR70" s="21">
        <f t="shared" si="30"/>
        <v>12421.210361790008</v>
      </c>
      <c r="AS70" s="21"/>
      <c r="AT70" s="21"/>
    </row>
    <row r="71" spans="1:46">
      <c r="A71" s="429">
        <f>MAX($A$9:A70)+1</f>
        <v>63</v>
      </c>
      <c r="B71" s="299" t="s">
        <v>852</v>
      </c>
      <c r="C71" s="278" t="s">
        <v>853</v>
      </c>
      <c r="D71" s="864">
        <v>4719109.2700000005</v>
      </c>
      <c r="E71" s="21">
        <v>740012.16</v>
      </c>
      <c r="F71" s="857">
        <f t="shared" si="31"/>
        <v>5459121.4300000006</v>
      </c>
      <c r="H71" s="21"/>
      <c r="I71" s="21"/>
      <c r="J71" s="21"/>
      <c r="K71" s="21"/>
      <c r="L71" s="21"/>
      <c r="M71" s="21">
        <f>+'Wage Adjustments'!H51</f>
        <v>29086.159199999998</v>
      </c>
      <c r="N71" s="21">
        <f>SUMIF('Incentives Adj'!$B$42:$B$63,B71,'Incentives Adj'!$E$42:$E$63)</f>
        <v>-44121.27</v>
      </c>
      <c r="O71" s="21"/>
      <c r="P71" s="21"/>
      <c r="Q71" s="21"/>
      <c r="R71" s="21"/>
      <c r="S71" s="21"/>
      <c r="T71" s="21"/>
      <c r="U71" s="184">
        <f>+'Wage Adjustments'!K26+'Wage Adjustments'!K51+'Wage Adjustments'!K76</f>
        <v>188184.07516000001</v>
      </c>
      <c r="V71" s="184"/>
      <c r="W71" s="184"/>
      <c r="X71" s="184"/>
      <c r="Y71" s="21"/>
      <c r="Z71" s="21"/>
      <c r="AA71" s="21"/>
      <c r="AB71" s="21">
        <f>'O&amp;M Adj'!M41</f>
        <v>27294.855409577787</v>
      </c>
      <c r="AC71" s="21">
        <f t="shared" si="32"/>
        <v>200443.81976957779</v>
      </c>
      <c r="AD71" s="21">
        <f t="shared" si="33"/>
        <v>5659565.2497695787</v>
      </c>
      <c r="AE71" s="49"/>
      <c r="AF71" s="184"/>
      <c r="AG71" s="184">
        <f>'Provisional Plant Additions'!E36</f>
        <v>-280000</v>
      </c>
      <c r="AH71" s="184">
        <f t="shared" si="0"/>
        <v>-280000</v>
      </c>
      <c r="AI71" s="49"/>
      <c r="AJ71" s="184"/>
      <c r="AK71" s="184">
        <f>'Provisional Plant Additions'!E66</f>
        <v>-280000</v>
      </c>
      <c r="AL71" s="184">
        <f>+'Wage Adjustments'!N26+'Wage Adjustments'!N51+'Wage Adjustments'!N76</f>
        <v>120422.27439780001</v>
      </c>
      <c r="AM71" s="21"/>
      <c r="AN71" s="184"/>
      <c r="AO71" s="184"/>
      <c r="AP71" s="184"/>
      <c r="AQ71" s="184">
        <f>'O&amp;M Adj'!N41</f>
        <v>27709.977963804446</v>
      </c>
      <c r="AR71" s="184">
        <f t="shared" si="30"/>
        <v>-131867.74763839555</v>
      </c>
      <c r="AS71" s="184"/>
      <c r="AT71" s="21"/>
    </row>
    <row r="72" spans="1:46">
      <c r="A72" s="429">
        <f>MAX($A$9:A71)+1</f>
        <v>64</v>
      </c>
      <c r="B72" s="299" t="s">
        <v>854</v>
      </c>
      <c r="C72" s="278" t="s">
        <v>855</v>
      </c>
      <c r="D72" s="864">
        <v>211506.36000000002</v>
      </c>
      <c r="E72" s="21">
        <v>5412.119999999999</v>
      </c>
      <c r="F72" s="857">
        <f t="shared" si="31"/>
        <v>216918.48</v>
      </c>
      <c r="H72" s="21"/>
      <c r="I72" s="21"/>
      <c r="J72" s="21"/>
      <c r="K72" s="21"/>
      <c r="L72" s="21"/>
      <c r="M72" s="21"/>
      <c r="N72" s="21">
        <f>SUMIF('Incentives Adj'!$B$42:$B$63,B72,'Incentives Adj'!$E$42:$E$63)</f>
        <v>0</v>
      </c>
      <c r="O72" s="21"/>
      <c r="P72" s="21"/>
      <c r="Q72" s="21"/>
      <c r="R72" s="21"/>
      <c r="S72" s="21"/>
      <c r="T72" s="21"/>
      <c r="U72" s="184"/>
      <c r="V72" s="184"/>
      <c r="W72" s="184"/>
      <c r="X72" s="184"/>
      <c r="Y72" s="21"/>
      <c r="Z72" s="21"/>
      <c r="AA72" s="21"/>
      <c r="AB72" s="21">
        <f>'O&amp;M Adj'!M42</f>
        <v>3299.0742074041755</v>
      </c>
      <c r="AC72" s="21">
        <f t="shared" si="32"/>
        <v>3299.0742074041755</v>
      </c>
      <c r="AD72" s="21">
        <f t="shared" si="33"/>
        <v>220217.55420740417</v>
      </c>
      <c r="AE72" s="49"/>
      <c r="AF72" s="21"/>
      <c r="AG72" s="21"/>
      <c r="AH72" s="21">
        <f t="shared" si="0"/>
        <v>0</v>
      </c>
      <c r="AI72" s="49"/>
      <c r="AJ72" s="21"/>
      <c r="AK72" s="21"/>
      <c r="AL72" s="184"/>
      <c r="AM72" s="21"/>
      <c r="AN72" s="184"/>
      <c r="AO72" s="184"/>
      <c r="AP72" s="184"/>
      <c r="AQ72" s="184">
        <f>'O&amp;M Adj'!N42</f>
        <v>3349.2492345662663</v>
      </c>
      <c r="AR72" s="21">
        <f t="shared" si="30"/>
        <v>3349.2492345662663</v>
      </c>
      <c r="AS72" s="21"/>
      <c r="AT72" s="21"/>
    </row>
    <row r="73" spans="1:46">
      <c r="A73" s="429">
        <f>MAX($A$9:A72)+1</f>
        <v>65</v>
      </c>
      <c r="B73" s="299" t="s">
        <v>856</v>
      </c>
      <c r="C73" s="278" t="s">
        <v>857</v>
      </c>
      <c r="D73" s="864">
        <v>0</v>
      </c>
      <c r="E73" s="21">
        <v>0</v>
      </c>
      <c r="F73" s="857">
        <f t="shared" si="31"/>
        <v>0</v>
      </c>
      <c r="H73" s="21"/>
      <c r="I73" s="21"/>
      <c r="J73" s="21"/>
      <c r="K73" s="21"/>
      <c r="L73" s="21"/>
      <c r="M73" s="21"/>
      <c r="N73" s="21">
        <f>SUMIF('Incentives Adj'!$B$42:$B$63,B73,'Incentives Adj'!$E$42:$E$63)</f>
        <v>0</v>
      </c>
      <c r="O73" s="21"/>
      <c r="P73" s="21"/>
      <c r="Q73" s="21"/>
      <c r="R73" s="21"/>
      <c r="S73" s="21"/>
      <c r="T73" s="21"/>
      <c r="U73" s="184"/>
      <c r="V73" s="184"/>
      <c r="W73" s="184"/>
      <c r="X73" s="184"/>
      <c r="Y73" s="21"/>
      <c r="Z73" s="21"/>
      <c r="AA73" s="21"/>
      <c r="AB73" s="21">
        <f>'O&amp;M Adj'!M43</f>
        <v>0</v>
      </c>
      <c r="AC73" s="21">
        <f t="shared" si="32"/>
        <v>0</v>
      </c>
      <c r="AD73" s="21">
        <f t="shared" si="33"/>
        <v>0</v>
      </c>
      <c r="AE73" s="49"/>
      <c r="AF73" s="21"/>
      <c r="AG73" s="21"/>
      <c r="AH73" s="21">
        <f t="shared" si="0"/>
        <v>0</v>
      </c>
      <c r="AI73" s="49"/>
      <c r="AJ73" s="21"/>
      <c r="AK73" s="21"/>
      <c r="AL73" s="184"/>
      <c r="AM73" s="21"/>
      <c r="AN73" s="184"/>
      <c r="AO73" s="184"/>
      <c r="AP73" s="184"/>
      <c r="AQ73" s="184">
        <f>'O&amp;M Adj'!N43</f>
        <v>0</v>
      </c>
      <c r="AR73" s="21">
        <f t="shared" si="30"/>
        <v>0</v>
      </c>
      <c r="AS73" s="21"/>
      <c r="AT73" s="21"/>
    </row>
    <row r="74" spans="1:46">
      <c r="A74" s="429">
        <f>MAX($A$9:A73)+1</f>
        <v>66</v>
      </c>
      <c r="B74" s="303"/>
      <c r="C74" s="280" t="s">
        <v>858</v>
      </c>
      <c r="D74" s="865">
        <f>SUM(D62:D73)</f>
        <v>12103871.33</v>
      </c>
      <c r="E74" s="517">
        <f>SUM(E62:E73)</f>
        <v>1462112.71</v>
      </c>
      <c r="F74" s="853">
        <f>SUM(F62:F73)</f>
        <v>13565984.040000003</v>
      </c>
      <c r="H74" s="853">
        <f>SUM(H62:H73)</f>
        <v>0</v>
      </c>
      <c r="I74" s="853">
        <f>SUM(I62:I73)</f>
        <v>0</v>
      </c>
      <c r="J74" s="853">
        <f>SUM(J62:J73)</f>
        <v>0</v>
      </c>
      <c r="K74" s="853">
        <f>SUM(K62:K73)</f>
        <v>0</v>
      </c>
      <c r="L74" s="853">
        <f t="shared" ref="L74:U74" si="34">SUM(L62:L73)</f>
        <v>0</v>
      </c>
      <c r="M74" s="853">
        <f t="shared" si="34"/>
        <v>56598.262199999997</v>
      </c>
      <c r="N74" s="853">
        <f t="shared" si="34"/>
        <v>-320709.33999999997</v>
      </c>
      <c r="O74" s="853">
        <f t="shared" si="34"/>
        <v>0</v>
      </c>
      <c r="P74" s="853">
        <f t="shared" si="34"/>
        <v>0</v>
      </c>
      <c r="Q74" s="853">
        <f t="shared" si="34"/>
        <v>0</v>
      </c>
      <c r="R74" s="853">
        <f t="shared" si="34"/>
        <v>0</v>
      </c>
      <c r="S74" s="853">
        <f t="shared" si="34"/>
        <v>0</v>
      </c>
      <c r="T74" s="853">
        <f t="shared" si="34"/>
        <v>0</v>
      </c>
      <c r="U74" s="854">
        <f t="shared" si="34"/>
        <v>544937.59666300006</v>
      </c>
      <c r="V74" s="854">
        <f t="shared" ref="V74:AD74" si="35">SUM(V62:V73)</f>
        <v>0</v>
      </c>
      <c r="W74" s="853">
        <f t="shared" si="35"/>
        <v>0</v>
      </c>
      <c r="X74" s="853">
        <f t="shared" si="35"/>
        <v>0</v>
      </c>
      <c r="Y74" s="853">
        <f>SUM(Y62:Y73)</f>
        <v>0</v>
      </c>
      <c r="Z74" s="853">
        <f>SUM(Z62:Z73)</f>
        <v>0</v>
      </c>
      <c r="AA74" s="853">
        <f>SUM(AA62:AA73)</f>
        <v>0</v>
      </c>
      <c r="AB74" s="853">
        <f t="shared" si="35"/>
        <v>44306.535482108011</v>
      </c>
      <c r="AC74" s="853">
        <f t="shared" si="35"/>
        <v>325133.05434510799</v>
      </c>
      <c r="AD74" s="853">
        <f t="shared" si="35"/>
        <v>13891117.09434511</v>
      </c>
      <c r="AE74" s="49"/>
      <c r="AF74" s="853">
        <f>SUM(AF62:AF73)</f>
        <v>0</v>
      </c>
      <c r="AG74" s="853">
        <f>SUM(AG62:AG73)</f>
        <v>-280000</v>
      </c>
      <c r="AH74" s="853">
        <f t="shared" si="0"/>
        <v>-280000</v>
      </c>
      <c r="AI74" s="49"/>
      <c r="AJ74" s="853">
        <f t="shared" ref="AJ74:AQ74" si="36">SUM(AJ62:AJ73)</f>
        <v>0</v>
      </c>
      <c r="AK74" s="853">
        <f t="shared" si="36"/>
        <v>-280000</v>
      </c>
      <c r="AL74" s="854">
        <f t="shared" si="36"/>
        <v>354381.42491142004</v>
      </c>
      <c r="AM74" s="854">
        <f t="shared" si="36"/>
        <v>0</v>
      </c>
      <c r="AN74" s="854">
        <f t="shared" si="36"/>
        <v>0</v>
      </c>
      <c r="AO74" s="854">
        <f t="shared" si="36"/>
        <v>0</v>
      </c>
      <c r="AP74" s="854">
        <f t="shared" si="36"/>
        <v>0</v>
      </c>
      <c r="AQ74" s="854">
        <f t="shared" si="36"/>
        <v>44980.385623545757</v>
      </c>
      <c r="AR74" s="853">
        <f t="shared" si="30"/>
        <v>119361.8105349658</v>
      </c>
      <c r="AS74" s="49"/>
      <c r="AT74" s="21"/>
    </row>
    <row r="75" spans="1:46">
      <c r="A75" s="429">
        <f>MAX($A$9:A74)+1</f>
        <v>67</v>
      </c>
      <c r="B75" s="303"/>
      <c r="C75" s="276"/>
      <c r="D75" s="864"/>
      <c r="E75" s="21"/>
      <c r="F75" s="857"/>
      <c r="H75" s="21"/>
      <c r="I75" s="21"/>
      <c r="J75" s="21"/>
      <c r="K75" s="21"/>
      <c r="L75" s="21"/>
      <c r="M75" s="21"/>
      <c r="N75" s="21"/>
      <c r="O75" s="21"/>
      <c r="P75" s="21"/>
      <c r="Q75" s="21"/>
      <c r="R75" s="21"/>
      <c r="S75" s="21"/>
      <c r="T75" s="21"/>
      <c r="U75" s="184"/>
      <c r="V75" s="184"/>
      <c r="W75" s="184"/>
      <c r="X75" s="184"/>
      <c r="Y75" s="21"/>
      <c r="Z75" s="21"/>
      <c r="AA75" s="21"/>
      <c r="AB75" s="21"/>
      <c r="AC75" s="21"/>
      <c r="AD75" s="21"/>
      <c r="AE75" s="49"/>
      <c r="AF75" s="21"/>
      <c r="AG75" s="21"/>
      <c r="AH75" s="21"/>
      <c r="AI75" s="49"/>
      <c r="AJ75" s="21"/>
      <c r="AK75" s="21"/>
      <c r="AL75" s="184"/>
      <c r="AM75" s="21"/>
      <c r="AN75" s="184"/>
      <c r="AO75" s="184"/>
      <c r="AP75" s="184"/>
      <c r="AQ75" s="184"/>
      <c r="AR75" s="21"/>
      <c r="AS75" s="21"/>
      <c r="AT75" s="21"/>
    </row>
    <row r="76" spans="1:46">
      <c r="A76" s="429">
        <f>MAX($A$9:A75)+1</f>
        <v>68</v>
      </c>
      <c r="B76" s="298" t="s">
        <v>859</v>
      </c>
      <c r="C76" s="276"/>
      <c r="D76" s="864"/>
      <c r="E76" s="21"/>
      <c r="F76" s="857"/>
      <c r="H76" s="21"/>
      <c r="I76" s="21"/>
      <c r="J76" s="21"/>
      <c r="K76" s="21"/>
      <c r="L76" s="21"/>
      <c r="M76" s="21"/>
      <c r="N76" s="21"/>
      <c r="O76" s="21"/>
      <c r="P76" s="21"/>
      <c r="Q76" s="21"/>
      <c r="R76" s="21"/>
      <c r="S76" s="21"/>
      <c r="T76" s="21"/>
      <c r="U76" s="184"/>
      <c r="V76" s="184"/>
      <c r="W76" s="184"/>
      <c r="X76" s="184"/>
      <c r="Y76" s="21"/>
      <c r="Z76" s="21"/>
      <c r="AA76" s="21"/>
      <c r="AB76" s="21"/>
      <c r="AC76" s="21"/>
      <c r="AD76" s="21"/>
      <c r="AE76" s="49"/>
      <c r="AF76" s="21"/>
      <c r="AG76" s="21"/>
      <c r="AH76" s="21"/>
      <c r="AI76" s="49"/>
      <c r="AJ76" s="21"/>
      <c r="AK76" s="21"/>
      <c r="AL76" s="184"/>
      <c r="AM76" s="21"/>
      <c r="AN76" s="184"/>
      <c r="AO76" s="184"/>
      <c r="AP76" s="184"/>
      <c r="AQ76" s="184"/>
      <c r="AR76" s="21"/>
      <c r="AS76" s="21"/>
      <c r="AT76" s="21"/>
    </row>
    <row r="77" spans="1:46">
      <c r="A77" s="429">
        <f>MAX($A$9:A76)+1</f>
        <v>69</v>
      </c>
      <c r="B77" s="299" t="s">
        <v>860</v>
      </c>
      <c r="C77" s="278" t="s">
        <v>861</v>
      </c>
      <c r="D77" s="864">
        <v>996317.64</v>
      </c>
      <c r="E77" s="21">
        <v>157946.34</v>
      </c>
      <c r="F77" s="857">
        <f t="shared" ref="F77:F86" si="37">SUM(D77:E77)</f>
        <v>1154263.98</v>
      </c>
      <c r="H77" s="21"/>
      <c r="I77" s="21"/>
      <c r="J77" s="21"/>
      <c r="K77" s="21"/>
      <c r="L77" s="21"/>
      <c r="M77" s="21"/>
      <c r="N77" s="21">
        <f>SUMIF('Incentives Adj'!$B$42:$B$63,B77,'Incentives Adj'!$E$42:$E$63)</f>
        <v>-91083.1</v>
      </c>
      <c r="O77" s="21"/>
      <c r="P77" s="21"/>
      <c r="Q77" s="21"/>
      <c r="R77" s="21"/>
      <c r="S77" s="21"/>
      <c r="T77" s="21"/>
      <c r="U77" s="184">
        <f>+'Wage Adjustments'!K27+'Wage Adjustments'!K77</f>
        <v>58677.235556</v>
      </c>
      <c r="V77" s="184"/>
      <c r="W77" s="184"/>
      <c r="X77" s="184"/>
      <c r="Y77" s="21"/>
      <c r="Z77" s="21"/>
      <c r="AA77" s="21"/>
      <c r="AB77" s="21">
        <f>'O&amp;M Adj'!M47</f>
        <v>851.9369802907969</v>
      </c>
      <c r="AC77" s="21">
        <f t="shared" ref="AC77:AC86" si="38">SUM(H77:AB77)</f>
        <v>-31553.927463709209</v>
      </c>
      <c r="AD77" s="21">
        <f t="shared" ref="AD77:AD86" si="39">+F77+AC77</f>
        <v>1122710.0525362908</v>
      </c>
      <c r="AE77" s="49"/>
      <c r="AF77" s="21"/>
      <c r="AG77" s="21"/>
      <c r="AH77" s="21">
        <f t="shared" si="0"/>
        <v>0</v>
      </c>
      <c r="AI77" s="49"/>
      <c r="AJ77" s="21"/>
      <c r="AK77" s="21"/>
      <c r="AL77" s="184">
        <f>+'Wage Adjustments'!N27+'Wage Adjustments'!N77</f>
        <v>40387.436622240006</v>
      </c>
      <c r="AM77" s="21"/>
      <c r="AN77" s="184"/>
      <c r="AO77" s="184"/>
      <c r="AP77" s="184"/>
      <c r="AQ77" s="184">
        <f>'O&amp;M Adj'!N47</f>
        <v>864.89393683046637</v>
      </c>
      <c r="AR77" s="21">
        <f t="shared" ref="AR77:AR88" si="40">SUM(AJ77:AQ77)</f>
        <v>41252.330559070469</v>
      </c>
      <c r="AS77" s="21"/>
      <c r="AT77" s="21"/>
    </row>
    <row r="78" spans="1:46">
      <c r="A78" s="429">
        <f>MAX($A$9:A77)+1</f>
        <v>70</v>
      </c>
      <c r="B78" s="299" t="s">
        <v>862</v>
      </c>
      <c r="C78" s="278" t="s">
        <v>863</v>
      </c>
      <c r="D78" s="864">
        <v>5181.9700000000012</v>
      </c>
      <c r="E78" s="21">
        <v>0</v>
      </c>
      <c r="F78" s="857">
        <f t="shared" si="37"/>
        <v>5181.9700000000012</v>
      </c>
      <c r="H78" s="21"/>
      <c r="I78" s="21"/>
      <c r="J78" s="21"/>
      <c r="K78" s="21"/>
      <c r="L78" s="21"/>
      <c r="M78" s="21"/>
      <c r="N78" s="21">
        <f>SUMIF('Incentives Adj'!$B$42:$B$63,B78,'Incentives Adj'!$E$42:$E$63)</f>
        <v>0</v>
      </c>
      <c r="O78" s="21"/>
      <c r="P78" s="21"/>
      <c r="Q78" s="21"/>
      <c r="R78" s="21"/>
      <c r="S78" s="21"/>
      <c r="T78" s="21"/>
      <c r="U78" s="184"/>
      <c r="V78" s="184"/>
      <c r="W78" s="184"/>
      <c r="X78" s="184"/>
      <c r="Y78" s="21"/>
      <c r="Z78" s="21"/>
      <c r="AA78" s="21"/>
      <c r="AB78" s="21">
        <f>'O&amp;M Adj'!M48</f>
        <v>78.811651135220103</v>
      </c>
      <c r="AC78" s="21">
        <f t="shared" si="38"/>
        <v>78.811651135220103</v>
      </c>
      <c r="AD78" s="21">
        <f t="shared" si="39"/>
        <v>5260.7816511352212</v>
      </c>
      <c r="AE78" s="49"/>
      <c r="AF78" s="21"/>
      <c r="AG78" s="21"/>
      <c r="AH78" s="21">
        <f t="shared" si="0"/>
        <v>0</v>
      </c>
      <c r="AI78" s="49"/>
      <c r="AJ78" s="21"/>
      <c r="AK78" s="21"/>
      <c r="AL78" s="184"/>
      <c r="AM78" s="21"/>
      <c r="AN78" s="184"/>
      <c r="AO78" s="184"/>
      <c r="AP78" s="184"/>
      <c r="AQ78" s="184">
        <f>'O&amp;M Adj'!N48</f>
        <v>80.010283384086776</v>
      </c>
      <c r="AR78" s="21">
        <f t="shared" si="40"/>
        <v>80.010283384086776</v>
      </c>
      <c r="AS78" s="21"/>
      <c r="AT78" s="21"/>
    </row>
    <row r="79" spans="1:46">
      <c r="A79" s="429">
        <f>MAX($A$9:A78)+1</f>
        <v>71</v>
      </c>
      <c r="B79" s="299" t="s">
        <v>864</v>
      </c>
      <c r="C79" s="278" t="s">
        <v>865</v>
      </c>
      <c r="D79" s="864">
        <v>2739197.43</v>
      </c>
      <c r="E79" s="21">
        <v>6806.7799999999988</v>
      </c>
      <c r="F79" s="857">
        <f t="shared" si="37"/>
        <v>2746004.21</v>
      </c>
      <c r="H79" s="21"/>
      <c r="I79" s="21"/>
      <c r="J79" s="21"/>
      <c r="K79" s="21"/>
      <c r="L79" s="21"/>
      <c r="M79" s="21">
        <f>+'Wage Adjustments'!H52</f>
        <v>3180.4049999999997</v>
      </c>
      <c r="N79" s="21">
        <f>SUMIF('Incentives Adj'!$B$42:$B$63,B79,'Incentives Adj'!$E$42:$E$63)</f>
        <v>-3142.84</v>
      </c>
      <c r="O79" s="21"/>
      <c r="P79" s="21"/>
      <c r="Q79" s="21"/>
      <c r="R79" s="21"/>
      <c r="S79" s="21"/>
      <c r="T79" s="21"/>
      <c r="U79" s="184">
        <f>+'Wage Adjustments'!K28+'Wage Adjustments'!K52+'Wage Adjustments'!K78</f>
        <v>32045.795631000001</v>
      </c>
      <c r="V79" s="184">
        <f>'MAOP Deferral'!F18</f>
        <v>2018196.3840000001</v>
      </c>
      <c r="W79" s="184"/>
      <c r="X79" s="184"/>
      <c r="Y79" s="21"/>
      <c r="Z79" s="21"/>
      <c r="AA79" s="21"/>
      <c r="AB79" s="21">
        <f>'O&amp;M Adj'!M49</f>
        <v>13576.605931415503</v>
      </c>
      <c r="AC79" s="21">
        <f t="shared" si="38"/>
        <v>2063856.3505624156</v>
      </c>
      <c r="AD79" s="21">
        <f t="shared" si="39"/>
        <v>4809860.560562415</v>
      </c>
      <c r="AE79" s="49"/>
      <c r="AF79" s="21"/>
      <c r="AG79" s="21"/>
      <c r="AH79" s="21">
        <f t="shared" si="0"/>
        <v>0</v>
      </c>
      <c r="AI79" s="49"/>
      <c r="AJ79" s="21"/>
      <c r="AK79" s="21"/>
      <c r="AL79" s="184">
        <f>+'Wage Adjustments'!N28+'Wage Adjustments'!N52+'Wage Adjustments'!N78</f>
        <v>20412.534037739995</v>
      </c>
      <c r="AM79" s="21"/>
      <c r="AN79" s="184"/>
      <c r="AO79" s="184"/>
      <c r="AP79" s="184"/>
      <c r="AQ79" s="184">
        <f>'O&amp;M Adj'!N49</f>
        <v>13783.090092895996</v>
      </c>
      <c r="AR79" s="21">
        <f t="shared" si="40"/>
        <v>34195.624130635988</v>
      </c>
      <c r="AS79" s="21"/>
      <c r="AT79" s="21"/>
    </row>
    <row r="80" spans="1:46">
      <c r="A80" s="429">
        <f>MAX($A$9:A79)+1</f>
        <v>72</v>
      </c>
      <c r="B80" s="301" t="s">
        <v>866</v>
      </c>
      <c r="C80" s="278" t="s">
        <v>840</v>
      </c>
      <c r="D80" s="864">
        <v>474768.2</v>
      </c>
      <c r="E80" s="21">
        <v>0</v>
      </c>
      <c r="F80" s="857">
        <f t="shared" si="37"/>
        <v>474768.2</v>
      </c>
      <c r="H80" s="21"/>
      <c r="I80" s="21"/>
      <c r="J80" s="21"/>
      <c r="K80" s="21"/>
      <c r="L80" s="21"/>
      <c r="M80" s="21">
        <f>+'Wage Adjustments'!H53</f>
        <v>526.32690000000002</v>
      </c>
      <c r="N80" s="21">
        <f>SUMIF('Incentives Adj'!$B$42:$B$63,B80,'Incentives Adj'!$E$42:$E$63)</f>
        <v>0</v>
      </c>
      <c r="O80" s="21"/>
      <c r="P80" s="21"/>
      <c r="Q80" s="21"/>
      <c r="R80" s="21"/>
      <c r="S80" s="21"/>
      <c r="T80" s="21"/>
      <c r="U80" s="184">
        <f>+'Wage Adjustments'!K53</f>
        <v>2756.9968450000001</v>
      </c>
      <c r="V80" s="184"/>
      <c r="W80" s="184"/>
      <c r="X80" s="184"/>
      <c r="Y80" s="21"/>
      <c r="Z80" s="21"/>
      <c r="AA80" s="21"/>
      <c r="AB80" s="21">
        <f>'O&amp;M Adj'!M50</f>
        <v>6299.568852385828</v>
      </c>
      <c r="AC80" s="21">
        <f t="shared" si="38"/>
        <v>9582.8925973858277</v>
      </c>
      <c r="AD80" s="21">
        <f t="shared" si="39"/>
        <v>484351.09259738587</v>
      </c>
      <c r="AE80" s="49"/>
      <c r="AF80" s="21"/>
      <c r="AG80" s="21"/>
      <c r="AH80" s="21">
        <f t="shared" si="0"/>
        <v>0</v>
      </c>
      <c r="AI80" s="49"/>
      <c r="AJ80" s="21"/>
      <c r="AK80" s="21"/>
      <c r="AL80" s="184">
        <f>+'Wage Adjustments'!N53</f>
        <v>1736.90801235</v>
      </c>
      <c r="AM80" s="21"/>
      <c r="AN80" s="184"/>
      <c r="AO80" s="184"/>
      <c r="AP80" s="184"/>
      <c r="AQ80" s="184">
        <f>'O&amp;M Adj'!N50</f>
        <v>6395.3778637650012</v>
      </c>
      <c r="AR80" s="21">
        <f t="shared" si="40"/>
        <v>8132.285876115001</v>
      </c>
      <c r="AS80" s="21"/>
      <c r="AT80" s="21"/>
    </row>
    <row r="81" spans="1:48">
      <c r="A81" s="429">
        <f>MAX($A$9:A80)+1</f>
        <v>73</v>
      </c>
      <c r="B81" s="299" t="s">
        <v>867</v>
      </c>
      <c r="C81" s="278" t="s">
        <v>868</v>
      </c>
      <c r="D81" s="864">
        <v>278919.69</v>
      </c>
      <c r="E81" s="21">
        <v>9729.260000000002</v>
      </c>
      <c r="F81" s="857">
        <f t="shared" si="37"/>
        <v>288648.95</v>
      </c>
      <c r="H81" s="21"/>
      <c r="I81" s="21"/>
      <c r="J81" s="21"/>
      <c r="K81" s="21"/>
      <c r="L81" s="21"/>
      <c r="M81" s="21">
        <f>+'Wage Adjustments'!H54</f>
        <v>1130.5292999999999</v>
      </c>
      <c r="N81" s="21">
        <f>SUMIF('Incentives Adj'!$B$42:$B$63,B81,'Incentives Adj'!$E$42:$E$63)</f>
        <v>-32.200000000000003</v>
      </c>
      <c r="O81" s="21"/>
      <c r="P81" s="21"/>
      <c r="Q81" s="21"/>
      <c r="R81" s="21"/>
      <c r="S81" s="21"/>
      <c r="T81" s="21"/>
      <c r="U81" s="184">
        <f>+'Wage Adjustments'!K29+'Wage Adjustments'!K54</f>
        <v>8263.8605000000007</v>
      </c>
      <c r="V81" s="184"/>
      <c r="W81" s="184"/>
      <c r="X81" s="184"/>
      <c r="Y81" s="21"/>
      <c r="Z81" s="21"/>
      <c r="AA81" s="21"/>
      <c r="AB81" s="21">
        <f>'O&amp;M Adj'!M51</f>
        <v>1902.6664751028545</v>
      </c>
      <c r="AC81" s="21">
        <f t="shared" si="38"/>
        <v>11264.856275102855</v>
      </c>
      <c r="AD81" s="21">
        <f t="shared" si="39"/>
        <v>299913.80627510289</v>
      </c>
      <c r="AE81" s="49"/>
      <c r="AF81" s="21"/>
      <c r="AG81" s="21"/>
      <c r="AH81" s="21">
        <f t="shared" ref="AH81:AH143" si="41">SUM(AF81:AG81)</f>
        <v>0</v>
      </c>
      <c r="AI81" s="49"/>
      <c r="AJ81" s="21"/>
      <c r="AK81" s="21"/>
      <c r="AL81" s="184">
        <f>+'Wage Adjustments'!N29+'Wage Adjustments'!N54</f>
        <v>5208.2592043499999</v>
      </c>
      <c r="AM81" s="21"/>
      <c r="AN81" s="184"/>
      <c r="AO81" s="184"/>
      <c r="AP81" s="184"/>
      <c r="AQ81" s="184">
        <f>'O&amp;M Adj'!N51</f>
        <v>1931.6037878357506</v>
      </c>
      <c r="AR81" s="21">
        <f t="shared" si="40"/>
        <v>7139.86299218575</v>
      </c>
      <c r="AS81" s="21"/>
      <c r="AT81" s="21"/>
    </row>
    <row r="82" spans="1:48">
      <c r="A82" s="429">
        <f>MAX($A$9:A81)+1</f>
        <v>74</v>
      </c>
      <c r="B82" s="299" t="s">
        <v>869</v>
      </c>
      <c r="C82" s="278" t="s">
        <v>870</v>
      </c>
      <c r="D82" s="864">
        <v>328743.95</v>
      </c>
      <c r="E82" s="21">
        <v>28094.87</v>
      </c>
      <c r="F82" s="857">
        <f t="shared" si="37"/>
        <v>356838.82</v>
      </c>
      <c r="H82" s="21"/>
      <c r="I82" s="21"/>
      <c r="J82" s="21"/>
      <c r="K82" s="21"/>
      <c r="L82" s="21"/>
      <c r="M82" s="21">
        <f>+'Wage Adjustments'!H55</f>
        <v>727.04279999999994</v>
      </c>
      <c r="N82" s="21">
        <f>SUMIF('Incentives Adj'!$B$42:$B$63,B82,'Incentives Adj'!$E$42:$E$63)</f>
        <v>0</v>
      </c>
      <c r="O82" s="21"/>
      <c r="P82" s="21"/>
      <c r="Q82" s="21"/>
      <c r="R82" s="21"/>
      <c r="S82" s="21"/>
      <c r="T82" s="21"/>
      <c r="U82" s="184">
        <f>+'Wage Adjustments'!K55</f>
        <v>11139.274140000001</v>
      </c>
      <c r="V82" s="184"/>
      <c r="W82" s="184"/>
      <c r="X82" s="184"/>
      <c r="Y82" s="21"/>
      <c r="Z82" s="21"/>
      <c r="AA82" s="21"/>
      <c r="AB82" s="21">
        <f>'O&amp;M Adj'!M52</f>
        <v>1975.459691822741</v>
      </c>
      <c r="AC82" s="21">
        <f t="shared" si="38"/>
        <v>13841.776631822742</v>
      </c>
      <c r="AD82" s="21">
        <f t="shared" si="39"/>
        <v>370680.59663182276</v>
      </c>
      <c r="AE82" s="49"/>
      <c r="AF82" s="21"/>
      <c r="AG82" s="21"/>
      <c r="AH82" s="21">
        <f t="shared" si="41"/>
        <v>0</v>
      </c>
      <c r="AI82" s="49"/>
      <c r="AJ82" s="21"/>
      <c r="AK82" s="21"/>
      <c r="AL82" s="184">
        <f>+'Wage Adjustments'!N55</f>
        <v>7017.7427081999995</v>
      </c>
      <c r="AM82" s="21"/>
      <c r="AN82" s="184"/>
      <c r="AO82" s="184"/>
      <c r="AP82" s="184"/>
      <c r="AQ82" s="184">
        <f>'O&amp;M Adj'!N52</f>
        <v>2005.5041035162903</v>
      </c>
      <c r="AR82" s="21">
        <f t="shared" si="40"/>
        <v>9023.2468117162898</v>
      </c>
      <c r="AS82" s="21"/>
      <c r="AT82" s="21"/>
    </row>
    <row r="83" spans="1:48">
      <c r="A83" s="429">
        <f>MAX($A$9:A82)+1</f>
        <v>75</v>
      </c>
      <c r="B83" s="483">
        <v>891</v>
      </c>
      <c r="C83" s="278" t="s">
        <v>870</v>
      </c>
      <c r="D83" s="864">
        <v>106115.53</v>
      </c>
      <c r="E83" s="21">
        <v>9103.4599999999991</v>
      </c>
      <c r="F83" s="857">
        <f t="shared" si="37"/>
        <v>115218.98999999999</v>
      </c>
      <c r="H83" s="21"/>
      <c r="I83" s="21"/>
      <c r="J83" s="21"/>
      <c r="K83" s="21"/>
      <c r="L83" s="21"/>
      <c r="M83" s="21">
        <f>+'Wage Adjustments'!H56</f>
        <v>305.31810000000002</v>
      </c>
      <c r="N83" s="21">
        <f>SUMIF('Incentives Adj'!$B$42:$B$63,B83,'Incentives Adj'!$E$42:$E$63)</f>
        <v>0</v>
      </c>
      <c r="O83" s="21"/>
      <c r="P83" s="21"/>
      <c r="Q83" s="21"/>
      <c r="R83" s="21"/>
      <c r="S83" s="21"/>
      <c r="T83" s="21"/>
      <c r="U83" s="184">
        <f>+'Wage Adjustments'!K56</f>
        <v>2980.1359050000001</v>
      </c>
      <c r="V83" s="184"/>
      <c r="W83" s="184"/>
      <c r="X83" s="184"/>
      <c r="Y83" s="21"/>
      <c r="Z83" s="21"/>
      <c r="AA83" s="21"/>
      <c r="AB83" s="21">
        <f>'O&amp;M Adj'!M53</f>
        <v>805.38567067085921</v>
      </c>
      <c r="AC83" s="21">
        <f t="shared" si="38"/>
        <v>4090.8396756708594</v>
      </c>
      <c r="AD83" s="21">
        <f t="shared" si="39"/>
        <v>119309.82967567084</v>
      </c>
      <c r="AE83" s="49"/>
      <c r="AF83" s="21"/>
      <c r="AG83" s="21"/>
      <c r="AH83" s="21">
        <f t="shared" si="41"/>
        <v>0</v>
      </c>
      <c r="AI83" s="49"/>
      <c r="AJ83" s="21"/>
      <c r="AK83" s="21"/>
      <c r="AL83" s="184">
        <f>+'Wage Adjustments'!N56</f>
        <v>1877.4856201499999</v>
      </c>
      <c r="AM83" s="21"/>
      <c r="AN83" s="184"/>
      <c r="AO83" s="184"/>
      <c r="AP83" s="184"/>
      <c r="AQ83" s="184">
        <f>'O&amp;M Adj'!N53</f>
        <v>817.63463670235251</v>
      </c>
      <c r="AR83" s="21">
        <f t="shared" si="40"/>
        <v>2695.1202568523522</v>
      </c>
      <c r="AS83" s="21"/>
      <c r="AT83" s="21"/>
    </row>
    <row r="84" spans="1:48">
      <c r="A84" s="429">
        <f>MAX($A$9:A83)+1</f>
        <v>76</v>
      </c>
      <c r="B84" s="299" t="s">
        <v>871</v>
      </c>
      <c r="C84" s="278" t="s">
        <v>872</v>
      </c>
      <c r="D84" s="864">
        <v>1062725.6600000001</v>
      </c>
      <c r="E84" s="21">
        <v>1472.54999999999</v>
      </c>
      <c r="F84" s="857">
        <f t="shared" si="37"/>
        <v>1064198.2100000002</v>
      </c>
      <c r="H84" s="21"/>
      <c r="I84" s="21"/>
      <c r="J84" s="21"/>
      <c r="K84" s="21"/>
      <c r="L84" s="21"/>
      <c r="M84" s="21">
        <f>+'Wage Adjustments'!H29+'Wage Adjustments'!H57</f>
        <v>4003.7423999999996</v>
      </c>
      <c r="N84" s="21">
        <f>SUMIF('Incentives Adj'!$B$42:$B$63,B84,'Incentives Adj'!$E$42:$E$63)</f>
        <v>-1633.86</v>
      </c>
      <c r="O84" s="21"/>
      <c r="P84" s="21"/>
      <c r="Q84" s="21"/>
      <c r="R84" s="21"/>
      <c r="S84" s="21"/>
      <c r="T84" s="21"/>
      <c r="U84" s="184">
        <f>+'Wage Adjustments'!K30+'Wage Adjustments'!K57</f>
        <v>35529.743848000006</v>
      </c>
      <c r="V84" s="184"/>
      <c r="W84" s="184"/>
      <c r="X84" s="184"/>
      <c r="Y84" s="21"/>
      <c r="Z84" s="21"/>
      <c r="AA84" s="21"/>
      <c r="AB84" s="21">
        <f>'O&amp;M Adj'!M54</f>
        <v>6197.9325640101197</v>
      </c>
      <c r="AC84" s="21">
        <f t="shared" si="38"/>
        <v>44097.558812010131</v>
      </c>
      <c r="AD84" s="21">
        <f t="shared" si="39"/>
        <v>1108295.7688120103</v>
      </c>
      <c r="AE84" s="49"/>
      <c r="AF84" s="21"/>
      <c r="AG84" s="21"/>
      <c r="AH84" s="21">
        <f t="shared" si="41"/>
        <v>0</v>
      </c>
      <c r="AI84" s="49"/>
      <c r="AJ84" s="21"/>
      <c r="AK84" s="21"/>
      <c r="AL84" s="184">
        <f>+'Wage Adjustments'!N30+'Wage Adjustments'!N57</f>
        <v>22440.095844720003</v>
      </c>
      <c r="AM84" s="21"/>
      <c r="AN84" s="184"/>
      <c r="AO84" s="184"/>
      <c r="AP84" s="184"/>
      <c r="AQ84" s="184">
        <f>'O&amp;M Adj'!N54</f>
        <v>6292.1958073315573</v>
      </c>
      <c r="AR84" s="21">
        <f t="shared" si="40"/>
        <v>28732.291652051561</v>
      </c>
      <c r="AS84" s="21"/>
      <c r="AT84" s="21"/>
    </row>
    <row r="85" spans="1:48">
      <c r="A85" s="429">
        <f>MAX($A$9:A84)+1</f>
        <v>77</v>
      </c>
      <c r="B85" s="299" t="s">
        <v>873</v>
      </c>
      <c r="C85" s="278" t="s">
        <v>874</v>
      </c>
      <c r="D85" s="864">
        <v>1183976.8700000001</v>
      </c>
      <c r="E85" s="21">
        <v>233748.93</v>
      </c>
      <c r="F85" s="857">
        <f t="shared" si="37"/>
        <v>1417725.8</v>
      </c>
      <c r="H85" s="21"/>
      <c r="I85" s="21"/>
      <c r="J85" s="21"/>
      <c r="K85" s="21"/>
      <c r="L85" s="21"/>
      <c r="M85" s="21">
        <f>+'Wage Adjustments'!H58</f>
        <v>7359.3653999999997</v>
      </c>
      <c r="N85" s="21">
        <f>SUMIF('Incentives Adj'!$B$42:$B$63,B85,'Incentives Adj'!$E$42:$E$63)</f>
        <v>-989.91</v>
      </c>
      <c r="O85" s="21"/>
      <c r="P85" s="21"/>
      <c r="Q85" s="21"/>
      <c r="R85" s="21"/>
      <c r="S85" s="21"/>
      <c r="T85" s="21"/>
      <c r="U85" s="184">
        <f>+'Wage Adjustments'!K31+'Wage Adjustments'!K58</f>
        <v>51779.883611000005</v>
      </c>
      <c r="V85" s="184"/>
      <c r="W85" s="184"/>
      <c r="X85" s="184"/>
      <c r="Y85" s="21"/>
      <c r="Z85" s="21"/>
      <c r="AA85" s="21"/>
      <c r="AB85" s="21">
        <f>'O&amp;M Adj'!M55</f>
        <v>5612.616091359012</v>
      </c>
      <c r="AC85" s="21">
        <f t="shared" si="38"/>
        <v>63761.955102359017</v>
      </c>
      <c r="AD85" s="21">
        <f t="shared" si="39"/>
        <v>1481487.755102359</v>
      </c>
      <c r="AE85" s="49"/>
      <c r="AF85" s="21"/>
      <c r="AG85" s="21"/>
      <c r="AH85" s="21">
        <f t="shared" si="41"/>
        <v>0</v>
      </c>
      <c r="AI85" s="49"/>
      <c r="AJ85" s="21"/>
      <c r="AK85" s="21"/>
      <c r="AL85" s="184">
        <f>+'Wage Adjustments'!N31+'Wage Adjustments'!N58</f>
        <v>32625.606133739999</v>
      </c>
      <c r="AM85" s="21"/>
      <c r="AN85" s="184"/>
      <c r="AO85" s="184"/>
      <c r="AP85" s="184"/>
      <c r="AQ85" s="184">
        <f>'O&amp;M Adj'!N55</f>
        <v>5697.9773615609056</v>
      </c>
      <c r="AR85" s="21">
        <f t="shared" si="40"/>
        <v>38323.583495300903</v>
      </c>
      <c r="AS85" s="21"/>
      <c r="AT85" s="21"/>
    </row>
    <row r="86" spans="1:48">
      <c r="A86" s="429">
        <f>MAX($A$9:A85)+1</f>
        <v>78</v>
      </c>
      <c r="B86" s="299" t="s">
        <v>875</v>
      </c>
      <c r="C86" s="278" t="s">
        <v>876</v>
      </c>
      <c r="D86" s="864">
        <v>1350701.94</v>
      </c>
      <c r="E86" s="21">
        <v>17062.419999999998</v>
      </c>
      <c r="F86" s="857">
        <f t="shared" si="37"/>
        <v>1367764.3599999999</v>
      </c>
      <c r="H86" s="21"/>
      <c r="I86" s="21"/>
      <c r="J86" s="21"/>
      <c r="K86" s="21"/>
      <c r="L86" s="21"/>
      <c r="M86" s="21">
        <f>+'Wage Adjustments'!H59</f>
        <v>12482.611799999999</v>
      </c>
      <c r="N86" s="21">
        <f>SUMIF('Incentives Adj'!$B$42:$B$63,B86,'Incentives Adj'!$E$42:$E$63)</f>
        <v>-2050.83</v>
      </c>
      <c r="O86" s="21"/>
      <c r="P86" s="21"/>
      <c r="Q86" s="21"/>
      <c r="R86" s="21"/>
      <c r="S86" s="21"/>
      <c r="T86" s="21"/>
      <c r="U86" s="184">
        <f>+'Wage Adjustments'!K32+'Wage Adjustments'!K59</f>
        <v>58095.190307000012</v>
      </c>
      <c r="V86" s="184"/>
      <c r="W86" s="184"/>
      <c r="X86" s="184"/>
      <c r="Y86" s="21"/>
      <c r="Z86" s="21"/>
      <c r="AA86" s="21"/>
      <c r="AB86" s="21">
        <f>'O&amp;M Adj'!M56</f>
        <v>3521.7514139489967</v>
      </c>
      <c r="AC86" s="21">
        <f t="shared" si="38"/>
        <v>72048.723520949003</v>
      </c>
      <c r="AD86" s="21">
        <f t="shared" si="39"/>
        <v>1439813.0835209489</v>
      </c>
      <c r="AE86" s="49"/>
      <c r="AF86" s="21"/>
      <c r="AG86" s="21"/>
      <c r="AH86" s="21">
        <f t="shared" si="41"/>
        <v>0</v>
      </c>
      <c r="AI86" s="49"/>
      <c r="AJ86" s="21"/>
      <c r="AK86" s="21"/>
      <c r="AL86" s="184">
        <f>+'Wage Adjustments'!N32+'Wage Adjustments'!N59</f>
        <v>36618.864970380004</v>
      </c>
      <c r="AM86" s="21"/>
      <c r="AN86" s="184"/>
      <c r="AO86" s="184"/>
      <c r="AP86" s="184"/>
      <c r="AQ86" s="184">
        <f>'O&amp;M Adj'!N56</f>
        <v>3575.3130987563418</v>
      </c>
      <c r="AR86" s="21">
        <f t="shared" si="40"/>
        <v>40194.178069136346</v>
      </c>
      <c r="AS86" s="21"/>
      <c r="AT86" s="21"/>
    </row>
    <row r="87" spans="1:48">
      <c r="A87" s="429">
        <f>MAX($A$9:A86)+1</f>
        <v>79</v>
      </c>
      <c r="B87" s="303"/>
      <c r="C87" s="280" t="s">
        <v>877</v>
      </c>
      <c r="D87" s="865">
        <f>SUM(D77:D86)</f>
        <v>8526648.8800000008</v>
      </c>
      <c r="E87" s="517">
        <f>SUM(E77:E86)</f>
        <v>463964.60999999993</v>
      </c>
      <c r="F87" s="853">
        <f>SUM(F77:F86)</f>
        <v>8990613.4900000002</v>
      </c>
      <c r="H87" s="853">
        <f t="shared" ref="H87:R87" si="42">SUM(H77:H86)</f>
        <v>0</v>
      </c>
      <c r="I87" s="853">
        <f t="shared" si="42"/>
        <v>0</v>
      </c>
      <c r="J87" s="853">
        <f t="shared" si="42"/>
        <v>0</v>
      </c>
      <c r="K87" s="853">
        <f t="shared" si="42"/>
        <v>0</v>
      </c>
      <c r="L87" s="853">
        <f t="shared" si="42"/>
        <v>0</v>
      </c>
      <c r="M87" s="853">
        <f t="shared" si="42"/>
        <v>29715.341699999997</v>
      </c>
      <c r="N87" s="853">
        <f t="shared" si="42"/>
        <v>-98932.74</v>
      </c>
      <c r="O87" s="853">
        <f t="shared" si="42"/>
        <v>0</v>
      </c>
      <c r="P87" s="853">
        <f t="shared" si="42"/>
        <v>0</v>
      </c>
      <c r="Q87" s="853">
        <f t="shared" si="42"/>
        <v>0</v>
      </c>
      <c r="R87" s="853">
        <f t="shared" si="42"/>
        <v>0</v>
      </c>
      <c r="S87" s="853">
        <f t="shared" ref="S87:AD87" si="43">SUM(S77:S86)</f>
        <v>0</v>
      </c>
      <c r="T87" s="853">
        <f t="shared" si="43"/>
        <v>0</v>
      </c>
      <c r="U87" s="854">
        <f t="shared" si="43"/>
        <v>261268.11634300003</v>
      </c>
      <c r="V87" s="854">
        <f t="shared" si="43"/>
        <v>2018196.3840000001</v>
      </c>
      <c r="W87" s="853">
        <f t="shared" si="43"/>
        <v>0</v>
      </c>
      <c r="X87" s="853">
        <f t="shared" si="43"/>
        <v>0</v>
      </c>
      <c r="Y87" s="853">
        <f>SUM(Y77:Y86)</f>
        <v>0</v>
      </c>
      <c r="Z87" s="853">
        <f>SUM(Z77:Z86)</f>
        <v>0</v>
      </c>
      <c r="AA87" s="853">
        <f>SUM(AA77:AA86)</f>
        <v>0</v>
      </c>
      <c r="AB87" s="853">
        <f t="shared" si="43"/>
        <v>40822.735322141925</v>
      </c>
      <c r="AC87" s="853">
        <f t="shared" si="43"/>
        <v>2251069.8373651421</v>
      </c>
      <c r="AD87" s="853">
        <f t="shared" si="43"/>
        <v>11241683.327365141</v>
      </c>
      <c r="AE87" s="49"/>
      <c r="AF87" s="853">
        <f t="shared" ref="AF87:AQ87" si="44">SUM(AF77:AF86)</f>
        <v>0</v>
      </c>
      <c r="AG87" s="853">
        <f t="shared" si="44"/>
        <v>0</v>
      </c>
      <c r="AH87" s="853">
        <f t="shared" si="41"/>
        <v>0</v>
      </c>
      <c r="AI87" s="49"/>
      <c r="AJ87" s="853">
        <f t="shared" si="44"/>
        <v>0</v>
      </c>
      <c r="AK87" s="853">
        <f>SUM(AK77:AK86)</f>
        <v>0</v>
      </c>
      <c r="AL87" s="854">
        <f>SUM(AL77:AL86)</f>
        <v>168324.93315386999</v>
      </c>
      <c r="AM87" s="854">
        <f t="shared" si="44"/>
        <v>0</v>
      </c>
      <c r="AN87" s="854">
        <f t="shared" si="44"/>
        <v>0</v>
      </c>
      <c r="AO87" s="854">
        <f t="shared" si="44"/>
        <v>0</v>
      </c>
      <c r="AP87" s="854">
        <f t="shared" si="44"/>
        <v>0</v>
      </c>
      <c r="AQ87" s="854">
        <f t="shared" si="44"/>
        <v>41443.600972578744</v>
      </c>
      <c r="AR87" s="853">
        <f t="shared" si="40"/>
        <v>209768.53412644874</v>
      </c>
      <c r="AS87" s="49"/>
      <c r="AT87" s="21"/>
    </row>
    <row r="88" spans="1:48">
      <c r="A88" s="429">
        <f>MAX($A$9:A87)+1</f>
        <v>80</v>
      </c>
      <c r="B88" s="298" t="s">
        <v>878</v>
      </c>
      <c r="C88" s="276"/>
      <c r="D88" s="867">
        <f>D74+D87</f>
        <v>20630520.210000001</v>
      </c>
      <c r="E88" s="868">
        <f>E74+E87</f>
        <v>1926077.3199999998</v>
      </c>
      <c r="F88" s="858">
        <f>F74+F87</f>
        <v>22556597.530000001</v>
      </c>
      <c r="H88" s="858">
        <f>H74+H87</f>
        <v>0</v>
      </c>
      <c r="I88" s="858">
        <f>I74+I87</f>
        <v>0</v>
      </c>
      <c r="J88" s="858">
        <f>J74+J87</f>
        <v>0</v>
      </c>
      <c r="K88" s="858">
        <f>K74+K87</f>
        <v>0</v>
      </c>
      <c r="L88" s="858">
        <f t="shared" ref="L88:U88" si="45">L74+L87</f>
        <v>0</v>
      </c>
      <c r="M88" s="858">
        <f>M74+M87</f>
        <v>86313.603899999987</v>
      </c>
      <c r="N88" s="858">
        <f t="shared" si="45"/>
        <v>-419642.07999999996</v>
      </c>
      <c r="O88" s="858">
        <f t="shared" si="45"/>
        <v>0</v>
      </c>
      <c r="P88" s="858">
        <f t="shared" si="45"/>
        <v>0</v>
      </c>
      <c r="Q88" s="858">
        <f t="shared" si="45"/>
        <v>0</v>
      </c>
      <c r="R88" s="858">
        <f t="shared" si="45"/>
        <v>0</v>
      </c>
      <c r="S88" s="858">
        <f t="shared" si="45"/>
        <v>0</v>
      </c>
      <c r="T88" s="858">
        <f t="shared" si="45"/>
        <v>0</v>
      </c>
      <c r="U88" s="859">
        <f t="shared" si="45"/>
        <v>806205.71300600003</v>
      </c>
      <c r="V88" s="859">
        <f t="shared" ref="V88:AD88" si="46">V74+V87</f>
        <v>2018196.3840000001</v>
      </c>
      <c r="W88" s="858">
        <f t="shared" si="46"/>
        <v>0</v>
      </c>
      <c r="X88" s="858">
        <f t="shared" si="46"/>
        <v>0</v>
      </c>
      <c r="Y88" s="858">
        <f>Y74+Y87</f>
        <v>0</v>
      </c>
      <c r="Z88" s="858">
        <f>Z74+Z87</f>
        <v>0</v>
      </c>
      <c r="AA88" s="858">
        <f>AA74+AA87</f>
        <v>0</v>
      </c>
      <c r="AB88" s="858">
        <f t="shared" si="46"/>
        <v>85129.270804249943</v>
      </c>
      <c r="AC88" s="858">
        <f t="shared" si="46"/>
        <v>2576202.8917102502</v>
      </c>
      <c r="AD88" s="858">
        <f t="shared" si="46"/>
        <v>25132800.421710253</v>
      </c>
      <c r="AE88" s="49"/>
      <c r="AF88" s="858">
        <f t="shared" ref="AF88:AQ88" si="47">AF74+AF87</f>
        <v>0</v>
      </c>
      <c r="AG88" s="858">
        <f t="shared" si="47"/>
        <v>-280000</v>
      </c>
      <c r="AH88" s="858">
        <f t="shared" si="41"/>
        <v>-280000</v>
      </c>
      <c r="AI88" s="49"/>
      <c r="AJ88" s="858">
        <f t="shared" si="47"/>
        <v>0</v>
      </c>
      <c r="AK88" s="858">
        <f>AK74+AK87</f>
        <v>-280000</v>
      </c>
      <c r="AL88" s="859">
        <f>AL74+AL87</f>
        <v>522706.35806529003</v>
      </c>
      <c r="AM88" s="859">
        <f t="shared" si="47"/>
        <v>0</v>
      </c>
      <c r="AN88" s="859">
        <f t="shared" si="47"/>
        <v>0</v>
      </c>
      <c r="AO88" s="859">
        <f t="shared" si="47"/>
        <v>0</v>
      </c>
      <c r="AP88" s="859">
        <f t="shared" si="47"/>
        <v>0</v>
      </c>
      <c r="AQ88" s="859">
        <f t="shared" si="47"/>
        <v>86423.986596124509</v>
      </c>
      <c r="AR88" s="858">
        <f t="shared" si="40"/>
        <v>329130.34466141451</v>
      </c>
      <c r="AS88" s="49"/>
      <c r="AT88" s="21">
        <f>AD88-'Exh JAD-3 ROO Summary'!G19</f>
        <v>0</v>
      </c>
      <c r="AU88" s="42">
        <f>AH88-'Exh JAD-4 MYRP Summary'!D19</f>
        <v>0</v>
      </c>
      <c r="AV88" s="42">
        <f>AR88-'Exh JAD-4 MYRP Summary'!J19</f>
        <v>0</v>
      </c>
    </row>
    <row r="89" spans="1:48">
      <c r="A89" s="429">
        <f>MAX($A$9:A88)+1</f>
        <v>81</v>
      </c>
      <c r="B89" s="303"/>
      <c r="C89" s="276"/>
      <c r="D89" s="864"/>
      <c r="E89" s="21"/>
      <c r="F89" s="857"/>
      <c r="H89" s="21"/>
      <c r="I89" s="21"/>
      <c r="J89" s="21"/>
      <c r="K89" s="21"/>
      <c r="L89" s="21"/>
      <c r="M89" s="21"/>
      <c r="N89" s="21"/>
      <c r="O89" s="21"/>
      <c r="P89" s="21"/>
      <c r="Q89" s="21"/>
      <c r="R89" s="21"/>
      <c r="S89" s="21"/>
      <c r="T89" s="21"/>
      <c r="U89" s="184"/>
      <c r="V89" s="184"/>
      <c r="W89" s="184"/>
      <c r="X89" s="184"/>
      <c r="Y89" s="21"/>
      <c r="Z89" s="21"/>
      <c r="AA89" s="21"/>
      <c r="AB89" s="21"/>
      <c r="AC89" s="21"/>
      <c r="AD89" s="21"/>
      <c r="AE89" s="49"/>
      <c r="AF89" s="21"/>
      <c r="AG89" s="21"/>
      <c r="AH89" s="21"/>
      <c r="AI89" s="49"/>
      <c r="AJ89" s="21"/>
      <c r="AK89" s="21"/>
      <c r="AL89" s="184"/>
      <c r="AM89" s="21"/>
      <c r="AN89" s="184"/>
      <c r="AO89" s="184"/>
      <c r="AP89" s="184"/>
      <c r="AQ89" s="184"/>
      <c r="AR89" s="21"/>
      <c r="AS89" s="21"/>
      <c r="AT89" s="21"/>
    </row>
    <row r="90" spans="1:48">
      <c r="A90" s="429">
        <f>MAX($A$9:A89)+1</f>
        <v>82</v>
      </c>
      <c r="B90" s="298" t="s">
        <v>879</v>
      </c>
      <c r="C90" s="276"/>
      <c r="D90" s="864"/>
      <c r="E90" s="21"/>
      <c r="F90" s="857"/>
      <c r="H90" s="21"/>
      <c r="I90" s="21"/>
      <c r="J90" s="21"/>
      <c r="K90" s="21"/>
      <c r="L90" s="21"/>
      <c r="M90" s="21"/>
      <c r="N90" s="21"/>
      <c r="O90" s="21"/>
      <c r="P90" s="21"/>
      <c r="Q90" s="21"/>
      <c r="R90" s="21"/>
      <c r="S90" s="21"/>
      <c r="T90" s="21"/>
      <c r="U90" s="184"/>
      <c r="V90" s="184"/>
      <c r="W90" s="184"/>
      <c r="X90" s="184"/>
      <c r="Y90" s="21"/>
      <c r="Z90" s="21"/>
      <c r="AA90" s="21"/>
      <c r="AB90" s="21"/>
      <c r="AC90" s="21"/>
      <c r="AD90" s="21"/>
      <c r="AE90" s="49"/>
      <c r="AF90" s="21"/>
      <c r="AG90" s="21"/>
      <c r="AH90" s="21"/>
      <c r="AI90" s="49"/>
      <c r="AJ90" s="21"/>
      <c r="AK90" s="21"/>
      <c r="AL90" s="184"/>
      <c r="AM90" s="21"/>
      <c r="AN90" s="184"/>
      <c r="AO90" s="184"/>
      <c r="AP90" s="184"/>
      <c r="AQ90" s="184"/>
      <c r="AR90" s="21"/>
      <c r="AS90" s="21"/>
      <c r="AT90" s="21"/>
    </row>
    <row r="91" spans="1:48">
      <c r="A91" s="429">
        <f>MAX($A$9:A90)+1</f>
        <v>83</v>
      </c>
      <c r="B91" s="299" t="s">
        <v>880</v>
      </c>
      <c r="C91" s="278" t="s">
        <v>881</v>
      </c>
      <c r="D91" s="864">
        <v>-1549.6399999999999</v>
      </c>
      <c r="E91" s="21">
        <v>123541.72</v>
      </c>
      <c r="F91" s="857">
        <f>SUM(D91:E91)</f>
        <v>121992.08</v>
      </c>
      <c r="H91" s="21"/>
      <c r="I91" s="21"/>
      <c r="J91" s="21"/>
      <c r="K91" s="21"/>
      <c r="L91" s="21"/>
      <c r="M91" s="21"/>
      <c r="N91" s="21">
        <f>SUMIF('Incentives Adj'!$B$42:$B$63,B91,'Incentives Adj'!$E$42:$E$63)</f>
        <v>-10134.58</v>
      </c>
      <c r="O91" s="21"/>
      <c r="P91" s="21"/>
      <c r="Q91" s="21"/>
      <c r="R91" s="21"/>
      <c r="S91" s="21"/>
      <c r="T91" s="21"/>
      <c r="U91" s="184">
        <f>+'Wage Adjustments'!K33+'Wage Adjustments'!K79</f>
        <v>6485.5134389999994</v>
      </c>
      <c r="V91" s="184"/>
      <c r="W91" s="184"/>
      <c r="X91" s="184"/>
      <c r="Y91" s="21"/>
      <c r="Z91" s="21"/>
      <c r="AA91" s="21"/>
      <c r="AB91" s="21">
        <f>'O&amp;M Adj'!M61</f>
        <v>0.71162070730130611</v>
      </c>
      <c r="AC91" s="21">
        <f>SUM(H91:AB91)</f>
        <v>-3648.3549402926992</v>
      </c>
      <c r="AD91" s="21">
        <f>+F91+AC91</f>
        <v>118343.7250597073</v>
      </c>
      <c r="AE91" s="49"/>
      <c r="AF91" s="21"/>
      <c r="AG91" s="21"/>
      <c r="AH91" s="21">
        <f t="shared" si="41"/>
        <v>0</v>
      </c>
      <c r="AI91" s="49"/>
      <c r="AJ91" s="21"/>
      <c r="AK91" s="21"/>
      <c r="AL91" s="184">
        <f>+'Wage Adjustments'!N33+'Wage Adjustments'!N79</f>
        <v>4463.9673375600005</v>
      </c>
      <c r="AM91" s="21"/>
      <c r="AN91" s="184"/>
      <c r="AO91" s="184"/>
      <c r="AP91" s="184"/>
      <c r="AQ91" s="184">
        <f>'O&amp;M Adj'!N61</f>
        <v>0.72244361884352448</v>
      </c>
      <c r="AR91" s="21">
        <f t="shared" ref="AR91:AR96" si="48">SUM(AJ91:AQ91)</f>
        <v>4464.689781178844</v>
      </c>
      <c r="AS91" s="21"/>
      <c r="AT91" s="21"/>
    </row>
    <row r="92" spans="1:48">
      <c r="A92" s="429">
        <f>MAX($A$9:A91)+1</f>
        <v>84</v>
      </c>
      <c r="B92" s="299" t="s">
        <v>882</v>
      </c>
      <c r="C92" s="278" t="s">
        <v>883</v>
      </c>
      <c r="D92" s="864">
        <v>396134.41</v>
      </c>
      <c r="E92" s="21">
        <v>124611.26</v>
      </c>
      <c r="F92" s="857">
        <f>SUM(D92:E92)</f>
        <v>520745.67</v>
      </c>
      <c r="H92" s="21"/>
      <c r="I92" s="21"/>
      <c r="J92" s="21"/>
      <c r="K92" s="21"/>
      <c r="L92" s="21"/>
      <c r="M92" s="21">
        <f>+'Wage Adjustments'!H60</f>
        <v>2678.3991000000001</v>
      </c>
      <c r="N92" s="21">
        <f>SUMIF('Incentives Adj'!$B$42:$B$63,B92,'Incentives Adj'!$E$42:$E$63)</f>
        <v>-9436.02</v>
      </c>
      <c r="O92" s="21"/>
      <c r="P92" s="21"/>
      <c r="Q92" s="21"/>
      <c r="R92" s="21"/>
      <c r="S92" s="21"/>
      <c r="T92" s="21"/>
      <c r="U92" s="184">
        <f>+'Wage Adjustments'!K34+'Wage Adjustments'!K60+'Wage Adjustments'!K80</f>
        <v>21405.889748999998</v>
      </c>
      <c r="V92" s="184"/>
      <c r="W92" s="184"/>
      <c r="X92" s="184"/>
      <c r="Y92" s="21"/>
      <c r="Z92" s="21"/>
      <c r="AA92" s="21"/>
      <c r="AB92" s="21">
        <f>'O&amp;M Adj'!M62</f>
        <v>1464.380665478305</v>
      </c>
      <c r="AC92" s="21">
        <f>SUM(H92:AB92)</f>
        <v>16112.649514478304</v>
      </c>
      <c r="AD92" s="21">
        <f>+F92+AC92</f>
        <v>536858.31951447832</v>
      </c>
      <c r="AE92" s="49"/>
      <c r="AF92" s="21"/>
      <c r="AG92" s="21"/>
      <c r="AH92" s="21">
        <f t="shared" si="41"/>
        <v>0</v>
      </c>
      <c r="AI92" s="49"/>
      <c r="AJ92" s="21"/>
      <c r="AK92" s="21"/>
      <c r="AL92" s="184">
        <f>+'Wage Adjustments'!N34+'Wage Adjustments'!N60+'Wage Adjustments'!N80</f>
        <v>13784.60980341</v>
      </c>
      <c r="AM92" s="21"/>
      <c r="AN92" s="184"/>
      <c r="AO92" s="184"/>
      <c r="AP92" s="184"/>
      <c r="AQ92" s="184">
        <f>'O&amp;M Adj'!N62</f>
        <v>1486.6521680413916</v>
      </c>
      <c r="AR92" s="21">
        <f t="shared" si="48"/>
        <v>15271.261971451391</v>
      </c>
      <c r="AS92" s="21"/>
      <c r="AT92" s="21"/>
    </row>
    <row r="93" spans="1:48">
      <c r="A93" s="429">
        <f>MAX($A$9:A92)+1</f>
        <v>85</v>
      </c>
      <c r="B93" s="299" t="s">
        <v>884</v>
      </c>
      <c r="C93" s="278" t="s">
        <v>885</v>
      </c>
      <c r="D93" s="864">
        <v>453165.68</v>
      </c>
      <c r="E93" s="21">
        <v>4294118.3899999997</v>
      </c>
      <c r="F93" s="857">
        <f>SUM(D93:E93)</f>
        <v>4747284.0699999994</v>
      </c>
      <c r="H93" s="21"/>
      <c r="I93" s="21"/>
      <c r="J93" s="21"/>
      <c r="K93" s="21"/>
      <c r="L93" s="21"/>
      <c r="M93" s="21">
        <f>+'Wage Adjustments'!H61</f>
        <v>385.24110000000002</v>
      </c>
      <c r="N93" s="21">
        <f>SUMIF('Incentives Adj'!$B$42:$B$63,B93,'Incentives Adj'!$E$42:$E$63)</f>
        <v>-226261.88</v>
      </c>
      <c r="O93" s="21"/>
      <c r="P93" s="21"/>
      <c r="Q93" s="21"/>
      <c r="R93" s="21"/>
      <c r="S93" s="21"/>
      <c r="T93" s="21"/>
      <c r="U93" s="184">
        <f>+'Wage Adjustments'!K35+'Wage Adjustments'!K61+'Wage Adjustments'!K81</f>
        <v>153144.48325399999</v>
      </c>
      <c r="V93" s="184"/>
      <c r="W93" s="184"/>
      <c r="X93" s="184"/>
      <c r="Y93" s="21"/>
      <c r="Z93" s="21"/>
      <c r="AA93" s="21"/>
      <c r="AB93" s="21">
        <f>'O&amp;M Adj'!M63</f>
        <v>28165.531937945008</v>
      </c>
      <c r="AC93" s="21">
        <f>SUM(H93:AB93)</f>
        <v>-44566.623708054991</v>
      </c>
      <c r="AD93" s="21">
        <f>+F93+AC93</f>
        <v>4702717.446291944</v>
      </c>
      <c r="AE93" s="49"/>
      <c r="AF93" s="184"/>
      <c r="AG93" s="184">
        <f>'Provisional Plant Additions'!E37</f>
        <v>-12500</v>
      </c>
      <c r="AH93" s="184">
        <f t="shared" si="41"/>
        <v>-12500</v>
      </c>
      <c r="AI93" s="49"/>
      <c r="AJ93" s="184"/>
      <c r="AK93" s="184">
        <f>'Provisional Plant Additions'!E67</f>
        <v>-175000</v>
      </c>
      <c r="AL93" s="184">
        <f>+'Wage Adjustments'!N35+'Wage Adjustments'!N61+'Wage Adjustments'!N81</f>
        <v>105252.81781761</v>
      </c>
      <c r="AM93" s="21"/>
      <c r="AN93" s="184"/>
      <c r="AO93" s="184"/>
      <c r="AP93" s="184"/>
      <c r="AQ93" s="184">
        <f>'O&amp;M Adj'!N63</f>
        <v>28593.896455132723</v>
      </c>
      <c r="AR93" s="184">
        <f t="shared" si="48"/>
        <v>-41153.285727257273</v>
      </c>
      <c r="AS93" s="184"/>
      <c r="AT93" s="21"/>
    </row>
    <row r="94" spans="1:48">
      <c r="A94" s="429">
        <f>MAX($A$9:A93)+1</f>
        <v>86</v>
      </c>
      <c r="B94" s="299" t="s">
        <v>886</v>
      </c>
      <c r="C94" s="278" t="s">
        <v>613</v>
      </c>
      <c r="D94" s="864">
        <v>2505341.12</v>
      </c>
      <c r="E94" s="21">
        <v>22627.919999999998</v>
      </c>
      <c r="F94" s="857">
        <f>SUM(D94:E94)</f>
        <v>2527969.04</v>
      </c>
      <c r="H94" s="184">
        <f>'Suppl Sch Adj'!J18</f>
        <v>-864008.62641261914</v>
      </c>
      <c r="I94" s="21">
        <f>+I29*'Exh JAD-6, Conversion Factor'!$C$10</f>
        <v>-11922.504384550009</v>
      </c>
      <c r="J94" s="21">
        <f>+J29*'Exh JAD-6, Conversion Factor'!$C$10</f>
        <v>2931.0814267440292</v>
      </c>
      <c r="K94" s="21">
        <f>+K29*'Exh JAD-6, Conversion Factor'!$C$10</f>
        <v>12308.709948911473</v>
      </c>
      <c r="L94" s="21">
        <f>+L29*'Exh JAD-6, Conversion Factor'!$C$10</f>
        <v>0</v>
      </c>
      <c r="M94" s="21">
        <f>+M29*'Exh JAD-6, Conversion Factor'!$C$10</f>
        <v>0</v>
      </c>
      <c r="N94" s="21">
        <f>+N29*'Exh JAD-6, Conversion Factor'!$C$10</f>
        <v>0</v>
      </c>
      <c r="O94" s="21">
        <f>+O29*'Exh JAD-6, Conversion Factor'!$C$10</f>
        <v>0</v>
      </c>
      <c r="P94" s="21">
        <f>+P29*'Exh JAD-6, Conversion Factor'!$C$10</f>
        <v>0</v>
      </c>
      <c r="Q94" s="21">
        <f>+Q29*'Exh JAD-6, Conversion Factor'!$C$10</f>
        <v>0</v>
      </c>
      <c r="R94" s="21">
        <f>+R29*'Exh JAD-6, Conversion Factor'!$C$10</f>
        <v>0</v>
      </c>
      <c r="S94" s="21">
        <f>+S29*'Exh JAD-6, Conversion Factor'!$C$10</f>
        <v>0</v>
      </c>
      <c r="T94" s="21">
        <f>+T29*'Exh JAD-6, Conversion Factor'!$C$10</f>
        <v>0</v>
      </c>
      <c r="U94" s="184">
        <f>+U29*'Exh JAD-6, Conversion Factor'!$C$10</f>
        <v>0</v>
      </c>
      <c r="V94" s="21">
        <f>+V29*'Exh JAD-6, Conversion Factor'!$C$10</f>
        <v>0</v>
      </c>
      <c r="W94" s="21">
        <f>+W29*'Exh JAD-6, Conversion Factor'!$C$10</f>
        <v>0</v>
      </c>
      <c r="X94" s="21">
        <f>+X29*'Exh JAD-6, Conversion Factor'!$C$10</f>
        <v>0</v>
      </c>
      <c r="Y94" s="21">
        <f>+Y29*'Exh JAD-6, Conversion Factor'!$C$10</f>
        <v>0</v>
      </c>
      <c r="Z94" s="21">
        <f>+Z29*'Exh JAD-6, Conversion Factor'!$C$10</f>
        <v>0</v>
      </c>
      <c r="AA94" s="21">
        <f>+AA29*'Exh JAD-6, Conversion Factor'!$C$10</f>
        <v>0</v>
      </c>
      <c r="AB94" s="21">
        <f>'O&amp;M Adj'!M64</f>
        <v>0</v>
      </c>
      <c r="AC94" s="21">
        <f>SUM(H94:AB94)</f>
        <v>-860691.33942151372</v>
      </c>
      <c r="AD94" s="21">
        <f>+F94+AC94</f>
        <v>1667277.7005784863</v>
      </c>
      <c r="AE94" s="49"/>
      <c r="AF94" s="21">
        <f>+AF29*'Exh JAD-6, Conversion Factor'!$C$10</f>
        <v>0</v>
      </c>
      <c r="AG94" s="21">
        <f>+AG29*'Exh JAD-6, Conversion Factor'!$C$10</f>
        <v>10558.529677620663</v>
      </c>
      <c r="AH94" s="21">
        <f t="shared" si="41"/>
        <v>10558.529677620663</v>
      </c>
      <c r="AI94" s="49"/>
      <c r="AJ94" s="21">
        <f>+AJ29*'Exh JAD-6, Conversion Factor'!$C$10</f>
        <v>0</v>
      </c>
      <c r="AK94" s="21">
        <f>+AK29*'Exh JAD-6, Conversion Factor'!$C$10</f>
        <v>13754.023895837448</v>
      </c>
      <c r="AL94" s="184">
        <f>+AL29*'Exh JAD-6, Conversion Factor'!$C$10</f>
        <v>0</v>
      </c>
      <c r="AM94" s="184">
        <f>+AM29*'Exh JAD-6, Conversion Factor'!$C$10</f>
        <v>0</v>
      </c>
      <c r="AN94" s="21">
        <f>+AN29*'Exh JAD-6, Conversion Factor'!$C$10</f>
        <v>0</v>
      </c>
      <c r="AO94" s="21">
        <f>+AO29*'Exh JAD-6, Conversion Factor'!$C$10</f>
        <v>0</v>
      </c>
      <c r="AP94" s="21">
        <f>+AP29*'Exh JAD-6, Conversion Factor'!$C$10</f>
        <v>0</v>
      </c>
      <c r="AQ94" s="184">
        <f>'O&amp;M Adj'!N64</f>
        <v>0</v>
      </c>
      <c r="AR94" s="21">
        <f t="shared" si="48"/>
        <v>13754.023895837448</v>
      </c>
      <c r="AS94" s="21"/>
      <c r="AT94" s="21"/>
    </row>
    <row r="95" spans="1:48">
      <c r="A95" s="429">
        <f>MAX($A$9:A94)+1</f>
        <v>87</v>
      </c>
      <c r="B95" s="299" t="s">
        <v>887</v>
      </c>
      <c r="C95" s="278" t="s">
        <v>888</v>
      </c>
      <c r="D95" s="864">
        <v>0</v>
      </c>
      <c r="E95" s="21">
        <v>422.05000000000018</v>
      </c>
      <c r="F95" s="857">
        <f>SUM(D95:E95)</f>
        <v>422.05000000000018</v>
      </c>
      <c r="H95" s="21"/>
      <c r="I95" s="21"/>
      <c r="J95" s="21"/>
      <c r="K95" s="21"/>
      <c r="L95" s="21"/>
      <c r="M95" s="21"/>
      <c r="N95" s="21">
        <f>SUMIF('Incentives Adj'!$B$42:$B$63,B95,'Incentives Adj'!$E$42:$E$63)</f>
        <v>0</v>
      </c>
      <c r="O95" s="21"/>
      <c r="P95" s="21"/>
      <c r="Q95" s="21"/>
      <c r="R95" s="21"/>
      <c r="S95" s="21"/>
      <c r="T95" s="21"/>
      <c r="U95" s="184"/>
      <c r="V95" s="184"/>
      <c r="W95" s="184"/>
      <c r="X95" s="184"/>
      <c r="Y95" s="21"/>
      <c r="Z95" s="21"/>
      <c r="AA95" s="21"/>
      <c r="AB95" s="21">
        <f>'O&amp;M Adj'!M65</f>
        <v>6.418882656908405</v>
      </c>
      <c r="AC95" s="21">
        <f>SUM(H95:AB95)</f>
        <v>6.418882656908405</v>
      </c>
      <c r="AD95" s="21">
        <f>+F95+AC95</f>
        <v>428.46888265690859</v>
      </c>
      <c r="AE95" s="49"/>
      <c r="AF95" s="21"/>
      <c r="AG95" s="21"/>
      <c r="AH95" s="21">
        <f t="shared" si="41"/>
        <v>0</v>
      </c>
      <c r="AI95" s="49"/>
      <c r="AJ95" s="21"/>
      <c r="AK95" s="21"/>
      <c r="AL95" s="184"/>
      <c r="AM95" s="21"/>
      <c r="AN95" s="184"/>
      <c r="AO95" s="184"/>
      <c r="AP95" s="184"/>
      <c r="AQ95" s="184">
        <f>'O&amp;M Adj'!N65</f>
        <v>6.5165062905138065</v>
      </c>
      <c r="AR95" s="21">
        <f t="shared" si="48"/>
        <v>6.5165062905138065</v>
      </c>
      <c r="AS95" s="21"/>
      <c r="AT95" s="21"/>
    </row>
    <row r="96" spans="1:48">
      <c r="A96" s="429">
        <f>MAX($A$9:A95)+1</f>
        <v>88</v>
      </c>
      <c r="B96" s="298" t="s">
        <v>889</v>
      </c>
      <c r="C96" s="276"/>
      <c r="D96" s="865">
        <f>SUM(D91:D95)</f>
        <v>3353091.5700000003</v>
      </c>
      <c r="E96" s="517">
        <f>SUM(E91:E95)</f>
        <v>4565321.3399999989</v>
      </c>
      <c r="F96" s="853">
        <f>SUM(F91:F95)</f>
        <v>7918412.9099999992</v>
      </c>
      <c r="H96" s="853">
        <f t="shared" ref="H96:R96" si="49">SUM(H91:H95)</f>
        <v>-864008.62641261914</v>
      </c>
      <c r="I96" s="853">
        <f t="shared" si="49"/>
        <v>-11922.504384550009</v>
      </c>
      <c r="J96" s="853">
        <f t="shared" si="49"/>
        <v>2931.0814267440292</v>
      </c>
      <c r="K96" s="853">
        <f t="shared" si="49"/>
        <v>12308.709948911473</v>
      </c>
      <c r="L96" s="853">
        <f t="shared" si="49"/>
        <v>0</v>
      </c>
      <c r="M96" s="853">
        <f t="shared" si="49"/>
        <v>3063.6402000000003</v>
      </c>
      <c r="N96" s="853">
        <f t="shared" si="49"/>
        <v>-245832.48</v>
      </c>
      <c r="O96" s="853">
        <f t="shared" si="49"/>
        <v>0</v>
      </c>
      <c r="P96" s="853">
        <f t="shared" si="49"/>
        <v>0</v>
      </c>
      <c r="Q96" s="853">
        <f t="shared" si="49"/>
        <v>0</v>
      </c>
      <c r="R96" s="853">
        <f t="shared" si="49"/>
        <v>0</v>
      </c>
      <c r="S96" s="853">
        <f t="shared" ref="S96:AD96" si="50">SUM(S91:S95)</f>
        <v>0</v>
      </c>
      <c r="T96" s="853">
        <f t="shared" si="50"/>
        <v>0</v>
      </c>
      <c r="U96" s="854">
        <f t="shared" si="50"/>
        <v>181035.88644199999</v>
      </c>
      <c r="V96" s="854">
        <f t="shared" si="50"/>
        <v>0</v>
      </c>
      <c r="W96" s="853">
        <f t="shared" si="50"/>
        <v>0</v>
      </c>
      <c r="X96" s="853">
        <f t="shared" si="50"/>
        <v>0</v>
      </c>
      <c r="Y96" s="853">
        <f>SUM(Y91:Y95)</f>
        <v>0</v>
      </c>
      <c r="Z96" s="853">
        <f t="shared" si="50"/>
        <v>0</v>
      </c>
      <c r="AA96" s="853">
        <f>SUM(AA91:AA95)</f>
        <v>0</v>
      </c>
      <c r="AB96" s="853">
        <f t="shared" si="50"/>
        <v>29637.043106787522</v>
      </c>
      <c r="AC96" s="853">
        <f t="shared" si="50"/>
        <v>-892787.24967272615</v>
      </c>
      <c r="AD96" s="853">
        <f t="shared" si="50"/>
        <v>7025625.6603272725</v>
      </c>
      <c r="AE96" s="49"/>
      <c r="AF96" s="853">
        <f>SUM(AF91:AF95)</f>
        <v>0</v>
      </c>
      <c r="AG96" s="853">
        <f>SUM(AG91:AG95)</f>
        <v>-1941.4703223793367</v>
      </c>
      <c r="AH96" s="853">
        <f t="shared" si="41"/>
        <v>-1941.4703223793367</v>
      </c>
      <c r="AI96" s="49"/>
      <c r="AJ96" s="853">
        <f t="shared" ref="AJ96:AQ96" si="51">SUM(AJ91:AJ95)</f>
        <v>0</v>
      </c>
      <c r="AK96" s="853">
        <f t="shared" si="51"/>
        <v>-161245.97610416255</v>
      </c>
      <c r="AL96" s="854">
        <f t="shared" si="51"/>
        <v>123501.39495858</v>
      </c>
      <c r="AM96" s="854">
        <f t="shared" si="51"/>
        <v>0</v>
      </c>
      <c r="AN96" s="854">
        <f t="shared" si="51"/>
        <v>0</v>
      </c>
      <c r="AO96" s="854">
        <f t="shared" si="51"/>
        <v>0</v>
      </c>
      <c r="AP96" s="854">
        <f t="shared" si="51"/>
        <v>0</v>
      </c>
      <c r="AQ96" s="854">
        <f t="shared" si="51"/>
        <v>30087.787573083471</v>
      </c>
      <c r="AR96" s="853">
        <f t="shared" si="48"/>
        <v>-7656.7935724990748</v>
      </c>
      <c r="AS96" s="49"/>
      <c r="AT96" s="21">
        <f>AD96-'Exh JAD-3 ROO Summary'!G20</f>
        <v>0</v>
      </c>
      <c r="AU96" s="42">
        <f>AH96-'Exh JAD-4 MYRP Summary'!D20</f>
        <v>0</v>
      </c>
      <c r="AV96" s="42">
        <f>AR96-'Exh JAD-4 MYRP Summary'!J20</f>
        <v>0</v>
      </c>
    </row>
    <row r="97" spans="1:48">
      <c r="A97" s="429">
        <f>MAX($A$9:A96)+1</f>
        <v>89</v>
      </c>
      <c r="B97" s="303"/>
      <c r="C97" s="276"/>
      <c r="D97" s="864"/>
      <c r="E97" s="21"/>
      <c r="F97" s="857"/>
      <c r="H97" s="21"/>
      <c r="I97" s="21"/>
      <c r="J97" s="21"/>
      <c r="K97" s="21"/>
      <c r="L97" s="21"/>
      <c r="M97" s="21"/>
      <c r="N97" s="21"/>
      <c r="O97" s="21"/>
      <c r="P97" s="21"/>
      <c r="Q97" s="21"/>
      <c r="R97" s="21"/>
      <c r="S97" s="21"/>
      <c r="T97" s="21"/>
      <c r="U97" s="184"/>
      <c r="V97" s="184"/>
      <c r="W97" s="184"/>
      <c r="X97" s="184"/>
      <c r="Y97" s="21"/>
      <c r="Z97" s="21"/>
      <c r="AA97" s="21"/>
      <c r="AB97" s="21"/>
      <c r="AC97" s="21"/>
      <c r="AD97" s="21"/>
      <c r="AE97" s="49"/>
      <c r="AF97" s="21"/>
      <c r="AG97" s="21"/>
      <c r="AH97" s="21"/>
      <c r="AI97" s="49"/>
      <c r="AJ97" s="21"/>
      <c r="AK97" s="21"/>
      <c r="AL97" s="184"/>
      <c r="AM97" s="21"/>
      <c r="AN97" s="184"/>
      <c r="AO97" s="184"/>
      <c r="AP97" s="184"/>
      <c r="AQ97" s="184"/>
      <c r="AR97" s="21"/>
      <c r="AS97" s="21"/>
      <c r="AT97" s="21"/>
    </row>
    <row r="98" spans="1:48">
      <c r="A98" s="429">
        <f>MAX($A$9:A97)+1</f>
        <v>90</v>
      </c>
      <c r="B98" s="298" t="s">
        <v>890</v>
      </c>
      <c r="C98" s="276"/>
      <c r="D98" s="864"/>
      <c r="E98" s="21"/>
      <c r="F98" s="857"/>
      <c r="H98" s="21"/>
      <c r="I98" s="21"/>
      <c r="J98" s="21"/>
      <c r="K98" s="21"/>
      <c r="L98" s="21"/>
      <c r="M98" s="21"/>
      <c r="N98" s="21"/>
      <c r="O98" s="21"/>
      <c r="P98" s="21"/>
      <c r="Q98" s="21"/>
      <c r="R98" s="21"/>
      <c r="S98" s="21"/>
      <c r="T98" s="21"/>
      <c r="U98" s="184"/>
      <c r="V98" s="184"/>
      <c r="W98" s="184"/>
      <c r="X98" s="184"/>
      <c r="Y98" s="21"/>
      <c r="Z98" s="21"/>
      <c r="AA98" s="21"/>
      <c r="AB98" s="21"/>
      <c r="AC98" s="21"/>
      <c r="AD98" s="21"/>
      <c r="AE98" s="49"/>
      <c r="AF98" s="21"/>
      <c r="AG98" s="21"/>
      <c r="AH98" s="21"/>
      <c r="AI98" s="49"/>
      <c r="AJ98" s="21"/>
      <c r="AK98" s="21"/>
      <c r="AL98" s="184"/>
      <c r="AM98" s="21"/>
      <c r="AN98" s="184"/>
      <c r="AO98" s="184"/>
      <c r="AP98" s="184"/>
      <c r="AQ98" s="184"/>
      <c r="AR98" s="21"/>
      <c r="AS98" s="21"/>
      <c r="AT98" s="21"/>
    </row>
    <row r="99" spans="1:48">
      <c r="A99" s="429">
        <f>MAX($A$9:A98)+1</f>
        <v>91</v>
      </c>
      <c r="B99" s="299" t="s">
        <v>891</v>
      </c>
      <c r="C99" s="278" t="s">
        <v>881</v>
      </c>
      <c r="D99" s="864">
        <v>0</v>
      </c>
      <c r="E99" s="21">
        <v>0</v>
      </c>
      <c r="F99" s="857">
        <f>SUM(D99:E99)</f>
        <v>0</v>
      </c>
      <c r="H99" s="21"/>
      <c r="I99" s="21"/>
      <c r="J99" s="21"/>
      <c r="K99" s="21"/>
      <c r="L99" s="21"/>
      <c r="M99" s="21"/>
      <c r="N99" s="21">
        <f>SUMIF('Incentives Adj'!$B$42:$B$63,B99,'Incentives Adj'!$E$42:$E$63)</f>
        <v>0</v>
      </c>
      <c r="O99" s="21"/>
      <c r="P99" s="21"/>
      <c r="Q99" s="21"/>
      <c r="R99" s="21"/>
      <c r="S99" s="21"/>
      <c r="T99" s="21"/>
      <c r="U99" s="184"/>
      <c r="V99" s="184"/>
      <c r="W99" s="184"/>
      <c r="X99" s="184"/>
      <c r="Y99" s="21"/>
      <c r="Z99" s="21"/>
      <c r="AA99" s="21"/>
      <c r="AB99" s="21">
        <f>'O&amp;M Adj'!M69</f>
        <v>0</v>
      </c>
      <c r="AC99" s="21">
        <f>SUM(H99:AB99)</f>
        <v>0</v>
      </c>
      <c r="AD99" s="21">
        <f>+F99+AC99</f>
        <v>0</v>
      </c>
      <c r="AE99" s="49"/>
      <c r="AF99" s="21"/>
      <c r="AG99" s="21"/>
      <c r="AH99" s="21">
        <f t="shared" si="41"/>
        <v>0</v>
      </c>
      <c r="AI99" s="49"/>
      <c r="AJ99" s="21"/>
      <c r="AK99" s="21"/>
      <c r="AL99" s="184"/>
      <c r="AM99" s="21"/>
      <c r="AN99" s="184"/>
      <c r="AO99" s="184"/>
      <c r="AP99" s="184"/>
      <c r="AQ99" s="184">
        <f>'O&amp;M Adj'!N69</f>
        <v>0</v>
      </c>
      <c r="AR99" s="21">
        <f>SUM(AJ99:AQ99)</f>
        <v>0</v>
      </c>
      <c r="AS99" s="21"/>
      <c r="AT99" s="21"/>
    </row>
    <row r="100" spans="1:48">
      <c r="A100" s="429">
        <f>MAX($A$9:A99)+1</f>
        <v>92</v>
      </c>
      <c r="B100" s="299" t="s">
        <v>892</v>
      </c>
      <c r="C100" s="278" t="s">
        <v>893</v>
      </c>
      <c r="D100" s="864">
        <v>8015484.5199999996</v>
      </c>
      <c r="E100" s="21">
        <v>39965.019999999997</v>
      </c>
      <c r="F100" s="857">
        <f>SUM(D100:E100)</f>
        <v>8055449.5399999991</v>
      </c>
      <c r="H100" s="21">
        <f>'Suppl Sch Adj'!J19</f>
        <v>-8150919.2300000004</v>
      </c>
      <c r="I100" s="21"/>
      <c r="J100" s="21"/>
      <c r="K100" s="21"/>
      <c r="L100" s="21"/>
      <c r="M100" s="21"/>
      <c r="N100" s="21">
        <f>SUMIF('Incentives Adj'!$B$42:$B$63,B100,'Incentives Adj'!$E$42:$E$63)</f>
        <v>-49771.5</v>
      </c>
      <c r="O100" s="21"/>
      <c r="P100" s="21"/>
      <c r="Q100" s="21">
        <f>'CCA Deferral'!C11</f>
        <v>18393.799999999992</v>
      </c>
      <c r="R100" s="21"/>
      <c r="S100" s="21"/>
      <c r="T100" s="21"/>
      <c r="U100" s="184">
        <f>+'Wage Adjustments'!K36+'Wage Adjustments'!K82</f>
        <v>2226.4994129999995</v>
      </c>
      <c r="V100" s="184"/>
      <c r="W100" s="184"/>
      <c r="X100" s="184"/>
      <c r="Y100" s="21"/>
      <c r="Z100" s="21"/>
      <c r="AA100" s="21"/>
      <c r="AB100" s="21">
        <f>'O&amp;M Adj'!M70</f>
        <v>-11225.953841246805</v>
      </c>
      <c r="AC100" s="21">
        <f>SUM(H100:AB100)</f>
        <v>-8191296.3844282469</v>
      </c>
      <c r="AD100" s="21">
        <f>+F100+AC100</f>
        <v>-135846.84442824777</v>
      </c>
      <c r="AE100" s="49"/>
      <c r="AF100" s="21"/>
      <c r="AG100" s="21"/>
      <c r="AH100" s="21">
        <f t="shared" si="41"/>
        <v>0</v>
      </c>
      <c r="AI100" s="49"/>
      <c r="AJ100" s="21"/>
      <c r="AK100" s="21"/>
      <c r="AL100" s="184">
        <f>+'Wage Adjustments'!N36+'Wage Adjustments'!N82</f>
        <v>1532.4955765200002</v>
      </c>
      <c r="AM100" s="21"/>
      <c r="AN100" s="184"/>
      <c r="AO100" s="184"/>
      <c r="AP100" s="184"/>
      <c r="AQ100" s="184">
        <f>'O&amp;M Adj'!N70</f>
        <v>-11396.687357225557</v>
      </c>
      <c r="AR100" s="21">
        <f>SUM(AJ100:AQ100)</f>
        <v>-9864.1917807055579</v>
      </c>
      <c r="AS100" s="21"/>
      <c r="AT100" s="21"/>
    </row>
    <row r="101" spans="1:48">
      <c r="A101" s="429">
        <f>MAX($A$9:A100)+1</f>
        <v>93</v>
      </c>
      <c r="B101" s="299" t="s">
        <v>894</v>
      </c>
      <c r="C101" s="278" t="s">
        <v>895</v>
      </c>
      <c r="D101" s="864">
        <v>5562.71</v>
      </c>
      <c r="E101" s="21">
        <v>61077.869999999995</v>
      </c>
      <c r="F101" s="857">
        <f>SUM(D101:E101)</f>
        <v>66640.58</v>
      </c>
      <c r="H101" s="21"/>
      <c r="I101" s="21"/>
      <c r="J101" s="21"/>
      <c r="K101" s="21"/>
      <c r="L101" s="21"/>
      <c r="M101" s="21"/>
      <c r="N101" s="21">
        <f>SUMIF('Incentives Adj'!$B$42:$B$63,B101,'Incentives Adj'!$E$42:$E$63)</f>
        <v>0</v>
      </c>
      <c r="O101" s="21"/>
      <c r="P101" s="21"/>
      <c r="Q101" s="21"/>
      <c r="R101" s="21"/>
      <c r="S101" s="21"/>
      <c r="T101" s="21"/>
      <c r="U101" s="184"/>
      <c r="V101" s="184"/>
      <c r="W101" s="184"/>
      <c r="X101" s="184"/>
      <c r="Y101" s="21"/>
      <c r="Z101" s="21"/>
      <c r="AA101" s="21"/>
      <c r="AB101" s="21">
        <f>'O&amp;M Adj'!M71</f>
        <v>1013.5246136910721</v>
      </c>
      <c r="AC101" s="21">
        <f>SUM(H101:AB101)</f>
        <v>1013.5246136910721</v>
      </c>
      <c r="AD101" s="21">
        <f>+F101+AC101</f>
        <v>67654.104613691074</v>
      </c>
      <c r="AE101" s="49"/>
      <c r="AF101" s="21"/>
      <c r="AG101" s="21"/>
      <c r="AH101" s="21">
        <f t="shared" si="41"/>
        <v>0</v>
      </c>
      <c r="AI101" s="49"/>
      <c r="AJ101" s="21"/>
      <c r="AK101" s="21"/>
      <c r="AL101" s="184"/>
      <c r="AM101" s="21"/>
      <c r="AN101" s="184"/>
      <c r="AO101" s="184"/>
      <c r="AP101" s="184"/>
      <c r="AQ101" s="184">
        <f>'O&amp;M Adj'!N71</f>
        <v>1028.9391275287012</v>
      </c>
      <c r="AR101" s="21">
        <f>SUM(AJ101:AQ101)</f>
        <v>1028.9391275287012</v>
      </c>
      <c r="AS101" s="21"/>
      <c r="AT101" s="21"/>
    </row>
    <row r="102" spans="1:48">
      <c r="A102" s="429">
        <f>MAX($A$9:A101)+1</f>
        <v>94</v>
      </c>
      <c r="B102" s="299" t="s">
        <v>896</v>
      </c>
      <c r="C102" s="278" t="s">
        <v>897</v>
      </c>
      <c r="D102" s="864">
        <v>0</v>
      </c>
      <c r="E102" s="21">
        <v>162309.67000000001</v>
      </c>
      <c r="F102" s="857">
        <f>SUM(D102:E102)</f>
        <v>162309.67000000001</v>
      </c>
      <c r="H102" s="21"/>
      <c r="I102" s="21"/>
      <c r="J102" s="21"/>
      <c r="K102" s="21"/>
      <c r="L102" s="21"/>
      <c r="M102" s="21"/>
      <c r="N102" s="21">
        <f>SUMIF('Incentives Adj'!$B$42:$B$63,B102,'Incentives Adj'!$E$42:$E$63)</f>
        <v>-13964.39</v>
      </c>
      <c r="O102" s="21"/>
      <c r="P102" s="21"/>
      <c r="Q102" s="21"/>
      <c r="R102" s="21"/>
      <c r="S102" s="21"/>
      <c r="T102" s="21"/>
      <c r="U102" s="184">
        <f>+'Wage Adjustments'!K37</f>
        <v>8481.3634440000005</v>
      </c>
      <c r="V102" s="184"/>
      <c r="W102" s="184"/>
      <c r="X102" s="184"/>
      <c r="Y102" s="21"/>
      <c r="Z102" s="21"/>
      <c r="AA102" s="21"/>
      <c r="AB102" s="21">
        <f>'O&amp;M Adj'!M72</f>
        <v>63.270670080522613</v>
      </c>
      <c r="AC102" s="21">
        <f>SUM(H102:AB102)</f>
        <v>-5419.755885919476</v>
      </c>
      <c r="AD102" s="21">
        <f>+F102+AC102</f>
        <v>156889.91411408054</v>
      </c>
      <c r="AE102" s="49"/>
      <c r="AF102" s="21"/>
      <c r="AG102" s="21"/>
      <c r="AH102" s="21">
        <f t="shared" si="41"/>
        <v>0</v>
      </c>
      <c r="AI102" s="49"/>
      <c r="AJ102" s="21"/>
      <c r="AK102" s="21"/>
      <c r="AL102" s="184">
        <f>+'Wage Adjustments'!N37</f>
        <v>5837.70733776</v>
      </c>
      <c r="AM102" s="21"/>
      <c r="AN102" s="184"/>
      <c r="AO102" s="184"/>
      <c r="AP102" s="184"/>
      <c r="AQ102" s="184">
        <f>'O&amp;M Adj'!N72</f>
        <v>64.232942339427581</v>
      </c>
      <c r="AR102" s="21">
        <f>SUM(AJ102:AQ102)</f>
        <v>5901.9402800994276</v>
      </c>
      <c r="AS102" s="21"/>
      <c r="AT102" s="21"/>
    </row>
    <row r="103" spans="1:48">
      <c r="A103" s="429">
        <f>MAX($A$9:A102)+1</f>
        <v>95</v>
      </c>
      <c r="B103" s="298" t="s">
        <v>898</v>
      </c>
      <c r="C103" s="276"/>
      <c r="D103" s="865">
        <f>SUM(D99:D102)</f>
        <v>8021047.2299999995</v>
      </c>
      <c r="E103" s="517">
        <f>SUM(E99:E102)</f>
        <v>263352.56</v>
      </c>
      <c r="F103" s="853">
        <f>SUM(F99:F102)</f>
        <v>8284399.7899999991</v>
      </c>
      <c r="H103" s="853">
        <f t="shared" ref="H103:R103" si="52">SUM(H99:H102)</f>
        <v>-8150919.2300000004</v>
      </c>
      <c r="I103" s="853">
        <f t="shared" si="52"/>
        <v>0</v>
      </c>
      <c r="J103" s="853">
        <f t="shared" si="52"/>
        <v>0</v>
      </c>
      <c r="K103" s="853">
        <f t="shared" si="52"/>
        <v>0</v>
      </c>
      <c r="L103" s="853">
        <f t="shared" si="52"/>
        <v>0</v>
      </c>
      <c r="M103" s="853">
        <f t="shared" si="52"/>
        <v>0</v>
      </c>
      <c r="N103" s="853">
        <f t="shared" si="52"/>
        <v>-63735.89</v>
      </c>
      <c r="O103" s="853">
        <f t="shared" si="52"/>
        <v>0</v>
      </c>
      <c r="P103" s="853">
        <f t="shared" si="52"/>
        <v>0</v>
      </c>
      <c r="Q103" s="853">
        <f t="shared" si="52"/>
        <v>18393.799999999992</v>
      </c>
      <c r="R103" s="853">
        <f t="shared" si="52"/>
        <v>0</v>
      </c>
      <c r="S103" s="853">
        <f t="shared" ref="S103:AD103" si="53">SUM(S99:S102)</f>
        <v>0</v>
      </c>
      <c r="T103" s="853">
        <f t="shared" si="53"/>
        <v>0</v>
      </c>
      <c r="U103" s="854">
        <f t="shared" si="53"/>
        <v>10707.862857</v>
      </c>
      <c r="V103" s="854">
        <f t="shared" si="53"/>
        <v>0</v>
      </c>
      <c r="W103" s="853">
        <f t="shared" si="53"/>
        <v>0</v>
      </c>
      <c r="X103" s="853">
        <f t="shared" si="53"/>
        <v>0</v>
      </c>
      <c r="Y103" s="853">
        <f>SUM(Y99:Y102)</f>
        <v>0</v>
      </c>
      <c r="Z103" s="853">
        <f t="shared" si="53"/>
        <v>0</v>
      </c>
      <c r="AA103" s="853">
        <f>SUM(AA99:AA102)</f>
        <v>0</v>
      </c>
      <c r="AB103" s="853">
        <f t="shared" si="53"/>
        <v>-10149.15855747521</v>
      </c>
      <c r="AC103" s="853">
        <f t="shared" si="53"/>
        <v>-8195702.6157004749</v>
      </c>
      <c r="AD103" s="853">
        <f t="shared" si="53"/>
        <v>88697.174299523846</v>
      </c>
      <c r="AE103" s="49"/>
      <c r="AF103" s="853">
        <f>SUM(AF99:AF102)</f>
        <v>0</v>
      </c>
      <c r="AG103" s="853">
        <f>SUM(AG99:AG102)</f>
        <v>0</v>
      </c>
      <c r="AH103" s="853">
        <f t="shared" si="41"/>
        <v>0</v>
      </c>
      <c r="AI103" s="49"/>
      <c r="AJ103" s="853">
        <f t="shared" ref="AJ103:AQ103" si="54">SUM(AJ99:AJ102)</f>
        <v>0</v>
      </c>
      <c r="AK103" s="853">
        <f t="shared" si="54"/>
        <v>0</v>
      </c>
      <c r="AL103" s="854">
        <f t="shared" si="54"/>
        <v>7370.2029142800002</v>
      </c>
      <c r="AM103" s="854">
        <f t="shared" si="54"/>
        <v>0</v>
      </c>
      <c r="AN103" s="854">
        <f t="shared" si="54"/>
        <v>0</v>
      </c>
      <c r="AO103" s="854">
        <f t="shared" si="54"/>
        <v>0</v>
      </c>
      <c r="AP103" s="854">
        <f t="shared" si="54"/>
        <v>0</v>
      </c>
      <c r="AQ103" s="854">
        <f t="shared" si="54"/>
        <v>-10303.515287357428</v>
      </c>
      <c r="AR103" s="853">
        <f>SUM(AJ103:AQ103)</f>
        <v>-2933.3123730774278</v>
      </c>
      <c r="AS103" s="49"/>
      <c r="AT103" s="21">
        <f>AD103-'Exh JAD-3 ROO Summary'!G21</f>
        <v>2.4738255888223648E-10</v>
      </c>
      <c r="AU103" s="42">
        <f>AH103-'Exh JAD-4 MYRP Summary'!D21</f>
        <v>0</v>
      </c>
      <c r="AV103" s="42">
        <f>AR103-'Exh JAD-4 MYRP Summary'!J21</f>
        <v>0</v>
      </c>
    </row>
    <row r="104" spans="1:48">
      <c r="A104" s="429">
        <f>MAX($A$9:A103)+1</f>
        <v>96</v>
      </c>
      <c r="B104" s="303"/>
      <c r="C104" s="276"/>
      <c r="D104" s="864"/>
      <c r="E104" s="21"/>
      <c r="F104" s="857"/>
      <c r="H104" s="21"/>
      <c r="I104" s="21"/>
      <c r="J104" s="21"/>
      <c r="K104" s="21"/>
      <c r="L104" s="21"/>
      <c r="M104" s="21"/>
      <c r="N104" s="21"/>
      <c r="O104" s="21"/>
      <c r="P104" s="21"/>
      <c r="Q104" s="21"/>
      <c r="R104" s="21"/>
      <c r="S104" s="21"/>
      <c r="T104" s="21"/>
      <c r="U104" s="184"/>
      <c r="V104" s="184"/>
      <c r="W104" s="184"/>
      <c r="X104" s="184"/>
      <c r="Y104" s="21"/>
      <c r="Z104" s="21"/>
      <c r="AA104" s="21"/>
      <c r="AB104" s="21"/>
      <c r="AC104" s="21"/>
      <c r="AD104" s="21"/>
      <c r="AE104" s="49"/>
      <c r="AF104" s="21"/>
      <c r="AG104" s="21"/>
      <c r="AH104" s="21"/>
      <c r="AI104" s="49"/>
      <c r="AJ104" s="21"/>
      <c r="AK104" s="21"/>
      <c r="AL104" s="184"/>
      <c r="AM104" s="21"/>
      <c r="AN104" s="184"/>
      <c r="AO104" s="184"/>
      <c r="AP104" s="184"/>
      <c r="AQ104" s="184"/>
      <c r="AR104" s="21"/>
      <c r="AS104" s="21"/>
      <c r="AT104" s="21"/>
    </row>
    <row r="105" spans="1:48">
      <c r="A105" s="429">
        <f>MAX($A$9:A104)+1</f>
        <v>97</v>
      </c>
      <c r="B105" s="298" t="s">
        <v>899</v>
      </c>
      <c r="C105" s="276"/>
      <c r="D105" s="864"/>
      <c r="E105" s="21"/>
      <c r="F105" s="857"/>
      <c r="H105" s="21"/>
      <c r="I105" s="21"/>
      <c r="J105" s="21"/>
      <c r="K105" s="21"/>
      <c r="L105" s="21"/>
      <c r="M105" s="21"/>
      <c r="N105" s="21"/>
      <c r="O105" s="21"/>
      <c r="P105" s="21"/>
      <c r="Q105" s="21"/>
      <c r="R105" s="21"/>
      <c r="S105" s="21"/>
      <c r="T105" s="21"/>
      <c r="U105" s="184"/>
      <c r="V105" s="184"/>
      <c r="W105" s="184"/>
      <c r="X105" s="184"/>
      <c r="Y105" s="21"/>
      <c r="Z105" s="21"/>
      <c r="AA105" s="21"/>
      <c r="AB105" s="21"/>
      <c r="AC105" s="21"/>
      <c r="AD105" s="21"/>
      <c r="AE105" s="49"/>
      <c r="AF105" s="21"/>
      <c r="AG105" s="21"/>
      <c r="AH105" s="21"/>
      <c r="AI105" s="49"/>
      <c r="AJ105" s="21"/>
      <c r="AK105" s="21"/>
      <c r="AL105" s="184"/>
      <c r="AM105" s="21"/>
      <c r="AN105" s="184"/>
      <c r="AO105" s="184"/>
      <c r="AP105" s="184"/>
      <c r="AQ105" s="184"/>
      <c r="AR105" s="21"/>
      <c r="AS105" s="21"/>
      <c r="AT105" s="21"/>
    </row>
    <row r="106" spans="1:48">
      <c r="A106" s="429">
        <f>MAX($A$9:A105)+1</f>
        <v>98</v>
      </c>
      <c r="B106" s="299" t="s">
        <v>900</v>
      </c>
      <c r="C106" s="278" t="s">
        <v>881</v>
      </c>
      <c r="D106" s="864">
        <v>0</v>
      </c>
      <c r="E106" s="21">
        <v>0</v>
      </c>
      <c r="F106" s="857">
        <f>SUM(D106:E106)</f>
        <v>0</v>
      </c>
      <c r="H106" s="21"/>
      <c r="I106" s="21"/>
      <c r="J106" s="21"/>
      <c r="K106" s="21"/>
      <c r="L106" s="21"/>
      <c r="M106" s="21"/>
      <c r="N106" s="21">
        <f>SUMIF('Incentives Adj'!$B$42:$B$63,B106,'Incentives Adj'!$E$42:$E$63)</f>
        <v>0</v>
      </c>
      <c r="O106" s="21"/>
      <c r="P106" s="21"/>
      <c r="Q106" s="21"/>
      <c r="R106" s="21"/>
      <c r="S106" s="21"/>
      <c r="T106" s="21"/>
      <c r="U106" s="184"/>
      <c r="V106" s="184"/>
      <c r="W106" s="184"/>
      <c r="X106" s="184"/>
      <c r="Y106" s="21"/>
      <c r="Z106" s="21"/>
      <c r="AA106" s="21"/>
      <c r="AB106" s="21">
        <f>'O&amp;M Adj'!M76</f>
        <v>0</v>
      </c>
      <c r="AC106" s="21">
        <f>SUM(H106:AB106)</f>
        <v>0</v>
      </c>
      <c r="AD106" s="21">
        <f>+F106+AC106</f>
        <v>0</v>
      </c>
      <c r="AE106" s="49"/>
      <c r="AF106" s="21"/>
      <c r="AG106" s="21"/>
      <c r="AH106" s="21">
        <f t="shared" si="41"/>
        <v>0</v>
      </c>
      <c r="AI106" s="49"/>
      <c r="AJ106" s="21"/>
      <c r="AK106" s="21"/>
      <c r="AL106" s="184"/>
      <c r="AM106" s="21"/>
      <c r="AN106" s="184"/>
      <c r="AO106" s="184"/>
      <c r="AP106" s="184"/>
      <c r="AQ106" s="184">
        <f>'O&amp;M Adj'!N76</f>
        <v>0</v>
      </c>
      <c r="AR106" s="21">
        <f>SUM(AJ106:AQ106)</f>
        <v>0</v>
      </c>
      <c r="AS106" s="21"/>
      <c r="AT106" s="21"/>
    </row>
    <row r="107" spans="1:48">
      <c r="A107" s="429">
        <f>MAX($A$9:A106)+1</f>
        <v>99</v>
      </c>
      <c r="B107" s="299" t="s">
        <v>901</v>
      </c>
      <c r="C107" s="278" t="s">
        <v>902</v>
      </c>
      <c r="D107" s="864">
        <v>0</v>
      </c>
      <c r="E107" s="21">
        <v>18968.669999999998</v>
      </c>
      <c r="F107" s="857">
        <f>SUM(D107:E107)</f>
        <v>18968.669999999998</v>
      </c>
      <c r="H107" s="21"/>
      <c r="I107" s="21"/>
      <c r="J107" s="21"/>
      <c r="K107" s="21"/>
      <c r="L107" s="21"/>
      <c r="M107" s="21"/>
      <c r="N107" s="21">
        <f>SUMIF('Incentives Adj'!$B$42:$B$63,B107,'Incentives Adj'!$E$42:$E$63)</f>
        <v>-1362.16</v>
      </c>
      <c r="O107" s="21"/>
      <c r="P107" s="21"/>
      <c r="Q107" s="21"/>
      <c r="R107" s="21"/>
      <c r="S107" s="21"/>
      <c r="T107" s="21"/>
      <c r="U107" s="184">
        <f>+'Wage Adjustments'!K83</f>
        <v>1045.5453709999999</v>
      </c>
      <c r="V107" s="184"/>
      <c r="W107" s="184"/>
      <c r="X107" s="184"/>
      <c r="Y107" s="21"/>
      <c r="Z107" s="21"/>
      <c r="AA107" s="21"/>
      <c r="AB107" s="21">
        <f>'O&amp;M Adj'!M77</f>
        <v>1.3984510373243273</v>
      </c>
      <c r="AC107" s="21">
        <f>SUM(H107:AB107)</f>
        <v>-315.21617796267583</v>
      </c>
      <c r="AD107" s="21">
        <f>+F107+AC107</f>
        <v>18653.453822037322</v>
      </c>
      <c r="AE107" s="49"/>
      <c r="AF107" s="21"/>
      <c r="AG107" s="21"/>
      <c r="AH107" s="21">
        <f t="shared" si="41"/>
        <v>0</v>
      </c>
      <c r="AI107" s="49"/>
      <c r="AJ107" s="21"/>
      <c r="AK107" s="21"/>
      <c r="AL107" s="184">
        <f>+'Wage Adjustments'!N83</f>
        <v>719.64701484000011</v>
      </c>
      <c r="AM107" s="21"/>
      <c r="AN107" s="184"/>
      <c r="AO107" s="184"/>
      <c r="AP107" s="184"/>
      <c r="AQ107" s="184">
        <f>'O&amp;M Adj'!N77</f>
        <v>1.4197198280126737</v>
      </c>
      <c r="AR107" s="21">
        <f>SUM(AJ107:AQ107)</f>
        <v>721.06673466801283</v>
      </c>
      <c r="AS107" s="21"/>
      <c r="AT107" s="21"/>
    </row>
    <row r="108" spans="1:48">
      <c r="A108" s="429">
        <f>MAX($A$9:A107)+1</f>
        <v>100</v>
      </c>
      <c r="B108" s="299" t="s">
        <v>903</v>
      </c>
      <c r="C108" s="278" t="s">
        <v>904</v>
      </c>
      <c r="D108" s="864">
        <v>0</v>
      </c>
      <c r="E108" s="21">
        <v>0</v>
      </c>
      <c r="F108" s="857">
        <f>SUM(D108:E108)</f>
        <v>0</v>
      </c>
      <c r="H108" s="21"/>
      <c r="I108" s="21"/>
      <c r="J108" s="21"/>
      <c r="K108" s="21"/>
      <c r="L108" s="21">
        <f>-'Advertising Adj'!E19-'Advertising Adj'!F19</f>
        <v>0</v>
      </c>
      <c r="M108" s="21"/>
      <c r="N108" s="21">
        <f>SUMIF('Incentives Adj'!$B$42:$B$63,B108,'Incentives Adj'!$E$42:$E$63)</f>
        <v>0</v>
      </c>
      <c r="O108" s="21"/>
      <c r="P108" s="21"/>
      <c r="Q108" s="21"/>
      <c r="R108" s="21"/>
      <c r="S108" s="21"/>
      <c r="T108" s="21"/>
      <c r="U108" s="184"/>
      <c r="V108" s="184"/>
      <c r="W108" s="184"/>
      <c r="X108" s="184"/>
      <c r="Y108" s="21"/>
      <c r="Z108" s="21"/>
      <c r="AA108" s="21"/>
      <c r="AB108" s="21">
        <f>'O&amp;M Adj'!M78</f>
        <v>0</v>
      </c>
      <c r="AC108" s="21">
        <f>SUM(H108:AB108)</f>
        <v>0</v>
      </c>
      <c r="AD108" s="21">
        <f>+F108+AC108</f>
        <v>0</v>
      </c>
      <c r="AE108" s="49"/>
      <c r="AF108" s="21"/>
      <c r="AG108" s="21"/>
      <c r="AH108" s="21">
        <f t="shared" si="41"/>
        <v>0</v>
      </c>
      <c r="AI108" s="49"/>
      <c r="AJ108" s="21"/>
      <c r="AK108" s="21"/>
      <c r="AL108" s="184"/>
      <c r="AM108" s="21"/>
      <c r="AN108" s="184"/>
      <c r="AO108" s="184"/>
      <c r="AP108" s="184"/>
      <c r="AQ108" s="184">
        <f>'O&amp;M Adj'!N78</f>
        <v>0</v>
      </c>
      <c r="AR108" s="21">
        <f>SUM(AJ108:AQ108)</f>
        <v>0</v>
      </c>
      <c r="AS108" s="21"/>
      <c r="AT108" s="21"/>
    </row>
    <row r="109" spans="1:48">
      <c r="A109" s="429">
        <f>MAX($A$9:A108)+1</f>
        <v>101</v>
      </c>
      <c r="B109" s="299" t="s">
        <v>905</v>
      </c>
      <c r="C109" s="278" t="s">
        <v>906</v>
      </c>
      <c r="D109" s="864">
        <v>0</v>
      </c>
      <c r="E109" s="21">
        <v>0</v>
      </c>
      <c r="F109" s="857">
        <f>SUM(D109:E109)</f>
        <v>0</v>
      </c>
      <c r="H109" s="21"/>
      <c r="I109" s="21"/>
      <c r="J109" s="21"/>
      <c r="K109" s="21"/>
      <c r="L109" s="21"/>
      <c r="M109" s="21"/>
      <c r="N109" s="21">
        <f>SUMIF('Incentives Adj'!$B$42:$B$63,B109,'Incentives Adj'!$E$42:$E$63)</f>
        <v>0</v>
      </c>
      <c r="O109" s="21"/>
      <c r="P109" s="21"/>
      <c r="Q109" s="21"/>
      <c r="R109" s="21"/>
      <c r="S109" s="21"/>
      <c r="T109" s="21"/>
      <c r="U109" s="184"/>
      <c r="V109" s="184"/>
      <c r="W109" s="184"/>
      <c r="X109" s="184"/>
      <c r="Y109" s="21"/>
      <c r="Z109" s="21"/>
      <c r="AA109" s="21"/>
      <c r="AB109" s="21">
        <f>'O&amp;M Adj'!M79</f>
        <v>0</v>
      </c>
      <c r="AC109" s="21">
        <f>SUM(H109:AB109)</f>
        <v>0</v>
      </c>
      <c r="AD109" s="21">
        <f>+F109+AC109</f>
        <v>0</v>
      </c>
      <c r="AE109" s="49"/>
      <c r="AF109" s="21"/>
      <c r="AG109" s="21"/>
      <c r="AH109" s="21">
        <f t="shared" si="41"/>
        <v>0</v>
      </c>
      <c r="AI109" s="49"/>
      <c r="AJ109" s="21"/>
      <c r="AK109" s="21"/>
      <c r="AL109" s="184"/>
      <c r="AM109" s="21"/>
      <c r="AN109" s="184"/>
      <c r="AO109" s="184"/>
      <c r="AP109" s="184"/>
      <c r="AQ109" s="184">
        <f>'O&amp;M Adj'!N79</f>
        <v>0</v>
      </c>
      <c r="AR109" s="21">
        <f>SUM(AJ109:AQ109)</f>
        <v>0</v>
      </c>
      <c r="AS109" s="21"/>
      <c r="AT109" s="21"/>
    </row>
    <row r="110" spans="1:48">
      <c r="A110" s="429">
        <f>MAX($A$9:A109)+1</f>
        <v>102</v>
      </c>
      <c r="B110" s="298" t="s">
        <v>907</v>
      </c>
      <c r="C110" s="276"/>
      <c r="D110" s="865">
        <f>SUM(D106:D109)</f>
        <v>0</v>
      </c>
      <c r="E110" s="517">
        <f>SUM(E106:E109)</f>
        <v>18968.669999999998</v>
      </c>
      <c r="F110" s="853">
        <f>SUM(F106:F109)</f>
        <v>18968.669999999998</v>
      </c>
      <c r="H110" s="853">
        <f>SUM(H106:H109)</f>
        <v>0</v>
      </c>
      <c r="I110" s="853">
        <f>SUM(I106:I109)</f>
        <v>0</v>
      </c>
      <c r="J110" s="853">
        <f>SUM(J106:J109)</f>
        <v>0</v>
      </c>
      <c r="K110" s="853">
        <f>SUM(K106:K109)</f>
        <v>0</v>
      </c>
      <c r="L110" s="853">
        <f t="shared" ref="L110:S110" si="55">SUM(L106:L109)</f>
        <v>0</v>
      </c>
      <c r="M110" s="853">
        <f t="shared" si="55"/>
        <v>0</v>
      </c>
      <c r="N110" s="853">
        <f t="shared" si="55"/>
        <v>-1362.16</v>
      </c>
      <c r="O110" s="853">
        <f t="shared" si="55"/>
        <v>0</v>
      </c>
      <c r="P110" s="853">
        <f t="shared" si="55"/>
        <v>0</v>
      </c>
      <c r="Q110" s="853">
        <f t="shared" si="55"/>
        <v>0</v>
      </c>
      <c r="R110" s="853">
        <f t="shared" si="55"/>
        <v>0</v>
      </c>
      <c r="S110" s="853">
        <f t="shared" si="55"/>
        <v>0</v>
      </c>
      <c r="T110" s="853">
        <f t="shared" ref="T110:AD110" si="56">SUM(T106:T109)</f>
        <v>0</v>
      </c>
      <c r="U110" s="854">
        <f t="shared" si="56"/>
        <v>1045.5453709999999</v>
      </c>
      <c r="V110" s="854">
        <f t="shared" si="56"/>
        <v>0</v>
      </c>
      <c r="W110" s="853">
        <f t="shared" si="56"/>
        <v>0</v>
      </c>
      <c r="X110" s="853">
        <f t="shared" si="56"/>
        <v>0</v>
      </c>
      <c r="Y110" s="853">
        <f>SUM(Y106:Y109)</f>
        <v>0</v>
      </c>
      <c r="Z110" s="853">
        <f>SUM(Z106:Z109)</f>
        <v>0</v>
      </c>
      <c r="AA110" s="853">
        <f>SUM(AA106:AA109)</f>
        <v>0</v>
      </c>
      <c r="AB110" s="853">
        <f t="shared" si="56"/>
        <v>1.3984510373243273</v>
      </c>
      <c r="AC110" s="853">
        <f t="shared" si="56"/>
        <v>-315.21617796267583</v>
      </c>
      <c r="AD110" s="853">
        <f t="shared" si="56"/>
        <v>18653.453822037322</v>
      </c>
      <c r="AE110" s="49"/>
      <c r="AF110" s="853">
        <f>SUM(AF106:AF109)</f>
        <v>0</v>
      </c>
      <c r="AG110" s="853">
        <f>SUM(AG106:AG109)</f>
        <v>0</v>
      </c>
      <c r="AH110" s="853">
        <f t="shared" si="41"/>
        <v>0</v>
      </c>
      <c r="AI110" s="49"/>
      <c r="AJ110" s="853">
        <f t="shared" ref="AJ110:AQ110" si="57">SUM(AJ106:AJ109)</f>
        <v>0</v>
      </c>
      <c r="AK110" s="853">
        <f t="shared" si="57"/>
        <v>0</v>
      </c>
      <c r="AL110" s="854">
        <f t="shared" si="57"/>
        <v>719.64701484000011</v>
      </c>
      <c r="AM110" s="854">
        <f t="shared" si="57"/>
        <v>0</v>
      </c>
      <c r="AN110" s="854">
        <f t="shared" si="57"/>
        <v>0</v>
      </c>
      <c r="AO110" s="854">
        <f t="shared" si="57"/>
        <v>0</v>
      </c>
      <c r="AP110" s="854">
        <f t="shared" si="57"/>
        <v>0</v>
      </c>
      <c r="AQ110" s="854">
        <f t="shared" si="57"/>
        <v>1.4197198280126737</v>
      </c>
      <c r="AR110" s="853">
        <f>SUM(AJ110:AQ110)</f>
        <v>721.06673466801283</v>
      </c>
      <c r="AS110" s="49"/>
      <c r="AT110" s="21">
        <f>AD110-'Exh JAD-3 ROO Summary'!G22</f>
        <v>0</v>
      </c>
      <c r="AU110" s="42">
        <f>AH110-'Exh JAD-4 MYRP Summary'!D22</f>
        <v>0</v>
      </c>
      <c r="AV110" s="42">
        <f>AR110-'Exh JAD-4 MYRP Summary'!J22</f>
        <v>0</v>
      </c>
    </row>
    <row r="111" spans="1:48">
      <c r="A111" s="429">
        <f>MAX($A$9:A110)+1</f>
        <v>103</v>
      </c>
      <c r="B111" s="303"/>
      <c r="C111" s="276"/>
      <c r="D111" s="864"/>
      <c r="E111" s="21"/>
      <c r="F111" s="857"/>
      <c r="H111" s="21"/>
      <c r="I111" s="21"/>
      <c r="J111" s="21"/>
      <c r="K111" s="21"/>
      <c r="L111" s="21"/>
      <c r="M111" s="21"/>
      <c r="N111" s="21"/>
      <c r="O111" s="21"/>
      <c r="P111" s="21"/>
      <c r="Q111" s="21"/>
      <c r="R111" s="21"/>
      <c r="S111" s="21"/>
      <c r="T111" s="21"/>
      <c r="U111" s="184"/>
      <c r="V111" s="184"/>
      <c r="W111" s="184"/>
      <c r="X111" s="184"/>
      <c r="Y111" s="21"/>
      <c r="Z111" s="21"/>
      <c r="AA111" s="21"/>
      <c r="AB111" s="21"/>
      <c r="AC111" s="21"/>
      <c r="AD111" s="21"/>
      <c r="AE111" s="49"/>
      <c r="AF111" s="21"/>
      <c r="AG111" s="21"/>
      <c r="AH111" s="21"/>
      <c r="AI111" s="49"/>
      <c r="AJ111" s="21"/>
      <c r="AK111" s="21"/>
      <c r="AL111" s="184"/>
      <c r="AM111" s="21"/>
      <c r="AN111" s="184"/>
      <c r="AO111" s="184"/>
      <c r="AP111" s="184"/>
      <c r="AQ111" s="184"/>
      <c r="AR111" s="21"/>
      <c r="AS111" s="21"/>
      <c r="AT111" s="21"/>
    </row>
    <row r="112" spans="1:48">
      <c r="A112" s="429">
        <f>MAX($A$9:A111)+1</f>
        <v>104</v>
      </c>
      <c r="B112" s="298" t="s">
        <v>908</v>
      </c>
      <c r="C112" s="276"/>
      <c r="D112" s="864"/>
      <c r="E112" s="21"/>
      <c r="F112" s="857"/>
      <c r="H112" s="21"/>
      <c r="I112" s="21"/>
      <c r="J112" s="21"/>
      <c r="K112" s="21"/>
      <c r="L112" s="21"/>
      <c r="M112" s="21"/>
      <c r="N112" s="21"/>
      <c r="O112" s="21"/>
      <c r="P112" s="21"/>
      <c r="Q112" s="21"/>
      <c r="R112" s="21"/>
      <c r="S112" s="21"/>
      <c r="T112" s="21"/>
      <c r="U112" s="184"/>
      <c r="V112" s="184"/>
      <c r="W112" s="184"/>
      <c r="X112" s="184"/>
      <c r="Y112" s="21"/>
      <c r="Z112" s="21"/>
      <c r="AA112" s="21"/>
      <c r="AB112" s="21"/>
      <c r="AC112" s="21"/>
      <c r="AD112" s="21"/>
      <c r="AE112" s="49"/>
      <c r="AF112" s="21"/>
      <c r="AG112" s="21"/>
      <c r="AH112" s="21"/>
      <c r="AI112" s="49"/>
      <c r="AJ112" s="21"/>
      <c r="AK112" s="21"/>
      <c r="AL112" s="184"/>
      <c r="AM112" s="21"/>
      <c r="AN112" s="184"/>
      <c r="AO112" s="184"/>
      <c r="AP112" s="184"/>
      <c r="AQ112" s="184"/>
      <c r="AR112" s="21"/>
      <c r="AS112" s="21"/>
      <c r="AT112" s="21"/>
    </row>
    <row r="113" spans="1:48">
      <c r="A113" s="429">
        <f>MAX($A$9:A112)+1</f>
        <v>105</v>
      </c>
      <c r="B113" s="299" t="s">
        <v>909</v>
      </c>
      <c r="C113" s="278" t="s">
        <v>910</v>
      </c>
      <c r="D113" s="864">
        <v>0</v>
      </c>
      <c r="E113" s="21">
        <v>9401904.8599999994</v>
      </c>
      <c r="F113" s="857">
        <f t="shared" ref="F113:F123" si="58">SUM(D113:E113)</f>
        <v>9401904.8599999994</v>
      </c>
      <c r="H113" s="21"/>
      <c r="I113" s="21"/>
      <c r="J113" s="21"/>
      <c r="K113" s="21"/>
      <c r="L113" s="21"/>
      <c r="M113" s="21"/>
      <c r="N113" s="21">
        <f>SUMIF('Incentives Adj'!$B$42:$B$63,B113,'Incentives Adj'!$E$42:$E$63)</f>
        <v>-1795330.17</v>
      </c>
      <c r="O113" s="21"/>
      <c r="P113" s="21"/>
      <c r="Q113" s="21">
        <f>'CCA Deferral'!C12</f>
        <v>49659.740000000005</v>
      </c>
      <c r="R113" s="21"/>
      <c r="S113" s="21"/>
      <c r="T113" s="21"/>
      <c r="U113" s="184">
        <f>+'Wage Adjustments'!K38+'Wage Adjustments'!K84</f>
        <v>403392.74529799994</v>
      </c>
      <c r="V113" s="184"/>
      <c r="W113" s="184"/>
      <c r="X113" s="184"/>
      <c r="Y113" s="21"/>
      <c r="Z113" s="21"/>
      <c r="AA113" s="21"/>
      <c r="AB113" s="21">
        <f>'O&amp;M Adj'!M83</f>
        <v>0</v>
      </c>
      <c r="AC113" s="21">
        <f t="shared" ref="AC113:AC125" si="59">SUM(H113:AB113)</f>
        <v>-1342277.6847020001</v>
      </c>
      <c r="AD113" s="21">
        <f t="shared" ref="AD113:AD123" si="60">+F113+AC113</f>
        <v>8059627.1752979998</v>
      </c>
      <c r="AE113" s="49"/>
      <c r="AF113" s="21"/>
      <c r="AG113" s="21"/>
      <c r="AH113" s="21">
        <f t="shared" si="41"/>
        <v>0</v>
      </c>
      <c r="AI113" s="49"/>
      <c r="AJ113" s="21"/>
      <c r="AK113" s="21"/>
      <c r="AL113" s="184">
        <f>+'Wage Adjustments'!N38+'Wage Adjustments'!N84</f>
        <v>277654.50741192</v>
      </c>
      <c r="AM113" s="21"/>
      <c r="AN113" s="184"/>
      <c r="AO113" s="184"/>
      <c r="AP113" s="184"/>
      <c r="AQ113" s="184">
        <f>'O&amp;M Adj'!N83</f>
        <v>0</v>
      </c>
      <c r="AR113" s="21">
        <f t="shared" ref="AR113:AR126" si="61">SUM(AJ113:AQ113)</f>
        <v>277654.50741192</v>
      </c>
      <c r="AS113" s="21"/>
      <c r="AT113" s="21"/>
    </row>
    <row r="114" spans="1:48">
      <c r="A114" s="429">
        <f>MAX($A$9:A113)+1</f>
        <v>106</v>
      </c>
      <c r="B114" s="299" t="s">
        <v>911</v>
      </c>
      <c r="C114" s="278" t="s">
        <v>912</v>
      </c>
      <c r="D114" s="864">
        <v>-1795090.6</v>
      </c>
      <c r="E114" s="21">
        <v>4970468.92</v>
      </c>
      <c r="F114" s="857">
        <f t="shared" si="58"/>
        <v>3175378.32</v>
      </c>
      <c r="H114" s="21"/>
      <c r="I114" s="21"/>
      <c r="J114" s="21"/>
      <c r="K114" s="21"/>
      <c r="L114" s="21"/>
      <c r="M114" s="21"/>
      <c r="N114" s="21">
        <f>SUMIF('Incentives Adj'!$B$42:$B$63,B114,'Incentives Adj'!$E$42:$E$63)</f>
        <v>0</v>
      </c>
      <c r="O114" s="21"/>
      <c r="P114" s="21">
        <f>'COVID-19 Offsets'!C13</f>
        <v>1445089.6199999999</v>
      </c>
      <c r="Q114" s="21"/>
      <c r="R114" s="21"/>
      <c r="S114" s="21"/>
      <c r="T114" s="21"/>
      <c r="U114" s="184"/>
      <c r="V114" s="184"/>
      <c r="W114" s="184"/>
      <c r="X114" s="184"/>
      <c r="Y114" s="21"/>
      <c r="Z114" s="21"/>
      <c r="AA114" s="21"/>
      <c r="AB114" s="21">
        <f>'O&amp;M Adj'!M84</f>
        <v>48293.758624264752</v>
      </c>
      <c r="AC114" s="21">
        <f t="shared" si="59"/>
        <v>1493383.3786242646</v>
      </c>
      <c r="AD114" s="21">
        <f t="shared" si="60"/>
        <v>4668761.6986242644</v>
      </c>
      <c r="AE114" s="49"/>
      <c r="AF114" s="21"/>
      <c r="AG114" s="21"/>
      <c r="AH114" s="21">
        <f t="shared" si="41"/>
        <v>0</v>
      </c>
      <c r="AI114" s="49"/>
      <c r="AJ114" s="21"/>
      <c r="AK114" s="21"/>
      <c r="AL114" s="184"/>
      <c r="AM114" s="21"/>
      <c r="AN114" s="184"/>
      <c r="AO114" s="184"/>
      <c r="AP114" s="184"/>
      <c r="AQ114" s="184">
        <f>'O&amp;M Adj'!N84</f>
        <v>49028.249726433249</v>
      </c>
      <c r="AR114" s="21">
        <f t="shared" si="61"/>
        <v>49028.249726433249</v>
      </c>
      <c r="AS114" s="21"/>
      <c r="AT114" s="21"/>
    </row>
    <row r="115" spans="1:48">
      <c r="A115" s="429">
        <f>MAX($A$9:A114)+1</f>
        <v>107</v>
      </c>
      <c r="B115" s="299" t="s">
        <v>913</v>
      </c>
      <c r="C115" s="278" t="s">
        <v>914</v>
      </c>
      <c r="D115" s="864">
        <v>628696.01</v>
      </c>
      <c r="E115" s="21">
        <v>621680.37</v>
      </c>
      <c r="F115" s="857">
        <f t="shared" si="58"/>
        <v>1250376.3799999999</v>
      </c>
      <c r="H115" s="21"/>
      <c r="I115" s="21"/>
      <c r="J115" s="21"/>
      <c r="K115" s="21"/>
      <c r="L115" s="21"/>
      <c r="M115" s="21"/>
      <c r="N115" s="21">
        <f>SUMIF('Incentives Adj'!$B$42:$B$63,B115,'Incentives Adj'!$E$42:$E$63)</f>
        <v>0</v>
      </c>
      <c r="O115" s="21"/>
      <c r="P115" s="21"/>
      <c r="Q115" s="21"/>
      <c r="R115" s="21"/>
      <c r="S115" s="21"/>
      <c r="T115" s="21"/>
      <c r="U115" s="184"/>
      <c r="V115" s="184"/>
      <c r="W115" s="184">
        <f>+'Rate Case Expense Adjustment'!C19</f>
        <v>1321811.05</v>
      </c>
      <c r="X115" s="184"/>
      <c r="Y115" s="21"/>
      <c r="Z115" s="21"/>
      <c r="AA115" s="21"/>
      <c r="AB115" s="21">
        <f>'O&amp;M Adj'!M85</f>
        <v>0</v>
      </c>
      <c r="AC115" s="21">
        <f t="shared" si="59"/>
        <v>1321811.05</v>
      </c>
      <c r="AD115" s="21">
        <f t="shared" si="60"/>
        <v>2572187.4299999997</v>
      </c>
      <c r="AE115" s="49"/>
      <c r="AF115" s="21"/>
      <c r="AG115" s="21"/>
      <c r="AH115" s="21">
        <f t="shared" si="41"/>
        <v>0</v>
      </c>
      <c r="AI115" s="49"/>
      <c r="AJ115" s="21"/>
      <c r="AK115" s="21"/>
      <c r="AL115" s="184"/>
      <c r="AM115" s="21"/>
      <c r="AN115" s="184"/>
      <c r="AO115" s="184"/>
      <c r="AP115" s="184">
        <f>'Decarb Adjustment'!C11</f>
        <v>350000</v>
      </c>
      <c r="AQ115" s="184">
        <f>'O&amp;M Adj'!N85</f>
        <v>0</v>
      </c>
      <c r="AR115" s="21">
        <f t="shared" si="61"/>
        <v>350000</v>
      </c>
      <c r="AS115" s="21"/>
      <c r="AT115" s="21"/>
    </row>
    <row r="116" spans="1:48">
      <c r="A116" s="429">
        <f>MAX($A$9:A115)+1</f>
        <v>108</v>
      </c>
      <c r="B116" s="299" t="s">
        <v>915</v>
      </c>
      <c r="C116" s="278" t="s">
        <v>916</v>
      </c>
      <c r="D116" s="864">
        <v>0</v>
      </c>
      <c r="E116" s="21">
        <v>97331.09</v>
      </c>
      <c r="F116" s="857">
        <f t="shared" si="58"/>
        <v>97331.09</v>
      </c>
      <c r="H116" s="21"/>
      <c r="I116" s="21"/>
      <c r="J116" s="21"/>
      <c r="K116" s="21"/>
      <c r="L116" s="21"/>
      <c r="M116" s="21"/>
      <c r="N116" s="21">
        <f>SUMIF('Incentives Adj'!$B$42:$B$63,B116,'Incentives Adj'!$E$42:$E$63)</f>
        <v>0</v>
      </c>
      <c r="O116" s="21"/>
      <c r="P116" s="21"/>
      <c r="Q116" s="21"/>
      <c r="R116" s="21"/>
      <c r="S116" s="21"/>
      <c r="T116" s="21"/>
      <c r="U116" s="184"/>
      <c r="V116" s="184"/>
      <c r="W116" s="184"/>
      <c r="X116" s="184"/>
      <c r="Y116" s="21"/>
      <c r="Z116" s="21"/>
      <c r="AA116" s="21"/>
      <c r="AB116" s="21">
        <f>'O&amp;M Adj'!M86</f>
        <v>1480.2910687809283</v>
      </c>
      <c r="AC116" s="21">
        <f t="shared" si="59"/>
        <v>1480.2910687809283</v>
      </c>
      <c r="AD116" s="21">
        <f t="shared" si="60"/>
        <v>98811.381068780931</v>
      </c>
      <c r="AE116" s="49"/>
      <c r="AF116" s="21"/>
      <c r="AG116" s="21"/>
      <c r="AH116" s="21">
        <f t="shared" si="41"/>
        <v>0</v>
      </c>
      <c r="AI116" s="49"/>
      <c r="AJ116" s="21"/>
      <c r="AK116" s="21"/>
      <c r="AL116" s="184"/>
      <c r="AM116" s="21"/>
      <c r="AN116" s="184"/>
      <c r="AO116" s="184"/>
      <c r="AP116" s="184"/>
      <c r="AQ116" s="184">
        <f>'O&amp;M Adj'!N86</f>
        <v>1502.8045498106035</v>
      </c>
      <c r="AR116" s="21">
        <f t="shared" si="61"/>
        <v>1502.8045498106035</v>
      </c>
      <c r="AS116" s="21"/>
      <c r="AT116" s="21"/>
    </row>
    <row r="117" spans="1:48">
      <c r="A117" s="429">
        <f>MAX($A$9:A116)+1</f>
        <v>109</v>
      </c>
      <c r="B117" s="299" t="s">
        <v>917</v>
      </c>
      <c r="C117" s="278" t="s">
        <v>918</v>
      </c>
      <c r="D117" s="864">
        <v>383800.43</v>
      </c>
      <c r="E117" s="21">
        <v>1615180.25</v>
      </c>
      <c r="F117" s="857">
        <f t="shared" si="58"/>
        <v>1998980.68</v>
      </c>
      <c r="H117" s="21"/>
      <c r="I117" s="21"/>
      <c r="J117" s="21"/>
      <c r="K117" s="21"/>
      <c r="L117" s="21"/>
      <c r="M117" s="21"/>
      <c r="N117" s="21">
        <f>SUMIF('Incentives Adj'!$B$42:$B$63,B117,'Incentives Adj'!$E$42:$E$63)</f>
        <v>0</v>
      </c>
      <c r="O117" s="184"/>
      <c r="P117" s="21"/>
      <c r="Q117" s="21"/>
      <c r="R117" s="21"/>
      <c r="S117" s="21"/>
      <c r="T117" s="21"/>
      <c r="U117" s="184"/>
      <c r="V117" s="184"/>
      <c r="W117" s="184"/>
      <c r="X117" s="184"/>
      <c r="Y117" s="21"/>
      <c r="Z117" s="21"/>
      <c r="AA117" s="21"/>
      <c r="AB117" s="21">
        <f>'O&amp;M Adj'!M87</f>
        <v>26793.706678348026</v>
      </c>
      <c r="AC117" s="21">
        <f t="shared" si="59"/>
        <v>26793.706678348026</v>
      </c>
      <c r="AD117" s="21">
        <f t="shared" si="60"/>
        <v>2025774.3866783481</v>
      </c>
      <c r="AE117" s="49"/>
      <c r="AF117" s="21"/>
      <c r="AG117" s="21"/>
      <c r="AH117" s="21">
        <f t="shared" si="41"/>
        <v>0</v>
      </c>
      <c r="AI117" s="49"/>
      <c r="AJ117" s="21"/>
      <c r="AK117" s="21"/>
      <c r="AL117" s="184"/>
      <c r="AM117" s="21"/>
      <c r="AN117" s="184"/>
      <c r="AO117" s="184"/>
      <c r="AP117" s="184"/>
      <c r="AQ117" s="184">
        <f>'O&amp;M Adj'!N87</f>
        <v>27201.207351519311</v>
      </c>
      <c r="AR117" s="21">
        <f t="shared" si="61"/>
        <v>27201.207351519311</v>
      </c>
      <c r="AS117" s="21"/>
      <c r="AT117" s="21"/>
    </row>
    <row r="118" spans="1:48">
      <c r="A118" s="429">
        <f>MAX($A$9:A117)+1</f>
        <v>110</v>
      </c>
      <c r="B118" s="299" t="s">
        <v>919</v>
      </c>
      <c r="C118" s="278" t="s">
        <v>920</v>
      </c>
      <c r="D118" s="864">
        <v>3186298.35</v>
      </c>
      <c r="E118" s="21">
        <v>2167024.2200000002</v>
      </c>
      <c r="F118" s="857">
        <f t="shared" si="58"/>
        <v>5353322.57</v>
      </c>
      <c r="H118" s="21"/>
      <c r="I118" s="21"/>
      <c r="J118" s="21"/>
      <c r="K118" s="21"/>
      <c r="L118" s="21"/>
      <c r="M118" s="21">
        <v>0</v>
      </c>
      <c r="N118" s="21">
        <f>SUMIF('Incentives Adj'!$B$42:$B$63,B118,'Incentives Adj'!$E$42:$E$63)</f>
        <v>0</v>
      </c>
      <c r="O118" s="21"/>
      <c r="P118" s="21"/>
      <c r="Q118" s="21"/>
      <c r="R118" s="21"/>
      <c r="S118" s="21"/>
      <c r="T118" s="21"/>
      <c r="U118" s="184"/>
      <c r="V118" s="184"/>
      <c r="W118" s="184"/>
      <c r="X118" s="184">
        <f>'Medical Expense Adjustment'!C12</f>
        <v>1063224.6200000001</v>
      </c>
      <c r="Y118" s="21"/>
      <c r="Z118" s="21">
        <f>'Pension Adjustment'!C15</f>
        <v>826039.32599999988</v>
      </c>
      <c r="AA118" s="21"/>
      <c r="AB118" s="21">
        <f>'O&amp;M Adj'!M88</f>
        <v>1914.0831282371996</v>
      </c>
      <c r="AC118" s="21">
        <f t="shared" si="59"/>
        <v>1891178.0291282372</v>
      </c>
      <c r="AD118" s="21">
        <f t="shared" si="60"/>
        <v>7244500.599128237</v>
      </c>
      <c r="AE118" s="49"/>
      <c r="AF118" s="21"/>
      <c r="AG118" s="21"/>
      <c r="AH118" s="21">
        <f t="shared" si="41"/>
        <v>0</v>
      </c>
      <c r="AI118" s="49"/>
      <c r="AJ118" s="21"/>
      <c r="AK118" s="21"/>
      <c r="AL118" s="184"/>
      <c r="AM118" s="21">
        <f>'Pension Adjustment'!C16</f>
        <v>968208.79249999998</v>
      </c>
      <c r="AN118" s="184">
        <f>'401K Expense Adjustment'!C12</f>
        <v>120946.27963499998</v>
      </c>
      <c r="AO118" s="184"/>
      <c r="AP118" s="184"/>
      <c r="AQ118" s="184">
        <f>'O&amp;M Adj'!N88</f>
        <v>1943.1940747973767</v>
      </c>
      <c r="AR118" s="21">
        <f t="shared" si="61"/>
        <v>1091098.2662097975</v>
      </c>
      <c r="AS118" s="21"/>
      <c r="AT118" s="21"/>
    </row>
    <row r="119" spans="1:48">
      <c r="A119" s="429">
        <f>MAX($A$9:A118)+1</f>
        <v>111</v>
      </c>
      <c r="B119" s="299" t="s">
        <v>921</v>
      </c>
      <c r="C119" s="278" t="s">
        <v>922</v>
      </c>
      <c r="D119" s="864">
        <v>0</v>
      </c>
      <c r="E119" s="21">
        <v>0</v>
      </c>
      <c r="F119" s="857">
        <f t="shared" si="58"/>
        <v>0</v>
      </c>
      <c r="H119" s="21"/>
      <c r="I119" s="21"/>
      <c r="J119" s="21"/>
      <c r="K119" s="21"/>
      <c r="L119" s="21"/>
      <c r="M119" s="21"/>
      <c r="N119" s="21">
        <f>SUMIF('Incentives Adj'!$B$42:$B$63,B119,'Incentives Adj'!$E$42:$E$63)</f>
        <v>0</v>
      </c>
      <c r="O119" s="21"/>
      <c r="P119" s="21"/>
      <c r="Q119" s="21"/>
      <c r="R119" s="21"/>
      <c r="S119" s="21"/>
      <c r="T119" s="21"/>
      <c r="U119" s="184"/>
      <c r="V119" s="184"/>
      <c r="W119" s="184"/>
      <c r="X119" s="184"/>
      <c r="Y119" s="21"/>
      <c r="Z119" s="21"/>
      <c r="AA119" s="21"/>
      <c r="AB119" s="21">
        <f>'O&amp;M Adj'!M89</f>
        <v>0</v>
      </c>
      <c r="AC119" s="21">
        <f t="shared" si="59"/>
        <v>0</v>
      </c>
      <c r="AD119" s="21">
        <f t="shared" si="60"/>
        <v>0</v>
      </c>
      <c r="AE119" s="49"/>
      <c r="AF119" s="21"/>
      <c r="AG119" s="21"/>
      <c r="AH119" s="21">
        <f t="shared" si="41"/>
        <v>0</v>
      </c>
      <c r="AI119" s="49"/>
      <c r="AJ119" s="21"/>
      <c r="AK119" s="21"/>
      <c r="AL119" s="184"/>
      <c r="AM119" s="21"/>
      <c r="AN119" s="184"/>
      <c r="AO119" s="184"/>
      <c r="AP119" s="184"/>
      <c r="AQ119" s="184">
        <f>'O&amp;M Adj'!N89</f>
        <v>0</v>
      </c>
      <c r="AR119" s="21">
        <f t="shared" si="61"/>
        <v>0</v>
      </c>
      <c r="AS119" s="21"/>
      <c r="AT119" s="21"/>
    </row>
    <row r="120" spans="1:48">
      <c r="A120" s="429">
        <f>MAX($A$9:A119)+1</f>
        <v>112</v>
      </c>
      <c r="B120" s="299" t="s">
        <v>923</v>
      </c>
      <c r="C120" s="278" t="s">
        <v>924</v>
      </c>
      <c r="D120" s="864">
        <v>3336.2</v>
      </c>
      <c r="E120" s="21">
        <v>33237.730000000003</v>
      </c>
      <c r="F120" s="857">
        <f t="shared" si="58"/>
        <v>36573.93</v>
      </c>
      <c r="H120" s="21"/>
      <c r="I120" s="21"/>
      <c r="J120" s="21"/>
      <c r="K120" s="21"/>
      <c r="L120" s="21">
        <f>-'Advertising Adj'!F117-'Advertising Adj'!E117</f>
        <v>-36573.89</v>
      </c>
      <c r="M120" s="21"/>
      <c r="N120" s="21">
        <f>SUMIF('Incentives Adj'!$B$42:$B$63,B120,'Incentives Adj'!$E$42:$E$63)</f>
        <v>0</v>
      </c>
      <c r="O120" s="21"/>
      <c r="P120" s="21"/>
      <c r="Q120" s="21"/>
      <c r="R120" s="21"/>
      <c r="S120" s="21"/>
      <c r="T120" s="21"/>
      <c r="U120" s="184"/>
      <c r="V120" s="184"/>
      <c r="W120" s="184"/>
      <c r="X120" s="184"/>
      <c r="Y120" s="21"/>
      <c r="Z120" s="21"/>
      <c r="AA120" s="21"/>
      <c r="AB120" s="21">
        <f>'O&amp;M Adj'!M90</f>
        <v>6.0835281668508592E-4</v>
      </c>
      <c r="AC120" s="21">
        <f t="shared" si="59"/>
        <v>-36573.889391647186</v>
      </c>
      <c r="AD120" s="21">
        <f t="shared" si="60"/>
        <v>4.0608352814160753E-2</v>
      </c>
      <c r="AE120" s="49"/>
      <c r="AF120" s="21"/>
      <c r="AG120" s="21"/>
      <c r="AH120" s="21">
        <f t="shared" si="41"/>
        <v>0</v>
      </c>
      <c r="AI120" s="49"/>
      <c r="AJ120" s="21"/>
      <c r="AK120" s="21"/>
      <c r="AL120" s="184"/>
      <c r="AM120" s="21"/>
      <c r="AN120" s="184"/>
      <c r="AO120" s="184"/>
      <c r="AP120" s="184"/>
      <c r="AQ120" s="184">
        <f>'O&amp;M Adj'!N90</f>
        <v>6.1760514542410095E-4</v>
      </c>
      <c r="AR120" s="21">
        <f t="shared" si="61"/>
        <v>6.1760514542410095E-4</v>
      </c>
      <c r="AS120" s="21"/>
      <c r="AT120" s="21"/>
    </row>
    <row r="121" spans="1:48">
      <c r="A121" s="429">
        <f>MAX($A$9:A120)+1</f>
        <v>113</v>
      </c>
      <c r="B121" s="299" t="s">
        <v>925</v>
      </c>
      <c r="C121" s="278" t="s">
        <v>926</v>
      </c>
      <c r="D121" s="864">
        <v>16662.48</v>
      </c>
      <c r="E121" s="21">
        <v>496209.26</v>
      </c>
      <c r="F121" s="857">
        <f t="shared" si="58"/>
        <v>512871.74</v>
      </c>
      <c r="H121" s="21"/>
      <c r="I121" s="21"/>
      <c r="J121" s="21"/>
      <c r="K121" s="21"/>
      <c r="L121" s="21"/>
      <c r="M121" s="21"/>
      <c r="N121" s="21">
        <f>SUMIF('Incentives Adj'!$B$42:$B$63,B121,'Incentives Adj'!$E$42:$E$63)</f>
        <v>0</v>
      </c>
      <c r="O121" s="21">
        <f>-'D&amp;O Adjustment'!C14</f>
        <v>-160480.375</v>
      </c>
      <c r="P121" s="21"/>
      <c r="Q121" s="21"/>
      <c r="R121" s="21"/>
      <c r="S121" s="21"/>
      <c r="T121" s="21"/>
      <c r="U121" s="184"/>
      <c r="V121" s="184"/>
      <c r="W121" s="184"/>
      <c r="X121" s="184"/>
      <c r="Y121" s="21"/>
      <c r="Z121" s="21"/>
      <c r="AA121" s="21"/>
      <c r="AB121" s="21">
        <f>'O&amp;M Adj'!M91</f>
        <v>5359.45698671432</v>
      </c>
      <c r="AC121" s="21">
        <f t="shared" si="59"/>
        <v>-155120.91801328567</v>
      </c>
      <c r="AD121" s="21">
        <f t="shared" si="60"/>
        <v>357750.82198671432</v>
      </c>
      <c r="AE121" s="49"/>
      <c r="AF121" s="21"/>
      <c r="AG121" s="21"/>
      <c r="AH121" s="21">
        <f t="shared" si="41"/>
        <v>0</v>
      </c>
      <c r="AI121" s="49"/>
      <c r="AJ121" s="21"/>
      <c r="AK121" s="21"/>
      <c r="AL121" s="184"/>
      <c r="AM121" s="21"/>
      <c r="AN121" s="184"/>
      <c r="AO121" s="184"/>
      <c r="AP121" s="184"/>
      <c r="AQ121" s="184">
        <f>'O&amp;M Adj'!N91</f>
        <v>5440.968005556796</v>
      </c>
      <c r="AR121" s="21">
        <f t="shared" si="61"/>
        <v>5440.968005556796</v>
      </c>
      <c r="AS121" s="21"/>
      <c r="AT121" s="21"/>
    </row>
    <row r="122" spans="1:48">
      <c r="A122" s="429">
        <f>MAX($A$9:A121)+1</f>
        <v>114</v>
      </c>
      <c r="B122" s="299" t="s">
        <v>927</v>
      </c>
      <c r="C122" s="278" t="s">
        <v>855</v>
      </c>
      <c r="D122" s="864">
        <v>2760.93</v>
      </c>
      <c r="E122" s="21">
        <v>1608663.75</v>
      </c>
      <c r="F122" s="857">
        <f t="shared" si="58"/>
        <v>1611424.68</v>
      </c>
      <c r="H122" s="21"/>
      <c r="I122" s="21"/>
      <c r="J122" s="21"/>
      <c r="K122" s="21"/>
      <c r="L122" s="21"/>
      <c r="M122" s="21"/>
      <c r="N122" s="21">
        <f>SUMIF('Incentives Adj'!$B$42:$B$63,B122,'Incentives Adj'!$E$42:$E$63)</f>
        <v>0</v>
      </c>
      <c r="O122" s="21"/>
      <c r="P122" s="21"/>
      <c r="Q122" s="21"/>
      <c r="R122" s="21"/>
      <c r="S122" s="21"/>
      <c r="T122" s="21"/>
      <c r="U122" s="184"/>
      <c r="V122" s="184"/>
      <c r="W122" s="184"/>
      <c r="X122" s="184"/>
      <c r="Y122" s="21"/>
      <c r="Z122" s="21"/>
      <c r="AA122" s="21"/>
      <c r="AB122" s="21">
        <f>'O&amp;M Adj'!M92</f>
        <v>24507.868573311625</v>
      </c>
      <c r="AC122" s="21">
        <f t="shared" si="59"/>
        <v>24507.868573311625</v>
      </c>
      <c r="AD122" s="21">
        <f t="shared" si="60"/>
        <v>1635932.5485733117</v>
      </c>
      <c r="AE122" s="49"/>
      <c r="AF122" s="21"/>
      <c r="AG122" s="21"/>
      <c r="AH122" s="21">
        <f t="shared" si="41"/>
        <v>0</v>
      </c>
      <c r="AI122" s="49"/>
      <c r="AJ122" s="21"/>
      <c r="AK122" s="21"/>
      <c r="AL122" s="184"/>
      <c r="AM122" s="21"/>
      <c r="AN122" s="184"/>
      <c r="AO122" s="184"/>
      <c r="AP122" s="184"/>
      <c r="AQ122" s="184">
        <f>'O&amp;M Adj'!N92</f>
        <v>24880.604345241543</v>
      </c>
      <c r="AR122" s="21">
        <f t="shared" si="61"/>
        <v>24880.604345241543</v>
      </c>
      <c r="AS122" s="21"/>
      <c r="AT122" s="21"/>
    </row>
    <row r="123" spans="1:48">
      <c r="A123" s="429">
        <f>MAX($A$9:A122)+1</f>
        <v>115</v>
      </c>
      <c r="B123" s="483">
        <v>935</v>
      </c>
      <c r="C123" s="278" t="s">
        <v>928</v>
      </c>
      <c r="D123" s="867">
        <v>91648.76</v>
      </c>
      <c r="E123" s="868">
        <v>64.740000000000009</v>
      </c>
      <c r="F123" s="858">
        <f t="shared" si="58"/>
        <v>91713.5</v>
      </c>
      <c r="H123" s="868"/>
      <c r="I123" s="868"/>
      <c r="J123" s="868"/>
      <c r="K123" s="868"/>
      <c r="L123" s="868"/>
      <c r="M123" s="868">
        <f>+'Wage Adjustments'!H62</f>
        <v>16.9527</v>
      </c>
      <c r="N123" s="868">
        <f>SUMIF('Incentives Adj'!$B$42:$B$63,B123,'Incentives Adj'!$E$42:$E$63)</f>
        <v>0</v>
      </c>
      <c r="O123" s="868"/>
      <c r="P123" s="868"/>
      <c r="Q123" s="868"/>
      <c r="R123" s="868"/>
      <c r="S123" s="868"/>
      <c r="T123" s="868"/>
      <c r="U123" s="314">
        <f>+'Wage Adjustments'!K62</f>
        <v>42.785135000000004</v>
      </c>
      <c r="V123" s="314"/>
      <c r="W123" s="314"/>
      <c r="X123" s="314"/>
      <c r="Y123" s="868"/>
      <c r="Z123" s="868"/>
      <c r="AA123" s="868"/>
      <c r="AB123" s="868">
        <f>'O&amp;M Adj'!M93</f>
        <v>1387.2876110501843</v>
      </c>
      <c r="AC123" s="868">
        <f t="shared" si="59"/>
        <v>1447.0254460501842</v>
      </c>
      <c r="AD123" s="49">
        <f t="shared" si="60"/>
        <v>93160.525446050189</v>
      </c>
      <c r="AE123" s="49"/>
      <c r="AF123" s="21"/>
      <c r="AG123" s="21"/>
      <c r="AH123" s="21">
        <f t="shared" si="41"/>
        <v>0</v>
      </c>
      <c r="AI123" s="49"/>
      <c r="AJ123" s="21"/>
      <c r="AK123" s="21"/>
      <c r="AL123" s="184">
        <f>+'Wage Adjustments'!N62</f>
        <v>26.95463505</v>
      </c>
      <c r="AM123" s="21"/>
      <c r="AN123" s="184"/>
      <c r="AO123" s="184"/>
      <c r="AP123" s="184"/>
      <c r="AQ123" s="184">
        <f>'O&amp;M Adj'!N93</f>
        <v>1408.3866191930913</v>
      </c>
      <c r="AR123" s="21">
        <f t="shared" si="61"/>
        <v>1435.3412542430913</v>
      </c>
      <c r="AS123" s="21"/>
      <c r="AT123" s="21"/>
    </row>
    <row r="124" spans="1:48">
      <c r="A124" s="429">
        <f>MAX($A$9:A123)+1</f>
        <v>116</v>
      </c>
      <c r="B124" s="303"/>
      <c r="C124" s="276"/>
      <c r="D124" s="864">
        <f>SUM(D113:D123)</f>
        <v>2518112.56</v>
      </c>
      <c r="E124" s="21">
        <f>SUM(E113:E123)</f>
        <v>21011765.189999998</v>
      </c>
      <c r="F124" s="857">
        <f>SUM(F113:F123)</f>
        <v>23529877.749999996</v>
      </c>
      <c r="H124" s="853">
        <f>SUM(H113:H123)</f>
        <v>0</v>
      </c>
      <c r="I124" s="853">
        <f>SUM(I113:I123)</f>
        <v>0</v>
      </c>
      <c r="J124" s="853">
        <f>SUM(J113:J123)</f>
        <v>0</v>
      </c>
      <c r="K124" s="853">
        <f>SUM(K113:K123)</f>
        <v>0</v>
      </c>
      <c r="L124" s="853">
        <f t="shared" ref="L124:S124" si="62">SUM(L113:L123)</f>
        <v>-36573.89</v>
      </c>
      <c r="M124" s="853">
        <f t="shared" si="62"/>
        <v>16.9527</v>
      </c>
      <c r="N124" s="853">
        <f t="shared" si="62"/>
        <v>-1795330.17</v>
      </c>
      <c r="O124" s="853">
        <f t="shared" si="62"/>
        <v>-160480.375</v>
      </c>
      <c r="P124" s="853">
        <f t="shared" si="62"/>
        <v>1445089.6199999999</v>
      </c>
      <c r="Q124" s="853">
        <f t="shared" si="62"/>
        <v>49659.740000000005</v>
      </c>
      <c r="R124" s="853">
        <f t="shared" si="62"/>
        <v>0</v>
      </c>
      <c r="S124" s="853">
        <f t="shared" si="62"/>
        <v>0</v>
      </c>
      <c r="T124" s="853">
        <f t="shared" ref="T124:AB124" si="63">SUM(T113:T123)</f>
        <v>0</v>
      </c>
      <c r="U124" s="854">
        <f t="shared" si="63"/>
        <v>403435.53043299995</v>
      </c>
      <c r="V124" s="854">
        <f t="shared" si="63"/>
        <v>0</v>
      </c>
      <c r="W124" s="853">
        <f t="shared" si="63"/>
        <v>1321811.05</v>
      </c>
      <c r="X124" s="853">
        <f t="shared" si="63"/>
        <v>1063224.6200000001</v>
      </c>
      <c r="Y124" s="853">
        <f>SUM(Y113:Y123)</f>
        <v>0</v>
      </c>
      <c r="Z124" s="853">
        <f>SUM(Z113:Z123)</f>
        <v>826039.32599999988</v>
      </c>
      <c r="AA124" s="853">
        <f>SUM(AA113:AA123)</f>
        <v>0</v>
      </c>
      <c r="AB124" s="853">
        <f t="shared" si="63"/>
        <v>109736.45327905985</v>
      </c>
      <c r="AC124" s="853">
        <f t="shared" si="59"/>
        <v>3226628.8574120598</v>
      </c>
      <c r="AD124" s="853">
        <f>SUM(AD113:AD123)</f>
        <v>26756506.607412059</v>
      </c>
      <c r="AE124" s="49"/>
      <c r="AF124" s="853">
        <f>SUM(AF113:AF123)</f>
        <v>0</v>
      </c>
      <c r="AG124" s="853">
        <f>SUM(AG113:AG123)</f>
        <v>0</v>
      </c>
      <c r="AH124" s="853">
        <f t="shared" si="41"/>
        <v>0</v>
      </c>
      <c r="AI124" s="49"/>
      <c r="AJ124" s="860">
        <f t="shared" ref="AJ124:AQ124" si="64">SUM(AJ113:AJ123)</f>
        <v>0</v>
      </c>
      <c r="AK124" s="860">
        <f t="shared" si="64"/>
        <v>0</v>
      </c>
      <c r="AL124" s="860">
        <f t="shared" si="64"/>
        <v>277681.46204696997</v>
      </c>
      <c r="AM124" s="860">
        <f t="shared" si="64"/>
        <v>968208.79249999998</v>
      </c>
      <c r="AN124" s="860">
        <f t="shared" si="64"/>
        <v>120946.27963499998</v>
      </c>
      <c r="AO124" s="860">
        <f t="shared" si="64"/>
        <v>0</v>
      </c>
      <c r="AP124" s="860">
        <f t="shared" si="64"/>
        <v>350000</v>
      </c>
      <c r="AQ124" s="860">
        <f t="shared" si="64"/>
        <v>111405.41529015711</v>
      </c>
      <c r="AR124" s="853">
        <f t="shared" si="61"/>
        <v>1828241.949472127</v>
      </c>
      <c r="AS124" s="49"/>
      <c r="AT124" s="21"/>
    </row>
    <row r="125" spans="1:48">
      <c r="A125" s="429">
        <f>MAX($A$9:A124)+1</f>
        <v>117</v>
      </c>
      <c r="B125" s="299" t="s">
        <v>929</v>
      </c>
      <c r="C125" s="278" t="s">
        <v>930</v>
      </c>
      <c r="D125" s="864"/>
      <c r="E125" s="21"/>
      <c r="F125" s="857">
        <f>SUM(D125:E125)</f>
        <v>0</v>
      </c>
      <c r="H125" s="21"/>
      <c r="I125" s="21"/>
      <c r="J125" s="21"/>
      <c r="K125" s="21"/>
      <c r="L125" s="21"/>
      <c r="M125" s="21"/>
      <c r="N125" s="21"/>
      <c r="O125" s="21"/>
      <c r="P125" s="21"/>
      <c r="Q125" s="21"/>
      <c r="R125" s="21"/>
      <c r="S125" s="21"/>
      <c r="T125" s="21"/>
      <c r="U125" s="184"/>
      <c r="V125" s="184"/>
      <c r="W125" s="184"/>
      <c r="X125" s="21"/>
      <c r="Y125" s="21"/>
      <c r="Z125" s="21"/>
      <c r="AA125" s="21"/>
      <c r="AB125" s="21"/>
      <c r="AC125" s="21">
        <f t="shared" si="59"/>
        <v>0</v>
      </c>
      <c r="AD125" s="21">
        <f>+F125+AC125</f>
        <v>0</v>
      </c>
      <c r="AE125" s="49"/>
      <c r="AF125" s="21"/>
      <c r="AG125" s="21"/>
      <c r="AH125" s="21">
        <f t="shared" si="41"/>
        <v>0</v>
      </c>
      <c r="AI125" s="49"/>
      <c r="AJ125" s="21"/>
      <c r="AK125" s="21"/>
      <c r="AL125" s="184"/>
      <c r="AM125" s="21"/>
      <c r="AN125" s="184"/>
      <c r="AO125" s="184"/>
      <c r="AP125" s="184"/>
      <c r="AQ125" s="184"/>
      <c r="AR125" s="21">
        <f t="shared" si="61"/>
        <v>0</v>
      </c>
      <c r="AS125" s="21"/>
      <c r="AT125" s="21"/>
    </row>
    <row r="126" spans="1:48">
      <c r="A126" s="429">
        <f>MAX($A$9:A125)+1</f>
        <v>118</v>
      </c>
      <c r="B126" s="298" t="s">
        <v>931</v>
      </c>
      <c r="C126" s="276"/>
      <c r="D126" s="865">
        <f>D124+D125</f>
        <v>2518112.56</v>
      </c>
      <c r="E126" s="517">
        <f>E124+E125</f>
        <v>21011765.189999998</v>
      </c>
      <c r="F126" s="853">
        <f>F124+F125</f>
        <v>23529877.749999996</v>
      </c>
      <c r="H126" s="853">
        <f>H124+H125</f>
        <v>0</v>
      </c>
      <c r="I126" s="853">
        <f>I124+I125</f>
        <v>0</v>
      </c>
      <c r="J126" s="853">
        <f>J124+J125</f>
        <v>0</v>
      </c>
      <c r="K126" s="853">
        <f>K124+K125</f>
        <v>0</v>
      </c>
      <c r="L126" s="853">
        <f t="shared" ref="L126:S126" si="65">L124+L125</f>
        <v>-36573.89</v>
      </c>
      <c r="M126" s="853">
        <f t="shared" si="65"/>
        <v>16.9527</v>
      </c>
      <c r="N126" s="853">
        <f t="shared" si="65"/>
        <v>-1795330.17</v>
      </c>
      <c r="O126" s="853">
        <f t="shared" si="65"/>
        <v>-160480.375</v>
      </c>
      <c r="P126" s="853">
        <f t="shared" si="65"/>
        <v>1445089.6199999999</v>
      </c>
      <c r="Q126" s="853">
        <f t="shared" si="65"/>
        <v>49659.740000000005</v>
      </c>
      <c r="R126" s="853">
        <f t="shared" si="65"/>
        <v>0</v>
      </c>
      <c r="S126" s="853">
        <f t="shared" si="65"/>
        <v>0</v>
      </c>
      <c r="T126" s="853">
        <f t="shared" ref="T126:AD126" si="66">T124+T125</f>
        <v>0</v>
      </c>
      <c r="U126" s="854">
        <f t="shared" si="66"/>
        <v>403435.53043299995</v>
      </c>
      <c r="V126" s="854">
        <f t="shared" si="66"/>
        <v>0</v>
      </c>
      <c r="W126" s="853">
        <f t="shared" si="66"/>
        <v>1321811.05</v>
      </c>
      <c r="X126" s="853">
        <f t="shared" si="66"/>
        <v>1063224.6200000001</v>
      </c>
      <c r="Y126" s="853">
        <f>Y124+Y125</f>
        <v>0</v>
      </c>
      <c r="Z126" s="853">
        <f>Z124+Z125</f>
        <v>826039.32599999988</v>
      </c>
      <c r="AA126" s="853">
        <f>AA124+AA125</f>
        <v>0</v>
      </c>
      <c r="AB126" s="853">
        <f t="shared" si="66"/>
        <v>109736.45327905985</v>
      </c>
      <c r="AC126" s="853">
        <f t="shared" si="66"/>
        <v>3226628.8574120598</v>
      </c>
      <c r="AD126" s="853">
        <f t="shared" si="66"/>
        <v>26756506.607412059</v>
      </c>
      <c r="AE126" s="49"/>
      <c r="AF126" s="860">
        <f>AF124+AF125</f>
        <v>0</v>
      </c>
      <c r="AG126" s="860">
        <f>AG124+AG125</f>
        <v>0</v>
      </c>
      <c r="AH126" s="860">
        <f t="shared" si="41"/>
        <v>0</v>
      </c>
      <c r="AI126" s="49"/>
      <c r="AJ126" s="860">
        <f t="shared" ref="AJ126:AQ126" si="67">AJ124+AJ125</f>
        <v>0</v>
      </c>
      <c r="AK126" s="860">
        <f t="shared" si="67"/>
        <v>0</v>
      </c>
      <c r="AL126" s="860">
        <f t="shared" si="67"/>
        <v>277681.46204696997</v>
      </c>
      <c r="AM126" s="860">
        <f t="shared" si="67"/>
        <v>968208.79249999998</v>
      </c>
      <c r="AN126" s="860">
        <f t="shared" si="67"/>
        <v>120946.27963499998</v>
      </c>
      <c r="AO126" s="860">
        <f t="shared" si="67"/>
        <v>0</v>
      </c>
      <c r="AP126" s="860">
        <f t="shared" si="67"/>
        <v>350000</v>
      </c>
      <c r="AQ126" s="860">
        <f t="shared" si="67"/>
        <v>111405.41529015711</v>
      </c>
      <c r="AR126" s="860">
        <f t="shared" si="61"/>
        <v>1828241.949472127</v>
      </c>
      <c r="AS126" s="49"/>
      <c r="AT126" s="21">
        <f>AD126-'Exh JAD-3 ROO Summary'!G23</f>
        <v>0</v>
      </c>
      <c r="AU126" s="42">
        <f>AH126-'Exh JAD-4 MYRP Summary'!D23</f>
        <v>0</v>
      </c>
      <c r="AV126" s="42">
        <f>AR126-'Exh JAD-4 MYRP Summary'!J23</f>
        <v>0</v>
      </c>
    </row>
    <row r="127" spans="1:48">
      <c r="A127" s="429">
        <f>MAX($A$9:A126)+1</f>
        <v>119</v>
      </c>
      <c r="B127" s="303"/>
      <c r="C127" s="276"/>
      <c r="D127" s="864"/>
      <c r="E127" s="21"/>
      <c r="F127" s="857"/>
      <c r="H127" s="21"/>
      <c r="I127" s="21"/>
      <c r="J127" s="21"/>
      <c r="K127" s="21"/>
      <c r="L127" s="21"/>
      <c r="M127" s="21"/>
      <c r="N127" s="21"/>
      <c r="O127" s="21"/>
      <c r="P127" s="21"/>
      <c r="Q127" s="21"/>
      <c r="R127" s="21"/>
      <c r="S127" s="21"/>
      <c r="T127" s="21"/>
      <c r="U127" s="184"/>
      <c r="V127" s="184"/>
      <c r="W127" s="21"/>
      <c r="X127" s="21"/>
      <c r="Y127" s="21"/>
      <c r="Z127" s="21"/>
      <c r="AA127" s="21"/>
      <c r="AB127" s="21"/>
      <c r="AC127" s="21"/>
      <c r="AD127" s="21"/>
      <c r="AE127" s="49"/>
      <c r="AF127" s="21"/>
      <c r="AG127" s="21"/>
      <c r="AH127" s="21"/>
      <c r="AI127" s="49"/>
      <c r="AJ127" s="21"/>
      <c r="AK127" s="21"/>
      <c r="AL127" s="21"/>
      <c r="AM127" s="21"/>
      <c r="AN127" s="21"/>
      <c r="AO127" s="21"/>
      <c r="AP127" s="21"/>
      <c r="AQ127" s="21"/>
      <c r="AR127" s="21"/>
      <c r="AS127" s="21"/>
      <c r="AT127" s="21"/>
    </row>
    <row r="128" spans="1:48" ht="15.75" thickBot="1">
      <c r="A128" s="429">
        <f>MAX($A$9:A127)+1</f>
        <v>120</v>
      </c>
      <c r="B128" s="1454" t="s">
        <v>932</v>
      </c>
      <c r="C128" s="1455"/>
      <c r="D128" s="866">
        <f>D88+D96+D103+D110+D126+D58</f>
        <v>34524966.700000003</v>
      </c>
      <c r="E128" s="861">
        <f>E88+E96+E103+E110+E126+E58</f>
        <v>28368700.259999994</v>
      </c>
      <c r="F128" s="855">
        <f>F88+F96+F103+F110+F126+F58</f>
        <v>62893666.960000008</v>
      </c>
      <c r="H128" s="861">
        <f t="shared" ref="H128:S128" si="68">H88+H96+H103+H110+H126+H58</f>
        <v>-9014927.8564126194</v>
      </c>
      <c r="I128" s="861">
        <f t="shared" si="68"/>
        <v>-11922.504384550009</v>
      </c>
      <c r="J128" s="861">
        <f t="shared" si="68"/>
        <v>2931.0814267440292</v>
      </c>
      <c r="K128" s="861">
        <f t="shared" si="68"/>
        <v>12308.709948911473</v>
      </c>
      <c r="L128" s="861">
        <f t="shared" si="68"/>
        <v>-36573.89</v>
      </c>
      <c r="M128" s="861">
        <f t="shared" si="68"/>
        <v>89394.196799999976</v>
      </c>
      <c r="N128" s="861">
        <f t="shared" si="68"/>
        <v>-2559591.6199999996</v>
      </c>
      <c r="O128" s="861">
        <f t="shared" si="68"/>
        <v>-160480.375</v>
      </c>
      <c r="P128" s="861">
        <f t="shared" si="68"/>
        <v>1445089.6199999999</v>
      </c>
      <c r="Q128" s="861">
        <f t="shared" si="68"/>
        <v>68053.539999999994</v>
      </c>
      <c r="R128" s="861">
        <f t="shared" si="68"/>
        <v>0</v>
      </c>
      <c r="S128" s="861">
        <f t="shared" si="68"/>
        <v>0</v>
      </c>
      <c r="T128" s="861">
        <f t="shared" ref="T128:AD128" si="69">T88+T96+T103+T110+T126+T58</f>
        <v>0</v>
      </c>
      <c r="U128" s="861">
        <f t="shared" si="69"/>
        <v>1418765.0547239999</v>
      </c>
      <c r="V128" s="861">
        <f t="shared" si="69"/>
        <v>2018196.3840000001</v>
      </c>
      <c r="W128" s="861">
        <f t="shared" si="69"/>
        <v>1321811.05</v>
      </c>
      <c r="X128" s="861">
        <f t="shared" si="69"/>
        <v>1063224.6200000001</v>
      </c>
      <c r="Y128" s="861">
        <f>Y88+Y96+Y103+Y110+Y126+Y58</f>
        <v>0</v>
      </c>
      <c r="Z128" s="861">
        <f>Z88+Z96+Z103+Z110+Z126+Z58</f>
        <v>826039.32599999988</v>
      </c>
      <c r="AA128" s="861">
        <f>AA88+AA96+AA103+AA110+AA126+AA58</f>
        <v>0</v>
      </c>
      <c r="AB128" s="861">
        <f t="shared" si="69"/>
        <v>218393.82386775711</v>
      </c>
      <c r="AC128" s="861">
        <f t="shared" si="69"/>
        <v>-3299288.8390297564</v>
      </c>
      <c r="AD128" s="861">
        <f t="shared" si="69"/>
        <v>59594378.120970249</v>
      </c>
      <c r="AE128" s="49"/>
      <c r="AF128" s="861">
        <f>AF88+AF96+AF103+AF110+AF126+AF58</f>
        <v>0</v>
      </c>
      <c r="AG128" s="861">
        <f>AG88+AG96+AG103+AG110+AG126+AG58</f>
        <v>-281941.47032237932</v>
      </c>
      <c r="AH128" s="861">
        <f t="shared" si="41"/>
        <v>-281941.47032237932</v>
      </c>
      <c r="AI128" s="49"/>
      <c r="AJ128" s="861">
        <f t="shared" ref="AJ128:AQ128" si="70">AJ88+AJ96+AJ103+AJ110+AJ126+AJ58</f>
        <v>0</v>
      </c>
      <c r="AK128" s="861">
        <f t="shared" si="70"/>
        <v>-441245.97610416252</v>
      </c>
      <c r="AL128" s="861">
        <f t="shared" si="70"/>
        <v>943222.08366456011</v>
      </c>
      <c r="AM128" s="861">
        <f t="shared" si="70"/>
        <v>968208.79249999998</v>
      </c>
      <c r="AN128" s="861">
        <f t="shared" si="70"/>
        <v>120946.27963499998</v>
      </c>
      <c r="AO128" s="861">
        <f t="shared" si="70"/>
        <v>0</v>
      </c>
      <c r="AP128" s="861">
        <f t="shared" si="70"/>
        <v>350000</v>
      </c>
      <c r="AQ128" s="861">
        <f t="shared" si="70"/>
        <v>221715.33631509906</v>
      </c>
      <c r="AR128" s="861">
        <f>SUM(AJ128:AQ128)</f>
        <v>2162846.5160104968</v>
      </c>
      <c r="AS128" s="49"/>
      <c r="AT128" s="21"/>
    </row>
    <row r="129" spans="1:48" ht="15.75" thickTop="1">
      <c r="A129" s="429">
        <f>MAX($A$9:A128)+1</f>
        <v>121</v>
      </c>
      <c r="B129" s="303"/>
      <c r="C129" s="276"/>
      <c r="D129" s="864"/>
      <c r="E129" s="21"/>
      <c r="F129" s="857"/>
      <c r="H129" s="21"/>
      <c r="I129" s="21"/>
      <c r="J129" s="21"/>
      <c r="K129" s="21"/>
      <c r="L129" s="21"/>
      <c r="M129" s="21"/>
      <c r="N129" s="21"/>
      <c r="O129" s="21"/>
      <c r="P129" s="21"/>
      <c r="Q129" s="21"/>
      <c r="R129" s="21"/>
      <c r="S129" s="21"/>
      <c r="T129" s="21"/>
      <c r="U129" s="184"/>
      <c r="V129" s="184"/>
      <c r="W129" s="184"/>
      <c r="X129" s="184"/>
      <c r="Y129" s="21"/>
      <c r="Z129" s="21"/>
      <c r="AA129" s="21"/>
      <c r="AB129" s="21"/>
      <c r="AC129" s="21"/>
      <c r="AD129" s="21"/>
      <c r="AE129" s="49"/>
      <c r="AF129" s="21"/>
      <c r="AG129" s="21"/>
      <c r="AH129" s="21"/>
      <c r="AI129" s="49"/>
      <c r="AJ129" s="21"/>
      <c r="AK129" s="21"/>
      <c r="AL129" s="184"/>
      <c r="AM129" s="21"/>
      <c r="AN129" s="184"/>
      <c r="AO129" s="184"/>
      <c r="AP129" s="184"/>
      <c r="AQ129" s="184"/>
      <c r="AR129" s="21"/>
      <c r="AS129" s="21"/>
      <c r="AT129" s="21"/>
    </row>
    <row r="130" spans="1:48">
      <c r="A130" s="429">
        <f>MAX($A$9:A129)+1</f>
        <v>122</v>
      </c>
      <c r="B130" s="298" t="s">
        <v>933</v>
      </c>
      <c r="C130" s="276"/>
      <c r="D130" s="864"/>
      <c r="E130" s="21"/>
      <c r="F130" s="857"/>
      <c r="H130" s="21"/>
      <c r="I130" s="21"/>
      <c r="J130" s="21"/>
      <c r="K130" s="21"/>
      <c r="L130" s="21"/>
      <c r="M130" s="21"/>
      <c r="N130" s="21"/>
      <c r="O130" s="21"/>
      <c r="P130" s="21"/>
      <c r="Q130" s="21"/>
      <c r="R130" s="21"/>
      <c r="S130" s="21"/>
      <c r="T130" s="21"/>
      <c r="U130" s="184"/>
      <c r="V130" s="184"/>
      <c r="W130" s="184"/>
      <c r="X130" s="184"/>
      <c r="Y130" s="21"/>
      <c r="Z130" s="21"/>
      <c r="AA130" s="21"/>
      <c r="AB130" s="21"/>
      <c r="AC130" s="21"/>
      <c r="AD130" s="21"/>
      <c r="AE130" s="49"/>
      <c r="AF130" s="21"/>
      <c r="AG130" s="21"/>
      <c r="AH130" s="21"/>
      <c r="AI130" s="49"/>
      <c r="AJ130" s="21"/>
      <c r="AK130" s="21"/>
      <c r="AL130" s="184"/>
      <c r="AM130" s="21"/>
      <c r="AN130" s="184"/>
      <c r="AO130" s="184"/>
      <c r="AP130" s="184"/>
      <c r="AQ130" s="184"/>
      <c r="AR130" s="21"/>
      <c r="AS130" s="21"/>
      <c r="AT130" s="21"/>
    </row>
    <row r="131" spans="1:48">
      <c r="A131" s="429">
        <f>MAX($A$9:A130)+1</f>
        <v>123</v>
      </c>
      <c r="B131" s="299" t="s">
        <v>934</v>
      </c>
      <c r="C131" s="278" t="s">
        <v>935</v>
      </c>
      <c r="D131" s="864">
        <v>0</v>
      </c>
      <c r="E131" s="21">
        <v>31072909.050000001</v>
      </c>
      <c r="F131" s="857">
        <f t="shared" ref="F131:F137" si="71">SUM(D131:E131)</f>
        <v>31072909.050000001</v>
      </c>
      <c r="H131" s="21"/>
      <c r="I131" s="21"/>
      <c r="J131" s="184">
        <f>'EOP Depn Exp Adj'!E57</f>
        <v>1212420.2491410039</v>
      </c>
      <c r="K131" s="21"/>
      <c r="L131" s="21"/>
      <c r="M131" s="21"/>
      <c r="N131" s="21"/>
      <c r="O131" s="21"/>
      <c r="P131" s="21"/>
      <c r="Q131" s="21"/>
      <c r="R131" s="21"/>
      <c r="S131" s="21"/>
      <c r="T131" s="21"/>
      <c r="U131" s="184"/>
      <c r="V131" s="184"/>
      <c r="W131" s="184"/>
      <c r="X131" s="184"/>
      <c r="Y131" s="21"/>
      <c r="Z131" s="21"/>
      <c r="AA131" s="21"/>
      <c r="AB131" s="21"/>
      <c r="AC131" s="21">
        <f t="shared" ref="AC131:AC137" si="72">SUM(H131:AB131)</f>
        <v>1212420.2491410039</v>
      </c>
      <c r="AD131" s="21">
        <f t="shared" ref="AD131:AD137" si="73">+F131+AC131</f>
        <v>32285329.299141005</v>
      </c>
      <c r="AE131" s="49"/>
      <c r="AF131" s="21">
        <f>+'Provisional Plant Additions'!C31</f>
        <v>3791581.4324727817</v>
      </c>
      <c r="AG131" s="21"/>
      <c r="AH131" s="21">
        <f t="shared" si="41"/>
        <v>3791581.4324727817</v>
      </c>
      <c r="AI131" s="49"/>
      <c r="AJ131" s="184">
        <f>+'Provisional Plant Additions'!C61</f>
        <v>3639995.3351685349</v>
      </c>
      <c r="AK131" s="184"/>
      <c r="AL131" s="184"/>
      <c r="AM131" s="21"/>
      <c r="AN131" s="184"/>
      <c r="AO131" s="184"/>
      <c r="AP131" s="184"/>
      <c r="AQ131" s="184"/>
      <c r="AR131" s="21">
        <f t="shared" ref="AR131:AR138" si="74">SUM(AJ131:AQ131)</f>
        <v>3639995.3351685349</v>
      </c>
      <c r="AS131" s="21"/>
      <c r="AT131" s="21"/>
    </row>
    <row r="132" spans="1:48">
      <c r="A132" s="429">
        <f>MAX($A$9:A131)+1</f>
        <v>124</v>
      </c>
      <c r="B132" s="303"/>
      <c r="C132" s="278" t="s">
        <v>936</v>
      </c>
      <c r="D132" s="864">
        <v>0</v>
      </c>
      <c r="E132" s="21">
        <v>0</v>
      </c>
      <c r="F132" s="857">
        <f t="shared" si="71"/>
        <v>0</v>
      </c>
      <c r="H132" s="21"/>
      <c r="I132" s="21"/>
      <c r="J132" s="21"/>
      <c r="K132" s="21"/>
      <c r="L132" s="21"/>
      <c r="M132" s="21"/>
      <c r="N132" s="21"/>
      <c r="O132" s="21"/>
      <c r="P132" s="21"/>
      <c r="Q132" s="21"/>
      <c r="R132" s="21"/>
      <c r="S132" s="21"/>
      <c r="T132" s="21"/>
      <c r="U132" s="184"/>
      <c r="V132" s="184"/>
      <c r="W132" s="184"/>
      <c r="X132" s="184"/>
      <c r="Y132" s="21"/>
      <c r="Z132" s="21"/>
      <c r="AA132" s="21"/>
      <c r="AB132" s="21"/>
      <c r="AC132" s="21">
        <f t="shared" si="72"/>
        <v>0</v>
      </c>
      <c r="AD132" s="21">
        <f t="shared" si="73"/>
        <v>0</v>
      </c>
      <c r="AE132" s="49"/>
      <c r="AF132" s="21"/>
      <c r="AG132" s="21"/>
      <c r="AH132" s="21">
        <f t="shared" si="41"/>
        <v>0</v>
      </c>
      <c r="AI132" s="49"/>
      <c r="AJ132" s="21"/>
      <c r="AK132" s="21"/>
      <c r="AL132" s="184"/>
      <c r="AM132" s="21"/>
      <c r="AN132" s="184"/>
      <c r="AO132" s="184"/>
      <c r="AP132" s="184"/>
      <c r="AQ132" s="184"/>
      <c r="AR132" s="21">
        <f t="shared" si="74"/>
        <v>0</v>
      </c>
      <c r="AS132" s="21"/>
      <c r="AT132" s="21"/>
    </row>
    <row r="133" spans="1:48">
      <c r="A133" s="429">
        <f>MAX($A$9:A132)+1</f>
        <v>125</v>
      </c>
      <c r="B133" s="303"/>
      <c r="C133" s="278" t="s">
        <v>937</v>
      </c>
      <c r="D133" s="864">
        <v>0</v>
      </c>
      <c r="E133" s="21">
        <v>0</v>
      </c>
      <c r="F133" s="857">
        <f t="shared" si="71"/>
        <v>0</v>
      </c>
      <c r="H133" s="21"/>
      <c r="I133" s="21"/>
      <c r="J133" s="21"/>
      <c r="K133" s="21"/>
      <c r="L133" s="21"/>
      <c r="M133" s="21"/>
      <c r="N133" s="21"/>
      <c r="O133" s="21"/>
      <c r="P133" s="21"/>
      <c r="Q133" s="21"/>
      <c r="R133" s="21"/>
      <c r="S133" s="21"/>
      <c r="T133" s="21"/>
      <c r="U133" s="184"/>
      <c r="V133" s="184"/>
      <c r="W133" s="184"/>
      <c r="X133" s="184"/>
      <c r="Y133" s="21"/>
      <c r="Z133" s="21"/>
      <c r="AA133" s="21"/>
      <c r="AB133" s="21"/>
      <c r="AC133" s="21">
        <f t="shared" si="72"/>
        <v>0</v>
      </c>
      <c r="AD133" s="21">
        <f t="shared" si="73"/>
        <v>0</v>
      </c>
      <c r="AE133" s="49"/>
      <c r="AF133" s="21"/>
      <c r="AG133" s="21"/>
      <c r="AH133" s="21">
        <f t="shared" si="41"/>
        <v>0</v>
      </c>
      <c r="AI133" s="49"/>
      <c r="AJ133" s="21"/>
      <c r="AK133" s="21"/>
      <c r="AL133" s="184"/>
      <c r="AM133" s="21"/>
      <c r="AN133" s="184"/>
      <c r="AO133" s="184"/>
      <c r="AP133" s="184"/>
      <c r="AQ133" s="184"/>
      <c r="AR133" s="21">
        <f t="shared" si="74"/>
        <v>0</v>
      </c>
      <c r="AS133" s="21"/>
      <c r="AT133" s="21"/>
    </row>
    <row r="134" spans="1:48">
      <c r="A134" s="429">
        <f>MAX($A$9:A133)+1</f>
        <v>126</v>
      </c>
      <c r="B134" s="303"/>
      <c r="C134" s="278" t="s">
        <v>938</v>
      </c>
      <c r="D134" s="864">
        <v>0</v>
      </c>
      <c r="E134" s="21">
        <v>0</v>
      </c>
      <c r="F134" s="857">
        <f t="shared" si="71"/>
        <v>0</v>
      </c>
      <c r="H134" s="21"/>
      <c r="I134" s="21"/>
      <c r="J134" s="21"/>
      <c r="K134" s="21"/>
      <c r="L134" s="21"/>
      <c r="M134" s="21"/>
      <c r="N134" s="21"/>
      <c r="O134" s="21"/>
      <c r="P134" s="21"/>
      <c r="Q134" s="21"/>
      <c r="R134" s="21"/>
      <c r="S134" s="21"/>
      <c r="T134" s="21"/>
      <c r="U134" s="184"/>
      <c r="V134" s="184"/>
      <c r="W134" s="184"/>
      <c r="X134" s="184"/>
      <c r="Y134" s="21"/>
      <c r="Z134" s="21"/>
      <c r="AA134" s="21"/>
      <c r="AB134" s="21"/>
      <c r="AC134" s="21">
        <f t="shared" si="72"/>
        <v>0</v>
      </c>
      <c r="AD134" s="21">
        <f t="shared" si="73"/>
        <v>0</v>
      </c>
      <c r="AE134" s="49"/>
      <c r="AF134" s="21"/>
      <c r="AG134" s="21"/>
      <c r="AH134" s="21">
        <f t="shared" si="41"/>
        <v>0</v>
      </c>
      <c r="AI134" s="49"/>
      <c r="AJ134" s="21"/>
      <c r="AK134" s="21"/>
      <c r="AL134" s="184"/>
      <c r="AM134" s="21"/>
      <c r="AN134" s="184"/>
      <c r="AO134" s="184"/>
      <c r="AP134" s="184"/>
      <c r="AQ134" s="184"/>
      <c r="AR134" s="21">
        <f t="shared" si="74"/>
        <v>0</v>
      </c>
      <c r="AS134" s="21"/>
      <c r="AT134" s="21"/>
    </row>
    <row r="135" spans="1:48">
      <c r="A135" s="429">
        <f>MAX($A$9:A134)+1</f>
        <v>127</v>
      </c>
      <c r="B135" s="303"/>
      <c r="C135" s="278" t="s">
        <v>939</v>
      </c>
      <c r="D135" s="864">
        <v>0</v>
      </c>
      <c r="E135" s="21">
        <v>0</v>
      </c>
      <c r="F135" s="857">
        <f t="shared" si="71"/>
        <v>0</v>
      </c>
      <c r="H135" s="21"/>
      <c r="I135" s="21"/>
      <c r="J135" s="21"/>
      <c r="K135" s="21"/>
      <c r="L135" s="21"/>
      <c r="M135" s="21"/>
      <c r="N135" s="21"/>
      <c r="O135" s="21"/>
      <c r="P135" s="21"/>
      <c r="Q135" s="21"/>
      <c r="R135" s="21"/>
      <c r="S135" s="21"/>
      <c r="T135" s="21"/>
      <c r="U135" s="184"/>
      <c r="V135" s="184"/>
      <c r="W135" s="184"/>
      <c r="X135" s="184"/>
      <c r="Y135" s="21"/>
      <c r="Z135" s="21"/>
      <c r="AA135" s="21"/>
      <c r="AB135" s="21"/>
      <c r="AC135" s="21">
        <f t="shared" si="72"/>
        <v>0</v>
      </c>
      <c r="AD135" s="21">
        <f t="shared" si="73"/>
        <v>0</v>
      </c>
      <c r="AE135" s="49"/>
      <c r="AF135" s="21"/>
      <c r="AG135" s="21"/>
      <c r="AH135" s="21">
        <f t="shared" si="41"/>
        <v>0</v>
      </c>
      <c r="AI135" s="49"/>
      <c r="AJ135" s="21"/>
      <c r="AK135" s="21"/>
      <c r="AL135" s="184"/>
      <c r="AM135" s="21"/>
      <c r="AN135" s="184"/>
      <c r="AO135" s="184"/>
      <c r="AP135" s="184"/>
      <c r="AQ135" s="184"/>
      <c r="AR135" s="21">
        <f t="shared" si="74"/>
        <v>0</v>
      </c>
      <c r="AS135" s="21"/>
      <c r="AT135" s="21"/>
    </row>
    <row r="136" spans="1:48">
      <c r="A136" s="429">
        <f>MAX($A$9:A135)+1</f>
        <v>128</v>
      </c>
      <c r="B136" s="303"/>
      <c r="C136" s="278" t="s">
        <v>940</v>
      </c>
      <c r="D136" s="864">
        <v>0</v>
      </c>
      <c r="E136" s="21">
        <v>0</v>
      </c>
      <c r="F136" s="857">
        <f t="shared" si="71"/>
        <v>0</v>
      </c>
      <c r="H136" s="21"/>
      <c r="I136" s="21"/>
      <c r="J136" s="21"/>
      <c r="K136" s="21"/>
      <c r="L136" s="21"/>
      <c r="M136" s="21"/>
      <c r="N136" s="21"/>
      <c r="O136" s="21"/>
      <c r="P136" s="21"/>
      <c r="Q136" s="21"/>
      <c r="R136" s="21"/>
      <c r="S136" s="21"/>
      <c r="T136" s="21"/>
      <c r="U136" s="184"/>
      <c r="V136" s="184"/>
      <c r="W136" s="184"/>
      <c r="X136" s="184"/>
      <c r="Y136" s="21"/>
      <c r="Z136" s="21"/>
      <c r="AA136" s="21"/>
      <c r="AB136" s="21"/>
      <c r="AC136" s="21">
        <f t="shared" si="72"/>
        <v>0</v>
      </c>
      <c r="AD136" s="21">
        <f t="shared" si="73"/>
        <v>0</v>
      </c>
      <c r="AE136" s="49"/>
      <c r="AF136" s="21"/>
      <c r="AG136" s="21"/>
      <c r="AH136" s="21">
        <f t="shared" si="41"/>
        <v>0</v>
      </c>
      <c r="AI136" s="49"/>
      <c r="AJ136" s="21"/>
      <c r="AK136" s="21"/>
      <c r="AL136" s="184"/>
      <c r="AM136" s="21"/>
      <c r="AN136" s="184"/>
      <c r="AO136" s="184"/>
      <c r="AP136" s="184"/>
      <c r="AQ136" s="184"/>
      <c r="AR136" s="21">
        <f t="shared" si="74"/>
        <v>0</v>
      </c>
      <c r="AS136" s="21"/>
      <c r="AT136" s="21"/>
    </row>
    <row r="137" spans="1:48">
      <c r="A137" s="429">
        <f>MAX($A$9:A136)+1</f>
        <v>129</v>
      </c>
      <c r="B137" s="299" t="s">
        <v>941</v>
      </c>
      <c r="C137" s="278" t="s">
        <v>942</v>
      </c>
      <c r="D137" s="864">
        <v>0</v>
      </c>
      <c r="E137" s="21">
        <v>0</v>
      </c>
      <c r="F137" s="857">
        <f t="shared" si="71"/>
        <v>0</v>
      </c>
      <c r="H137" s="21"/>
      <c r="I137" s="21"/>
      <c r="J137" s="21"/>
      <c r="K137" s="21"/>
      <c r="L137" s="21"/>
      <c r="M137" s="21"/>
      <c r="N137" s="21"/>
      <c r="O137" s="21"/>
      <c r="P137" s="21"/>
      <c r="Q137" s="21"/>
      <c r="R137" s="21"/>
      <c r="S137" s="21"/>
      <c r="T137" s="21"/>
      <c r="U137" s="184"/>
      <c r="V137" s="184"/>
      <c r="W137" s="184"/>
      <c r="X137" s="184"/>
      <c r="Y137" s="21"/>
      <c r="Z137" s="21"/>
      <c r="AA137" s="21"/>
      <c r="AB137" s="21"/>
      <c r="AC137" s="21">
        <f t="shared" si="72"/>
        <v>0</v>
      </c>
      <c r="AD137" s="21">
        <f t="shared" si="73"/>
        <v>0</v>
      </c>
      <c r="AE137" s="49"/>
      <c r="AF137" s="21"/>
      <c r="AG137" s="21"/>
      <c r="AH137" s="21">
        <f t="shared" si="41"/>
        <v>0</v>
      </c>
      <c r="AI137" s="49"/>
      <c r="AJ137" s="21"/>
      <c r="AK137" s="21"/>
      <c r="AL137" s="184"/>
      <c r="AM137" s="21"/>
      <c r="AN137" s="184"/>
      <c r="AO137" s="184"/>
      <c r="AP137" s="184"/>
      <c r="AQ137" s="184"/>
      <c r="AR137" s="21">
        <f t="shared" si="74"/>
        <v>0</v>
      </c>
      <c r="AS137" s="21"/>
      <c r="AT137" s="21"/>
    </row>
    <row r="138" spans="1:48">
      <c r="A138" s="429">
        <f>MAX($A$9:A137)+1</f>
        <v>130</v>
      </c>
      <c r="B138" s="298" t="s">
        <v>943</v>
      </c>
      <c r="C138" s="276"/>
      <c r="D138" s="865">
        <f>SUM(D131:D137)</f>
        <v>0</v>
      </c>
      <c r="E138" s="517">
        <f>SUM(E131:E137)</f>
        <v>31072909.050000001</v>
      </c>
      <c r="F138" s="517">
        <f>SUM(F131:F137)</f>
        <v>31072909.050000001</v>
      </c>
      <c r="H138" s="860">
        <f>SUM(H131:H137)</f>
        <v>0</v>
      </c>
      <c r="I138" s="860">
        <f>SUM(I131:I137)</f>
        <v>0</v>
      </c>
      <c r="J138" s="860">
        <f>SUM(J131:J137)</f>
        <v>1212420.2491410039</v>
      </c>
      <c r="K138" s="860">
        <f>SUM(K131:K137)</f>
        <v>0</v>
      </c>
      <c r="L138" s="860">
        <f t="shared" ref="L138:S138" si="75">SUM(L131:L137)</f>
        <v>0</v>
      </c>
      <c r="M138" s="860">
        <f t="shared" si="75"/>
        <v>0</v>
      </c>
      <c r="N138" s="860">
        <f t="shared" si="75"/>
        <v>0</v>
      </c>
      <c r="O138" s="860">
        <f t="shared" si="75"/>
        <v>0</v>
      </c>
      <c r="P138" s="860">
        <f t="shared" si="75"/>
        <v>0</v>
      </c>
      <c r="Q138" s="860">
        <f t="shared" si="75"/>
        <v>0</v>
      </c>
      <c r="R138" s="860">
        <f t="shared" si="75"/>
        <v>0</v>
      </c>
      <c r="S138" s="860">
        <f t="shared" si="75"/>
        <v>0</v>
      </c>
      <c r="T138" s="860">
        <f t="shared" ref="T138:AD138" si="76">SUM(T131:T137)</f>
        <v>0</v>
      </c>
      <c r="U138" s="860">
        <f t="shared" si="76"/>
        <v>0</v>
      </c>
      <c r="V138" s="860">
        <f t="shared" si="76"/>
        <v>0</v>
      </c>
      <c r="W138" s="860">
        <f t="shared" si="76"/>
        <v>0</v>
      </c>
      <c r="X138" s="860">
        <f t="shared" si="76"/>
        <v>0</v>
      </c>
      <c r="Y138" s="860">
        <f>SUM(Y131:Y137)</f>
        <v>0</v>
      </c>
      <c r="Z138" s="860">
        <f>SUM(Z131:Z137)</f>
        <v>0</v>
      </c>
      <c r="AA138" s="860">
        <f>SUM(AA131:AA137)</f>
        <v>0</v>
      </c>
      <c r="AB138" s="860">
        <f t="shared" si="76"/>
        <v>0</v>
      </c>
      <c r="AC138" s="860">
        <f t="shared" si="76"/>
        <v>1212420.2491410039</v>
      </c>
      <c r="AD138" s="860">
        <f t="shared" si="76"/>
        <v>32285329.299141005</v>
      </c>
      <c r="AE138" s="49"/>
      <c r="AF138" s="860">
        <f>SUM(AF131:AF137)</f>
        <v>3791581.4324727817</v>
      </c>
      <c r="AG138" s="860">
        <f>SUM(AG131:AG137)</f>
        <v>0</v>
      </c>
      <c r="AH138" s="860">
        <f t="shared" si="41"/>
        <v>3791581.4324727817</v>
      </c>
      <c r="AI138" s="49"/>
      <c r="AJ138" s="860">
        <f t="shared" ref="AJ138:AQ138" si="77">SUM(AJ131:AJ137)</f>
        <v>3639995.3351685349</v>
      </c>
      <c r="AK138" s="860">
        <f t="shared" si="77"/>
        <v>0</v>
      </c>
      <c r="AL138" s="860">
        <f t="shared" si="77"/>
        <v>0</v>
      </c>
      <c r="AM138" s="860">
        <f t="shared" si="77"/>
        <v>0</v>
      </c>
      <c r="AN138" s="860">
        <f t="shared" si="77"/>
        <v>0</v>
      </c>
      <c r="AO138" s="860">
        <f t="shared" si="77"/>
        <v>0</v>
      </c>
      <c r="AP138" s="860">
        <f t="shared" si="77"/>
        <v>0</v>
      </c>
      <c r="AQ138" s="860">
        <f t="shared" si="77"/>
        <v>0</v>
      </c>
      <c r="AR138" s="860">
        <f t="shared" si="74"/>
        <v>3639995.3351685349</v>
      </c>
      <c r="AS138" s="49"/>
      <c r="AT138" s="21">
        <f>AD138-'Exh JAD-3 ROO Summary'!G24</f>
        <v>0</v>
      </c>
      <c r="AU138" s="42">
        <f>AH138-'Exh JAD-4 MYRP Summary'!D24</f>
        <v>0</v>
      </c>
      <c r="AV138" s="42">
        <f>AR138-'Exh JAD-4 MYRP Summary'!J24</f>
        <v>0</v>
      </c>
    </row>
    <row r="139" spans="1:48">
      <c r="A139" s="429">
        <f>MAX($A$9:A138)+1</f>
        <v>131</v>
      </c>
      <c r="B139" s="303"/>
      <c r="C139" s="276"/>
      <c r="D139" s="864"/>
      <c r="E139" s="21"/>
      <c r="F139" s="857"/>
      <c r="H139" s="21"/>
      <c r="I139" s="21"/>
      <c r="J139" s="21"/>
      <c r="K139" s="21"/>
      <c r="L139" s="21"/>
      <c r="M139" s="21"/>
      <c r="N139" s="21"/>
      <c r="O139" s="21"/>
      <c r="P139" s="21"/>
      <c r="Q139" s="21"/>
      <c r="R139" s="21"/>
      <c r="S139" s="21"/>
      <c r="T139" s="21"/>
      <c r="U139" s="184"/>
      <c r="V139" s="184"/>
      <c r="W139" s="184"/>
      <c r="X139" s="184"/>
      <c r="Y139" s="21"/>
      <c r="Z139" s="21"/>
      <c r="AA139" s="21"/>
      <c r="AB139" s="21"/>
      <c r="AC139" s="21"/>
      <c r="AD139" s="21"/>
      <c r="AE139" s="49"/>
      <c r="AF139" s="21"/>
      <c r="AG139" s="21"/>
      <c r="AH139" s="21"/>
      <c r="AI139" s="49"/>
      <c r="AJ139" s="21"/>
      <c r="AK139" s="21"/>
      <c r="AL139" s="184"/>
      <c r="AM139" s="21"/>
      <c r="AN139" s="184"/>
      <c r="AO139" s="184"/>
      <c r="AP139" s="184"/>
      <c r="AQ139" s="184"/>
      <c r="AR139" s="21"/>
      <c r="AS139" s="21"/>
      <c r="AT139" s="21"/>
    </row>
    <row r="140" spans="1:48">
      <c r="A140" s="429">
        <f>MAX($A$9:A139)+1</f>
        <v>132</v>
      </c>
      <c r="B140" s="301" t="s">
        <v>944</v>
      </c>
      <c r="C140" s="276" t="s">
        <v>563</v>
      </c>
      <c r="D140" s="864">
        <v>0</v>
      </c>
      <c r="E140" s="21">
        <v>0</v>
      </c>
      <c r="F140" s="857">
        <f>SUM(D140:E140)</f>
        <v>0</v>
      </c>
      <c r="H140" s="21"/>
      <c r="I140" s="21"/>
      <c r="J140" s="21"/>
      <c r="K140" s="21"/>
      <c r="L140" s="21"/>
      <c r="M140" s="21"/>
      <c r="N140" s="21"/>
      <c r="O140" s="21"/>
      <c r="P140" s="21"/>
      <c r="Q140" s="21"/>
      <c r="R140" s="21"/>
      <c r="S140" s="21"/>
      <c r="T140" s="21"/>
      <c r="U140" s="184"/>
      <c r="V140" s="184"/>
      <c r="W140" s="184"/>
      <c r="X140" s="184"/>
      <c r="Y140" s="21"/>
      <c r="Z140" s="21"/>
      <c r="AA140" s="21"/>
      <c r="AB140" s="21"/>
      <c r="AC140" s="21">
        <f>SUM(H140:AB140)</f>
        <v>0</v>
      </c>
      <c r="AD140" s="21">
        <f>+F140+AC140</f>
        <v>0</v>
      </c>
      <c r="AE140" s="49"/>
      <c r="AF140" s="21"/>
      <c r="AG140" s="21"/>
      <c r="AH140" s="21">
        <f t="shared" si="41"/>
        <v>0</v>
      </c>
      <c r="AI140" s="49"/>
      <c r="AJ140" s="21"/>
      <c r="AK140" s="21"/>
      <c r="AL140" s="184"/>
      <c r="AM140" s="21"/>
      <c r="AN140" s="184"/>
      <c r="AO140" s="184"/>
      <c r="AP140" s="184"/>
      <c r="AQ140" s="184"/>
      <c r="AR140" s="21">
        <f>SUM(AJ140:AQ140)</f>
        <v>0</v>
      </c>
      <c r="AS140" s="21"/>
      <c r="AT140" s="21"/>
    </row>
    <row r="141" spans="1:48">
      <c r="A141" s="429">
        <f>MAX($A$9:A140)+1</f>
        <v>133</v>
      </c>
      <c r="B141" s="303"/>
      <c r="C141" s="276"/>
      <c r="D141" s="864"/>
      <c r="E141" s="21"/>
      <c r="F141" s="857"/>
      <c r="H141" s="21"/>
      <c r="I141" s="21"/>
      <c r="J141" s="21"/>
      <c r="K141" s="21"/>
      <c r="L141" s="21"/>
      <c r="M141" s="21"/>
      <c r="N141" s="21"/>
      <c r="O141" s="21"/>
      <c r="P141" s="21"/>
      <c r="Q141" s="21"/>
      <c r="R141" s="21"/>
      <c r="S141" s="21"/>
      <c r="T141" s="21"/>
      <c r="U141" s="184"/>
      <c r="V141" s="184"/>
      <c r="W141" s="184"/>
      <c r="X141" s="184"/>
      <c r="Y141" s="21"/>
      <c r="Z141" s="21"/>
      <c r="AA141" s="21"/>
      <c r="AB141" s="21"/>
      <c r="AC141" s="21"/>
      <c r="AD141" s="21"/>
      <c r="AE141" s="49"/>
      <c r="AF141" s="21"/>
      <c r="AG141" s="21"/>
      <c r="AH141" s="21"/>
      <c r="AI141" s="49"/>
      <c r="AJ141" s="21"/>
      <c r="AK141" s="21"/>
      <c r="AL141" s="184"/>
      <c r="AM141" s="21"/>
      <c r="AN141" s="184"/>
      <c r="AO141" s="184"/>
      <c r="AP141" s="184"/>
      <c r="AQ141" s="184"/>
      <c r="AR141" s="21"/>
      <c r="AS141" s="21"/>
      <c r="AT141" s="21"/>
    </row>
    <row r="142" spans="1:48">
      <c r="A142" s="429">
        <f>MAX($A$9:A141)+1</f>
        <v>134</v>
      </c>
      <c r="B142" s="298" t="s">
        <v>945</v>
      </c>
      <c r="C142" s="276"/>
      <c r="D142" s="864"/>
      <c r="E142" s="21"/>
      <c r="F142" s="857"/>
      <c r="H142" s="21"/>
      <c r="I142" s="21"/>
      <c r="J142" s="21"/>
      <c r="K142" s="21"/>
      <c r="L142" s="21"/>
      <c r="M142" s="21"/>
      <c r="N142" s="21"/>
      <c r="O142" s="21"/>
      <c r="P142" s="21"/>
      <c r="Q142" s="21"/>
      <c r="R142" s="21"/>
      <c r="S142" s="21"/>
      <c r="T142" s="21"/>
      <c r="U142" s="184"/>
      <c r="V142" s="184"/>
      <c r="W142" s="184"/>
      <c r="X142" s="184"/>
      <c r="Y142" s="21"/>
      <c r="Z142" s="21"/>
      <c r="AA142" s="21"/>
      <c r="AB142" s="21"/>
      <c r="AC142" s="21"/>
      <c r="AD142" s="21"/>
      <c r="AE142" s="49"/>
      <c r="AF142" s="21"/>
      <c r="AG142" s="21"/>
      <c r="AH142" s="21"/>
      <c r="AI142" s="49"/>
      <c r="AJ142" s="21"/>
      <c r="AK142" s="21"/>
      <c r="AL142" s="184"/>
      <c r="AM142" s="21"/>
      <c r="AN142" s="184"/>
      <c r="AO142" s="184"/>
      <c r="AP142" s="184"/>
      <c r="AQ142" s="184"/>
      <c r="AR142" s="21"/>
      <c r="AS142" s="21"/>
      <c r="AT142" s="21"/>
    </row>
    <row r="143" spans="1:48">
      <c r="A143" s="429">
        <f>MAX($A$9:A142)+1</f>
        <v>135</v>
      </c>
      <c r="B143" s="299" t="s">
        <v>946</v>
      </c>
      <c r="C143" s="278" t="s">
        <v>947</v>
      </c>
      <c r="D143" s="867">
        <v>3156932.87</v>
      </c>
      <c r="E143" s="868">
        <v>1114963.76</v>
      </c>
      <c r="F143" s="858">
        <f>SUM(D143:E143)</f>
        <v>4271896.63</v>
      </c>
      <c r="H143" s="21"/>
      <c r="I143" s="21"/>
      <c r="J143" s="21"/>
      <c r="K143" s="21"/>
      <c r="L143" s="21"/>
      <c r="M143" s="21">
        <f>+'Wage Adjustments'!H16</f>
        <v>6838.6560552000001</v>
      </c>
      <c r="N143" s="21"/>
      <c r="O143" s="21"/>
      <c r="P143" s="21"/>
      <c r="Q143" s="21"/>
      <c r="R143" s="21"/>
      <c r="S143" s="21"/>
      <c r="T143" s="21"/>
      <c r="U143" s="184">
        <f>+'Wage Adjustments'!K16</f>
        <v>108535.52668638599</v>
      </c>
      <c r="V143" s="184"/>
      <c r="W143" s="184"/>
      <c r="X143" s="184"/>
      <c r="Y143" s="21">
        <f>'Property Tax Increase'!C17</f>
        <v>201868.90947663653</v>
      </c>
      <c r="Z143" s="21"/>
      <c r="AA143" s="21"/>
      <c r="AB143" s="21"/>
      <c r="AC143" s="21">
        <f>SUM(H143:AB143)</f>
        <v>317243.0922182225</v>
      </c>
      <c r="AD143" s="21">
        <f>+F143+AC143</f>
        <v>4589139.722218222</v>
      </c>
      <c r="AE143" s="49"/>
      <c r="AF143" s="21">
        <f>+'Provisional Plant Additions'!C34</f>
        <v>330312.59999999998</v>
      </c>
      <c r="AG143" s="21"/>
      <c r="AH143" s="21">
        <f t="shared" si="41"/>
        <v>330312.59999999998</v>
      </c>
      <c r="AI143" s="49"/>
      <c r="AJ143" s="184">
        <f>+'Provisional Plant Additions'!C64</f>
        <v>252714.23999999999</v>
      </c>
      <c r="AK143" s="184"/>
      <c r="AL143" s="184">
        <f>+'Wage Adjustments'!N16</f>
        <v>72156.489400338833</v>
      </c>
      <c r="AM143" s="21"/>
      <c r="AN143" s="184"/>
      <c r="AO143" s="184"/>
      <c r="AP143" s="184"/>
      <c r="AQ143" s="184"/>
      <c r="AR143" s="21">
        <f>SUM(AJ143:AQ143)</f>
        <v>324870.72940033884</v>
      </c>
      <c r="AS143" s="21"/>
      <c r="AT143" s="21">
        <f>AD143-'Exh JAD-3 ROO Summary'!G26</f>
        <v>0</v>
      </c>
      <c r="AU143" s="42">
        <f>AH143-'Exh JAD-4 MYRP Summary'!D26</f>
        <v>0</v>
      </c>
      <c r="AV143" s="42">
        <f>AR143-'Exh JAD-4 MYRP Summary'!J26</f>
        <v>0</v>
      </c>
    </row>
    <row r="144" spans="1:48">
      <c r="A144" s="429">
        <f>MAX($A$9:A143)+1</f>
        <v>136</v>
      </c>
      <c r="B144" s="303"/>
      <c r="C144" s="276"/>
      <c r="D144" s="864"/>
      <c r="E144" s="21"/>
      <c r="F144" s="857"/>
      <c r="H144" s="21"/>
      <c r="I144" s="21"/>
      <c r="J144" s="21"/>
      <c r="K144" s="21"/>
      <c r="L144" s="21"/>
      <c r="M144" s="21"/>
      <c r="N144" s="21"/>
      <c r="O144" s="21"/>
      <c r="P144" s="21"/>
      <c r="Q144" s="21"/>
      <c r="R144" s="21"/>
      <c r="S144" s="21"/>
      <c r="T144" s="21"/>
      <c r="U144" s="184"/>
      <c r="V144" s="184"/>
      <c r="W144" s="184"/>
      <c r="X144" s="184"/>
      <c r="Y144" s="21"/>
      <c r="Z144" s="21"/>
      <c r="AA144" s="21"/>
      <c r="AB144" s="21"/>
      <c r="AC144" s="21"/>
      <c r="AD144" s="21"/>
      <c r="AE144" s="49"/>
      <c r="AF144" s="21"/>
      <c r="AG144" s="21"/>
      <c r="AH144" s="21"/>
      <c r="AI144" s="49"/>
      <c r="AJ144" s="21"/>
      <c r="AK144" s="21"/>
      <c r="AL144" s="184"/>
      <c r="AM144" s="21"/>
      <c r="AN144" s="184"/>
      <c r="AO144" s="184"/>
      <c r="AP144" s="184"/>
      <c r="AQ144" s="184"/>
      <c r="AR144" s="21"/>
      <c r="AS144" s="21"/>
      <c r="AT144" s="21"/>
    </row>
    <row r="145" spans="1:48">
      <c r="A145" s="429">
        <f>MAX($A$9:A144)+1</f>
        <v>137</v>
      </c>
      <c r="B145" s="298" t="s">
        <v>948</v>
      </c>
      <c r="C145" s="276"/>
      <c r="D145" s="864"/>
      <c r="E145" s="21"/>
      <c r="F145" s="857"/>
      <c r="H145" s="21"/>
      <c r="I145" s="21"/>
      <c r="J145" s="21"/>
      <c r="K145" s="21"/>
      <c r="L145" s="21"/>
      <c r="M145" s="21"/>
      <c r="N145" s="21"/>
      <c r="O145" s="21"/>
      <c r="P145" s="21"/>
      <c r="Q145" s="21"/>
      <c r="R145" s="21"/>
      <c r="S145" s="21"/>
      <c r="T145" s="21"/>
      <c r="U145" s="184"/>
      <c r="V145" s="184"/>
      <c r="W145" s="184"/>
      <c r="X145" s="184"/>
      <c r="Y145" s="21"/>
      <c r="Z145" s="21"/>
      <c r="AA145" s="21"/>
      <c r="AB145" s="21"/>
      <c r="AC145" s="21"/>
      <c r="AD145" s="21"/>
      <c r="AE145" s="49"/>
      <c r="AF145" s="21"/>
      <c r="AG145" s="21"/>
      <c r="AH145" s="21"/>
      <c r="AI145" s="49"/>
      <c r="AJ145" s="21"/>
      <c r="AK145" s="21"/>
      <c r="AL145" s="184"/>
      <c r="AM145" s="21"/>
      <c r="AN145" s="184"/>
      <c r="AO145" s="184"/>
      <c r="AP145" s="184"/>
      <c r="AQ145" s="184"/>
      <c r="AR145" s="21"/>
      <c r="AS145" s="21"/>
      <c r="AT145" s="21"/>
    </row>
    <row r="146" spans="1:48">
      <c r="A146" s="429">
        <f>MAX($A$9:A145)+1</f>
        <v>138</v>
      </c>
      <c r="B146" s="299" t="s">
        <v>949</v>
      </c>
      <c r="C146" s="278" t="s">
        <v>950</v>
      </c>
      <c r="D146" s="864">
        <v>-4656864.1900000004</v>
      </c>
      <c r="E146" s="21">
        <v>0</v>
      </c>
      <c r="F146" s="857">
        <f>+D146</f>
        <v>-4656864.1900000004</v>
      </c>
      <c r="H146" s="21">
        <f>(+H55-SUM(H128,H138,H143))*'Exh JAD-6, Conversion Factor'!$C$33</f>
        <v>67050.613817958816</v>
      </c>
      <c r="I146" s="21">
        <f>(+I55-SUM(I128,I138,I143))*'Exh JAD-6, Conversion Factor'!$C$33</f>
        <v>-354293.19081831881</v>
      </c>
      <c r="J146" s="21">
        <f>(+J55-SUM(J128,J138,J143))*'Exh JAD-6, Conversion Factor'!$C$33</f>
        <v>-167507.24084293129</v>
      </c>
      <c r="K146" s="21">
        <f>(+K55-SUM(K128,K138,K143))*'Exh JAD-6, Conversion Factor'!$C$33</f>
        <v>365769.80657756532</v>
      </c>
      <c r="L146" s="21">
        <f>(+L55-SUM(L128,L138,L143))*'Exh JAD-6, Conversion Factor'!$C$33</f>
        <v>7680.5168999999996</v>
      </c>
      <c r="M146" s="21">
        <f>(+M55-SUM(M128,M138,M143))*'Exh JAD-6, Conversion Factor'!$C$33</f>
        <v>-20208.899099591996</v>
      </c>
      <c r="N146" s="21">
        <f>(+N55-SUM(N128,N138,N143))*'Exh JAD-6, Conversion Factor'!$C$33</f>
        <v>537514.24019999988</v>
      </c>
      <c r="O146" s="21">
        <f>(+O55-SUM(O128,O138,O143))*'Exh JAD-6, Conversion Factor'!$C$33</f>
        <v>33700.878749999996</v>
      </c>
      <c r="P146" s="21">
        <f>(+P55-SUM(P128,P138,P143))*'Exh JAD-6, Conversion Factor'!$C$33</f>
        <v>-303468.82019999996</v>
      </c>
      <c r="Q146" s="21">
        <f>(+Q55-SUM(Q128,Q138,Q143))*'Exh JAD-6, Conversion Factor'!$C$33</f>
        <v>-14291.243399999998</v>
      </c>
      <c r="R146" s="21">
        <f>(+R55-SUM(R128,R138,R143))*'Exh JAD-6, Conversion Factor'!$C$33</f>
        <v>-76612.636412069536</v>
      </c>
      <c r="S146" s="21">
        <f>(+S55-SUM(S128,S138,S143))*'Exh JAD-6, Conversion Factor'!$C$33</f>
        <v>0</v>
      </c>
      <c r="T146" s="21">
        <f>+'Interest Sync Adj'!H10</f>
        <v>983421.7202599966</v>
      </c>
      <c r="U146" s="184">
        <f>(+U55-SUM(U128,U138,U143))*'Exh JAD-6, Conversion Factor'!$C$33</f>
        <v>-320733.12209618103</v>
      </c>
      <c r="V146" s="21">
        <f>(+V55-SUM(V128,V138,V143))*'Exh JAD-6, Conversion Factor'!$C$33</f>
        <v>-423821.24063999997</v>
      </c>
      <c r="W146" s="21">
        <f>(+W55-SUM(W128,W138,W143))*'Exh JAD-6, Conversion Factor'!$C$33</f>
        <v>-277580.32049999997</v>
      </c>
      <c r="X146" s="21">
        <f>(+X55-SUM(X128,X138,X143))*'Exh JAD-6, Conversion Factor'!$C$33</f>
        <v>-223277.17020000002</v>
      </c>
      <c r="Y146" s="21">
        <f>(+Y55-SUM(Y128,Y138,Y143))*'Exh JAD-6, Conversion Factor'!$C$33</f>
        <v>-42392.470990093672</v>
      </c>
      <c r="Z146" s="21">
        <f>(+Z55-SUM(Z128,Z138,Z143))*'Exh JAD-6, Conversion Factor'!$C$33</f>
        <v>-173468.25845999998</v>
      </c>
      <c r="AA146" s="21">
        <f>'Tax Flow-Through'!C14</f>
        <v>9175.837230000001</v>
      </c>
      <c r="AB146" s="21">
        <f>(+AB55-SUM(AB128,AB138,AB143))*'Exh JAD-6, Conversion Factor'!$C$33</f>
        <v>-45862.703012228987</v>
      </c>
      <c r="AC146" s="21">
        <f t="shared" ref="AC146:AC151" si="78">SUM(H146:AB146)</f>
        <v>-439203.70293589472</v>
      </c>
      <c r="AD146" s="21">
        <f t="shared" ref="AD146:AD151" si="79">+F146+AC146</f>
        <v>-5096067.8929358954</v>
      </c>
      <c r="AE146" s="49"/>
      <c r="AF146" s="184">
        <f>(+AF55-SUM(AF128,AF138,AF143))*'Exh JAD-6, Conversion Factor'!$C$33</f>
        <v>-865597.74681928416</v>
      </c>
      <c r="AG146" s="184">
        <f>(+AG55-SUM(AG128,AG138,AG143))*'Exh JAD-6, Conversion Factor'!$C$33</f>
        <v>375185.85503325472</v>
      </c>
      <c r="AH146" s="184">
        <f t="shared" ref="AH146:AH154" si="80">SUM(AF146:AG146)</f>
        <v>-490411.89178602945</v>
      </c>
      <c r="AI146" s="49"/>
      <c r="AJ146" s="184">
        <f>(+AJ55-SUM(AJ128,AJ138,AJ143))*'Exh JAD-6, Conversion Factor'!$C$33</f>
        <v>-817469.01078539237</v>
      </c>
      <c r="AK146" s="184">
        <f>(+AK55-SUM(AK128,AK138,AK143))*'Exh JAD-6, Conversion Factor'!$C$33</f>
        <v>504269.24685239478</v>
      </c>
      <c r="AL146" s="184">
        <f>(+AL55-SUM(AL128,AL138,AL143))*'Exh JAD-6, Conversion Factor'!$C$33</f>
        <v>-213229.50034362878</v>
      </c>
      <c r="AM146" s="184">
        <f>(+AM55-SUM(AM128,AM138,AM143))*'Exh JAD-6, Conversion Factor'!$C$33</f>
        <v>-203323.846425</v>
      </c>
      <c r="AN146" s="21">
        <f>(+AN55-SUM(AN128,AN138,AN143))*'Exh JAD-6, Conversion Factor'!$C$33</f>
        <v>-25398.718723349997</v>
      </c>
      <c r="AO146" s="21">
        <f>'Tax Flow-Through'!C20</f>
        <v>-1732.0762080000027</v>
      </c>
      <c r="AP146" s="21">
        <f>(+AP55-SUM(AP128,AP138,AP143))*'Exh JAD-6, Conversion Factor'!$C$33</f>
        <v>-73500</v>
      </c>
      <c r="AQ146" s="21">
        <f>(+AQ55-SUM(AQ128,AQ138,AQ143))*'Exh JAD-6, Conversion Factor'!$C$33</f>
        <v>-46560.220626170798</v>
      </c>
      <c r="AR146" s="184">
        <f t="shared" ref="AR146:AR154" si="81">SUM(AJ146:AQ146)</f>
        <v>-876944.12625914707</v>
      </c>
      <c r="AS146" s="184"/>
      <c r="AT146" s="21"/>
    </row>
    <row r="147" spans="1:48">
      <c r="A147" s="429">
        <f>MAX($A$9:A146)+1</f>
        <v>139</v>
      </c>
      <c r="B147" s="299" t="s">
        <v>949</v>
      </c>
      <c r="C147" s="278" t="s">
        <v>951</v>
      </c>
      <c r="D147" s="864">
        <v>0</v>
      </c>
      <c r="E147" s="21">
        <v>0</v>
      </c>
      <c r="F147" s="857">
        <f>SUM(D147:E147)</f>
        <v>0</v>
      </c>
      <c r="H147" s="21"/>
      <c r="I147" s="21"/>
      <c r="J147" s="21"/>
      <c r="K147" s="21"/>
      <c r="L147" s="21"/>
      <c r="M147" s="21"/>
      <c r="N147" s="21"/>
      <c r="O147" s="21"/>
      <c r="P147" s="21"/>
      <c r="Q147" s="21"/>
      <c r="R147" s="21"/>
      <c r="S147" s="21"/>
      <c r="T147" s="21"/>
      <c r="U147" s="184"/>
      <c r="V147" s="184"/>
      <c r="W147" s="184"/>
      <c r="X147" s="184"/>
      <c r="Y147" s="21"/>
      <c r="Z147" s="21"/>
      <c r="AA147" s="21"/>
      <c r="AB147" s="21"/>
      <c r="AC147" s="21">
        <f t="shared" si="78"/>
        <v>0</v>
      </c>
      <c r="AD147" s="21">
        <f t="shared" si="79"/>
        <v>0</v>
      </c>
      <c r="AE147" s="49"/>
      <c r="AF147" s="21"/>
      <c r="AG147" s="21"/>
      <c r="AH147" s="21">
        <f t="shared" si="80"/>
        <v>0</v>
      </c>
      <c r="AI147" s="49"/>
      <c r="AJ147" s="21"/>
      <c r="AK147" s="21"/>
      <c r="AL147" s="184"/>
      <c r="AM147" s="21"/>
      <c r="AN147" s="184"/>
      <c r="AO147" s="184"/>
      <c r="AP147" s="184"/>
      <c r="AQ147" s="184"/>
      <c r="AR147" s="21">
        <f t="shared" si="81"/>
        <v>0</v>
      </c>
      <c r="AS147" s="21"/>
      <c r="AT147" s="21"/>
    </row>
    <row r="148" spans="1:48">
      <c r="A148" s="429">
        <f>MAX($A$9:A147)+1</f>
        <v>140</v>
      </c>
      <c r="B148" s="299" t="s">
        <v>952</v>
      </c>
      <c r="C148" s="278" t="s">
        <v>953</v>
      </c>
      <c r="D148" s="864">
        <v>43294488.670000002</v>
      </c>
      <c r="E148" s="21">
        <v>0</v>
      </c>
      <c r="F148" s="857">
        <f>SUM(D148:E148)</f>
        <v>43294488.670000002</v>
      </c>
      <c r="H148" s="21"/>
      <c r="I148" s="21"/>
      <c r="J148" s="21"/>
      <c r="K148" s="21"/>
      <c r="L148" s="21"/>
      <c r="M148" s="21"/>
      <c r="N148" s="21"/>
      <c r="O148" s="21"/>
      <c r="P148" s="21"/>
      <c r="Q148" s="21"/>
      <c r="R148" s="21"/>
      <c r="S148" s="21"/>
      <c r="T148" s="21"/>
      <c r="U148" s="184"/>
      <c r="V148" s="184"/>
      <c r="W148" s="184"/>
      <c r="X148" s="184"/>
      <c r="Y148" s="21"/>
      <c r="Z148" s="21"/>
      <c r="AA148" s="21"/>
      <c r="AB148" s="21"/>
      <c r="AC148" s="21">
        <f t="shared" si="78"/>
        <v>0</v>
      </c>
      <c r="AD148" s="21">
        <f t="shared" si="79"/>
        <v>43294488.670000002</v>
      </c>
      <c r="AE148" s="49"/>
      <c r="AF148" s="21">
        <f>'Provisional Plant Additions'!C39</f>
        <v>-54882.381833999883</v>
      </c>
      <c r="AG148" s="21"/>
      <c r="AH148" s="21">
        <f t="shared" si="80"/>
        <v>-54882.381833999883</v>
      </c>
      <c r="AI148" s="49"/>
      <c r="AJ148" s="21">
        <f>'Provisional Plant Additions'!C69</f>
        <v>141668.42040000018</v>
      </c>
      <c r="AK148" s="21"/>
      <c r="AL148" s="184"/>
      <c r="AM148" s="21"/>
      <c r="AN148" s="184"/>
      <c r="AO148" s="184"/>
      <c r="AP148" s="184"/>
      <c r="AQ148" s="184"/>
      <c r="AR148" s="21">
        <f t="shared" si="81"/>
        <v>141668.42040000018</v>
      </c>
      <c r="AS148" s="21"/>
      <c r="AT148" s="21"/>
    </row>
    <row r="149" spans="1:48">
      <c r="A149" s="429">
        <f>MAX($A$9:A148)+1</f>
        <v>141</v>
      </c>
      <c r="B149" s="299" t="s">
        <v>952</v>
      </c>
      <c r="C149" s="278" t="s">
        <v>954</v>
      </c>
      <c r="D149" s="864">
        <v>0</v>
      </c>
      <c r="E149" s="21">
        <v>0</v>
      </c>
      <c r="F149" s="857">
        <f>SUM(D149:E149)</f>
        <v>0</v>
      </c>
      <c r="H149" s="21"/>
      <c r="I149" s="21"/>
      <c r="J149" s="21"/>
      <c r="K149" s="21"/>
      <c r="L149" s="21"/>
      <c r="M149" s="21"/>
      <c r="N149" s="21"/>
      <c r="O149" s="21"/>
      <c r="P149" s="21"/>
      <c r="Q149" s="21"/>
      <c r="R149" s="21"/>
      <c r="S149" s="21"/>
      <c r="T149" s="21"/>
      <c r="U149" s="184"/>
      <c r="V149" s="184"/>
      <c r="W149" s="184"/>
      <c r="X149" s="184"/>
      <c r="Y149" s="21"/>
      <c r="Z149" s="21"/>
      <c r="AA149" s="21"/>
      <c r="AB149" s="21"/>
      <c r="AC149" s="21">
        <f t="shared" si="78"/>
        <v>0</v>
      </c>
      <c r="AD149" s="21">
        <f t="shared" si="79"/>
        <v>0</v>
      </c>
      <c r="AE149" s="49"/>
      <c r="AF149" s="21"/>
      <c r="AG149" s="21"/>
      <c r="AH149" s="21">
        <f t="shared" si="80"/>
        <v>0</v>
      </c>
      <c r="AI149" s="49"/>
      <c r="AJ149" s="21"/>
      <c r="AK149" s="21"/>
      <c r="AL149" s="184"/>
      <c r="AM149" s="21"/>
      <c r="AN149" s="184"/>
      <c r="AO149" s="184"/>
      <c r="AP149" s="184"/>
      <c r="AQ149" s="184"/>
      <c r="AR149" s="21">
        <f t="shared" si="81"/>
        <v>0</v>
      </c>
      <c r="AS149" s="21"/>
      <c r="AT149" s="21"/>
    </row>
    <row r="150" spans="1:48">
      <c r="A150" s="429">
        <f>MAX($A$9:A149)+1</f>
        <v>142</v>
      </c>
      <c r="B150" s="299" t="s">
        <v>955</v>
      </c>
      <c r="C150" s="278" t="s">
        <v>956</v>
      </c>
      <c r="D150" s="864">
        <v>-38804558.600000001</v>
      </c>
      <c r="E150" s="21">
        <v>0</v>
      </c>
      <c r="F150" s="857">
        <f>SUM(D150:E150)</f>
        <v>-38804558.600000001</v>
      </c>
      <c r="H150" s="21"/>
      <c r="I150" s="21"/>
      <c r="J150" s="21"/>
      <c r="K150" s="21"/>
      <c r="L150" s="21"/>
      <c r="M150" s="21"/>
      <c r="N150" s="21"/>
      <c r="O150" s="21"/>
      <c r="P150" s="21"/>
      <c r="Q150" s="21"/>
      <c r="R150" s="21"/>
      <c r="S150" s="21"/>
      <c r="T150" s="21"/>
      <c r="U150" s="184"/>
      <c r="V150" s="184"/>
      <c r="W150" s="184"/>
      <c r="X150" s="184"/>
      <c r="Y150" s="21"/>
      <c r="Z150" s="21"/>
      <c r="AA150" s="21"/>
      <c r="AB150" s="21"/>
      <c r="AC150" s="21">
        <f t="shared" si="78"/>
        <v>0</v>
      </c>
      <c r="AD150" s="21">
        <f t="shared" si="79"/>
        <v>-38804558.600000001</v>
      </c>
      <c r="AE150" s="49"/>
      <c r="AF150" s="21"/>
      <c r="AG150" s="21"/>
      <c r="AH150" s="21">
        <f t="shared" si="80"/>
        <v>0</v>
      </c>
      <c r="AI150" s="49"/>
      <c r="AJ150" s="21"/>
      <c r="AK150" s="21"/>
      <c r="AL150" s="184"/>
      <c r="AM150" s="21"/>
      <c r="AN150" s="184"/>
      <c r="AO150" s="184"/>
      <c r="AP150" s="184"/>
      <c r="AQ150" s="184"/>
      <c r="AR150" s="21">
        <f t="shared" si="81"/>
        <v>0</v>
      </c>
      <c r="AS150" s="21"/>
      <c r="AT150" s="21"/>
    </row>
    <row r="151" spans="1:48">
      <c r="A151" s="429">
        <f>MAX($A$9:A150)+1</f>
        <v>143</v>
      </c>
      <c r="B151" s="299" t="s">
        <v>957</v>
      </c>
      <c r="C151" s="278" t="s">
        <v>958</v>
      </c>
      <c r="D151" s="864">
        <v>0</v>
      </c>
      <c r="E151" s="21">
        <v>-33270.6</v>
      </c>
      <c r="F151" s="857">
        <f>SUM(D151:E151)</f>
        <v>-33270.6</v>
      </c>
      <c r="H151" s="21"/>
      <c r="I151" s="21"/>
      <c r="J151" s="21"/>
      <c r="K151" s="21"/>
      <c r="L151" s="21"/>
      <c r="M151" s="21"/>
      <c r="N151" s="21"/>
      <c r="O151" s="21"/>
      <c r="P151" s="21"/>
      <c r="Q151" s="21"/>
      <c r="R151" s="21"/>
      <c r="S151" s="21"/>
      <c r="T151" s="21"/>
      <c r="U151" s="184"/>
      <c r="V151" s="184"/>
      <c r="W151" s="184"/>
      <c r="X151" s="184"/>
      <c r="Y151" s="21"/>
      <c r="Z151" s="21"/>
      <c r="AA151" s="21"/>
      <c r="AB151" s="21"/>
      <c r="AC151" s="21">
        <f t="shared" si="78"/>
        <v>0</v>
      </c>
      <c r="AD151" s="21">
        <f t="shared" si="79"/>
        <v>-33270.6</v>
      </c>
      <c r="AE151" s="49"/>
      <c r="AF151" s="21"/>
      <c r="AG151" s="21"/>
      <c r="AH151" s="21">
        <f t="shared" si="80"/>
        <v>0</v>
      </c>
      <c r="AI151" s="49"/>
      <c r="AJ151" s="21"/>
      <c r="AK151" s="21"/>
      <c r="AL151" s="184"/>
      <c r="AM151" s="21"/>
      <c r="AN151" s="184"/>
      <c r="AO151" s="184"/>
      <c r="AP151" s="184"/>
      <c r="AQ151" s="184"/>
      <c r="AR151" s="21">
        <f t="shared" si="81"/>
        <v>0</v>
      </c>
      <c r="AS151" s="21"/>
      <c r="AT151" s="21"/>
    </row>
    <row r="152" spans="1:48">
      <c r="A152" s="429">
        <f>MAX($A$9:A151)+1</f>
        <v>144</v>
      </c>
      <c r="B152" s="298" t="s">
        <v>959</v>
      </c>
      <c r="C152" s="276"/>
      <c r="D152" s="865">
        <f>SUM(D146:D151)</f>
        <v>-166934.11999999732</v>
      </c>
      <c r="E152" s="517">
        <f>SUM(E146:E151)</f>
        <v>-33270.6</v>
      </c>
      <c r="F152" s="853">
        <f>SUM(F146:F151)</f>
        <v>-200204.71999999732</v>
      </c>
      <c r="H152" s="853">
        <f>SUM(H146:H151)</f>
        <v>67050.613817958816</v>
      </c>
      <c r="I152" s="853">
        <f>SUM(I146:I151)</f>
        <v>-354293.19081831881</v>
      </c>
      <c r="J152" s="853">
        <f>SUM(J146:J151)</f>
        <v>-167507.24084293129</v>
      </c>
      <c r="K152" s="853">
        <f>SUM(K146:K151)</f>
        <v>365769.80657756532</v>
      </c>
      <c r="L152" s="853">
        <f t="shared" ref="L152:U152" si="82">SUM(L146:L151)</f>
        <v>7680.5168999999996</v>
      </c>
      <c r="M152" s="853">
        <f t="shared" si="82"/>
        <v>-20208.899099591996</v>
      </c>
      <c r="N152" s="853">
        <f t="shared" si="82"/>
        <v>537514.24019999988</v>
      </c>
      <c r="O152" s="853">
        <f t="shared" si="82"/>
        <v>33700.878749999996</v>
      </c>
      <c r="P152" s="853">
        <f t="shared" si="82"/>
        <v>-303468.82019999996</v>
      </c>
      <c r="Q152" s="853">
        <f t="shared" si="82"/>
        <v>-14291.243399999998</v>
      </c>
      <c r="R152" s="853">
        <f t="shared" si="82"/>
        <v>-76612.636412069536</v>
      </c>
      <c r="S152" s="853">
        <f t="shared" si="82"/>
        <v>0</v>
      </c>
      <c r="T152" s="853">
        <f t="shared" si="82"/>
        <v>983421.7202599966</v>
      </c>
      <c r="U152" s="854">
        <f t="shared" si="82"/>
        <v>-320733.12209618103</v>
      </c>
      <c r="V152" s="853">
        <f t="shared" ref="V152:AD152" si="83">SUM(V146:V151)</f>
        <v>-423821.24063999997</v>
      </c>
      <c r="W152" s="853">
        <f t="shared" si="83"/>
        <v>-277580.32049999997</v>
      </c>
      <c r="X152" s="853">
        <f t="shared" si="83"/>
        <v>-223277.17020000002</v>
      </c>
      <c r="Y152" s="853">
        <f>SUM(Y146:Y151)</f>
        <v>-42392.470990093672</v>
      </c>
      <c r="Z152" s="853">
        <f>SUM(Z146:Z151)</f>
        <v>-173468.25845999998</v>
      </c>
      <c r="AA152" s="853">
        <f>SUM(AA146:AA151)</f>
        <v>9175.837230000001</v>
      </c>
      <c r="AB152" s="853">
        <f t="shared" si="83"/>
        <v>-45862.703012228987</v>
      </c>
      <c r="AC152" s="853">
        <f t="shared" si="83"/>
        <v>-439203.70293589472</v>
      </c>
      <c r="AD152" s="853">
        <f t="shared" si="83"/>
        <v>-639408.42293589411</v>
      </c>
      <c r="AE152" s="49"/>
      <c r="AF152" s="853">
        <f t="shared" ref="AF152:AQ152" si="84">SUM(AF146:AF151)</f>
        <v>-920480.12865328405</v>
      </c>
      <c r="AG152" s="853">
        <f t="shared" si="84"/>
        <v>375185.85503325472</v>
      </c>
      <c r="AH152" s="853">
        <f t="shared" si="80"/>
        <v>-545294.27362002933</v>
      </c>
      <c r="AI152" s="49"/>
      <c r="AJ152" s="853">
        <f t="shared" si="84"/>
        <v>-675800.59038539219</v>
      </c>
      <c r="AK152" s="853">
        <f>SUM(AK146:AK151)</f>
        <v>504269.24685239478</v>
      </c>
      <c r="AL152" s="854">
        <f>SUM(AL146:AL151)</f>
        <v>-213229.50034362878</v>
      </c>
      <c r="AM152" s="854">
        <f t="shared" si="84"/>
        <v>-203323.846425</v>
      </c>
      <c r="AN152" s="853">
        <f t="shared" si="84"/>
        <v>-25398.718723349997</v>
      </c>
      <c r="AO152" s="853">
        <f t="shared" si="84"/>
        <v>-1732.0762080000027</v>
      </c>
      <c r="AP152" s="853">
        <f t="shared" si="84"/>
        <v>-73500</v>
      </c>
      <c r="AQ152" s="853">
        <f t="shared" si="84"/>
        <v>-46560.220626170798</v>
      </c>
      <c r="AR152" s="853">
        <f t="shared" si="81"/>
        <v>-735275.7058591469</v>
      </c>
      <c r="AS152" s="49"/>
      <c r="AT152" s="21">
        <f>AD152-'Exh JAD-3 ROO Summary'!G27</f>
        <v>-2.0954757928848267E-9</v>
      </c>
      <c r="AU152" s="42">
        <f>AH152-'Exh JAD-4 MYRP Summary'!D27</f>
        <v>0</v>
      </c>
      <c r="AV152" s="42">
        <f>AR152-'Exh JAD-4 MYRP Summary'!J27</f>
        <v>0</v>
      </c>
    </row>
    <row r="153" spans="1:48">
      <c r="A153" s="429">
        <f>MAX($A$9:A152)+1</f>
        <v>145</v>
      </c>
      <c r="B153" s="298" t="s">
        <v>960</v>
      </c>
      <c r="C153" s="276"/>
      <c r="D153" s="857">
        <f>D128+D138+D140+D143+D152</f>
        <v>37514965.450000003</v>
      </c>
      <c r="E153" s="857">
        <f>E128+E138+E140+E143+E152</f>
        <v>60523302.469999991</v>
      </c>
      <c r="F153" s="857">
        <f>F128+F138+F140+F143+F152</f>
        <v>98038267.920000002</v>
      </c>
      <c r="H153" s="857">
        <f>H88+H96+H103+H110+H126+H138+H140+H143+H152+H58+H54+H38+H52</f>
        <v>-231366576.22705433</v>
      </c>
      <c r="I153" s="857">
        <f>I88+I96+I103+I110+I126+I138+I140+I143+I152+I58+I54+I38+I52</f>
        <v>-441666.75472889369</v>
      </c>
      <c r="J153" s="857">
        <f>J88+J96+J103+J110+J126+J138+J140+J143+J152+J58+J54+J38+J52</f>
        <v>1066393.3132832055</v>
      </c>
      <c r="K153" s="857">
        <f>K88+K96+K103+K110+K126+K138+K140+K143+K152+K58+K54+K38+K52</f>
        <v>455973.66146325477</v>
      </c>
      <c r="L153" s="857">
        <f t="shared" ref="L153:T153" si="85">L88+L96+L103+L110+L126+L138+L140+L143+L152+L58+L54+L38+L52</f>
        <v>-28893.373100000001</v>
      </c>
      <c r="M153" s="857">
        <f t="shared" si="85"/>
        <v>76023.953755607974</v>
      </c>
      <c r="N153" s="857">
        <f t="shared" si="85"/>
        <v>-2022077.3798</v>
      </c>
      <c r="O153" s="857">
        <f t="shared" si="85"/>
        <v>-126779.49625</v>
      </c>
      <c r="P153" s="857">
        <f t="shared" si="85"/>
        <v>1141620.7997999999</v>
      </c>
      <c r="Q153" s="857">
        <f t="shared" si="85"/>
        <v>53762.296599999994</v>
      </c>
      <c r="R153" s="857">
        <f t="shared" si="85"/>
        <v>288209.44174064253</v>
      </c>
      <c r="S153" s="857">
        <f t="shared" si="85"/>
        <v>0</v>
      </c>
      <c r="T153" s="857">
        <f t="shared" si="85"/>
        <v>983421.7202599966</v>
      </c>
      <c r="U153" s="599">
        <f t="shared" ref="U153:AD153" si="86">U88+U96+U103+U110+U126+U138+U140+U143+U152+U58+U54+U38+U52</f>
        <v>1206567.4593142048</v>
      </c>
      <c r="V153" s="857">
        <f t="shared" si="86"/>
        <v>1594375.1433600001</v>
      </c>
      <c r="W153" s="857">
        <f t="shared" si="86"/>
        <v>1044230.7295000001</v>
      </c>
      <c r="X153" s="857">
        <f t="shared" si="86"/>
        <v>839947.44980000006</v>
      </c>
      <c r="Y153" s="857">
        <f>Y88+Y96+Y103+Y110+Y126+Y138+Y140+Y143+Y152+Y58+Y54+Y38+Y52</f>
        <v>159476.43848654284</v>
      </c>
      <c r="Z153" s="857">
        <f>Z88+Z96+Z103+Z110+Z126+Z138+Z140+Z143+Z152+Z58+Z54+Z38+Z52</f>
        <v>652571.06753999996</v>
      </c>
      <c r="AA153" s="857">
        <f>AA88+AA96+AA103+AA110+AA126+AA138+AA140+AA143+AA152+AA58+AA54+AA38+AA52</f>
        <v>9175.837230000001</v>
      </c>
      <c r="AB153" s="857">
        <f t="shared" si="86"/>
        <v>172531.1208555281</v>
      </c>
      <c r="AC153" s="857">
        <f t="shared" si="86"/>
        <v>-224241712.79794425</v>
      </c>
      <c r="AD153" s="857">
        <f t="shared" si="86"/>
        <v>119574472.33205578</v>
      </c>
      <c r="AE153" s="49"/>
      <c r="AF153" s="857">
        <f t="shared" ref="AF153:AQ153" si="87">AF88+AF96+AF103+AF110+AF126+AF138+AF140+AF143+AF152+AF58+AF54+AF38+AF52</f>
        <v>3201413.9038194977</v>
      </c>
      <c r="AG153" s="857">
        <f>AG88+AG96+AG103+AG110+AG126+AG138+AG140+AG143+AG152+AG58+AG54+AG38+AG52</f>
        <v>160063.58858936699</v>
      </c>
      <c r="AH153" s="857">
        <f t="shared" si="80"/>
        <v>3361477.4924088647</v>
      </c>
      <c r="AI153" s="49"/>
      <c r="AJ153" s="857">
        <f t="shared" si="87"/>
        <v>3216908.9847831428</v>
      </c>
      <c r="AK153" s="857">
        <f>AK88+AK96+AK103+AK110+AK126+AK138+AK140+AK143+AK152+AK58+AK54+AK38+AK52</f>
        <v>150065.02323707967</v>
      </c>
      <c r="AL153" s="599">
        <f>AL88+AL96+AL103+AL110+AL126+AL138+AL140+AL143+AL152+AL58+AL54+AL38+AL52</f>
        <v>802149.07272127015</v>
      </c>
      <c r="AM153" s="599">
        <f t="shared" si="87"/>
        <v>764884.94607499999</v>
      </c>
      <c r="AN153" s="857">
        <f t="shared" si="87"/>
        <v>95547.560911649984</v>
      </c>
      <c r="AO153" s="857">
        <f t="shared" si="87"/>
        <v>-1732.0762080000027</v>
      </c>
      <c r="AP153" s="857">
        <f t="shared" si="87"/>
        <v>276500</v>
      </c>
      <c r="AQ153" s="857">
        <f t="shared" si="87"/>
        <v>175155.11568892826</v>
      </c>
      <c r="AR153" s="857">
        <f t="shared" si="81"/>
        <v>5479478.6272090711</v>
      </c>
      <c r="AS153" s="49"/>
      <c r="AT153" s="21">
        <f>AD153-'Exh JAD-3 ROO Summary'!G28</f>
        <v>0</v>
      </c>
    </row>
    <row r="154" spans="1:48" ht="15.75" thickBot="1">
      <c r="A154" s="429">
        <f>MAX($A$9:A153)+1</f>
        <v>146</v>
      </c>
      <c r="B154" s="298" t="s">
        <v>961</v>
      </c>
      <c r="C154" s="276"/>
      <c r="D154" s="862">
        <f>+D55-D153</f>
        <v>92529448.780000001</v>
      </c>
      <c r="E154" s="862">
        <f>+E55-E153</f>
        <v>-60095773.969999991</v>
      </c>
      <c r="F154" s="862">
        <f>+F55-F153</f>
        <v>32433674.810000002</v>
      </c>
      <c r="H154" s="862">
        <f>H29-H153</f>
        <v>252238.02341040969</v>
      </c>
      <c r="I154" s="862">
        <f>I29-I153</f>
        <v>-1332817.2416498661</v>
      </c>
      <c r="J154" s="862">
        <f>J29-J153</f>
        <v>-630146.28698055097</v>
      </c>
      <c r="K154" s="862">
        <f>K29-K153</f>
        <v>1375991.1771251268</v>
      </c>
      <c r="L154" s="862">
        <f t="shared" ref="L154:T154" si="88">L29-L153</f>
        <v>28893.373100000001</v>
      </c>
      <c r="M154" s="862">
        <f t="shared" si="88"/>
        <v>-76023.953755607974</v>
      </c>
      <c r="N154" s="862">
        <f t="shared" si="88"/>
        <v>2022077.3798</v>
      </c>
      <c r="O154" s="862">
        <f t="shared" si="88"/>
        <v>126779.49625</v>
      </c>
      <c r="P154" s="862">
        <f t="shared" si="88"/>
        <v>-1141620.7997999999</v>
      </c>
      <c r="Q154" s="862">
        <f t="shared" si="88"/>
        <v>-53762.296599999994</v>
      </c>
      <c r="R154" s="862">
        <f t="shared" si="88"/>
        <v>-288209.44174064253</v>
      </c>
      <c r="S154" s="862">
        <f t="shared" si="88"/>
        <v>0</v>
      </c>
      <c r="T154" s="862">
        <f t="shared" si="88"/>
        <v>-983421.7202599966</v>
      </c>
      <c r="U154" s="863">
        <f t="shared" ref="U154:AD154" si="89">U29-U153</f>
        <v>-1206567.4593142048</v>
      </c>
      <c r="V154" s="862">
        <f t="shared" si="89"/>
        <v>-1594375.1433600001</v>
      </c>
      <c r="W154" s="862">
        <f t="shared" si="89"/>
        <v>-1044230.7295000001</v>
      </c>
      <c r="X154" s="862">
        <f t="shared" si="89"/>
        <v>-839947.44980000006</v>
      </c>
      <c r="Y154" s="862">
        <f>Y29-Y153</f>
        <v>-159476.43848654284</v>
      </c>
      <c r="Z154" s="862">
        <f>Z29-Z153</f>
        <v>-652571.06753999996</v>
      </c>
      <c r="AA154" s="862">
        <f>AA29-AA153</f>
        <v>-9175.837230000001</v>
      </c>
      <c r="AB154" s="862">
        <f t="shared" si="89"/>
        <v>-172531.1208555281</v>
      </c>
      <c r="AC154" s="862">
        <f t="shared" si="89"/>
        <v>-6378897.5371873677</v>
      </c>
      <c r="AD154" s="862">
        <f t="shared" si="89"/>
        <v>26054777.272812605</v>
      </c>
      <c r="AE154" s="49"/>
      <c r="AF154" s="862">
        <f>AF29-AF153</f>
        <v>-3201413.9038194977</v>
      </c>
      <c r="AG154" s="862">
        <f>AG29-AG153</f>
        <v>1411413.4546489108</v>
      </c>
      <c r="AH154" s="862">
        <f t="shared" si="80"/>
        <v>-1790000.4491705869</v>
      </c>
      <c r="AI154" s="49"/>
      <c r="AJ154" s="862">
        <f t="shared" ref="AJ154:AQ154" si="90">AJ29-AJ153</f>
        <v>-3216908.9847831428</v>
      </c>
      <c r="AK154" s="862">
        <f t="shared" si="90"/>
        <v>1897012.8810161517</v>
      </c>
      <c r="AL154" s="863">
        <f t="shared" si="90"/>
        <v>-802149.07272127015</v>
      </c>
      <c r="AM154" s="863">
        <f t="shared" si="90"/>
        <v>-764884.94607499999</v>
      </c>
      <c r="AN154" s="862">
        <f t="shared" si="90"/>
        <v>-95547.560911649984</v>
      </c>
      <c r="AO154" s="862">
        <f t="shared" si="90"/>
        <v>1732.0762080000027</v>
      </c>
      <c r="AP154" s="862">
        <f t="shared" si="90"/>
        <v>-276500</v>
      </c>
      <c r="AQ154" s="862">
        <f t="shared" si="90"/>
        <v>-175155.11568892826</v>
      </c>
      <c r="AR154" s="862">
        <f t="shared" si="81"/>
        <v>-3432400.7229558392</v>
      </c>
      <c r="AS154" s="49"/>
      <c r="AT154" s="21">
        <f>AD154-'Exh JAD-3 ROO Summary'!G30</f>
        <v>2.9802322387695313E-8</v>
      </c>
      <c r="AU154" s="42">
        <f>AH154-'Exh JAD-4 MYRP Summary'!D30</f>
        <v>0</v>
      </c>
      <c r="AV154" s="42">
        <f>AR154-'Exh JAD-4 MYRP Summary'!J30</f>
        <v>0</v>
      </c>
    </row>
    <row r="155" spans="1:48" ht="15.75" thickTop="1">
      <c r="A155" s="429">
        <f>MAX($A$9:A154)+1</f>
        <v>147</v>
      </c>
      <c r="B155" s="303"/>
      <c r="C155" s="276"/>
      <c r="D155" s="864"/>
      <c r="E155" s="21"/>
      <c r="F155" s="857"/>
      <c r="Y155" s="42"/>
      <c r="Z155" s="42"/>
      <c r="AA155" s="42"/>
      <c r="AB155" s="42"/>
      <c r="AD155" s="852"/>
      <c r="AE155" s="42"/>
      <c r="AF155" s="42"/>
      <c r="AG155" s="42"/>
      <c r="AH155" s="42"/>
      <c r="AI155" s="42"/>
      <c r="AJ155" s="851"/>
      <c r="AK155" s="851"/>
      <c r="AL155" s="851"/>
      <c r="AM155" s="42"/>
      <c r="AN155" s="851"/>
      <c r="AO155" s="851"/>
      <c r="AP155" s="851"/>
      <c r="AQ155" s="851"/>
      <c r="AR155" s="851"/>
      <c r="AS155" s="851"/>
    </row>
    <row r="156" spans="1:48">
      <c r="A156" s="429">
        <f>MAX($A$9:A155)+1</f>
        <v>148</v>
      </c>
      <c r="B156" s="298" t="s">
        <v>962</v>
      </c>
      <c r="C156" s="276"/>
      <c r="D156" s="864"/>
      <c r="E156" s="21"/>
      <c r="F156" s="857"/>
      <c r="U156" s="42"/>
      <c r="V156" s="42"/>
      <c r="W156" s="42"/>
      <c r="X156" s="42"/>
      <c r="Y156" s="42"/>
      <c r="Z156" s="42"/>
      <c r="AA156" s="42"/>
      <c r="AB156" s="42"/>
      <c r="AE156" s="42"/>
      <c r="AF156" s="42"/>
      <c r="AG156" s="42"/>
      <c r="AH156" s="42"/>
      <c r="AI156" s="42"/>
      <c r="AJ156" s="42"/>
      <c r="AK156" s="42"/>
      <c r="AL156" s="42"/>
      <c r="AM156" s="42"/>
      <c r="AN156" s="42"/>
      <c r="AO156" s="42"/>
      <c r="AP156" s="42"/>
      <c r="AQ156" s="42"/>
      <c r="AR156" s="42"/>
      <c r="AS156" s="42"/>
    </row>
    <row r="157" spans="1:48">
      <c r="A157" s="429">
        <f>MAX($A$9:A156)+1</f>
        <v>149</v>
      </c>
      <c r="B157" s="299" t="s">
        <v>963</v>
      </c>
      <c r="C157" s="278" t="s">
        <v>964</v>
      </c>
      <c r="D157" s="864">
        <v>0</v>
      </c>
      <c r="E157" s="21">
        <v>14453089.470000001</v>
      </c>
      <c r="F157" s="857">
        <f t="shared" ref="F157:F162" si="91">SUM(D157:E157)</f>
        <v>14453089.470000001</v>
      </c>
      <c r="Y157" s="42"/>
      <c r="Z157" s="42"/>
      <c r="AA157" s="42"/>
      <c r="AB157" s="42"/>
      <c r="AE157" s="42"/>
      <c r="AF157" s="42"/>
      <c r="AG157" s="42"/>
      <c r="AH157" s="42"/>
      <c r="AI157" s="42"/>
      <c r="AJ157" s="851"/>
      <c r="AK157" s="851"/>
      <c r="AL157" s="851"/>
      <c r="AM157" s="42"/>
      <c r="AN157" s="851"/>
      <c r="AO157" s="851"/>
      <c r="AP157" s="851"/>
      <c r="AQ157" s="851"/>
      <c r="AR157" s="851"/>
      <c r="AS157" s="851"/>
    </row>
    <row r="158" spans="1:48">
      <c r="A158" s="429">
        <f>MAX($A$9:A157)+1</f>
        <v>150</v>
      </c>
      <c r="B158" s="299" t="s">
        <v>965</v>
      </c>
      <c r="C158" s="278" t="s">
        <v>966</v>
      </c>
      <c r="D158" s="864">
        <v>0</v>
      </c>
      <c r="E158" s="21">
        <v>151314.29</v>
      </c>
      <c r="F158" s="857">
        <f t="shared" si="91"/>
        <v>151314.29</v>
      </c>
      <c r="Y158" s="42"/>
      <c r="Z158" s="42"/>
      <c r="AA158" s="42"/>
      <c r="AB158" s="42"/>
      <c r="AE158" s="42"/>
      <c r="AF158" s="42"/>
      <c r="AG158" s="42"/>
      <c r="AH158" s="42"/>
      <c r="AI158" s="42"/>
      <c r="AJ158" s="851"/>
      <c r="AK158" s="851"/>
      <c r="AL158" s="851"/>
      <c r="AM158" s="42"/>
      <c r="AN158" s="851"/>
      <c r="AO158" s="851"/>
      <c r="AP158" s="851"/>
      <c r="AQ158" s="851"/>
      <c r="AR158" s="851"/>
      <c r="AS158" s="851"/>
    </row>
    <row r="159" spans="1:48">
      <c r="A159" s="429">
        <f>MAX($A$9:A158)+1</f>
        <v>151</v>
      </c>
      <c r="B159" s="299" t="s">
        <v>967</v>
      </c>
      <c r="C159" s="278" t="s">
        <v>968</v>
      </c>
      <c r="D159" s="864">
        <v>0</v>
      </c>
      <c r="E159" s="21">
        <v>47396.639999999999</v>
      </c>
      <c r="F159" s="857">
        <f t="shared" si="91"/>
        <v>47396.639999999999</v>
      </c>
      <c r="Y159" s="42"/>
      <c r="Z159" s="42"/>
      <c r="AA159" s="42"/>
      <c r="AB159" s="42"/>
      <c r="AE159" s="42"/>
      <c r="AF159" s="42"/>
      <c r="AG159" s="42"/>
      <c r="AH159" s="42"/>
      <c r="AI159" s="42"/>
      <c r="AJ159" s="851"/>
      <c r="AK159" s="851"/>
      <c r="AL159" s="851"/>
      <c r="AM159" s="42"/>
      <c r="AN159" s="851"/>
      <c r="AO159" s="851"/>
      <c r="AP159" s="851"/>
      <c r="AQ159" s="851"/>
      <c r="AR159" s="851"/>
      <c r="AS159" s="851"/>
    </row>
    <row r="160" spans="1:48">
      <c r="A160" s="429">
        <f>MAX($A$9:A159)+1</f>
        <v>152</v>
      </c>
      <c r="B160" s="299" t="s">
        <v>969</v>
      </c>
      <c r="C160" s="278" t="s">
        <v>970</v>
      </c>
      <c r="D160" s="864">
        <v>9666.49</v>
      </c>
      <c r="E160" s="21">
        <v>39189.18</v>
      </c>
      <c r="F160" s="857">
        <f t="shared" si="91"/>
        <v>48855.67</v>
      </c>
      <c r="Y160" s="42"/>
      <c r="Z160" s="42"/>
      <c r="AA160" s="42"/>
      <c r="AB160" s="42"/>
      <c r="AE160" s="42"/>
      <c r="AF160" s="42"/>
      <c r="AG160" s="42"/>
      <c r="AH160" s="42"/>
      <c r="AI160" s="42"/>
      <c r="AJ160" s="851"/>
      <c r="AK160" s="851"/>
      <c r="AL160" s="851"/>
      <c r="AM160" s="42"/>
      <c r="AN160" s="851"/>
      <c r="AO160" s="851"/>
      <c r="AP160" s="851"/>
      <c r="AQ160" s="851"/>
      <c r="AR160" s="851"/>
      <c r="AS160" s="851"/>
    </row>
    <row r="161" spans="1:45">
      <c r="A161" s="429">
        <f>MAX($A$9:A160)+1</f>
        <v>153</v>
      </c>
      <c r="B161" s="299" t="s">
        <v>971</v>
      </c>
      <c r="C161" s="278" t="s">
        <v>972</v>
      </c>
      <c r="D161" s="864">
        <v>0</v>
      </c>
      <c r="E161" s="21">
        <v>7659880.5</v>
      </c>
      <c r="F161" s="857">
        <f t="shared" si="91"/>
        <v>7659880.5</v>
      </c>
      <c r="Y161" s="42"/>
      <c r="Z161" s="42"/>
      <c r="AA161" s="42"/>
      <c r="AB161" s="42"/>
      <c r="AE161" s="42"/>
      <c r="AF161" s="42"/>
      <c r="AG161" s="42"/>
      <c r="AH161" s="42"/>
      <c r="AI161" s="42"/>
      <c r="AJ161" s="851"/>
      <c r="AK161" s="851"/>
      <c r="AL161" s="851"/>
      <c r="AM161" s="42"/>
      <c r="AN161" s="851"/>
      <c r="AO161" s="851"/>
      <c r="AP161" s="851"/>
      <c r="AQ161" s="851"/>
      <c r="AR161" s="851"/>
      <c r="AS161" s="851"/>
    </row>
    <row r="162" spans="1:45">
      <c r="A162" s="429">
        <f>MAX($A$9:A161)+1</f>
        <v>154</v>
      </c>
      <c r="B162" s="299" t="s">
        <v>973</v>
      </c>
      <c r="C162" s="278" t="s">
        <v>974</v>
      </c>
      <c r="D162" s="864">
        <v>-1197159.8799999999</v>
      </c>
      <c r="E162" s="21">
        <v>-277164.74</v>
      </c>
      <c r="F162" s="857">
        <f t="shared" si="91"/>
        <v>-1474324.6199999999</v>
      </c>
      <c r="Y162" s="42"/>
      <c r="Z162" s="42"/>
      <c r="AA162" s="42"/>
      <c r="AB162" s="42"/>
      <c r="AE162" s="42"/>
      <c r="AF162" s="42"/>
      <c r="AG162" s="42"/>
      <c r="AH162" s="42"/>
      <c r="AI162" s="42"/>
      <c r="AJ162" s="851"/>
      <c r="AK162" s="851"/>
      <c r="AL162" s="851"/>
      <c r="AM162" s="42"/>
      <c r="AN162" s="851"/>
      <c r="AO162" s="851"/>
      <c r="AP162" s="851"/>
      <c r="AQ162" s="851"/>
      <c r="AR162" s="851"/>
      <c r="AS162" s="851"/>
    </row>
    <row r="163" spans="1:45">
      <c r="A163" s="429">
        <f>MAX($A$9:A162)+1</f>
        <v>155</v>
      </c>
      <c r="B163" s="298" t="s">
        <v>975</v>
      </c>
      <c r="C163" s="276"/>
      <c r="D163" s="865">
        <f>SUM(D157:D162)</f>
        <v>-1187493.3899999999</v>
      </c>
      <c r="E163" s="517">
        <f>SUM(E157:E162)</f>
        <v>22073705.34</v>
      </c>
      <c r="F163" s="853">
        <f>SUM(F157:F162)</f>
        <v>20886211.949999999</v>
      </c>
      <c r="Y163" s="42"/>
      <c r="Z163" s="42"/>
      <c r="AA163" s="42"/>
      <c r="AB163" s="42"/>
      <c r="AE163" s="42"/>
      <c r="AF163" s="42"/>
      <c r="AG163" s="42"/>
      <c r="AH163" s="42"/>
      <c r="AI163" s="42"/>
      <c r="AJ163" s="851"/>
      <c r="AK163" s="851"/>
      <c r="AL163" s="851"/>
      <c r="AM163" s="42"/>
      <c r="AN163" s="851"/>
      <c r="AO163" s="851"/>
      <c r="AP163" s="851"/>
      <c r="AQ163" s="851"/>
      <c r="AR163" s="851"/>
      <c r="AS163" s="851"/>
    </row>
    <row r="164" spans="1:45">
      <c r="A164" s="429">
        <f>MAX($A$9:A163)+1</f>
        <v>156</v>
      </c>
      <c r="B164" s="303"/>
      <c r="C164" s="276"/>
      <c r="D164" s="864"/>
      <c r="E164" s="21"/>
      <c r="F164" s="857"/>
      <c r="H164" s="42">
        <f>H154-'Exh JAD-7, Summary of Adj'!C28</f>
        <v>-2.9802322387695313E-8</v>
      </c>
      <c r="I164" s="42">
        <f>I154-'Exh JAD-7, Summary of Adj'!D28</f>
        <v>0</v>
      </c>
      <c r="J164" s="42">
        <f>J154-'Exh JAD-7, Summary of Adj'!E28</f>
        <v>0</v>
      </c>
      <c r="K164" s="42">
        <f>K154-'Exh JAD-7, Summary of Adj'!F28</f>
        <v>0</v>
      </c>
      <c r="L164" s="42">
        <f>L154-'Exh JAD-7, Summary of Adj'!G28</f>
        <v>0</v>
      </c>
      <c r="M164" s="42">
        <f>M154-'Exh JAD-7, Summary of Adj'!H28</f>
        <v>0</v>
      </c>
      <c r="N164" s="42">
        <f>N154-'Exh JAD-7, Summary of Adj'!I28</f>
        <v>0</v>
      </c>
      <c r="O164" s="42">
        <f>O154-'Exh JAD-7, Summary of Adj'!J28</f>
        <v>0</v>
      </c>
      <c r="P164" s="42">
        <f>P154-'Exh JAD-7, Summary of Adj'!K28</f>
        <v>0</v>
      </c>
      <c r="Q164" s="42">
        <f>Q154-'Exh JAD-7, Summary of Adj'!L28</f>
        <v>0</v>
      </c>
      <c r="R164" s="42">
        <f>R154-'Exh JAD-7, Summary of Adj'!M28</f>
        <v>0</v>
      </c>
      <c r="S164" s="42">
        <f>S154-'Exh JAD-7, Summary of Adj'!N28</f>
        <v>0</v>
      </c>
      <c r="T164" s="42">
        <f>T154-'Exh JAD-7, Summary of Adj'!Q28</f>
        <v>0</v>
      </c>
      <c r="U164" s="42">
        <f>U154-'Exh JAD-7, Summary of Adj'!R28</f>
        <v>0</v>
      </c>
      <c r="V164" s="42">
        <f>V154-'Exh JAD-7, Summary of Adj'!S28</f>
        <v>0</v>
      </c>
      <c r="W164" s="42">
        <f>W154-'Exh JAD-7, Summary of Adj'!T28</f>
        <v>0</v>
      </c>
      <c r="X164" s="42">
        <f>X154-'Exh JAD-7, Summary of Adj'!U28</f>
        <v>0</v>
      </c>
      <c r="Y164" s="42">
        <f>Y154-'Exh JAD-7, Summary of Adj'!V28</f>
        <v>0</v>
      </c>
      <c r="Z164" s="42">
        <f>Z154-'Exh JAD-7, Summary of Adj'!W28</f>
        <v>0</v>
      </c>
      <c r="AA164" s="42">
        <f>AA154-'Exh JAD-7, Summary of Adj'!X28</f>
        <v>0</v>
      </c>
      <c r="AB164" s="42">
        <f>AB154-'Exh JAD-7, Summary of Adj'!Y28</f>
        <v>0</v>
      </c>
      <c r="AC164" s="42">
        <f>AC154-('Exh JAD-7, Summary of Adj'!O28+'Exh JAD-7, Summary of Adj'!Z28)</f>
        <v>0</v>
      </c>
      <c r="AE164" s="42"/>
      <c r="AF164" s="42">
        <f>AF154-'Exh JAD-7, Summary of Adj'!AB28</f>
        <v>0</v>
      </c>
      <c r="AG164" s="42">
        <f>AG154-'Exh JAD-7, Summary of Adj'!AC28</f>
        <v>0</v>
      </c>
      <c r="AH164" s="42">
        <f>AH154-'Exh JAD-7, Summary of Adj'!AD28</f>
        <v>0</v>
      </c>
      <c r="AI164" s="42"/>
      <c r="AJ164" s="42">
        <f>AJ154-'Exh JAD-7, Summary of Adj'!AF28</f>
        <v>0</v>
      </c>
      <c r="AK164" s="42">
        <f>AK154-'Exh JAD-7, Summary of Adj'!AG28</f>
        <v>0</v>
      </c>
      <c r="AL164" s="42">
        <f>AL154-'Exh JAD-7, Summary of Adj'!AH28</f>
        <v>0</v>
      </c>
      <c r="AM164" s="42">
        <f>AM154-'Exh JAD-7, Summary of Adj'!AI28</f>
        <v>0</v>
      </c>
      <c r="AN164" s="42">
        <f>AN154-'Exh JAD-7, Summary of Adj'!AJ28</f>
        <v>0</v>
      </c>
      <c r="AO164" s="42">
        <f>AO154-'Exh JAD-7, Summary of Adj'!AK28</f>
        <v>0</v>
      </c>
      <c r="AP164" s="42">
        <f>AP154-'Exh JAD-7, Summary of Adj'!AL28</f>
        <v>0</v>
      </c>
      <c r="AQ164" s="42">
        <f>AQ154-'Exh JAD-7, Summary of Adj'!AM28</f>
        <v>0</v>
      </c>
      <c r="AR164" s="42">
        <f>AR154-'Exh JAD-7, Summary of Adj'!AN28</f>
        <v>0</v>
      </c>
      <c r="AS164" s="42"/>
    </row>
    <row r="165" spans="1:45">
      <c r="A165" s="429">
        <f>MAX($A$9:A164)+1</f>
        <v>157</v>
      </c>
      <c r="B165" s="298" t="s">
        <v>976</v>
      </c>
      <c r="C165" s="276"/>
      <c r="D165" s="864"/>
      <c r="E165" s="21"/>
      <c r="F165" s="857"/>
    </row>
    <row r="166" spans="1:45">
      <c r="A166" s="429">
        <f>MAX($A$9:A165)+1</f>
        <v>158</v>
      </c>
      <c r="B166" s="299" t="s">
        <v>977</v>
      </c>
      <c r="C166" s="278" t="s">
        <v>978</v>
      </c>
      <c r="D166" s="864">
        <v>0</v>
      </c>
      <c r="E166" s="21">
        <v>0</v>
      </c>
      <c r="F166" s="857">
        <f t="shared" ref="F166:F175" si="92">SUM(D166:E166)</f>
        <v>0</v>
      </c>
    </row>
    <row r="167" spans="1:45">
      <c r="A167" s="429">
        <f>MAX($A$9:A166)+1</f>
        <v>159</v>
      </c>
      <c r="B167" s="299" t="s">
        <v>979</v>
      </c>
      <c r="C167" s="278" t="s">
        <v>980</v>
      </c>
      <c r="D167" s="864">
        <v>0</v>
      </c>
      <c r="E167" s="21">
        <v>0</v>
      </c>
      <c r="F167" s="857">
        <f t="shared" si="92"/>
        <v>0</v>
      </c>
    </row>
    <row r="168" spans="1:45">
      <c r="A168" s="429">
        <f>MAX($A$9:A167)+1</f>
        <v>160</v>
      </c>
      <c r="B168" s="299" t="s">
        <v>981</v>
      </c>
      <c r="C168" s="278" t="s">
        <v>982</v>
      </c>
      <c r="D168" s="864">
        <v>0</v>
      </c>
      <c r="E168" s="21">
        <v>7883.1100000000006</v>
      </c>
      <c r="F168" s="857">
        <f t="shared" si="92"/>
        <v>7883.1100000000006</v>
      </c>
    </row>
    <row r="169" spans="1:45">
      <c r="A169" s="429">
        <f>MAX($A$9:A168)+1</f>
        <v>161</v>
      </c>
      <c r="B169" s="299" t="s">
        <v>983</v>
      </c>
      <c r="C169" s="278" t="s">
        <v>984</v>
      </c>
      <c r="D169" s="864">
        <v>0</v>
      </c>
      <c r="E169" s="21">
        <v>0</v>
      </c>
      <c r="F169" s="857">
        <f t="shared" si="92"/>
        <v>0</v>
      </c>
    </row>
    <row r="170" spans="1:45">
      <c r="A170" s="429">
        <f>MAX($A$9:A169)+1</f>
        <v>162</v>
      </c>
      <c r="B170" s="299" t="s">
        <v>985</v>
      </c>
      <c r="C170" s="278" t="s">
        <v>986</v>
      </c>
      <c r="D170" s="864">
        <v>0</v>
      </c>
      <c r="E170" s="21">
        <v>0</v>
      </c>
      <c r="F170" s="857">
        <f t="shared" si="92"/>
        <v>0</v>
      </c>
    </row>
    <row r="171" spans="1:45">
      <c r="A171" s="429">
        <f>MAX($A$9:A170)+1</f>
        <v>163</v>
      </c>
      <c r="B171" s="299" t="s">
        <v>987</v>
      </c>
      <c r="C171" s="278" t="s">
        <v>988</v>
      </c>
      <c r="D171" s="864">
        <v>11525440.109999999</v>
      </c>
      <c r="E171" s="21">
        <v>735496.11</v>
      </c>
      <c r="F171" s="857">
        <f t="shared" si="92"/>
        <v>12260936.219999999</v>
      </c>
    </row>
    <row r="172" spans="1:45">
      <c r="A172" s="429">
        <f>MAX($A$9:A171)+1</f>
        <v>164</v>
      </c>
      <c r="B172" s="299" t="s">
        <v>989</v>
      </c>
      <c r="C172" s="278" t="s">
        <v>990</v>
      </c>
      <c r="D172" s="864">
        <v>0</v>
      </c>
      <c r="E172" s="21">
        <v>0</v>
      </c>
      <c r="F172" s="857">
        <f t="shared" si="92"/>
        <v>0</v>
      </c>
      <c r="L172" s="20"/>
    </row>
    <row r="173" spans="1:45">
      <c r="A173" s="429">
        <f>MAX($A$9:A172)+1</f>
        <v>165</v>
      </c>
      <c r="B173" s="305">
        <v>408.2</v>
      </c>
      <c r="C173" s="278" t="s">
        <v>991</v>
      </c>
      <c r="D173" s="864">
        <v>-3802.0200000000004</v>
      </c>
      <c r="E173" s="21">
        <v>0</v>
      </c>
      <c r="F173" s="857">
        <f t="shared" si="92"/>
        <v>-3802.0200000000004</v>
      </c>
      <c r="L173" s="20"/>
    </row>
    <row r="174" spans="1:45">
      <c r="A174" s="429">
        <f>MAX($A$9:A173)+1</f>
        <v>166</v>
      </c>
      <c r="B174" s="299" t="s">
        <v>992</v>
      </c>
      <c r="C174" s="278" t="s">
        <v>993</v>
      </c>
      <c r="D174" s="864">
        <v>0</v>
      </c>
      <c r="E174" s="21">
        <v>2242.06</v>
      </c>
      <c r="F174" s="857">
        <f t="shared" si="92"/>
        <v>2242.06</v>
      </c>
    </row>
    <row r="175" spans="1:45">
      <c r="A175" s="429">
        <f>MAX($A$9:A174)+1</f>
        <v>167</v>
      </c>
      <c r="B175" s="299" t="s">
        <v>994</v>
      </c>
      <c r="C175" s="278" t="s">
        <v>995</v>
      </c>
      <c r="D175" s="864">
        <v>0</v>
      </c>
      <c r="E175" s="21">
        <v>0</v>
      </c>
      <c r="F175" s="857">
        <f t="shared" si="92"/>
        <v>0</v>
      </c>
    </row>
    <row r="176" spans="1:45">
      <c r="A176" s="429">
        <f>MAX($A$9:A175)+1</f>
        <v>168</v>
      </c>
      <c r="B176" s="298" t="s">
        <v>996</v>
      </c>
      <c r="C176" s="276"/>
      <c r="D176" s="865">
        <f>SUM(D166:D175)</f>
        <v>11521638.09</v>
      </c>
      <c r="E176" s="517">
        <f>SUM(E166:E175)</f>
        <v>745621.28</v>
      </c>
      <c r="F176" s="853">
        <f>SUM(F166:F175)</f>
        <v>12267259.369999999</v>
      </c>
    </row>
    <row r="177" spans="1:6">
      <c r="A177" s="429">
        <f>MAX($A$9:A176)+1</f>
        <v>169</v>
      </c>
      <c r="B177" s="303"/>
      <c r="C177" s="276"/>
      <c r="D177" s="864"/>
      <c r="E177" s="21"/>
      <c r="F177" s="857"/>
    </row>
    <row r="178" spans="1:6">
      <c r="A178" s="429">
        <f>MAX($A$9:A177)+1</f>
        <v>170</v>
      </c>
      <c r="B178" s="298" t="s">
        <v>997</v>
      </c>
      <c r="C178" s="276"/>
      <c r="D178" s="864"/>
      <c r="E178" s="21"/>
      <c r="F178" s="857"/>
    </row>
    <row r="179" spans="1:6">
      <c r="A179" s="429">
        <f>MAX($A$9:A178)+1</f>
        <v>171</v>
      </c>
      <c r="B179" s="299" t="s">
        <v>998</v>
      </c>
      <c r="C179" s="278" t="s">
        <v>999</v>
      </c>
      <c r="D179" s="864">
        <v>2512299.4300000002</v>
      </c>
      <c r="E179" s="21">
        <v>0</v>
      </c>
      <c r="F179" s="857">
        <f t="shared" ref="F179:F188" si="93">SUM(D179:E179)</f>
        <v>2512299.4300000002</v>
      </c>
    </row>
    <row r="180" spans="1:6">
      <c r="A180" s="429">
        <f>MAX($A$9:A179)+1</f>
        <v>172</v>
      </c>
      <c r="B180" s="299" t="s">
        <v>998</v>
      </c>
      <c r="C180" s="278" t="s">
        <v>1000</v>
      </c>
      <c r="D180" s="864">
        <v>0</v>
      </c>
      <c r="E180" s="21">
        <v>0</v>
      </c>
      <c r="F180" s="857">
        <f t="shared" si="93"/>
        <v>0</v>
      </c>
    </row>
    <row r="181" spans="1:6">
      <c r="A181" s="429">
        <f>MAX($A$9:A180)+1</f>
        <v>173</v>
      </c>
      <c r="B181" s="299" t="s">
        <v>1001</v>
      </c>
      <c r="C181" s="278" t="s">
        <v>1002</v>
      </c>
      <c r="D181" s="864">
        <v>38753.5</v>
      </c>
      <c r="E181" s="21">
        <v>0</v>
      </c>
      <c r="F181" s="857">
        <f t="shared" si="93"/>
        <v>38753.5</v>
      </c>
    </row>
    <row r="182" spans="1:6">
      <c r="A182" s="429">
        <f>MAX($A$9:A181)+1</f>
        <v>174</v>
      </c>
      <c r="B182" s="299" t="s">
        <v>1003</v>
      </c>
      <c r="C182" s="278" t="s">
        <v>1004</v>
      </c>
      <c r="D182" s="864">
        <v>-7668.23</v>
      </c>
      <c r="E182" s="21">
        <v>0</v>
      </c>
      <c r="F182" s="857">
        <f t="shared" si="93"/>
        <v>-7668.23</v>
      </c>
    </row>
    <row r="183" spans="1:6">
      <c r="A183" s="429">
        <f>MAX($A$9:A182)+1</f>
        <v>175</v>
      </c>
      <c r="B183" s="299" t="s">
        <v>1005</v>
      </c>
      <c r="C183" s="278" t="s">
        <v>1006</v>
      </c>
      <c r="D183" s="864">
        <v>0</v>
      </c>
      <c r="E183" s="21">
        <v>0</v>
      </c>
      <c r="F183" s="857">
        <f t="shared" si="93"/>
        <v>0</v>
      </c>
    </row>
    <row r="184" spans="1:6">
      <c r="A184" s="429">
        <f>MAX($A$9:A183)+1</f>
        <v>176</v>
      </c>
      <c r="B184" s="299" t="s">
        <v>1007</v>
      </c>
      <c r="C184" s="278" t="s">
        <v>1008</v>
      </c>
      <c r="D184" s="864">
        <v>14300</v>
      </c>
      <c r="E184" s="21">
        <v>137986.07</v>
      </c>
      <c r="F184" s="857">
        <f t="shared" si="93"/>
        <v>152286.07</v>
      </c>
    </row>
    <row r="185" spans="1:6">
      <c r="A185" s="429">
        <f>MAX($A$9:A184)+1</f>
        <v>177</v>
      </c>
      <c r="B185" s="299" t="s">
        <v>1009</v>
      </c>
      <c r="C185" s="278" t="s">
        <v>1010</v>
      </c>
      <c r="D185" s="864">
        <v>0</v>
      </c>
      <c r="E185" s="21">
        <v>-317630.20999999996</v>
      </c>
      <c r="F185" s="857">
        <f t="shared" si="93"/>
        <v>-317630.20999999996</v>
      </c>
    </row>
    <row r="186" spans="1:6">
      <c r="A186" s="429">
        <f>MAX($A$9:A185)+1</f>
        <v>178</v>
      </c>
      <c r="B186" s="299" t="s">
        <v>1011</v>
      </c>
      <c r="C186" s="278" t="s">
        <v>1012</v>
      </c>
      <c r="D186" s="864">
        <v>0</v>
      </c>
      <c r="E186" s="21">
        <v>9.5799999999999272</v>
      </c>
      <c r="F186" s="857">
        <f t="shared" si="93"/>
        <v>9.5799999999999272</v>
      </c>
    </row>
    <row r="187" spans="1:6">
      <c r="A187" s="429">
        <f>MAX($A$9:A186)+1</f>
        <v>179</v>
      </c>
      <c r="B187" s="299" t="s">
        <v>1013</v>
      </c>
      <c r="C187" s="278" t="s">
        <v>1014</v>
      </c>
      <c r="D187" s="864">
        <v>351602.82</v>
      </c>
      <c r="E187" s="21">
        <v>184492.61</v>
      </c>
      <c r="F187" s="857">
        <f t="shared" si="93"/>
        <v>536095.42999999993</v>
      </c>
    </row>
    <row r="188" spans="1:6">
      <c r="A188" s="429">
        <f>MAX($A$9:A187)+1</f>
        <v>180</v>
      </c>
      <c r="B188" s="299" t="s">
        <v>1015</v>
      </c>
      <c r="C188" s="278" t="s">
        <v>1016</v>
      </c>
      <c r="D188" s="864">
        <v>0</v>
      </c>
      <c r="E188" s="21">
        <v>0</v>
      </c>
      <c r="F188" s="857">
        <f t="shared" si="93"/>
        <v>0</v>
      </c>
    </row>
    <row r="189" spans="1:6">
      <c r="A189" s="429">
        <f>MAX($A$9:A188)+1</f>
        <v>181</v>
      </c>
      <c r="B189" s="298" t="s">
        <v>1017</v>
      </c>
      <c r="C189" s="276"/>
      <c r="D189" s="865">
        <f>SUM(D179:D188)</f>
        <v>2909287.52</v>
      </c>
      <c r="E189" s="517">
        <f>SUM(E179:E188)</f>
        <v>4858.0500000000175</v>
      </c>
      <c r="F189" s="853">
        <f>SUM(F179:F188)</f>
        <v>2914145.5700000003</v>
      </c>
    </row>
    <row r="190" spans="1:6" ht="15.75" thickBot="1">
      <c r="A190" s="429">
        <f>MAX($A$9:A189)+1</f>
        <v>182</v>
      </c>
      <c r="B190" s="306" t="s">
        <v>1018</v>
      </c>
      <c r="C190" s="307"/>
      <c r="D190" s="869">
        <f>D154-D163+D176-D189</f>
        <v>102329292.74000001</v>
      </c>
      <c r="E190" s="870">
        <f>E154-E163+E176-E189</f>
        <v>-81428716.079999983</v>
      </c>
      <c r="F190" s="862">
        <f>F154-F163+F176-F189</f>
        <v>20900576.660000004</v>
      </c>
    </row>
    <row r="191" spans="1:6" ht="15.75" thickTop="1"/>
  </sheetData>
  <mergeCells count="9">
    <mergeCell ref="AJ12:AQ12"/>
    <mergeCell ref="H12:S12"/>
    <mergeCell ref="T12:AB12"/>
    <mergeCell ref="B14:C14"/>
    <mergeCell ref="B128:C128"/>
    <mergeCell ref="B12:C13"/>
    <mergeCell ref="D12:F12"/>
    <mergeCell ref="D13:F13"/>
    <mergeCell ref="AF12:AG12"/>
  </mergeCells>
  <phoneticPr fontId="122" type="noConversion"/>
  <printOptions horizontalCentered="1"/>
  <pageMargins left="0.31" right="0.3" top="1" bottom="1" header="0.5" footer="0.5"/>
  <pageSetup paperSize="5" scale="40" fitToHeight="0" orientation="landscape" r:id="rId1"/>
  <headerFooter scaleWithDoc="0" alignWithMargins="0">
    <oddHeader>&amp;RPage &amp;P of &amp;N</oddHeader>
    <oddFooter>&amp;LElectronic Tab Name: &amp;A</oddFooter>
  </headerFooter>
  <rowBreaks count="1" manualBreakCount="1">
    <brk id="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EF56E-BB6B-431F-94A1-F6B32BCD93AE}">
  <sheetPr codeName="Sheet85"/>
  <dimension ref="B3:L17"/>
  <sheetViews>
    <sheetView workbookViewId="0"/>
  </sheetViews>
  <sheetFormatPr defaultRowHeight="15"/>
  <cols>
    <col min="2" max="2" width="1.42578125" customWidth="1"/>
    <col min="4" max="4" width="3.7109375" bestFit="1" customWidth="1"/>
    <col min="5" max="5" width="1.42578125" customWidth="1"/>
    <col min="6" max="6" width="5" customWidth="1"/>
    <col min="7" max="7" width="20.140625" customWidth="1"/>
    <col min="8" max="8" width="5" customWidth="1"/>
    <col min="9" max="9" width="20.140625" customWidth="1"/>
    <col min="10" max="10" width="5" customWidth="1"/>
    <col min="11" max="12" width="1.42578125" customWidth="1"/>
  </cols>
  <sheetData>
    <row r="3" spans="2:12" ht="7.5" customHeight="1">
      <c r="B3" s="1350"/>
      <c r="C3" s="1351"/>
      <c r="D3" s="1351"/>
      <c r="E3" s="1351"/>
      <c r="F3" s="1351"/>
      <c r="G3" s="1351"/>
      <c r="H3" s="1351"/>
      <c r="I3" s="1351"/>
      <c r="J3" s="1351"/>
      <c r="K3" s="1351"/>
      <c r="L3" s="1350"/>
    </row>
    <row r="4" spans="2:12" ht="7.5" customHeight="1">
      <c r="B4" s="1350"/>
      <c r="C4" s="1353"/>
      <c r="D4" s="1354"/>
      <c r="E4" s="1367"/>
      <c r="F4" s="1367"/>
      <c r="G4" s="1367"/>
      <c r="H4" s="1367"/>
      <c r="I4" s="1368"/>
      <c r="J4" s="1369"/>
      <c r="K4" s="1370"/>
      <c r="L4" s="1350"/>
    </row>
    <row r="5" spans="2:12" ht="55.5" customHeight="1">
      <c r="B5" s="1350"/>
      <c r="C5" s="1398" t="s">
        <v>4227</v>
      </c>
      <c r="D5" s="1356"/>
      <c r="E5" s="1371"/>
      <c r="F5" s="1397">
        <v>45291</v>
      </c>
      <c r="G5" s="1372"/>
      <c r="H5" s="1373" t="s">
        <v>4225</v>
      </c>
      <c r="I5" s="1372"/>
      <c r="J5" s="1374"/>
      <c r="K5" s="1375"/>
      <c r="L5" s="1350"/>
    </row>
    <row r="6" spans="2:12" ht="7.5" customHeight="1">
      <c r="B6" s="1350"/>
      <c r="C6" s="1357"/>
      <c r="D6" s="1358"/>
      <c r="E6" s="1376"/>
      <c r="F6" s="1377"/>
      <c r="G6" s="1377"/>
      <c r="H6" s="1377"/>
      <c r="I6" s="1377"/>
      <c r="J6" s="1377"/>
      <c r="K6" s="1378"/>
      <c r="L6" s="1350"/>
    </row>
    <row r="7" spans="2:12" ht="7.5" customHeight="1">
      <c r="B7" s="1350"/>
      <c r="C7" s="1359"/>
      <c r="D7" s="1359"/>
      <c r="E7" s="1359"/>
      <c r="F7" s="1379"/>
      <c r="G7" s="1379"/>
      <c r="H7" s="1379"/>
      <c r="I7" s="1379"/>
      <c r="J7" s="1379"/>
      <c r="K7" s="1379"/>
      <c r="L7" s="1350"/>
    </row>
    <row r="8" spans="2:12" ht="7.5" customHeight="1">
      <c r="B8" s="1350"/>
      <c r="C8" s="1360"/>
      <c r="D8" s="1361"/>
      <c r="E8" s="1380"/>
      <c r="F8" s="1381"/>
      <c r="G8" s="1381"/>
      <c r="H8" s="1381"/>
      <c r="I8" s="1381"/>
      <c r="J8" s="1381"/>
      <c r="K8" s="1382"/>
      <c r="L8" s="1350"/>
    </row>
    <row r="9" spans="2:12" ht="55.5" customHeight="1">
      <c r="B9" s="1350"/>
      <c r="C9" s="1355" t="s">
        <v>4228</v>
      </c>
      <c r="D9" s="1356"/>
      <c r="E9" s="1371"/>
      <c r="F9" s="1383"/>
      <c r="G9" s="1379"/>
      <c r="H9" s="1397">
        <v>45657</v>
      </c>
      <c r="I9" s="1384"/>
      <c r="J9" s="1397">
        <v>46022</v>
      </c>
      <c r="K9" s="1385"/>
      <c r="L9" s="1350"/>
    </row>
    <row r="10" spans="2:12" ht="7.5" customHeight="1">
      <c r="B10" s="1350"/>
      <c r="C10" s="1362"/>
      <c r="D10" s="1363"/>
      <c r="E10" s="1269"/>
      <c r="F10" s="1386"/>
      <c r="G10" s="1386"/>
      <c r="H10" s="1386"/>
      <c r="I10" s="1386"/>
      <c r="J10" s="1386"/>
      <c r="K10" s="1387"/>
      <c r="L10" s="1350"/>
    </row>
    <row r="11" spans="2:12" ht="7.5" customHeight="1">
      <c r="B11" s="1350"/>
      <c r="C11" s="1246"/>
      <c r="D11" s="1246"/>
      <c r="E11" s="1246"/>
      <c r="F11" s="1388"/>
      <c r="G11" s="1388"/>
      <c r="H11" s="1388"/>
      <c r="I11" s="1388"/>
      <c r="J11" s="1388"/>
      <c r="K11" s="1388"/>
      <c r="L11" s="1350"/>
    </row>
    <row r="12" spans="2:12" ht="7.5" customHeight="1">
      <c r="B12" s="1350"/>
      <c r="C12" s="1364"/>
      <c r="D12" s="1365"/>
      <c r="E12" s="1389"/>
      <c r="F12" s="1390"/>
      <c r="G12" s="1390"/>
      <c r="H12" s="1390"/>
      <c r="I12" s="1390"/>
      <c r="J12" s="1390"/>
      <c r="K12" s="1391"/>
      <c r="L12" s="1350"/>
    </row>
    <row r="13" spans="2:12" ht="55.5" customHeight="1">
      <c r="B13" s="1350"/>
      <c r="C13" s="1399" t="s">
        <v>4229</v>
      </c>
      <c r="D13" s="1366" t="s">
        <v>4155</v>
      </c>
      <c r="E13" s="1371"/>
      <c r="F13" s="1397">
        <v>45291</v>
      </c>
      <c r="G13" s="1388"/>
      <c r="H13" s="1373" t="s">
        <v>4226</v>
      </c>
      <c r="I13" s="1388"/>
      <c r="J13" s="1388"/>
      <c r="K13" s="1392"/>
      <c r="L13" s="1350"/>
    </row>
    <row r="14" spans="2:12" ht="7.5" customHeight="1">
      <c r="B14" s="1350"/>
      <c r="C14" s="1399"/>
      <c r="D14" s="1246"/>
      <c r="E14" s="1246"/>
      <c r="F14" s="1388"/>
      <c r="G14" s="1388"/>
      <c r="H14" s="1388"/>
      <c r="I14" s="1388"/>
      <c r="J14" s="1388"/>
      <c r="K14" s="1392"/>
      <c r="L14" s="1350"/>
    </row>
    <row r="15" spans="2:12" ht="55.5" customHeight="1">
      <c r="B15" s="1350"/>
      <c r="C15" s="1399"/>
      <c r="D15" s="1366" t="s">
        <v>4108</v>
      </c>
      <c r="E15" s="1371"/>
      <c r="F15" s="1393"/>
      <c r="G15" s="1388"/>
      <c r="H15" s="1397">
        <v>45657</v>
      </c>
      <c r="I15" s="1394"/>
      <c r="J15" s="1397">
        <v>46022</v>
      </c>
      <c r="K15" s="1385"/>
      <c r="L15" s="1350"/>
    </row>
    <row r="16" spans="2:12" ht="7.5" customHeight="1">
      <c r="B16" s="1350"/>
      <c r="C16" s="1352"/>
      <c r="D16" s="1395" t="s">
        <v>247</v>
      </c>
      <c r="E16" s="1395"/>
      <c r="F16" s="1269"/>
      <c r="G16" s="1269"/>
      <c r="H16" s="1269"/>
      <c r="I16" s="1269"/>
      <c r="J16" s="1269"/>
      <c r="K16" s="1396"/>
      <c r="L16" s="1350"/>
    </row>
    <row r="17" spans="2:12" ht="7.5" customHeight="1">
      <c r="B17" s="1350"/>
      <c r="C17" s="1350"/>
      <c r="D17" s="1350"/>
      <c r="E17" s="1350"/>
      <c r="F17" s="1350"/>
      <c r="G17" s="1350"/>
      <c r="H17" s="1350"/>
      <c r="I17" s="1350"/>
      <c r="J17" s="1350"/>
      <c r="K17" s="1350"/>
      <c r="L17" s="1350"/>
    </row>
  </sheetData>
  <mergeCells count="1">
    <mergeCell ref="C13:C15"/>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I21"/>
  <sheetViews>
    <sheetView zoomScaleNormal="100" workbookViewId="0">
      <selection activeCell="F22" sqref="F22"/>
    </sheetView>
  </sheetViews>
  <sheetFormatPr defaultColWidth="9.140625" defaultRowHeight="15"/>
  <cols>
    <col min="1" max="1" width="5.28515625" style="53" customWidth="1"/>
    <col min="2" max="2" width="40.7109375" style="53" bestFit="1" customWidth="1"/>
    <col min="3" max="3" width="19.140625" style="53" bestFit="1" customWidth="1"/>
    <col min="4" max="6" width="18.7109375" style="53" bestFit="1" customWidth="1"/>
    <col min="7" max="7" width="17" style="53" bestFit="1" customWidth="1"/>
    <col min="8" max="8" width="21.7109375" style="53" bestFit="1" customWidth="1"/>
    <col min="9" max="16384" width="9.140625" style="53"/>
  </cols>
  <sheetData>
    <row r="1" spans="1:9">
      <c r="A1" s="1402" t="str">
        <f>Company</f>
        <v>Cascade Natural Gas Corp.</v>
      </c>
      <c r="B1" s="1402"/>
      <c r="C1" s="1402"/>
      <c r="D1" s="1402"/>
      <c r="E1" s="1402"/>
      <c r="F1" s="1402"/>
    </row>
    <row r="2" spans="1:9">
      <c r="A2" s="1402" t="str">
        <f>Title1</f>
        <v>Washington Jurisdiction</v>
      </c>
      <c r="B2" s="1402"/>
      <c r="C2" s="1402"/>
      <c r="D2" s="1402"/>
      <c r="E2" s="1402"/>
      <c r="F2" s="1402"/>
    </row>
    <row r="3" spans="1:9">
      <c r="A3" s="1402" t="str">
        <f>Title2</f>
        <v>Twelve-Months ended December 31, 2023</v>
      </c>
      <c r="B3" s="1402"/>
      <c r="C3" s="1402"/>
      <c r="D3" s="1402"/>
      <c r="E3" s="1402"/>
      <c r="F3" s="1402"/>
    </row>
    <row r="4" spans="1:9">
      <c r="A4" s="1402" t="str">
        <f>Title8</f>
        <v>UG-240008</v>
      </c>
      <c r="B4" s="1402"/>
      <c r="C4" s="1402"/>
      <c r="D4" s="1402"/>
      <c r="E4" s="1402"/>
      <c r="F4" s="1402"/>
    </row>
    <row r="5" spans="1:9">
      <c r="A5" s="1402" t="s">
        <v>219</v>
      </c>
      <c r="B5" s="1402"/>
      <c r="C5" s="1402"/>
      <c r="D5" s="1402"/>
      <c r="E5" s="1402"/>
      <c r="F5" s="1402"/>
    </row>
    <row r="6" spans="1:9">
      <c r="A6" s="1402" t="s">
        <v>568</v>
      </c>
      <c r="B6" s="1402"/>
      <c r="C6" s="1402"/>
      <c r="D6" s="1402"/>
      <c r="E6" s="1402"/>
      <c r="F6" s="1402"/>
    </row>
    <row r="7" spans="1:9">
      <c r="C7" s="1466" t="s">
        <v>1019</v>
      </c>
      <c r="D7" s="1466"/>
      <c r="E7" s="531" t="s">
        <v>629</v>
      </c>
      <c r="F7" s="531" t="s">
        <v>630</v>
      </c>
    </row>
    <row r="8" spans="1:9" ht="30">
      <c r="A8" s="172" t="s">
        <v>536</v>
      </c>
      <c r="B8" s="172" t="s">
        <v>537</v>
      </c>
      <c r="C8" s="476" t="s">
        <v>1020</v>
      </c>
      <c r="D8" s="476" t="s">
        <v>1021</v>
      </c>
      <c r="E8" s="476" t="s">
        <v>1022</v>
      </c>
      <c r="F8" s="476" t="s">
        <v>1023</v>
      </c>
    </row>
    <row r="9" spans="1:9">
      <c r="A9" s="60"/>
      <c r="B9" s="60" t="s">
        <v>439</v>
      </c>
      <c r="C9" s="60" t="s">
        <v>208</v>
      </c>
      <c r="D9" s="60" t="s">
        <v>209</v>
      </c>
      <c r="E9" s="60" t="s">
        <v>440</v>
      </c>
      <c r="F9" s="60" t="s">
        <v>441</v>
      </c>
    </row>
    <row r="10" spans="1:9">
      <c r="A10" s="124">
        <v>1</v>
      </c>
      <c r="B10" s="53" t="s">
        <v>1024</v>
      </c>
      <c r="C10" s="135">
        <f>'Plt-Accum Depn'!AE188</f>
        <v>1093224988.8120835</v>
      </c>
      <c r="D10" s="135">
        <f>'Plt-Accum Depn'!AC188</f>
        <v>1141765084.1700001</v>
      </c>
      <c r="E10" s="135">
        <f>D10+'Provisional Plant Additions'!C13</f>
        <v>1277892911.7555108</v>
      </c>
      <c r="F10" s="135">
        <f>E10+'Provisional Plant Additions'!C43</f>
        <v>1382041045.2260158</v>
      </c>
      <c r="G10" s="121"/>
    </row>
    <row r="11" spans="1:9">
      <c r="A11" s="124">
        <v>2</v>
      </c>
      <c r="B11" s="53" t="s">
        <v>1025</v>
      </c>
      <c r="C11" s="655">
        <f>-'Plt-Accum Depn'!AE196</f>
        <v>-470425318.63249993</v>
      </c>
      <c r="D11" s="655">
        <f>-'Plt-Accum Depn'!AC194+'Plt-Accum Depn'!AC205</f>
        <v>-482855822.53999978</v>
      </c>
      <c r="E11" s="655">
        <f>D11+'Provisional Plant Additions'!C18</f>
        <v>-514501893.30537719</v>
      </c>
      <c r="F11" s="655">
        <f>E11+'Provisional Plant Additions'!C48</f>
        <v>-548698013.24457526</v>
      </c>
      <c r="G11" s="121"/>
      <c r="I11" s="121"/>
    </row>
    <row r="12" spans="1:9">
      <c r="A12" s="124">
        <v>3</v>
      </c>
      <c r="B12" s="224" t="s">
        <v>1026</v>
      </c>
      <c r="C12" s="158">
        <f>+C10+C11</f>
        <v>622799670.17958355</v>
      </c>
      <c r="D12" s="158">
        <f>+D10+D11</f>
        <v>658909261.63000035</v>
      </c>
      <c r="E12" s="158">
        <f>+E10+E11</f>
        <v>763391018.45013356</v>
      </c>
      <c r="F12" s="158">
        <f>+F10+F11</f>
        <v>833343031.98144054</v>
      </c>
      <c r="G12" s="121"/>
    </row>
    <row r="13" spans="1:9">
      <c r="A13" s="124">
        <v>4</v>
      </c>
      <c r="B13" s="53" t="s">
        <v>1027</v>
      </c>
      <c r="C13" s="1013">
        <f>+'CAC-Def Tax'!AX24</f>
        <v>-52941.741666666654</v>
      </c>
      <c r="D13" s="1013">
        <f>+'CAC-Def Tax'!AU24</f>
        <v>-34072.21</v>
      </c>
      <c r="E13" s="1013">
        <f>D13</f>
        <v>-34072.21</v>
      </c>
      <c r="F13" s="1013">
        <f>E13</f>
        <v>-34072.21</v>
      </c>
    </row>
    <row r="14" spans="1:9">
      <c r="A14" s="124">
        <v>5</v>
      </c>
      <c r="B14" s="53" t="s">
        <v>1028</v>
      </c>
      <c r="C14" s="1013">
        <f>+'CAC-Def Tax'!AX44</f>
        <v>-77285664.796666667</v>
      </c>
      <c r="D14" s="1013">
        <f>+'CAC-Def Tax'!AU44</f>
        <v>-77593766.770000011</v>
      </c>
      <c r="E14" s="1013">
        <f>D14+'Provisional Plant Additions'!C20</f>
        <v>-77525005.208095968</v>
      </c>
      <c r="F14" s="1013">
        <f>E14+'Provisional Plant Additions'!C50</f>
        <v>-79292084.076414675</v>
      </c>
      <c r="G14" s="121"/>
      <c r="H14"/>
    </row>
    <row r="15" spans="1:9">
      <c r="A15" s="124">
        <v>6</v>
      </c>
      <c r="B15" s="53" t="s">
        <v>1029</v>
      </c>
      <c r="C15" s="308">
        <f>+'Working Capital (AMA)'!Y838</f>
        <v>38059495.891135238</v>
      </c>
      <c r="D15" s="308">
        <f>+C15+'Pension Adjustment'!C27</f>
        <v>38582822.848597497</v>
      </c>
      <c r="E15" s="308">
        <f>D15</f>
        <v>38582822.848597497</v>
      </c>
      <c r="F15" s="308">
        <f>E15+'Pension Adjustment'!C37</f>
        <v>37947696.210101709</v>
      </c>
    </row>
    <row r="16" spans="1:9" ht="15.75" thickBot="1">
      <c r="A16" s="124">
        <v>7</v>
      </c>
      <c r="B16" s="268" t="s">
        <v>1030</v>
      </c>
      <c r="C16" s="269">
        <f>+C12+C13+C14+C15</f>
        <v>583520559.53238547</v>
      </c>
      <c r="D16" s="269">
        <f>+D12+D13+D14+D15</f>
        <v>619864245.49859786</v>
      </c>
      <c r="E16" s="269">
        <f>+E12+E13+E14+E15</f>
        <v>724414763.88063502</v>
      </c>
      <c r="F16" s="269">
        <f>+F12+F13+F14+F15</f>
        <v>791964571.90512753</v>
      </c>
    </row>
    <row r="17" spans="1:5" ht="15.75" thickTop="1">
      <c r="A17" s="124"/>
    </row>
    <row r="19" spans="1:5">
      <c r="C19" s="121"/>
      <c r="D19" s="158"/>
      <c r="E19" s="1265">
        <f>+E16*'WACC Calculation'!C11</f>
        <v>39850056.161073737</v>
      </c>
    </row>
    <row r="21" spans="1:5">
      <c r="C21" s="158"/>
    </row>
  </sheetData>
  <mergeCells count="7">
    <mergeCell ref="C7:D7"/>
    <mergeCell ref="A1:F1"/>
    <mergeCell ref="A2:F2"/>
    <mergeCell ref="A3:F3"/>
    <mergeCell ref="A4:F4"/>
    <mergeCell ref="A5:F5"/>
    <mergeCell ref="A6:F6"/>
  </mergeCells>
  <printOptions horizontalCentered="1"/>
  <pageMargins left="0.31" right="0.3" top="1" bottom="1" header="0.5" footer="0.5"/>
  <pageSetup scale="82" fitToHeight="0" orientation="portrait" r:id="rId1"/>
  <headerFooter scaleWithDoc="0" alignWithMargins="0">
    <oddHeader>&amp;RPage &amp;P of &amp;N</oddHeader>
    <oddFooter>&amp;LElectronic Tab Name: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K16"/>
  <sheetViews>
    <sheetView workbookViewId="0">
      <selection activeCell="D11" sqref="D11"/>
    </sheetView>
  </sheetViews>
  <sheetFormatPr defaultColWidth="9.140625" defaultRowHeight="15"/>
  <cols>
    <col min="1" max="1" width="5.5703125" style="124" customWidth="1"/>
    <col min="2" max="2" width="43" style="53" customWidth="1"/>
    <col min="3" max="3" width="17.5703125" style="1" bestFit="1" customWidth="1"/>
    <col min="4" max="4" width="10.140625" style="1" bestFit="1" customWidth="1"/>
    <col min="5" max="5" width="13.7109375" style="1" bestFit="1" customWidth="1"/>
    <col min="6" max="6" width="9.140625" style="53"/>
    <col min="7" max="7" width="16.28515625" style="53" bestFit="1" customWidth="1"/>
    <col min="8" max="8" width="9" style="53" bestFit="1" customWidth="1"/>
    <col min="9" max="9" width="16.5703125" style="53" bestFit="1" customWidth="1"/>
    <col min="10" max="16384" width="9.140625" style="53"/>
  </cols>
  <sheetData>
    <row r="1" spans="1:11">
      <c r="A1" s="1402" t="str">
        <f>Company</f>
        <v>Cascade Natural Gas Corp.</v>
      </c>
      <c r="B1" s="1402"/>
      <c r="C1" s="1402"/>
      <c r="D1" s="1402"/>
      <c r="E1" s="1402"/>
      <c r="F1" s="246"/>
      <c r="G1" s="247"/>
      <c r="H1" s="246"/>
    </row>
    <row r="2" spans="1:11">
      <c r="A2" s="1402" t="str">
        <f>Title1</f>
        <v>Washington Jurisdiction</v>
      </c>
      <c r="B2" s="1402"/>
      <c r="C2" s="1402"/>
      <c r="D2" s="1402"/>
      <c r="E2" s="1402"/>
      <c r="F2" s="246"/>
      <c r="G2" s="247"/>
      <c r="H2" s="246"/>
    </row>
    <row r="3" spans="1:11">
      <c r="A3" s="1402" t="str">
        <f>Title2</f>
        <v>Twelve-Months ended December 31, 2023</v>
      </c>
      <c r="B3" s="1402"/>
      <c r="C3" s="1402"/>
      <c r="D3" s="1402"/>
      <c r="E3" s="1402"/>
      <c r="F3" s="248"/>
      <c r="G3" s="248"/>
      <c r="H3" s="248"/>
    </row>
    <row r="4" spans="1:11">
      <c r="A4" s="1402" t="str">
        <f>Title8</f>
        <v>UG-240008</v>
      </c>
      <c r="B4" s="1402"/>
      <c r="C4" s="1402"/>
      <c r="D4" s="1402"/>
      <c r="E4" s="1402"/>
      <c r="F4" s="228"/>
      <c r="G4" s="228"/>
      <c r="H4" s="228"/>
    </row>
    <row r="5" spans="1:11">
      <c r="A5" s="1402" t="s">
        <v>222</v>
      </c>
      <c r="B5" s="1402"/>
      <c r="C5" s="1402"/>
      <c r="D5" s="1402"/>
      <c r="E5" s="1402"/>
      <c r="F5" s="228"/>
      <c r="G5" s="228"/>
      <c r="H5" s="228"/>
    </row>
    <row r="6" spans="1:11">
      <c r="A6" s="1402" t="s">
        <v>661</v>
      </c>
      <c r="B6" s="1402"/>
      <c r="C6" s="1402"/>
      <c r="D6" s="1402"/>
      <c r="E6" s="1402"/>
      <c r="F6" s="246"/>
      <c r="G6" s="246"/>
      <c r="H6" s="246"/>
    </row>
    <row r="7" spans="1:11">
      <c r="C7" s="1468"/>
      <c r="D7" s="1468"/>
      <c r="E7" s="1468"/>
    </row>
    <row r="8" spans="1:11" ht="30">
      <c r="A8" s="283" t="s">
        <v>536</v>
      </c>
      <c r="B8" s="249" t="s">
        <v>537</v>
      </c>
      <c r="C8" s="249" t="s">
        <v>1031</v>
      </c>
      <c r="D8" s="249" t="s">
        <v>1032</v>
      </c>
      <c r="E8" s="249" t="s">
        <v>1033</v>
      </c>
      <c r="F8" s="246"/>
      <c r="G8"/>
    </row>
    <row r="9" spans="1:11">
      <c r="A9" s="250"/>
      <c r="B9" s="477" t="s">
        <v>439</v>
      </c>
      <c r="C9" s="477" t="s">
        <v>208</v>
      </c>
      <c r="D9" s="477" t="s">
        <v>209</v>
      </c>
      <c r="E9" s="477" t="s">
        <v>440</v>
      </c>
      <c r="F9" s="246"/>
      <c r="G9" s="246"/>
      <c r="H9" s="246"/>
      <c r="J9" s="246"/>
      <c r="K9" s="246"/>
    </row>
    <row r="10" spans="1:11">
      <c r="A10" s="124">
        <v>1</v>
      </c>
      <c r="B10" s="251" t="s">
        <v>1034</v>
      </c>
      <c r="C10" s="482">
        <v>0.44213999999999998</v>
      </c>
      <c r="D10" s="482">
        <v>4.9155999999999998E-2</v>
      </c>
      <c r="E10" s="482">
        <f>ROUND(+C10*D10,5)</f>
        <v>2.1729999999999999E-2</v>
      </c>
      <c r="F10" s="246"/>
      <c r="G10" s="478"/>
      <c r="H10" s="73"/>
      <c r="I10" s="109"/>
      <c r="J10" s="478"/>
      <c r="K10" s="73"/>
    </row>
    <row r="11" spans="1:11">
      <c r="A11" s="124">
        <v>2</v>
      </c>
      <c r="B11" s="251" t="s">
        <v>1035</v>
      </c>
      <c r="C11" s="482">
        <v>5.5010000000000003E-2</v>
      </c>
      <c r="D11" s="482">
        <v>8.0140000000000003E-2</v>
      </c>
      <c r="E11" s="482">
        <f>ROUND(+C11*D11,5)</f>
        <v>4.4099999999999999E-3</v>
      </c>
      <c r="F11" s="246"/>
      <c r="G11" s="478"/>
      <c r="H11" s="73"/>
      <c r="I11" s="109"/>
      <c r="J11" s="478"/>
      <c r="K11" s="73"/>
    </row>
    <row r="12" spans="1:11">
      <c r="A12" s="124">
        <v>3</v>
      </c>
      <c r="B12" s="251" t="s">
        <v>1036</v>
      </c>
      <c r="C12" s="482">
        <v>0</v>
      </c>
      <c r="D12" s="482">
        <v>0</v>
      </c>
      <c r="E12" s="482">
        <f>ROUND(+C12*D12,5)</f>
        <v>0</v>
      </c>
      <c r="F12" s="246"/>
      <c r="G12" s="479"/>
      <c r="H12" s="246"/>
      <c r="J12" s="479"/>
      <c r="K12" s="246"/>
    </row>
    <row r="13" spans="1:11">
      <c r="A13" s="124">
        <v>4</v>
      </c>
      <c r="B13" s="251" t="s">
        <v>1037</v>
      </c>
      <c r="C13" s="482">
        <v>0.50285000000000002</v>
      </c>
      <c r="D13" s="482">
        <v>0.105</v>
      </c>
      <c r="E13" s="482">
        <f>ROUND(+C13*D13,5)</f>
        <v>5.28E-2</v>
      </c>
      <c r="F13" s="246"/>
      <c r="G13" s="478"/>
      <c r="H13" s="73"/>
      <c r="J13" s="478"/>
      <c r="K13" s="73"/>
    </row>
    <row r="14" spans="1:11" ht="15.75" thickBot="1">
      <c r="A14" s="124">
        <v>5</v>
      </c>
      <c r="B14" s="252" t="s">
        <v>1038</v>
      </c>
      <c r="C14" s="514">
        <f>SUM(C10:C13)</f>
        <v>1</v>
      </c>
      <c r="D14" s="482"/>
      <c r="E14" s="761">
        <f>SUM(E10:E13)</f>
        <v>7.8939999999999996E-2</v>
      </c>
      <c r="F14" s="246"/>
      <c r="G14" s="246"/>
      <c r="H14" s="246"/>
    </row>
    <row r="15" spans="1:11" ht="15.75" thickTop="1">
      <c r="A15" s="253"/>
      <c r="B15" s="246"/>
      <c r="C15" s="246"/>
      <c r="D15" s="246"/>
      <c r="E15" s="246"/>
      <c r="F15" s="246"/>
      <c r="G15" s="246"/>
      <c r="H15" s="73"/>
      <c r="I15" s="480"/>
    </row>
    <row r="16" spans="1:11" ht="16.899999999999999" customHeight="1">
      <c r="A16" s="1467"/>
      <c r="B16" s="1467"/>
      <c r="C16" s="1467"/>
      <c r="D16" s="1467"/>
      <c r="E16" s="1467"/>
      <c r="F16" s="246"/>
      <c r="G16" s="246"/>
    </row>
  </sheetData>
  <mergeCells count="8">
    <mergeCell ref="A16:E16"/>
    <mergeCell ref="C7:E7"/>
    <mergeCell ref="A1:E1"/>
    <mergeCell ref="A4:E4"/>
    <mergeCell ref="A5:E5"/>
    <mergeCell ref="A6:E6"/>
    <mergeCell ref="A3:E3"/>
    <mergeCell ref="A2:E2"/>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D391-246D-47F3-97E5-15484B75B83C}">
  <sheetPr codeName="Sheet13">
    <pageSetUpPr fitToPage="1"/>
  </sheetPr>
  <dimension ref="A1:DH54"/>
  <sheetViews>
    <sheetView view="pageBreakPreview" zoomScale="60" zoomScaleNormal="100" workbookViewId="0">
      <selection activeCell="A19" sqref="A19:A838"/>
    </sheetView>
  </sheetViews>
  <sheetFormatPr defaultColWidth="9.140625" defaultRowHeight="15"/>
  <cols>
    <col min="1" max="1" width="6" style="53" customWidth="1"/>
    <col min="2" max="2" width="60.7109375" style="53" customWidth="1"/>
    <col min="3" max="3" width="14.5703125" style="1" customWidth="1"/>
    <col min="4" max="4" width="13.85546875" style="1" bestFit="1" customWidth="1"/>
    <col min="5" max="5" width="17.28515625" style="1" bestFit="1" customWidth="1"/>
    <col min="6" max="6" width="18.5703125" style="1" bestFit="1" customWidth="1"/>
    <col min="7" max="7" width="16.28515625" style="1" customWidth="1"/>
    <col min="8" max="9" width="13.5703125" style="1" customWidth="1"/>
    <col min="10" max="10" width="19" style="1" bestFit="1" customWidth="1"/>
    <col min="11" max="11" width="2.140625" style="1" customWidth="1"/>
    <col min="12" max="12" width="25.7109375" style="1" bestFit="1" customWidth="1"/>
    <col min="13" max="13" width="15.42578125" style="1" bestFit="1" customWidth="1"/>
    <col min="14" max="14" width="17.5703125" style="1" bestFit="1" customWidth="1"/>
    <col min="15" max="15" width="15.28515625" style="1" bestFit="1" customWidth="1"/>
    <col min="16" max="16" width="13.28515625" style="53" bestFit="1" customWidth="1"/>
    <col min="17" max="18" width="14.28515625" style="53" bestFit="1" customWidth="1"/>
    <col min="19" max="19" width="13.28515625" style="53" bestFit="1" customWidth="1"/>
    <col min="20" max="20" width="16.28515625" style="53" bestFit="1" customWidth="1"/>
    <col min="21" max="16384" width="9.140625" style="53"/>
  </cols>
  <sheetData>
    <row r="1" spans="1:16">
      <c r="A1" s="91" t="str">
        <f>Company</f>
        <v>Cascade Natural Gas Corp.</v>
      </c>
      <c r="B1" s="91"/>
      <c r="C1" s="91"/>
      <c r="D1" s="91"/>
      <c r="E1" s="91"/>
      <c r="F1" s="91"/>
      <c r="G1" s="91"/>
      <c r="H1" s="91"/>
      <c r="I1" s="91"/>
      <c r="J1" s="91"/>
      <c r="K1" s="91"/>
    </row>
    <row r="2" spans="1:16">
      <c r="A2" s="91" t="str">
        <f>Title1</f>
        <v>Washington Jurisdiction</v>
      </c>
      <c r="B2" s="91"/>
      <c r="C2" s="91"/>
      <c r="D2" s="91"/>
      <c r="E2" s="133"/>
      <c r="F2" s="133"/>
      <c r="G2" s="133"/>
      <c r="H2" s="91"/>
      <c r="I2" s="91"/>
      <c r="K2" s="91"/>
    </row>
    <row r="3" spans="1:16">
      <c r="A3" s="91" t="str">
        <f>Title2</f>
        <v>Twelve-Months ended December 31, 2023</v>
      </c>
      <c r="B3" s="91"/>
      <c r="C3" s="91"/>
      <c r="D3" s="91"/>
      <c r="E3" s="133"/>
      <c r="F3" s="91"/>
      <c r="G3" s="91"/>
      <c r="H3" s="91"/>
      <c r="I3" s="91"/>
      <c r="J3" s="91"/>
      <c r="K3" s="91"/>
    </row>
    <row r="4" spans="1:16">
      <c r="A4" s="91" t="s">
        <v>662</v>
      </c>
      <c r="B4" s="282"/>
      <c r="C4" s="282"/>
      <c r="D4" s="282"/>
      <c r="E4" s="133"/>
      <c r="F4" s="133"/>
      <c r="G4" s="448"/>
      <c r="H4" s="282"/>
      <c r="I4" s="282"/>
      <c r="J4" s="282"/>
      <c r="K4" s="282"/>
    </row>
    <row r="5" spans="1:16">
      <c r="A5" s="91" t="s">
        <v>224</v>
      </c>
      <c r="B5" s="91"/>
      <c r="C5" s="91"/>
      <c r="D5" s="91"/>
      <c r="E5" s="448"/>
      <c r="F5" s="282"/>
      <c r="G5" s="282"/>
      <c r="H5" s="282"/>
      <c r="I5" s="282"/>
      <c r="J5" s="282"/>
      <c r="K5" s="282"/>
      <c r="N5" s="19"/>
    </row>
    <row r="6" spans="1:16">
      <c r="A6" s="91"/>
      <c r="B6" s="282"/>
      <c r="C6" s="1469" t="s">
        <v>1039</v>
      </c>
      <c r="D6" s="1469"/>
      <c r="E6" s="1470" t="s">
        <v>1040</v>
      </c>
      <c r="F6" s="1469"/>
      <c r="G6" s="932" t="s">
        <v>1041</v>
      </c>
      <c r="H6" s="1471" t="s">
        <v>1042</v>
      </c>
      <c r="I6" s="1472"/>
      <c r="J6" s="1473"/>
      <c r="K6" s="282"/>
      <c r="N6" s="19"/>
    </row>
    <row r="7" spans="1:16" ht="45">
      <c r="A7" s="125" t="s">
        <v>536</v>
      </c>
      <c r="B7" s="428" t="s">
        <v>537</v>
      </c>
      <c r="C7" s="125" t="s">
        <v>1043</v>
      </c>
      <c r="D7" s="125" t="s">
        <v>1044</v>
      </c>
      <c r="E7" s="352" t="s">
        <v>144</v>
      </c>
      <c r="F7" s="125" t="s">
        <v>145</v>
      </c>
      <c r="G7" s="360" t="s">
        <v>149</v>
      </c>
      <c r="H7" s="570" t="s">
        <v>146</v>
      </c>
      <c r="I7" s="571" t="s">
        <v>148</v>
      </c>
      <c r="J7" s="126" t="s">
        <v>1045</v>
      </c>
      <c r="K7" s="127"/>
      <c r="N7" s="19"/>
    </row>
    <row r="8" spans="1:16">
      <c r="A8" s="125"/>
      <c r="B8" s="428"/>
      <c r="C8" s="128" t="s">
        <v>1046</v>
      </c>
      <c r="D8" s="128" t="s">
        <v>1047</v>
      </c>
      <c r="E8" s="1474" t="s">
        <v>1048</v>
      </c>
      <c r="F8" s="1474"/>
      <c r="G8" s="128" t="s">
        <v>1049</v>
      </c>
      <c r="H8" s="494" t="s">
        <v>1050</v>
      </c>
      <c r="I8" s="128" t="s">
        <v>1051</v>
      </c>
      <c r="J8" s="129"/>
      <c r="K8" s="127"/>
      <c r="N8" s="16"/>
    </row>
    <row r="9" spans="1:16">
      <c r="B9" s="115"/>
      <c r="C9" s="975"/>
      <c r="D9" s="975"/>
      <c r="E9" s="975"/>
      <c r="F9" s="975"/>
      <c r="G9" s="975"/>
      <c r="H9" s="975"/>
      <c r="I9" s="975"/>
      <c r="J9" s="975"/>
      <c r="K9" s="131"/>
    </row>
    <row r="10" spans="1:16">
      <c r="A10" s="130">
        <v>1</v>
      </c>
      <c r="B10" s="110" t="s">
        <v>511</v>
      </c>
      <c r="C10" s="1008">
        <f>SUM('Exh JAD-2, TY Revenues'!F21)</f>
        <v>275820.42879999999</v>
      </c>
      <c r="D10" s="1008">
        <f>SUM('Exh JAD-2, TY Revenues'!F22)</f>
        <v>376809.66170000006</v>
      </c>
      <c r="E10" s="1008">
        <f>SUM('Exh JAD-2, TY Revenues'!F15)</f>
        <v>-88202461.570199996</v>
      </c>
      <c r="F10" s="1008">
        <f>SUM('Exh JAD-2, TY Revenues'!F16)</f>
        <v>-24693669.875400003</v>
      </c>
      <c r="G10" s="1008">
        <f>SUM('Exh JAD-2, TY Revenues'!F20)</f>
        <v>-4342527.4752000002</v>
      </c>
      <c r="H10" s="1008">
        <f>SUM('Exh JAD-2, TY Revenues'!F17,'Exh JAD-2, TY Revenues'!F28)</f>
        <v>-32480.776599999983</v>
      </c>
      <c r="I10" s="1008">
        <f>SUM('Exh JAD-2, TY Revenues'!F19,'Exh JAD-2, TY Revenues'!F27)</f>
        <v>-13570.738299999852</v>
      </c>
      <c r="J10" s="976">
        <f>SUM(C10:I10)</f>
        <v>-116632080.3452</v>
      </c>
      <c r="K10" s="133"/>
      <c r="P10"/>
    </row>
    <row r="11" spans="1:16">
      <c r="A11" s="130">
        <v>2</v>
      </c>
      <c r="B11" s="110" t="s">
        <v>513</v>
      </c>
      <c r="C11" s="1008">
        <f>SUM('Exh JAD-2, TY Revenues'!F43,'Exh JAD-2, TY Revenues'!F67,'Exh JAD-2, TY Revenues'!F91,'Exh JAD-2, TY Revenues'!F115)</f>
        <v>185010.12075001042</v>
      </c>
      <c r="D11" s="1008">
        <f>SUM('Exh JAD-2, TY Revenues'!F44,'Exh JAD-2, TY Revenues'!F68,'Exh JAD-2, TY Revenues'!F92,'Exh JAD-2, TY Revenues'!F116)</f>
        <v>249887.86121622653</v>
      </c>
      <c r="E11" s="1008">
        <f>SUM('Exh JAD-2, TY Revenues'!F37,'Exh JAD-2, TY Revenues'!F61,'Exh JAD-2, TY Revenues'!F85,'Exh JAD-2, TY Revenues'!F109)+'Exh JAD-2, TY Revenues'!F96+'Exh JAD-2, TY Revenues'!F120</f>
        <v>-85836553.553670108</v>
      </c>
      <c r="F11" s="1008">
        <f>SUM('Exh JAD-2, TY Revenues'!F38,'Exh JAD-2, TY Revenues'!F62,'Exh JAD-2, TY Revenues'!F86,'Exh JAD-2, TY Revenues'!F110)</f>
        <v>-23675227.225650005</v>
      </c>
      <c r="G11" s="1008">
        <f>SUM('Exh JAD-2, TY Revenues'!F42,'Exh JAD-2, TY Revenues'!F66,'Exh JAD-2, TY Revenues'!F90,'Exh JAD-2, TY Revenues'!F114)</f>
        <v>-4169234.1371199996</v>
      </c>
      <c r="H11" s="1008">
        <f>SUM('Exh JAD-2, TY Revenues'!F39,'Exh JAD-2, TY Revenues'!F63,'Exh JAD-2, TY Revenues'!F87,'Exh JAD-2, TY Revenues'!F111)+SUM('Exh JAD-2, TY Revenues'!F50,'Exh JAD-2, TY Revenues'!F74,'Exh JAD-2, TY Revenues'!F99,'Exh JAD-2, TY Revenues'!F123)</f>
        <v>-23491.67659956147</v>
      </c>
      <c r="I11" s="1008">
        <f>SUM('Exh JAD-2, TY Revenues'!F41,'Exh JAD-2, TY Revenues'!F49,'Exh JAD-2, TY Revenues'!F65,'Exh JAD-2, TY Revenues'!F73,'Exh JAD-2, TY Revenues'!F89,'Exh JAD-2, TY Revenues'!F98,'Exh JAD-2, TY Revenues'!F113,'Exh JAD-2, TY Revenues'!F122)</f>
        <v>-110747.31737047457</v>
      </c>
      <c r="J11" s="976">
        <f>SUM(C11:I11)</f>
        <v>-113380355.92844389</v>
      </c>
      <c r="K11" s="133"/>
      <c r="L11" s="1" t="s">
        <v>1052</v>
      </c>
      <c r="M11" s="1012">
        <f>SUM(J10:J12)</f>
        <v>-229729905.2536439</v>
      </c>
      <c r="P11"/>
    </row>
    <row r="12" spans="1:16">
      <c r="A12" s="130">
        <v>3</v>
      </c>
      <c r="B12" s="110" t="s">
        <v>518</v>
      </c>
      <c r="C12" s="1009">
        <f>'Exh JAD-2, TY Revenues'!F139</f>
        <v>86569.42</v>
      </c>
      <c r="D12" s="1009">
        <f>'Exh JAD-2, TY Revenues'!F140</f>
        <v>219606.21</v>
      </c>
      <c r="E12" s="1009"/>
      <c r="F12" s="1009"/>
      <c r="G12" s="1009"/>
      <c r="H12" s="1009">
        <f>'Exh JAD-2, TY Revenues'!F137+'Exh JAD-2, TY Revenues'!F146</f>
        <v>-23644.609999999928</v>
      </c>
      <c r="I12" s="1009"/>
      <c r="J12" s="976">
        <f>SUM(C12:I12)</f>
        <v>282531.02000000008</v>
      </c>
      <c r="K12" s="136"/>
      <c r="L12" s="1" t="s">
        <v>1053</v>
      </c>
      <c r="M12" s="1012">
        <f>'Exh JAD-2, TY Revenues'!F166</f>
        <v>-229729905.2536439</v>
      </c>
      <c r="P12"/>
    </row>
    <row r="13" spans="1:16">
      <c r="A13" s="137">
        <v>4</v>
      </c>
      <c r="B13" s="110" t="s">
        <v>193</v>
      </c>
      <c r="C13" s="1010">
        <f>C28</f>
        <v>-540824.72</v>
      </c>
      <c r="D13" s="1010">
        <f>D29</f>
        <v>-843608.2300000001</v>
      </c>
      <c r="E13" s="1010"/>
      <c r="F13" s="1010"/>
      <c r="G13" s="1010"/>
      <c r="H13" s="1010"/>
      <c r="I13" s="1010"/>
      <c r="J13" s="1011">
        <f>SUM(C13:I13)</f>
        <v>-1384432.9500000002</v>
      </c>
      <c r="K13" s="136"/>
      <c r="L13" s="1" t="s">
        <v>201</v>
      </c>
      <c r="M13" s="1001">
        <f>M11-M12</f>
        <v>0</v>
      </c>
      <c r="P13"/>
    </row>
    <row r="14" spans="1:16">
      <c r="A14" s="130">
        <v>5</v>
      </c>
      <c r="B14" s="117" t="s">
        <v>1054</v>
      </c>
      <c r="C14" s="133">
        <f>SUM(C10:C13)</f>
        <v>6575.2495500104269</v>
      </c>
      <c r="D14" s="133">
        <f t="shared" ref="D14:I14" si="0">SUM(D10:D13)</f>
        <v>2695.5029162265128</v>
      </c>
      <c r="E14" s="970">
        <f t="shared" si="0"/>
        <v>-174039015.1238701</v>
      </c>
      <c r="F14" s="970">
        <f t="shared" si="0"/>
        <v>-48368897.101050004</v>
      </c>
      <c r="G14" s="970">
        <f t="shared" si="0"/>
        <v>-8511761.6123200003</v>
      </c>
      <c r="H14" s="970">
        <f t="shared" si="0"/>
        <v>-79617.06319956138</v>
      </c>
      <c r="I14" s="970">
        <f t="shared" si="0"/>
        <v>-124318.05567047442</v>
      </c>
      <c r="J14" s="973">
        <f>SUM(C14:I14)</f>
        <v>-231114338.20364392</v>
      </c>
      <c r="K14" s="133"/>
      <c r="L14" s="42"/>
      <c r="P14"/>
    </row>
    <row r="15" spans="1:16">
      <c r="A15" s="130"/>
      <c r="B15" s="115"/>
      <c r="C15" s="140"/>
      <c r="D15" s="140"/>
      <c r="E15" s="973"/>
      <c r="F15" s="973"/>
      <c r="G15" s="973"/>
      <c r="H15" s="973"/>
      <c r="I15" s="973"/>
      <c r="J15" s="973"/>
      <c r="K15" s="133"/>
      <c r="P15"/>
    </row>
    <row r="16" spans="1:16">
      <c r="A16" s="130">
        <v>6</v>
      </c>
      <c r="B16" s="118" t="s">
        <v>1055</v>
      </c>
      <c r="C16" s="133">
        <v>0</v>
      </c>
      <c r="D16" s="133">
        <v>0</v>
      </c>
      <c r="E16" s="1008">
        <f>E30</f>
        <v>-166538731.02000001</v>
      </c>
      <c r="F16" s="1008">
        <f>F31</f>
        <v>-46320570.579999998</v>
      </c>
      <c r="G16" s="970">
        <v>0</v>
      </c>
      <c r="H16" s="970">
        <v>0</v>
      </c>
      <c r="I16" s="970">
        <v>0</v>
      </c>
      <c r="J16" s="973">
        <f t="shared" ref="J16:J21" si="1">SUM(C16:I16)</f>
        <v>-212859301.60000002</v>
      </c>
      <c r="K16" s="136"/>
      <c r="P16"/>
    </row>
    <row r="17" spans="1:112">
      <c r="A17" s="130">
        <v>7</v>
      </c>
      <c r="B17" s="118" t="s">
        <v>555</v>
      </c>
      <c r="C17" s="133">
        <f>+C14*('Exh JAD-6, Conversion Factor'!$E$11+'Exh JAD-6, Conversion Factor'!$E$12)</f>
        <v>266.42911176642252</v>
      </c>
      <c r="D17" s="133">
        <f>+D14*('Exh JAD-6, Conversion Factor'!$E$11+'Exh JAD-6, Conversion Factor'!$E$12)</f>
        <v>109.22177816549829</v>
      </c>
      <c r="E17" s="970">
        <f>+E14*('Exh JAD-6, Conversion Factor'!$E$11+'Exh JAD-6, Conversion Factor'!$E$12)</f>
        <v>-7052060.8928192165</v>
      </c>
      <c r="F17" s="970">
        <f>+F14*('Exh JAD-6, Conversion Factor'!$E$11+'Exh JAD-6, Conversion Factor'!$E$12)</f>
        <v>-1959907.7105345463</v>
      </c>
      <c r="G17" s="970">
        <f>+G14*('Exh JAD-6, Conversion Factor'!$E$11+'Exh JAD-6, Conversion Factor'!$E$12)</f>
        <v>-344896.58053120639</v>
      </c>
      <c r="H17" s="970">
        <f>SUM('Exh JAD-2, TY Revenues'!F17,'Exh JAD-2, TY Revenues'!F39,'Exh JAD-2, TY Revenues'!F63,'Exh JAD-2, TY Revenues'!F87,'Exh JAD-2, TY Revenues'!F111,'Exh JAD-2, TY Revenues'!F137)*('Exh JAD-6, Conversion Factor'!$E$11+'Exh JAD-6, Conversion Factor'!$E$12)</f>
        <v>-75030.927486046232</v>
      </c>
      <c r="I17" s="970">
        <f>SUM('Exh JAD-2, TY Revenues'!F19,'Exh JAD-2, TY Revenues'!F41,'Exh JAD-2, TY Revenues'!F65,'Exh JAD-2, TY Revenues'!F89,'Exh JAD-2, TY Revenues'!F113)*('Exh JAD-6, Conversion Factor'!$E$11+'Exh JAD-6, Conversion Factor'!$E$12)</f>
        <v>-127876.92397856762</v>
      </c>
      <c r="J17" s="973">
        <f t="shared" si="1"/>
        <v>-9559397.3844596501</v>
      </c>
      <c r="K17" s="136"/>
      <c r="P17"/>
    </row>
    <row r="18" spans="1:112">
      <c r="A18" s="130">
        <v>8</v>
      </c>
      <c r="B18" s="118" t="s">
        <v>613</v>
      </c>
      <c r="C18" s="133">
        <f>+C14*'Exh JAD-6, Conversion Factor'!$E$10</f>
        <v>24.394175830538686</v>
      </c>
      <c r="D18" s="133">
        <f>+D14*'Exh JAD-6, Conversion Factor'!$E$10</f>
        <v>10.000315819200363</v>
      </c>
      <c r="E18" s="970">
        <f>+E14*'Exh JAD-6, Conversion Factor'!$E$10</f>
        <v>-645684.74610955815</v>
      </c>
      <c r="F18" s="970">
        <f>+F14*'Exh JAD-6, Conversion Factor'!$E$10</f>
        <v>-179448.60824489553</v>
      </c>
      <c r="G18" s="970">
        <f>+G14*'Exh JAD-6, Conversion Factor'!$E$10</f>
        <v>-31578.635581707204</v>
      </c>
      <c r="H18" s="970">
        <f>SUM('Exh JAD-2, TY Revenues'!F17,'Exh JAD-2, TY Revenues'!F39,'Exh JAD-2, TY Revenues'!F63,'Exh JAD-2, TY Revenues'!F87,'Exh JAD-2, TY Revenues'!F111,'Exh JAD-2, TY Revenues'!F137)*'Exh JAD-6, Conversion Factor'!$E$10</f>
        <v>-6869.8109815703738</v>
      </c>
      <c r="I18" s="970">
        <f>+I14*'Exh JAD-6, Conversion Factor'!$E$10</f>
        <v>-461.21998653746016</v>
      </c>
      <c r="J18" s="973">
        <f t="shared" si="1"/>
        <v>-864008.62641261914</v>
      </c>
      <c r="K18" s="136"/>
      <c r="P18"/>
    </row>
    <row r="19" spans="1:112">
      <c r="A19" s="130">
        <v>9</v>
      </c>
      <c r="B19" s="118" t="s">
        <v>893</v>
      </c>
      <c r="C19" s="133">
        <v>0</v>
      </c>
      <c r="D19" s="133">
        <v>0</v>
      </c>
      <c r="E19" s="970">
        <v>0</v>
      </c>
      <c r="F19" s="970">
        <v>0</v>
      </c>
      <c r="G19" s="1008">
        <f>G32</f>
        <v>-8150919.2300000004</v>
      </c>
      <c r="H19" s="970">
        <v>0</v>
      </c>
      <c r="I19" s="970">
        <v>0</v>
      </c>
      <c r="J19" s="973">
        <f t="shared" si="1"/>
        <v>-8150919.2300000004</v>
      </c>
      <c r="K19" s="136"/>
      <c r="L19" s="48"/>
      <c r="N19" s="6"/>
      <c r="P19"/>
      <c r="Q19" s="132"/>
      <c r="R19" s="132"/>
      <c r="S19" s="132"/>
      <c r="T19" s="132"/>
    </row>
    <row r="20" spans="1:112">
      <c r="A20" s="130">
        <v>10</v>
      </c>
      <c r="B20" s="118" t="s">
        <v>565</v>
      </c>
      <c r="C20" s="138">
        <f>(C14-SUM(C16:C19))*'Exh JAD-6, Conversion Factor'!$C$33</f>
        <v>1319.7295151068276</v>
      </c>
      <c r="D20" s="138">
        <f>(D14-SUM(D16:D19))*'Exh JAD-6, Conversion Factor'!$C$33</f>
        <v>541.01897267078095</v>
      </c>
      <c r="E20" s="138">
        <f>(E14-SUM(E16:E19))*'Exh JAD-6, Conversion Factor'!$C$33</f>
        <v>41466.922362322213</v>
      </c>
      <c r="F20" s="138">
        <f>(F14-SUM(F16:F19))*'Exh JAD-6, Conversion Factor'!$C$33</f>
        <v>19116.257523180841</v>
      </c>
      <c r="G20" s="138">
        <f>(G14-SUM(G16:G19))*'Exh JAD-6, Conversion Factor'!$C$33</f>
        <v>3282.8950965118779</v>
      </c>
      <c r="H20" s="138">
        <f>(H14-SUM(H16:H19))*'Exh JAD-6, Conversion Factor'!$C$33</f>
        <v>479.57180629159848</v>
      </c>
      <c r="I20" s="138">
        <f>(I14-SUM(I16:I19))*'Exh JAD-6, Conversion Factor'!$C$33</f>
        <v>844.21854187243684</v>
      </c>
      <c r="J20" s="359">
        <f t="shared" si="1"/>
        <v>67050.613817956575</v>
      </c>
      <c r="K20" s="136"/>
      <c r="P20"/>
    </row>
    <row r="21" spans="1:112">
      <c r="A21" s="130">
        <v>11</v>
      </c>
      <c r="B21" s="117" t="s">
        <v>1056</v>
      </c>
      <c r="C21" s="136">
        <f t="shared" ref="C21:I21" si="2">SUM(C16:C20)</f>
        <v>1610.552802703789</v>
      </c>
      <c r="D21" s="136">
        <f t="shared" si="2"/>
        <v>660.24106665547959</v>
      </c>
      <c r="E21" s="971">
        <f t="shared" si="2"/>
        <v>-174195009.73656645</v>
      </c>
      <c r="F21" s="971">
        <f t="shared" si="2"/>
        <v>-48440810.641256258</v>
      </c>
      <c r="G21" s="971">
        <f t="shared" si="2"/>
        <v>-8524111.5510164015</v>
      </c>
      <c r="H21" s="971">
        <f t="shared" si="2"/>
        <v>-81421.166661325013</v>
      </c>
      <c r="I21" s="971">
        <f t="shared" si="2"/>
        <v>-127493.92542323263</v>
      </c>
      <c r="J21" s="973">
        <f t="shared" si="1"/>
        <v>-231366576.22705433</v>
      </c>
      <c r="K21" s="136"/>
      <c r="L21" s="48"/>
      <c r="N21" s="48"/>
      <c r="T21" s="144"/>
    </row>
    <row r="22" spans="1:112">
      <c r="A22" s="130"/>
      <c r="B22" s="117"/>
      <c r="C22" s="136"/>
      <c r="D22" s="136"/>
      <c r="E22" s="136"/>
      <c r="F22" s="136"/>
      <c r="G22" s="136"/>
      <c r="H22" s="136"/>
      <c r="I22" s="136"/>
      <c r="J22" s="140"/>
      <c r="K22" s="136"/>
      <c r="N22" s="48"/>
      <c r="T22" s="144"/>
    </row>
    <row r="23" spans="1:112">
      <c r="A23" s="130">
        <v>12</v>
      </c>
      <c r="B23" s="115" t="s">
        <v>1057</v>
      </c>
      <c r="C23" s="145">
        <f t="shared" ref="C23:I23" si="3">+C14-C21</f>
        <v>4964.6967473066379</v>
      </c>
      <c r="D23" s="145">
        <f t="shared" si="3"/>
        <v>2035.2618495710331</v>
      </c>
      <c r="E23" s="145">
        <f t="shared" si="3"/>
        <v>155994.61269634962</v>
      </c>
      <c r="F23" s="145">
        <f t="shared" si="3"/>
        <v>71913.540206253529</v>
      </c>
      <c r="G23" s="145">
        <f t="shared" si="3"/>
        <v>12349.938696401194</v>
      </c>
      <c r="H23" s="145">
        <f t="shared" si="3"/>
        <v>1804.1034617636324</v>
      </c>
      <c r="I23" s="145">
        <f t="shared" si="3"/>
        <v>3175.8697527582117</v>
      </c>
      <c r="J23" s="146">
        <f>SUM(C23:I23)</f>
        <v>252238.02341040384</v>
      </c>
      <c r="K23" s="133"/>
      <c r="M23" s="1001"/>
    </row>
    <row r="24" spans="1:112">
      <c r="A24" s="130"/>
      <c r="B24" s="115"/>
      <c r="C24" s="140"/>
      <c r="D24" s="140"/>
      <c r="E24" s="140"/>
      <c r="F24" s="140"/>
      <c r="G24" s="140"/>
      <c r="H24" s="140"/>
      <c r="I24" s="140"/>
      <c r="J24" s="140"/>
      <c r="K24" s="136"/>
      <c r="M24" s="1001"/>
      <c r="T24" s="144"/>
    </row>
    <row r="25" spans="1:112">
      <c r="A25" s="127"/>
      <c r="B25" s="127"/>
      <c r="C25" s="157"/>
      <c r="D25" s="157"/>
      <c r="E25" s="157"/>
      <c r="F25" s="157"/>
      <c r="G25" s="157"/>
      <c r="H25" s="157"/>
      <c r="I25" s="157"/>
      <c r="J25" s="127"/>
      <c r="K25" s="157"/>
      <c r="M25" s="1012"/>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row>
    <row r="26" spans="1:112">
      <c r="A26" s="127"/>
      <c r="B26" s="127"/>
      <c r="C26" s="1002"/>
      <c r="D26" s="1002"/>
      <c r="E26" s="1002"/>
      <c r="F26" s="1002"/>
      <c r="G26" s="1002"/>
      <c r="J26" s="127"/>
      <c r="K26" s="157"/>
      <c r="M26" s="1001"/>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row>
    <row r="27" spans="1:112">
      <c r="A27" s="358"/>
      <c r="C27" s="1001"/>
      <c r="D27" s="1001"/>
      <c r="M27" s="1001"/>
    </row>
    <row r="28" spans="1:112">
      <c r="A28" s="358"/>
      <c r="B28" t="s">
        <v>1058</v>
      </c>
      <c r="C28" s="1003">
        <f>-407728.91-133095.81</f>
        <v>-540824.72</v>
      </c>
    </row>
    <row r="29" spans="1:112">
      <c r="B29" t="s">
        <v>1059</v>
      </c>
      <c r="C29" s="1003"/>
      <c r="D29" s="1003">
        <f>-807038.55-36569.68</f>
        <v>-843608.2300000001</v>
      </c>
    </row>
    <row r="30" spans="1:112">
      <c r="B30" t="s">
        <v>1060</v>
      </c>
      <c r="C30" s="1004"/>
      <c r="E30" s="1003">
        <f>-166538731-0.02</f>
        <v>-166538731.02000001</v>
      </c>
      <c r="F30" s="1005"/>
    </row>
    <row r="31" spans="1:112">
      <c r="B31" t="s">
        <v>1061</v>
      </c>
      <c r="F31" s="1003">
        <v>-46320570.579999998</v>
      </c>
      <c r="N31" s="20"/>
      <c r="O31" s="42"/>
    </row>
    <row r="32" spans="1:112">
      <c r="B32" t="s">
        <v>1062</v>
      </c>
      <c r="G32" s="1003">
        <v>-8150919.2300000004</v>
      </c>
      <c r="N32" s="20"/>
      <c r="O32" s="42"/>
    </row>
    <row r="33" spans="2:15">
      <c r="B33"/>
      <c r="N33" s="20"/>
      <c r="O33" s="42"/>
    </row>
    <row r="34" spans="2:15">
      <c r="B34"/>
      <c r="N34" s="20"/>
      <c r="O34" s="42"/>
    </row>
    <row r="35" spans="2:15">
      <c r="B35"/>
      <c r="H35" s="1003"/>
      <c r="I35" s="1003"/>
      <c r="N35" s="20"/>
      <c r="O35" s="42"/>
    </row>
    <row r="36" spans="2:15">
      <c r="B36"/>
      <c r="O36" s="42"/>
    </row>
    <row r="37" spans="2:15">
      <c r="B37"/>
      <c r="H37" s="1003"/>
    </row>
    <row r="38" spans="2:15">
      <c r="B38"/>
    </row>
    <row r="39" spans="2:15">
      <c r="B39"/>
    </row>
    <row r="40" spans="2:15">
      <c r="B40"/>
    </row>
    <row r="42" spans="2:15">
      <c r="B42"/>
      <c r="H42" s="386"/>
      <c r="I42" s="386"/>
    </row>
    <row r="43" spans="2:15">
      <c r="B43"/>
      <c r="H43" s="1006"/>
      <c r="I43" s="1006"/>
    </row>
    <row r="44" spans="2:15">
      <c r="B44"/>
      <c r="H44" s="1006"/>
      <c r="I44" s="1006"/>
    </row>
    <row r="45" spans="2:15">
      <c r="B45"/>
      <c r="H45" s="1006"/>
      <c r="I45" s="1006"/>
    </row>
    <row r="46" spans="2:15">
      <c r="B46"/>
      <c r="H46" s="1006"/>
      <c r="I46" s="1006"/>
    </row>
    <row r="47" spans="2:15">
      <c r="B47"/>
      <c r="H47" s="1007"/>
      <c r="I47" s="1006"/>
    </row>
    <row r="48" spans="2:15">
      <c r="B48"/>
      <c r="H48" s="1003"/>
      <c r="I48" s="1003"/>
    </row>
    <row r="49" spans="7:9">
      <c r="G49" s="1006"/>
      <c r="H49" s="1006"/>
      <c r="I49" s="1006"/>
    </row>
    <row r="50" spans="7:9">
      <c r="G50" s="1006"/>
      <c r="H50" s="1006"/>
      <c r="I50" s="1006"/>
    </row>
    <row r="51" spans="7:9">
      <c r="G51" s="1006"/>
      <c r="H51" s="1006"/>
      <c r="I51" s="1006"/>
    </row>
    <row r="52" spans="7:9">
      <c r="G52" s="1006"/>
      <c r="H52" s="1006"/>
      <c r="I52" s="1006"/>
    </row>
    <row r="53" spans="7:9">
      <c r="G53" s="1006"/>
      <c r="H53" s="1006"/>
      <c r="I53" s="1006"/>
    </row>
    <row r="54" spans="7:9">
      <c r="G54" s="1003"/>
      <c r="H54" s="1003"/>
    </row>
  </sheetData>
  <mergeCells count="4">
    <mergeCell ref="C6:D6"/>
    <mergeCell ref="E6:F6"/>
    <mergeCell ref="H6:J6"/>
    <mergeCell ref="E8:F8"/>
  </mergeCells>
  <phoneticPr fontId="122" type="noConversion"/>
  <printOptions horizontalCentered="1"/>
  <pageMargins left="0.31" right="0.3" top="1" bottom="1" header="0.5" footer="0.5"/>
  <pageSetup scale="50" fitToHeight="0" orientation="landscape" r:id="rId1"/>
  <headerFooter scaleWithDoc="0" alignWithMargins="0">
    <oddHeader>&amp;RPage &amp;P of &amp;N</oddHeader>
    <oddFooter>&amp;LElectronic Tab Name: &amp;A</oddFooter>
  </headerFooter>
  <colBreaks count="1" manualBreakCount="1">
    <brk id="6" max="3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pageSetUpPr fitToPage="1"/>
  </sheetPr>
  <dimension ref="A1:H26"/>
  <sheetViews>
    <sheetView workbookViewId="0">
      <selection activeCell="C20" sqref="C20"/>
    </sheetView>
  </sheetViews>
  <sheetFormatPr defaultColWidth="8.85546875" defaultRowHeight="15"/>
  <cols>
    <col min="1" max="1" width="6.5703125" style="53" customWidth="1"/>
    <col min="2" max="2" width="44" style="53" bestFit="1" customWidth="1"/>
    <col min="3" max="3" width="16.28515625" style="53" bestFit="1" customWidth="1"/>
    <col min="4" max="6" width="8.85546875" style="53"/>
    <col min="7" max="7" width="14.28515625" style="53" bestFit="1" customWidth="1"/>
    <col min="8" max="9" width="8.85546875" style="53"/>
    <col min="10" max="10" width="10.140625" style="53" bestFit="1" customWidth="1"/>
    <col min="11" max="16384" width="8.85546875" style="53"/>
  </cols>
  <sheetData>
    <row r="1" spans="1:8">
      <c r="A1" s="1402" t="s">
        <v>1063</v>
      </c>
      <c r="B1" s="1402"/>
      <c r="C1" s="1402"/>
      <c r="D1" s="91"/>
      <c r="E1" s="91"/>
      <c r="F1" s="91"/>
      <c r="G1" s="91"/>
      <c r="H1" s="91"/>
    </row>
    <row r="2" spans="1:8">
      <c r="A2" s="1402" t="str">
        <f>Title1</f>
        <v>Washington Jurisdiction</v>
      </c>
      <c r="B2" s="1402"/>
      <c r="C2" s="1402"/>
      <c r="D2" s="427"/>
      <c r="E2" s="91"/>
      <c r="F2" s="91"/>
      <c r="G2" s="91"/>
      <c r="H2" s="91"/>
    </row>
    <row r="3" spans="1:8">
      <c r="A3" s="1402" t="str">
        <f>Title2</f>
        <v>Twelve-Months ended December 31, 2023</v>
      </c>
      <c r="B3" s="1402"/>
      <c r="C3" s="1402"/>
      <c r="D3" s="91"/>
      <c r="E3" s="91"/>
      <c r="F3" s="91"/>
      <c r="G3" s="91"/>
      <c r="H3" s="91"/>
    </row>
    <row r="4" spans="1:8">
      <c r="A4" s="1402" t="str">
        <f>Title8</f>
        <v>UG-240008</v>
      </c>
      <c r="B4" s="1402"/>
      <c r="C4" s="1402"/>
      <c r="D4" s="91"/>
      <c r="E4" s="91"/>
      <c r="F4" s="91"/>
      <c r="G4" s="91"/>
      <c r="H4" s="91"/>
    </row>
    <row r="5" spans="1:8">
      <c r="A5" s="1402" t="s">
        <v>226</v>
      </c>
      <c r="B5" s="1402"/>
      <c r="C5" s="1402"/>
      <c r="D5" s="91"/>
      <c r="E5" s="91"/>
      <c r="F5" s="91"/>
      <c r="G5" s="91"/>
      <c r="H5" s="91"/>
    </row>
    <row r="6" spans="1:8">
      <c r="A6" s="1402" t="s">
        <v>663</v>
      </c>
      <c r="B6" s="1402"/>
      <c r="C6" s="1402"/>
      <c r="D6" s="238"/>
      <c r="E6" s="238"/>
      <c r="F6" s="238"/>
      <c r="G6" s="238"/>
      <c r="H6" s="238"/>
    </row>
    <row r="8" spans="1:8" ht="30">
      <c r="A8" s="172" t="s">
        <v>536</v>
      </c>
      <c r="B8" s="172" t="s">
        <v>537</v>
      </c>
      <c r="C8" s="172" t="s">
        <v>1064</v>
      </c>
      <c r="F8" s="644"/>
      <c r="G8" s="644"/>
    </row>
    <row r="9" spans="1:8">
      <c r="A9" s="487"/>
      <c r="B9" s="509" t="s">
        <v>439</v>
      </c>
      <c r="C9" s="848" t="s">
        <v>208</v>
      </c>
    </row>
    <row r="10" spans="1:8" ht="30">
      <c r="A10" s="175">
        <v>1</v>
      </c>
      <c r="B10" s="553" t="s">
        <v>1065</v>
      </c>
    </row>
    <row r="11" spans="1:8">
      <c r="A11" s="175">
        <f>MAX($A$10:A10)+1</f>
        <v>2</v>
      </c>
      <c r="B11" s="8" t="s">
        <v>511</v>
      </c>
      <c r="C11" s="785">
        <f>'Exh JAD-2, TY Revenues'!I29</f>
        <v>-796396.50924001075</v>
      </c>
    </row>
    <row r="12" spans="1:8">
      <c r="A12" s="175">
        <f>MAX($A$10:A11)+1</f>
        <v>3</v>
      </c>
      <c r="B12" s="8" t="s">
        <v>513</v>
      </c>
      <c r="C12" s="785">
        <f>'Exh JAD-2, TY Revenues'!I51+'Exh JAD-2, TY Revenues'!I75+'Exh JAD-2, TY Revenues'!I100+'Exh JAD-2, TY Revenues'!I124</f>
        <v>-575042.59008606989</v>
      </c>
    </row>
    <row r="13" spans="1:8">
      <c r="A13" s="175">
        <f>MAX($A$10:A12)+1</f>
        <v>4</v>
      </c>
      <c r="B13" s="8" t="s">
        <v>518</v>
      </c>
      <c r="C13" s="786">
        <f>'Exh JAD-2, TY Revenues'!I148</f>
        <v>-114550.24414999811</v>
      </c>
    </row>
    <row r="14" spans="1:8">
      <c r="A14" s="175">
        <f>MAX($A$10:A13)+1</f>
        <v>5</v>
      </c>
      <c r="B14" s="553" t="s">
        <v>1066</v>
      </c>
      <c r="C14" s="785">
        <f>SUM(C11:C13)</f>
        <v>-1485989.3434760787</v>
      </c>
    </row>
    <row r="15" spans="1:8">
      <c r="A15" s="175">
        <f>MAX($A$10:A14)+1</f>
        <v>6</v>
      </c>
      <c r="B15" t="s">
        <v>1067</v>
      </c>
      <c r="C15" s="143"/>
    </row>
    <row r="16" spans="1:8">
      <c r="A16" s="175">
        <f>MAX($A$10:A15)+1</f>
        <v>7</v>
      </c>
      <c r="B16" s="8" t="s">
        <v>511</v>
      </c>
      <c r="C16" s="143">
        <f>'Exh JAD-2, TY Revenues'!M12</f>
        <v>1370062.3732578042</v>
      </c>
    </row>
    <row r="17" spans="1:7">
      <c r="A17" s="175">
        <f>MAX($A$10:A16)+1</f>
        <v>8</v>
      </c>
      <c r="B17" s="8" t="s">
        <v>513</v>
      </c>
      <c r="C17" s="787">
        <f>'Exh JAD-2, TY Revenues'!M34</f>
        <v>65066.713839514654</v>
      </c>
    </row>
    <row r="18" spans="1:7">
      <c r="A18" s="175">
        <f>MAX($A$10:A17)+1</f>
        <v>9</v>
      </c>
      <c r="B18" s="553" t="s">
        <v>1066</v>
      </c>
      <c r="C18" s="143">
        <f>SUM(C16:C17)</f>
        <v>1435129.0870973188</v>
      </c>
    </row>
    <row r="19" spans="1:7">
      <c r="A19" s="175">
        <f>MAX($A$10:A18)+1</f>
        <v>10</v>
      </c>
      <c r="B19" t="s">
        <v>155</v>
      </c>
      <c r="C19" s="143"/>
    </row>
    <row r="20" spans="1:7">
      <c r="A20" s="175">
        <f>MAX($A$10:A19)+1</f>
        <v>11</v>
      </c>
      <c r="B20" s="8" t="s">
        <v>511</v>
      </c>
      <c r="C20" s="143">
        <f>'Exh JAD-2, TY Revenues'!M26</f>
        <v>-2181346.73</v>
      </c>
    </row>
    <row r="21" spans="1:7">
      <c r="A21" s="175">
        <f>MAX($A$10:A20)+1</f>
        <v>12</v>
      </c>
      <c r="B21" s="8" t="s">
        <v>513</v>
      </c>
      <c r="C21" s="787">
        <f>'Exh JAD-2, TY Revenues'!M48+'Exh JAD-2, TY Revenues'!M72+'Exh JAD-2, TY Revenues'!M97+'Exh JAD-2, TY Revenues'!M121</f>
        <v>457722.99000000005</v>
      </c>
    </row>
    <row r="22" spans="1:7">
      <c r="A22" s="175">
        <f>MAX($A$10:A21)+1</f>
        <v>13</v>
      </c>
      <c r="B22" s="553" t="s">
        <v>1066</v>
      </c>
      <c r="C22" s="143">
        <f>SUM(C20:C21)</f>
        <v>-1723623.74</v>
      </c>
    </row>
    <row r="23" spans="1:7">
      <c r="A23" s="175">
        <f>MAX($A$10:A22)+1</f>
        <v>14</v>
      </c>
      <c r="B23" s="553"/>
      <c r="C23" s="143"/>
    </row>
    <row r="24" spans="1:7" ht="15.75" thickBot="1">
      <c r="A24" s="175">
        <f>MAX($A$10:A23)+1</f>
        <v>15</v>
      </c>
      <c r="B24" s="424" t="s">
        <v>1068</v>
      </c>
      <c r="C24" s="788">
        <f>C14+C18+C22</f>
        <v>-1774483.9963787599</v>
      </c>
    </row>
    <row r="25" spans="1:7" ht="15.75" thickTop="1">
      <c r="A25" s="124"/>
      <c r="G25" s="216"/>
    </row>
    <row r="26" spans="1:7">
      <c r="G26" s="216"/>
    </row>
  </sheetData>
  <mergeCells count="6">
    <mergeCell ref="A6:C6"/>
    <mergeCell ref="A1:C1"/>
    <mergeCell ref="A2:C2"/>
    <mergeCell ref="A3:C3"/>
    <mergeCell ref="A4:C4"/>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J15"/>
  <sheetViews>
    <sheetView zoomScaleNormal="100" workbookViewId="0">
      <selection activeCell="A8" sqref="A8:C9"/>
    </sheetView>
  </sheetViews>
  <sheetFormatPr defaultColWidth="8.85546875" defaultRowHeight="15"/>
  <cols>
    <col min="1" max="1" width="6.7109375" style="53" customWidth="1"/>
    <col min="2" max="2" width="31.7109375" style="53" bestFit="1" customWidth="1"/>
    <col min="3" max="3" width="11.28515625" style="53" bestFit="1" customWidth="1"/>
    <col min="4" max="4" width="1.5703125" style="53" customWidth="1"/>
    <col min="5" max="5" width="12.5703125" style="53" bestFit="1" customWidth="1"/>
    <col min="6" max="16384" width="8.85546875" style="53"/>
  </cols>
  <sheetData>
    <row r="1" spans="1:10">
      <c r="A1" s="1402" t="str">
        <f>Company</f>
        <v>Cascade Natural Gas Corp.</v>
      </c>
      <c r="B1" s="1402"/>
      <c r="C1" s="1402"/>
      <c r="D1" s="91"/>
      <c r="E1" s="91"/>
      <c r="F1" s="91"/>
      <c r="G1" s="91"/>
      <c r="H1" s="91"/>
      <c r="I1" s="91"/>
      <c r="J1" s="91"/>
    </row>
    <row r="2" spans="1:10">
      <c r="A2" s="1402" t="str">
        <f>Title1</f>
        <v>Washington Jurisdiction</v>
      </c>
      <c r="B2" s="1402"/>
      <c r="C2" s="1402"/>
      <c r="D2" s="91"/>
      <c r="E2" s="91"/>
      <c r="F2" s="91"/>
      <c r="G2" s="91"/>
      <c r="H2" s="91"/>
      <c r="I2" s="91"/>
      <c r="J2" s="91"/>
    </row>
    <row r="3" spans="1:10">
      <c r="A3" s="1402" t="str">
        <f>Title2</f>
        <v>Twelve-Months ended December 31, 2023</v>
      </c>
      <c r="B3" s="1402"/>
      <c r="C3" s="1402"/>
      <c r="D3" s="91"/>
      <c r="E3" s="91"/>
      <c r="F3" s="91"/>
      <c r="G3" s="91"/>
      <c r="H3" s="91"/>
      <c r="I3" s="91"/>
      <c r="J3" s="91"/>
    </row>
    <row r="4" spans="1:10">
      <c r="A4" s="1402" t="str">
        <f>Title8</f>
        <v>UG-240008</v>
      </c>
      <c r="B4" s="1402"/>
      <c r="C4" s="1402"/>
      <c r="D4" s="91"/>
      <c r="E4" s="91"/>
      <c r="F4" s="91"/>
      <c r="G4" s="91"/>
      <c r="H4" s="91"/>
      <c r="I4" s="91"/>
      <c r="J4" s="91"/>
    </row>
    <row r="5" spans="1:10">
      <c r="A5" s="1402" t="s">
        <v>228</v>
      </c>
      <c r="B5" s="1402"/>
      <c r="C5" s="1402"/>
      <c r="D5" s="91"/>
      <c r="E5" s="91"/>
      <c r="F5" s="91"/>
      <c r="G5" s="91"/>
      <c r="H5" s="91"/>
      <c r="I5" s="91"/>
      <c r="J5" s="91"/>
    </row>
    <row r="6" spans="1:10">
      <c r="A6" s="1405" t="s">
        <v>664</v>
      </c>
      <c r="B6" s="1405"/>
      <c r="C6" s="1405"/>
      <c r="D6" s="238"/>
      <c r="E6" s="238"/>
      <c r="F6" s="238"/>
      <c r="G6" s="238"/>
      <c r="H6" s="238"/>
      <c r="I6" s="238"/>
      <c r="J6" s="238"/>
    </row>
    <row r="8" spans="1:10" ht="30">
      <c r="A8" s="172" t="s">
        <v>536</v>
      </c>
      <c r="B8" s="172" t="s">
        <v>537</v>
      </c>
      <c r="C8" s="172" t="s">
        <v>369</v>
      </c>
      <c r="F8" s="644"/>
      <c r="G8" s="644"/>
    </row>
    <row r="9" spans="1:10">
      <c r="A9" s="213"/>
      <c r="B9" s="60" t="s">
        <v>439</v>
      </c>
      <c r="C9" s="60" t="s">
        <v>208</v>
      </c>
    </row>
    <row r="10" spans="1:10">
      <c r="A10" s="124">
        <v>1</v>
      </c>
      <c r="B10" s="1" t="s">
        <v>1069</v>
      </c>
      <c r="C10" s="177"/>
    </row>
    <row r="11" spans="1:10">
      <c r="A11" s="175">
        <f>MAX($A$10:A10)+1</f>
        <v>2</v>
      </c>
      <c r="B11" s="8" t="s">
        <v>511</v>
      </c>
      <c r="C11" s="177">
        <f>'Exh JAD-2, TY Revenues'!Q29</f>
        <v>299472.23647885129</v>
      </c>
    </row>
    <row r="12" spans="1:10">
      <c r="A12" s="175">
        <f>MAX($A$10:A11)+1</f>
        <v>3</v>
      </c>
      <c r="B12" s="8" t="s">
        <v>513</v>
      </c>
      <c r="C12" s="177">
        <f>'Exh JAD-2, TY Revenues'!Q51+'Exh JAD-2, TY Revenues'!Q75+'Exh JAD-2, TY Revenues'!Q100+'Exh JAD-2, TY Revenues'!Q124</f>
        <v>112614.6161110813</v>
      </c>
    </row>
    <row r="13" spans="1:10">
      <c r="A13" s="175">
        <f>MAX($A$10:A12)+1</f>
        <v>4</v>
      </c>
      <c r="B13" s="8" t="s">
        <v>518</v>
      </c>
      <c r="C13" s="177">
        <f>'Exh JAD-2, TY Revenues'!Q148</f>
        <v>24160.173712721902</v>
      </c>
    </row>
    <row r="14" spans="1:10" ht="15.75" thickBot="1">
      <c r="A14" s="175">
        <f>MAX($A$10:A13)+1</f>
        <v>5</v>
      </c>
      <c r="B14" s="424" t="s">
        <v>1070</v>
      </c>
      <c r="C14" s="77">
        <f>SUM(C11:C13)</f>
        <v>436247.02630265453</v>
      </c>
      <c r="D14" s="225"/>
    </row>
    <row r="15" spans="1:10" ht="15.75" thickTop="1"/>
  </sheetData>
  <mergeCells count="6">
    <mergeCell ref="A1:C1"/>
    <mergeCell ref="A4:C4"/>
    <mergeCell ref="A5:C5"/>
    <mergeCell ref="A6:C6"/>
    <mergeCell ref="A3:C3"/>
    <mergeCell ref="A2:C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F6B-27D7-4873-BDBB-E156C310734B}">
  <sheetPr codeName="Sheet62">
    <pageSetUpPr fitToPage="1"/>
  </sheetPr>
  <dimension ref="A1:Q61"/>
  <sheetViews>
    <sheetView view="pageBreakPreview" zoomScale="60" zoomScaleNormal="100" workbookViewId="0">
      <selection activeCell="F40" sqref="F40:F41"/>
    </sheetView>
  </sheetViews>
  <sheetFormatPr defaultColWidth="9.140625" defaultRowHeight="15"/>
  <cols>
    <col min="1" max="1" width="6" style="53" customWidth="1"/>
    <col min="2" max="2" width="38.85546875" style="53" bestFit="1" customWidth="1"/>
    <col min="3" max="3" width="17.85546875" style="1" bestFit="1" customWidth="1"/>
    <col min="4" max="4" width="15.28515625" style="53" customWidth="1"/>
    <col min="5" max="5" width="19.85546875" style="124" bestFit="1" customWidth="1"/>
    <col min="6" max="6" width="8.28515625" style="53" customWidth="1"/>
    <col min="7" max="7" width="3.7109375" style="53" customWidth="1"/>
    <col min="8" max="8" width="9.140625" style="53"/>
    <col min="9" max="9" width="34.85546875" style="53" bestFit="1" customWidth="1"/>
    <col min="10" max="11" width="12.28515625" style="53" bestFit="1" customWidth="1"/>
    <col min="12" max="12" width="13.85546875" style="53" bestFit="1" customWidth="1"/>
    <col min="13" max="13" width="9.140625" style="53"/>
    <col min="14" max="15" width="12.28515625" style="53" bestFit="1" customWidth="1"/>
    <col min="16" max="16" width="9.140625" style="53"/>
    <col min="17" max="17" width="13.85546875" style="53" bestFit="1" customWidth="1"/>
    <col min="18" max="16384" width="9.140625" style="53"/>
  </cols>
  <sheetData>
    <row r="1" spans="1:15" ht="15.6" customHeight="1">
      <c r="A1" s="1405" t="s">
        <v>2</v>
      </c>
      <c r="B1" s="1405"/>
      <c r="C1" s="1405"/>
      <c r="D1" s="1405"/>
      <c r="E1" s="1405"/>
      <c r="F1" s="1405"/>
    </row>
    <row r="2" spans="1:15" ht="15.6" customHeight="1">
      <c r="A2" s="1405" t="s">
        <v>0</v>
      </c>
      <c r="B2" s="1405"/>
      <c r="C2" s="1405"/>
      <c r="D2" s="1405"/>
      <c r="E2" s="1405"/>
      <c r="F2" s="1405"/>
    </row>
    <row r="3" spans="1:15">
      <c r="A3" s="1405" t="s">
        <v>5</v>
      </c>
      <c r="B3" s="1405"/>
      <c r="C3" s="1405"/>
      <c r="D3" s="1405"/>
      <c r="E3" s="1405"/>
      <c r="F3" s="1405"/>
    </row>
    <row r="4" spans="1:15">
      <c r="A4" s="1405" t="str">
        <f>Title8</f>
        <v>UG-240008</v>
      </c>
      <c r="B4" s="1405"/>
      <c r="C4" s="1405"/>
      <c r="D4" s="1405"/>
      <c r="E4" s="1405"/>
      <c r="F4" s="1405"/>
    </row>
    <row r="5" spans="1:15">
      <c r="A5" s="1405" t="s">
        <v>230</v>
      </c>
      <c r="B5" s="1405"/>
      <c r="C5" s="1405"/>
      <c r="D5" s="1405"/>
      <c r="E5" s="1405"/>
      <c r="F5" s="1405"/>
      <c r="K5"/>
      <c r="L5"/>
    </row>
    <row r="6" spans="1:15">
      <c r="A6" s="1405" t="s">
        <v>665</v>
      </c>
      <c r="B6" s="1405"/>
      <c r="C6" s="1405"/>
      <c r="D6" s="1405"/>
      <c r="E6" s="1405"/>
      <c r="F6" s="1405"/>
      <c r="K6"/>
      <c r="L6"/>
    </row>
    <row r="7" spans="1:15">
      <c r="D7" s="1"/>
      <c r="E7" s="53"/>
    </row>
    <row r="8" spans="1:15" s="176" customFormat="1" ht="48" customHeight="1">
      <c r="A8" s="258" t="s">
        <v>536</v>
      </c>
      <c r="B8" s="258" t="s">
        <v>1071</v>
      </c>
      <c r="C8" s="104" t="s">
        <v>1072</v>
      </c>
      <c r="D8" s="258" t="s">
        <v>1073</v>
      </c>
      <c r="E8" s="104" t="s">
        <v>1074</v>
      </c>
      <c r="F8" s="257" t="s">
        <v>1075</v>
      </c>
    </row>
    <row r="9" spans="1:15" s="176" customFormat="1">
      <c r="A9" s="257"/>
      <c r="B9" s="258" t="s">
        <v>439</v>
      </c>
      <c r="C9" s="104" t="s">
        <v>208</v>
      </c>
      <c r="D9" s="258" t="s">
        <v>209</v>
      </c>
      <c r="E9" s="104" t="s">
        <v>440</v>
      </c>
      <c r="F9" s="784" t="s">
        <v>441</v>
      </c>
    </row>
    <row r="10" spans="1:15">
      <c r="A10" s="124">
        <v>1</v>
      </c>
      <c r="B10" s="259" t="s">
        <v>1076</v>
      </c>
      <c r="C10" s="184">
        <v>114156.01</v>
      </c>
      <c r="D10" s="55">
        <v>0</v>
      </c>
      <c r="E10" s="178"/>
    </row>
    <row r="11" spans="1:15">
      <c r="A11" s="124">
        <f>1+MAX($A$10:A10)</f>
        <v>2</v>
      </c>
      <c r="B11" s="259" t="s">
        <v>1077</v>
      </c>
      <c r="C11" s="184">
        <v>138157.95000000001</v>
      </c>
      <c r="D11" s="55">
        <v>0</v>
      </c>
      <c r="E11" s="178"/>
    </row>
    <row r="12" spans="1:15">
      <c r="A12" s="124">
        <f>1+MAX($A$10:A11)</f>
        <v>3</v>
      </c>
      <c r="B12" s="259" t="s">
        <v>1078</v>
      </c>
      <c r="C12" s="184">
        <v>57006600.720000006</v>
      </c>
      <c r="D12" s="55">
        <v>0</v>
      </c>
      <c r="E12" s="178">
        <v>287630.71000000002</v>
      </c>
      <c r="N12" s="121"/>
      <c r="O12" s="121"/>
    </row>
    <row r="13" spans="1:15">
      <c r="A13" s="124">
        <f>1+MAX($A$10:A12)</f>
        <v>4</v>
      </c>
      <c r="B13" s="259" t="s">
        <v>1079</v>
      </c>
      <c r="C13" s="184">
        <v>338215.79</v>
      </c>
      <c r="D13" s="55">
        <v>0</v>
      </c>
      <c r="E13" s="178"/>
    </row>
    <row r="14" spans="1:15">
      <c r="A14" s="124">
        <f>1+MAX($A$10:A13)</f>
        <v>5</v>
      </c>
      <c r="B14" s="259" t="s">
        <v>1080</v>
      </c>
      <c r="C14" s="184">
        <v>1071405.18</v>
      </c>
      <c r="D14" s="55">
        <v>6.5000000000000006E-3</v>
      </c>
      <c r="E14" s="178">
        <f t="shared" ref="E14:E49" si="0">D14/12*C14</f>
        <v>580.34447250000005</v>
      </c>
    </row>
    <row r="15" spans="1:15">
      <c r="A15" s="124">
        <f>1+MAX($A$10:A14)</f>
        <v>6</v>
      </c>
      <c r="B15" s="259" t="s">
        <v>1081</v>
      </c>
      <c r="C15" s="184">
        <v>124315.06</v>
      </c>
      <c r="D15" s="55">
        <v>1.4999999999999999E-2</v>
      </c>
      <c r="E15" s="178">
        <f t="shared" si="0"/>
        <v>155.39382499999999</v>
      </c>
    </row>
    <row r="16" spans="1:15">
      <c r="A16" s="124">
        <f>1+MAX($A$10:A15)</f>
        <v>7</v>
      </c>
      <c r="B16" s="259" t="s">
        <v>1082</v>
      </c>
      <c r="C16" s="184">
        <v>17254526.629999999</v>
      </c>
      <c r="D16" s="55">
        <v>1.4999999999999999E-2</v>
      </c>
      <c r="E16" s="178">
        <f t="shared" si="0"/>
        <v>21568.158287499999</v>
      </c>
    </row>
    <row r="17" spans="1:6">
      <c r="A17" s="124">
        <f>1+MAX($A$10:A16)</f>
        <v>8</v>
      </c>
      <c r="B17" s="259" t="s">
        <v>1083</v>
      </c>
      <c r="C17" s="184">
        <v>135338.4</v>
      </c>
      <c r="D17" s="55">
        <v>4.5999999999999999E-2</v>
      </c>
      <c r="E17" s="178">
        <f>D17/12*(C17-135338.4)</f>
        <v>0</v>
      </c>
      <c r="F17" s="53" t="s">
        <v>1084</v>
      </c>
    </row>
    <row r="18" spans="1:6">
      <c r="A18" s="124">
        <f>1+MAX($A$10:A17)</f>
        <v>9</v>
      </c>
      <c r="B18" s="259" t="s">
        <v>1085</v>
      </c>
      <c r="C18" s="184">
        <v>491868.5</v>
      </c>
      <c r="D18" s="55">
        <v>0</v>
      </c>
      <c r="E18" s="178"/>
    </row>
    <row r="19" spans="1:6">
      <c r="A19" s="124">
        <f>1+MAX($A$10:A18)</f>
        <v>10</v>
      </c>
      <c r="B19" s="259" t="s">
        <v>1086</v>
      </c>
      <c r="C19" s="184">
        <v>2140373.0699999998</v>
      </c>
      <c r="D19" s="55">
        <v>1.6400000000000001E-2</v>
      </c>
      <c r="E19" s="178">
        <f t="shared" si="0"/>
        <v>2925.1765290000003</v>
      </c>
    </row>
    <row r="20" spans="1:6">
      <c r="A20" s="124">
        <f>1+MAX($A$10:A19)</f>
        <v>11</v>
      </c>
      <c r="B20" s="259" t="s">
        <v>1087</v>
      </c>
      <c r="C20" s="184">
        <v>1093278.56</v>
      </c>
      <c r="D20" s="55">
        <v>8.3999999999999995E-3</v>
      </c>
      <c r="E20" s="178">
        <f t="shared" si="0"/>
        <v>765.29499199999998</v>
      </c>
    </row>
    <row r="21" spans="1:6">
      <c r="A21" s="124">
        <f>1+MAX($A$10:A20)</f>
        <v>12</v>
      </c>
      <c r="B21" s="259" t="s">
        <v>1088</v>
      </c>
      <c r="C21" s="184">
        <v>271213270.13</v>
      </c>
      <c r="D21" s="55">
        <v>1.52E-2</v>
      </c>
      <c r="E21" s="178">
        <f t="shared" si="0"/>
        <v>343536.8088313333</v>
      </c>
    </row>
    <row r="22" spans="1:6">
      <c r="A22" s="124">
        <f>1+MAX($A$10:A21)</f>
        <v>13</v>
      </c>
      <c r="B22" s="259" t="s">
        <v>1089</v>
      </c>
      <c r="C22" s="184">
        <v>205843994.93000001</v>
      </c>
      <c r="D22" s="55">
        <v>2.81E-2</v>
      </c>
      <c r="E22" s="178">
        <f t="shared" si="0"/>
        <v>482018.02146108338</v>
      </c>
    </row>
    <row r="23" spans="1:6">
      <c r="A23" s="124">
        <f>1+MAX($A$10:A22)</f>
        <v>14</v>
      </c>
      <c r="B23" s="259" t="s">
        <v>1090</v>
      </c>
      <c r="C23" s="184">
        <v>126733642.34999999</v>
      </c>
      <c r="D23" s="55">
        <v>3.56E-2</v>
      </c>
      <c r="E23" s="178">
        <f t="shared" si="0"/>
        <v>375976.47230499994</v>
      </c>
    </row>
    <row r="24" spans="1:6">
      <c r="A24" s="124">
        <f>1+MAX($A$10:A23)</f>
        <v>15</v>
      </c>
      <c r="B24" s="259" t="s">
        <v>1091</v>
      </c>
      <c r="C24" s="184">
        <v>2927915.23</v>
      </c>
      <c r="D24" s="55">
        <v>1.72E-2</v>
      </c>
      <c r="E24" s="178">
        <f t="shared" si="0"/>
        <v>4196.678496333333</v>
      </c>
    </row>
    <row r="25" spans="1:6">
      <c r="A25" s="124">
        <f>1+MAX($A$10:A24)</f>
        <v>16</v>
      </c>
      <c r="B25" s="259" t="s">
        <v>1092</v>
      </c>
      <c r="C25" s="184">
        <v>37152569.329999998</v>
      </c>
      <c r="D25" s="55">
        <v>1.9699999999999999E-2</v>
      </c>
      <c r="E25" s="178">
        <f t="shared" si="0"/>
        <v>60992.134650083324</v>
      </c>
    </row>
    <row r="26" spans="1:6">
      <c r="A26" s="124">
        <f>1+MAX($A$10:A25)</f>
        <v>17</v>
      </c>
      <c r="B26" s="260" t="s">
        <v>1093</v>
      </c>
      <c r="C26" s="184">
        <v>4351552.2300000004</v>
      </c>
      <c r="D26" s="55">
        <v>1.9699999999999999E-2</v>
      </c>
      <c r="E26" s="178">
        <f t="shared" si="0"/>
        <v>7143.7982442499997</v>
      </c>
    </row>
    <row r="27" spans="1:6">
      <c r="A27" s="124">
        <f>1+MAX($A$10:A26)</f>
        <v>18</v>
      </c>
      <c r="B27" s="259" t="s">
        <v>1094</v>
      </c>
      <c r="C27" s="184">
        <v>184306198.66</v>
      </c>
      <c r="D27" s="55">
        <v>3.3599999999999998E-2</v>
      </c>
      <c r="E27" s="178">
        <f t="shared" si="0"/>
        <v>516057.356248</v>
      </c>
    </row>
    <row r="28" spans="1:6">
      <c r="A28" s="124">
        <f>1+MAX($A$10:A27)</f>
        <v>19</v>
      </c>
      <c r="B28" s="259" t="s">
        <v>1095</v>
      </c>
      <c r="C28" s="184">
        <v>61403371.700000003</v>
      </c>
      <c r="D28" s="55">
        <v>3.4700000000000002E-2</v>
      </c>
      <c r="E28" s="178">
        <f t="shared" si="0"/>
        <v>177558.08316583335</v>
      </c>
    </row>
    <row r="29" spans="1:6">
      <c r="A29" s="124">
        <f>1+MAX($A$10:A28)</f>
        <v>20</v>
      </c>
      <c r="B29" s="259" t="s">
        <v>1096</v>
      </c>
      <c r="C29" s="184">
        <v>50176.62</v>
      </c>
      <c r="D29" s="55">
        <v>2.6100000000000002E-2</v>
      </c>
      <c r="E29" s="178">
        <f t="shared" si="0"/>
        <v>109.13414850000002</v>
      </c>
    </row>
    <row r="30" spans="1:6">
      <c r="A30" s="124">
        <f>1+MAX($A$10:A29)</f>
        <v>21</v>
      </c>
      <c r="B30" s="259" t="s">
        <v>1097</v>
      </c>
      <c r="C30" s="184">
        <v>84694991.299999997</v>
      </c>
      <c r="D30" s="55">
        <v>2.6100000000000002E-2</v>
      </c>
      <c r="E30" s="178">
        <f t="shared" si="0"/>
        <v>184211.60607750001</v>
      </c>
    </row>
    <row r="31" spans="1:6">
      <c r="A31" s="124">
        <f>1+MAX($A$10:A30)</f>
        <v>22</v>
      </c>
      <c r="B31" s="259" t="s">
        <v>1098</v>
      </c>
      <c r="C31" s="184">
        <v>10177783.800000001</v>
      </c>
      <c r="D31" s="55">
        <v>2.1600000000000001E-2</v>
      </c>
      <c r="E31" s="178">
        <f t="shared" si="0"/>
        <v>18320.010840000003</v>
      </c>
    </row>
    <row r="32" spans="1:6">
      <c r="A32" s="124">
        <f>1+MAX($A$10:A31)</f>
        <v>23</v>
      </c>
      <c r="B32" s="259" t="s">
        <v>1099</v>
      </c>
      <c r="C32" s="184">
        <v>10604872.550000001</v>
      </c>
      <c r="D32" s="55">
        <v>1.7000000000000001E-2</v>
      </c>
      <c r="E32" s="178">
        <f t="shared" si="0"/>
        <v>15023.569445833335</v>
      </c>
    </row>
    <row r="33" spans="1:17">
      <c r="A33" s="124">
        <f>1+MAX($A$10:A32)</f>
        <v>24</v>
      </c>
      <c r="B33" s="259" t="s">
        <v>1100</v>
      </c>
      <c r="C33" s="184">
        <v>3224759.31</v>
      </c>
      <c r="D33" s="55">
        <v>0</v>
      </c>
      <c r="E33" s="178">
        <f t="shared" si="0"/>
        <v>0</v>
      </c>
    </row>
    <row r="34" spans="1:17">
      <c r="A34" s="124">
        <f>1+MAX($A$10:A33)</f>
        <v>25</v>
      </c>
      <c r="B34" s="259" t="s">
        <v>1101</v>
      </c>
      <c r="C34" s="184">
        <v>7933.28</v>
      </c>
      <c r="D34" s="55">
        <v>1.44E-2</v>
      </c>
      <c r="E34" s="178">
        <f t="shared" si="0"/>
        <v>9.5199359999999995</v>
      </c>
    </row>
    <row r="35" spans="1:17">
      <c r="A35" s="124">
        <f>1+MAX($A$10:A34)</f>
        <v>26</v>
      </c>
      <c r="B35" s="259" t="s">
        <v>1102</v>
      </c>
      <c r="C35" s="184">
        <v>22357535.859999999</v>
      </c>
      <c r="D35" s="55">
        <v>1.44E-2</v>
      </c>
      <c r="E35" s="178">
        <f>D35/12*(C35-4830297.88)</f>
        <v>21032.685576</v>
      </c>
      <c r="F35" s="53" t="s">
        <v>1103</v>
      </c>
      <c r="Q35" s="121"/>
    </row>
    <row r="36" spans="1:17">
      <c r="A36" s="124">
        <f>1+MAX($A$10:A35)</f>
        <v>27</v>
      </c>
      <c r="B36" s="259" t="s">
        <v>1104</v>
      </c>
      <c r="C36" s="184">
        <v>1253926.46</v>
      </c>
      <c r="D36" s="55">
        <v>0.44019999999999998</v>
      </c>
      <c r="E36" s="178">
        <f t="shared" si="0"/>
        <v>45998.202307666666</v>
      </c>
    </row>
    <row r="37" spans="1:17">
      <c r="A37" s="124">
        <f>1+MAX($A$10:A36)</f>
        <v>28</v>
      </c>
      <c r="B37" s="259" t="s">
        <v>1105</v>
      </c>
      <c r="C37" s="184">
        <v>191025.45</v>
      </c>
      <c r="D37" s="55">
        <v>0.26369999999999999</v>
      </c>
      <c r="E37" s="178">
        <f>D37/12*(C37-73458.59)</f>
        <v>2583.5317485</v>
      </c>
      <c r="F37" s="53" t="s">
        <v>1106</v>
      </c>
      <c r="Q37" s="121"/>
    </row>
    <row r="38" spans="1:17">
      <c r="A38" s="124">
        <f>1+MAX($A$10:A37)</f>
        <v>29</v>
      </c>
      <c r="B38" s="259" t="s">
        <v>1107</v>
      </c>
      <c r="C38" s="184">
        <v>1358674.56</v>
      </c>
      <c r="D38" s="55">
        <v>0.19</v>
      </c>
      <c r="E38" s="178">
        <f t="shared" si="0"/>
        <v>21512.347200000004</v>
      </c>
    </row>
    <row r="39" spans="1:17">
      <c r="A39" s="124">
        <f>1+MAX($A$10:A38)</f>
        <v>30</v>
      </c>
      <c r="B39" s="259" t="s">
        <v>1108</v>
      </c>
      <c r="C39" s="184">
        <v>0</v>
      </c>
      <c r="D39" s="55">
        <v>0</v>
      </c>
      <c r="E39" s="178">
        <f t="shared" si="0"/>
        <v>0</v>
      </c>
    </row>
    <row r="40" spans="1:17">
      <c r="A40" s="124">
        <f>1+MAX($A$10:A39)</f>
        <v>31</v>
      </c>
      <c r="B40" s="259" t="s">
        <v>1109</v>
      </c>
      <c r="C40" s="184">
        <v>248494.31</v>
      </c>
      <c r="D40" s="55">
        <v>2.69E-2</v>
      </c>
      <c r="E40" s="178"/>
      <c r="F40" s="53" t="s">
        <v>1110</v>
      </c>
    </row>
    <row r="41" spans="1:17">
      <c r="A41" s="124">
        <f>1+MAX($A$10:A40)</f>
        <v>32</v>
      </c>
      <c r="B41" s="259" t="s">
        <v>1111</v>
      </c>
      <c r="C41" s="184">
        <v>15261902.68</v>
      </c>
      <c r="D41" s="55">
        <v>5.8900000000000001E-2</v>
      </c>
      <c r="E41" s="178"/>
      <c r="F41" s="53" t="s">
        <v>1110</v>
      </c>
    </row>
    <row r="42" spans="1:17">
      <c r="A42" s="124">
        <f>1+MAX($A$10:A41)</f>
        <v>33</v>
      </c>
      <c r="B42" s="259" t="s">
        <v>1112</v>
      </c>
      <c r="C42" s="184">
        <v>99936.91</v>
      </c>
      <c r="D42" s="55">
        <v>8.4000000000000005E-2</v>
      </c>
      <c r="E42" s="178">
        <f>D42/12*(C42-37894.44)</f>
        <v>434.29729000000003</v>
      </c>
      <c r="F42" s="53" t="s">
        <v>1113</v>
      </c>
    </row>
    <row r="43" spans="1:17">
      <c r="A43" s="124">
        <f>1+MAX($A$10:A42)</f>
        <v>34</v>
      </c>
      <c r="B43" s="259" t="s">
        <v>1114</v>
      </c>
      <c r="C43" s="184">
        <v>8223108.1799999997</v>
      </c>
      <c r="D43" s="55">
        <v>0.1066</v>
      </c>
      <c r="E43" s="178">
        <f t="shared" si="0"/>
        <v>73048.610998999997</v>
      </c>
    </row>
    <row r="44" spans="1:17">
      <c r="A44" s="124">
        <f>1+MAX($A$10:A43)</f>
        <v>35</v>
      </c>
      <c r="B44" s="259" t="s">
        <v>1115</v>
      </c>
      <c r="C44" s="184">
        <v>131231.01999999999</v>
      </c>
      <c r="D44" s="55">
        <v>1.52E-2</v>
      </c>
      <c r="E44" s="178">
        <f>D44/12*(C44-131231.02)</f>
        <v>0</v>
      </c>
      <c r="F44" s="53" t="s">
        <v>1084</v>
      </c>
    </row>
    <row r="45" spans="1:17">
      <c r="A45" s="124">
        <f>1+MAX($A$10:A44)</f>
        <v>36</v>
      </c>
      <c r="B45" s="259" t="s">
        <v>1116</v>
      </c>
      <c r="C45" s="184">
        <v>59304.43</v>
      </c>
      <c r="D45" s="55">
        <v>0.14549999999999999</v>
      </c>
      <c r="E45" s="178">
        <f t="shared" si="0"/>
        <v>719.06621374999997</v>
      </c>
    </row>
    <row r="46" spans="1:17">
      <c r="A46" s="124">
        <f>1+MAX($A$10:A45)</f>
        <v>37</v>
      </c>
      <c r="B46" s="259" t="s">
        <v>1117</v>
      </c>
      <c r="C46" s="184">
        <v>4036030.75</v>
      </c>
      <c r="D46" s="55">
        <v>9.6299999999999997E-2</v>
      </c>
      <c r="E46" s="178"/>
      <c r="F46" s="53" t="s">
        <v>1110</v>
      </c>
    </row>
    <row r="47" spans="1:17">
      <c r="A47" s="124">
        <f>1+MAX($A$10:A46)</f>
        <v>38</v>
      </c>
      <c r="B47" s="259" t="s">
        <v>1118</v>
      </c>
      <c r="C47" s="184">
        <v>539590.43000000005</v>
      </c>
      <c r="D47" s="55">
        <v>2.6100000000000002E-2</v>
      </c>
      <c r="E47" s="178"/>
      <c r="F47" s="53" t="s">
        <v>1110</v>
      </c>
    </row>
    <row r="48" spans="1:17">
      <c r="A48" s="124">
        <f>1+MAX($A$10:A47)</f>
        <v>39</v>
      </c>
      <c r="B48" s="259" t="s">
        <v>1119</v>
      </c>
      <c r="C48" s="184">
        <v>2658597.64</v>
      </c>
      <c r="D48" s="55">
        <v>5.3499999999999999E-2</v>
      </c>
      <c r="E48" s="178">
        <f t="shared" si="0"/>
        <v>11852.914478333334</v>
      </c>
    </row>
    <row r="49" spans="1:8">
      <c r="A49" s="124">
        <f>1+MAX($A$10:A48)</f>
        <v>40</v>
      </c>
      <c r="B49" s="259" t="s">
        <v>1120</v>
      </c>
      <c r="C49" s="184">
        <v>961459.85000000009</v>
      </c>
      <c r="D49" s="55">
        <v>6.9900000000000004E-2</v>
      </c>
      <c r="E49" s="178">
        <f t="shared" si="0"/>
        <v>5600.5036262500007</v>
      </c>
    </row>
    <row r="50" spans="1:8">
      <c r="A50" s="124">
        <f>1+MAX($A$10:A49)</f>
        <v>41</v>
      </c>
      <c r="B50" s="259" t="s">
        <v>1121</v>
      </c>
      <c r="C50" s="184">
        <v>1644184.8900000001</v>
      </c>
      <c r="D50" s="55">
        <v>5.5300000000000002E-2</v>
      </c>
      <c r="E50" s="178">
        <f>D50/12*C50</f>
        <v>7576.9520347500002</v>
      </c>
    </row>
    <row r="51" spans="1:8">
      <c r="A51" s="124">
        <f>1+MAX($A$10:A50)</f>
        <v>42</v>
      </c>
      <c r="B51" s="259" t="s">
        <v>1122</v>
      </c>
      <c r="C51" s="184">
        <v>55832.73</v>
      </c>
      <c r="D51" s="55">
        <v>0.2162</v>
      </c>
      <c r="E51" s="178">
        <f>D51/12*C51</f>
        <v>1005.9196855000001</v>
      </c>
    </row>
    <row r="52" spans="1:8">
      <c r="A52" s="124">
        <f>1+MAX($A$10:A51)</f>
        <v>43</v>
      </c>
      <c r="B52" s="259" t="s">
        <v>1123</v>
      </c>
      <c r="C52" s="184">
        <v>82980.73000000001</v>
      </c>
      <c r="D52" s="55">
        <v>4.3499999999999997E-2</v>
      </c>
      <c r="E52" s="178">
        <f>D52/12*C52</f>
        <v>300.80514625000001</v>
      </c>
    </row>
    <row r="53" spans="1:8">
      <c r="A53" s="124">
        <f>1+MAX($A$10:A52)</f>
        <v>44</v>
      </c>
      <c r="B53" s="261" t="s">
        <v>200</v>
      </c>
      <c r="C53" s="1000">
        <f>SUM(C10:C52)</f>
        <v>1141765084.1700003</v>
      </c>
      <c r="D53" s="62"/>
      <c r="E53" s="495">
        <f>SUM(E10:E52)</f>
        <v>2690444.1082617505</v>
      </c>
      <c r="H53" s="452"/>
    </row>
    <row r="54" spans="1:8">
      <c r="A54" s="124">
        <f>1+MAX($A$10:A53)</f>
        <v>45</v>
      </c>
      <c r="B54" s="262"/>
      <c r="C54" s="62"/>
      <c r="D54" s="62"/>
      <c r="E54" s="103"/>
    </row>
    <row r="55" spans="1:8">
      <c r="A55" s="124">
        <f>1+MAX($A$10:A54)</f>
        <v>46</v>
      </c>
      <c r="B55" s="520" t="s">
        <v>1124</v>
      </c>
      <c r="D55" s="62"/>
      <c r="E55" s="178">
        <f>+E53*12</f>
        <v>32285329.299141005</v>
      </c>
    </row>
    <row r="56" spans="1:8">
      <c r="A56" s="124">
        <f>1+MAX($A$10:A55)</f>
        <v>47</v>
      </c>
      <c r="B56" s="424" t="s">
        <v>1125</v>
      </c>
      <c r="D56" s="62"/>
      <c r="E56" s="178">
        <f>+'Operating Report'!F131</f>
        <v>31072909.050000001</v>
      </c>
    </row>
    <row r="57" spans="1:8" ht="15.75" thickBot="1">
      <c r="A57" s="124">
        <f>1+MAX($A$10:A56)</f>
        <v>48</v>
      </c>
      <c r="B57" s="424" t="s">
        <v>1126</v>
      </c>
      <c r="D57" s="62"/>
      <c r="E57" s="446">
        <f>E55-E56</f>
        <v>1212420.2491410039</v>
      </c>
      <c r="H57" s="35"/>
    </row>
    <row r="58" spans="1:8" ht="15.75" thickTop="1">
      <c r="B58" s="17"/>
      <c r="C58" s="184"/>
      <c r="D58" s="1"/>
      <c r="E58" s="53"/>
      <c r="G58" s="35"/>
      <c r="H58" s="35"/>
    </row>
    <row r="59" spans="1:8">
      <c r="C59" s="6"/>
      <c r="G59" s="35"/>
      <c r="H59" s="35"/>
    </row>
    <row r="61" spans="1:8">
      <c r="E61" s="447"/>
    </row>
  </sheetData>
  <mergeCells count="6">
    <mergeCell ref="A1:F1"/>
    <mergeCell ref="A6:F6"/>
    <mergeCell ref="A4:F4"/>
    <mergeCell ref="A2:F2"/>
    <mergeCell ref="A5:F5"/>
    <mergeCell ref="A3:F3"/>
  </mergeCells>
  <printOptions horizontalCentered="1"/>
  <pageMargins left="0.7" right="0.7" top="0.75" bottom="0.75" header="0.3" footer="0.3"/>
  <pageSetup scale="54" orientation="portrait" r:id="rId1"/>
  <headerFooter scaleWithDoc="0" alignWithMargins="0">
    <oddHeader>&amp;R&amp;P of &amp;N</oddHeader>
    <oddFooter>&amp;LElectronic Tab Name: &amp;A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pageSetUpPr fitToPage="1"/>
  </sheetPr>
  <dimension ref="A1:H22"/>
  <sheetViews>
    <sheetView view="pageBreakPreview" zoomScale="60" zoomScaleNormal="100" workbookViewId="0">
      <selection activeCell="A13" sqref="A13"/>
    </sheetView>
  </sheetViews>
  <sheetFormatPr defaultColWidth="8.85546875" defaultRowHeight="15"/>
  <cols>
    <col min="1" max="1" width="6.7109375" style="124" bestFit="1" customWidth="1"/>
    <col min="2" max="2" width="34.42578125" style="53" customWidth="1"/>
    <col min="3" max="3" width="20.42578125" style="53" bestFit="1" customWidth="1"/>
    <col min="4" max="4" width="33.42578125" style="53" bestFit="1" customWidth="1"/>
    <col min="5" max="16384" width="8.85546875" style="53"/>
  </cols>
  <sheetData>
    <row r="1" spans="1:8">
      <c r="A1" s="1402" t="str">
        <f>Company</f>
        <v>Cascade Natural Gas Corp.</v>
      </c>
      <c r="B1" s="1402"/>
      <c r="C1" s="1402"/>
      <c r="D1" s="91"/>
      <c r="E1" s="91"/>
      <c r="F1" s="91"/>
      <c r="G1" s="91"/>
      <c r="H1" s="91"/>
    </row>
    <row r="2" spans="1:8">
      <c r="A2" s="1402" t="str">
        <f>Title1</f>
        <v>Washington Jurisdiction</v>
      </c>
      <c r="B2" s="1402"/>
      <c r="C2" s="1402"/>
      <c r="D2" s="91"/>
      <c r="E2" s="91"/>
      <c r="F2" s="91"/>
      <c r="G2" s="91"/>
      <c r="H2" s="91"/>
    </row>
    <row r="3" spans="1:8">
      <c r="A3" s="1402" t="str">
        <f>Title2</f>
        <v>Twelve-Months ended December 31, 2023</v>
      </c>
      <c r="B3" s="1402"/>
      <c r="C3" s="1402"/>
      <c r="D3" s="91"/>
      <c r="E3" s="91"/>
      <c r="F3" s="91"/>
      <c r="G3" s="91"/>
      <c r="H3" s="91"/>
    </row>
    <row r="4" spans="1:8">
      <c r="A4" s="1402" t="str">
        <f>Title8</f>
        <v>UG-240008</v>
      </c>
      <c r="B4" s="1402"/>
      <c r="C4" s="1402"/>
      <c r="D4" s="91"/>
      <c r="E4" s="91"/>
      <c r="F4" s="91"/>
      <c r="G4" s="91"/>
      <c r="H4" s="91"/>
    </row>
    <row r="5" spans="1:8">
      <c r="A5" s="1402" t="s">
        <v>232</v>
      </c>
      <c r="B5" s="1402"/>
      <c r="C5" s="1402"/>
      <c r="D5" s="91"/>
      <c r="E5" s="91"/>
      <c r="F5" s="91"/>
      <c r="G5" s="91"/>
      <c r="H5" s="91"/>
    </row>
    <row r="6" spans="1:8">
      <c r="A6" s="1402" t="s">
        <v>666</v>
      </c>
      <c r="B6" s="1402"/>
      <c r="C6" s="1402"/>
      <c r="D6" s="91"/>
      <c r="E6" s="238"/>
      <c r="F6" s="238"/>
      <c r="G6" s="238"/>
      <c r="H6" s="238"/>
    </row>
    <row r="8" spans="1:8" ht="30">
      <c r="A8" s="172" t="s">
        <v>536</v>
      </c>
      <c r="B8" s="172" t="s">
        <v>537</v>
      </c>
      <c r="C8" s="172" t="s">
        <v>369</v>
      </c>
      <c r="D8"/>
      <c r="G8" s="644"/>
    </row>
    <row r="9" spans="1:8">
      <c r="A9" s="487"/>
      <c r="B9" s="487" t="s">
        <v>439</v>
      </c>
      <c r="C9" s="487" t="s">
        <v>208</v>
      </c>
      <c r="D9"/>
    </row>
    <row r="10" spans="1:8">
      <c r="A10" s="124">
        <v>1</v>
      </c>
      <c r="B10" s="14" t="s">
        <v>1127</v>
      </c>
      <c r="D10"/>
    </row>
    <row r="11" spans="1:8">
      <c r="A11" s="124">
        <v>2</v>
      </c>
      <c r="B11" s="8" t="s">
        <v>511</v>
      </c>
      <c r="C11" s="243">
        <f>'Exh JAD-2, TY Revenues'!U12</f>
        <v>2298168.8624878172</v>
      </c>
      <c r="D11" s="244"/>
    </row>
    <row r="12" spans="1:8">
      <c r="A12" s="124">
        <v>3</v>
      </c>
      <c r="B12" s="8" t="s">
        <v>513</v>
      </c>
      <c r="C12" s="573">
        <f>SUM('Exh JAD-2, TY Revenues'!U34,'Exh JAD-2, TY Revenues'!U56:U58,'Exh JAD-2, TY Revenues'!U80:U82,'Exh JAD-2, TY Revenues'!U105:U106)</f>
        <v>1222051.6392088891</v>
      </c>
      <c r="D12" s="244"/>
    </row>
    <row r="13" spans="1:8">
      <c r="A13" s="124">
        <v>4</v>
      </c>
      <c r="B13" s="8" t="s">
        <v>518</v>
      </c>
      <c r="C13" s="574">
        <f>SUM('Exh JAD-2, TY Revenues'!U131:U134)</f>
        <v>1188368.0875934656</v>
      </c>
      <c r="D13" s="244"/>
    </row>
    <row r="14" spans="1:8">
      <c r="A14" s="124">
        <v>5</v>
      </c>
      <c r="B14" s="14" t="s">
        <v>1066</v>
      </c>
      <c r="C14" s="243">
        <f>SUM(C11:C13)</f>
        <v>4708588.5892901719</v>
      </c>
      <c r="D14" s="244"/>
    </row>
    <row r="15" spans="1:8">
      <c r="A15" s="124">
        <v>6</v>
      </c>
      <c r="B15" s="14" t="s">
        <v>1128</v>
      </c>
      <c r="D15" s="244"/>
    </row>
    <row r="16" spans="1:8">
      <c r="A16" s="124">
        <v>7</v>
      </c>
      <c r="B16" s="8" t="s">
        <v>511</v>
      </c>
      <c r="C16" s="243">
        <f>'Exh JAD-2, TY Revenues'!U18</f>
        <v>-1373249.1971</v>
      </c>
      <c r="D16" s="244"/>
    </row>
    <row r="17" spans="1:4">
      <c r="A17" s="124">
        <v>8</v>
      </c>
      <c r="B17" s="8" t="s">
        <v>513</v>
      </c>
      <c r="C17" s="573">
        <f>'Exh JAD-2, TY Revenues'!U40+'Exh JAD-2, TY Revenues'!U64+'Exh JAD-2, TY Revenues'!U88+'Exh JAD-2, TY Revenues'!U112</f>
        <v>-771600.44360179012</v>
      </c>
      <c r="D17" s="244"/>
    </row>
    <row r="18" spans="1:4">
      <c r="A18" s="124">
        <v>9</v>
      </c>
      <c r="B18" s="8" t="s">
        <v>518</v>
      </c>
      <c r="C18" s="574">
        <f>'Exh JAD-2, TY Revenues'!U138</f>
        <v>-731774.1100000001</v>
      </c>
      <c r="D18" s="244"/>
    </row>
    <row r="19" spans="1:4">
      <c r="A19" s="124">
        <v>10</v>
      </c>
      <c r="B19" s="14" t="s">
        <v>1066</v>
      </c>
      <c r="C19" s="243">
        <f>SUM('Exh JAD-2, TY Revenues'!U18,'Exh JAD-2, TY Revenues'!U40,'Exh JAD-2, TY Revenues'!U64,'Exh JAD-2, TY Revenues'!U88,'Exh JAD-2, TY Revenues'!U112,'Exh JAD-2, TY Revenues'!U138)</f>
        <v>-2876623.7507017907</v>
      </c>
      <c r="D19" s="244"/>
    </row>
    <row r="20" spans="1:4">
      <c r="B20" s="1"/>
      <c r="D20" s="244"/>
    </row>
    <row r="21" spans="1:4" ht="15.75" thickBot="1">
      <c r="A21" s="449">
        <v>11</v>
      </c>
      <c r="B21" s="14" t="s">
        <v>1129</v>
      </c>
      <c r="C21" s="245">
        <f>+C14+C19</f>
        <v>1831964.8385883812</v>
      </c>
    </row>
    <row r="22" spans="1:4" ht="15.75" thickTop="1"/>
  </sheetData>
  <mergeCells count="6">
    <mergeCell ref="A6:C6"/>
    <mergeCell ref="A1:C1"/>
    <mergeCell ref="A2:C2"/>
    <mergeCell ref="A3:C3"/>
    <mergeCell ref="A4:C4"/>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J117"/>
  <sheetViews>
    <sheetView view="pageBreakPreview" zoomScale="60" zoomScaleNormal="100" workbookViewId="0">
      <selection activeCell="A16" sqref="A16"/>
    </sheetView>
  </sheetViews>
  <sheetFormatPr defaultColWidth="9.140625" defaultRowHeight="15"/>
  <cols>
    <col min="1" max="1" width="6" style="124" customWidth="1"/>
    <col min="2" max="2" width="41.85546875" style="53" bestFit="1" customWidth="1"/>
    <col min="3" max="3" width="33.7109375" style="53" bestFit="1" customWidth="1"/>
    <col min="4" max="4" width="13.42578125" style="53" bestFit="1" customWidth="1"/>
    <col min="5" max="5" width="14" style="53" bestFit="1" customWidth="1"/>
    <col min="6" max="6" width="14.42578125" style="53" bestFit="1" customWidth="1"/>
    <col min="7" max="9" width="9.140625" style="53"/>
    <col min="10" max="10" width="9.5703125" style="53" bestFit="1" customWidth="1"/>
    <col min="11" max="16384" width="9.140625" style="53"/>
  </cols>
  <sheetData>
    <row r="1" spans="1:10">
      <c r="A1" s="1475" t="str">
        <f>Company</f>
        <v>Cascade Natural Gas Corp.</v>
      </c>
      <c r="B1" s="1475"/>
      <c r="C1" s="1475"/>
      <c r="D1" s="1475"/>
      <c r="E1" s="1475"/>
      <c r="F1" s="1475"/>
    </row>
    <row r="2" spans="1:10">
      <c r="A2" s="1475" t="str">
        <f>Title1</f>
        <v>Washington Jurisdiction</v>
      </c>
      <c r="B2" s="1475"/>
      <c r="C2" s="1475"/>
      <c r="D2" s="1475"/>
      <c r="E2" s="1475"/>
      <c r="F2" s="1475"/>
    </row>
    <row r="3" spans="1:10">
      <c r="A3" s="1475" t="str">
        <f>Title2</f>
        <v>Twelve-Months ended December 31, 2023</v>
      </c>
      <c r="B3" s="1475"/>
      <c r="C3" s="1475"/>
      <c r="D3" s="1475"/>
      <c r="E3" s="1475"/>
      <c r="F3" s="1475"/>
    </row>
    <row r="4" spans="1:10">
      <c r="A4" s="1475" t="str">
        <f>Title8</f>
        <v>UG-240008</v>
      </c>
      <c r="B4" s="1475"/>
      <c r="C4" s="1475"/>
      <c r="D4" s="1475"/>
      <c r="E4" s="1475"/>
      <c r="F4" s="1475"/>
    </row>
    <row r="5" spans="1:10">
      <c r="A5" s="1475" t="s">
        <v>235</v>
      </c>
      <c r="B5" s="1475"/>
      <c r="C5" s="1475"/>
      <c r="D5" s="1475"/>
      <c r="E5" s="1475"/>
      <c r="F5" s="1475"/>
    </row>
    <row r="6" spans="1:10">
      <c r="A6" s="1475" t="s">
        <v>667</v>
      </c>
      <c r="B6" s="1475"/>
      <c r="C6" s="1475"/>
      <c r="D6" s="1475"/>
      <c r="E6" s="1475"/>
      <c r="F6" s="1475"/>
      <c r="I6" s="644"/>
      <c r="J6" s="783"/>
    </row>
    <row r="7" spans="1:10">
      <c r="B7" s="429"/>
      <c r="C7" s="429"/>
      <c r="D7" s="429"/>
      <c r="E7" s="429"/>
      <c r="F7" s="429"/>
    </row>
    <row r="8" spans="1:10" ht="30">
      <c r="A8" s="172" t="s">
        <v>536</v>
      </c>
      <c r="B8" s="67" t="s">
        <v>537</v>
      </c>
      <c r="C8" s="67" t="s">
        <v>1075</v>
      </c>
      <c r="D8" s="67" t="s">
        <v>369</v>
      </c>
      <c r="E8" s="67" t="s">
        <v>1130</v>
      </c>
      <c r="F8" s="67" t="s">
        <v>1131</v>
      </c>
    </row>
    <row r="9" spans="1:10">
      <c r="A9" s="487"/>
      <c r="B9" s="425" t="s">
        <v>439</v>
      </c>
      <c r="C9" s="425" t="s">
        <v>208</v>
      </c>
      <c r="D9" s="425" t="s">
        <v>209</v>
      </c>
      <c r="E9" s="425" t="s">
        <v>440</v>
      </c>
      <c r="F9" s="425" t="s">
        <v>441</v>
      </c>
    </row>
    <row r="10" spans="1:10">
      <c r="A10" s="124">
        <v>1</v>
      </c>
      <c r="B10" s="1"/>
      <c r="C10" s="1"/>
      <c r="D10" s="2"/>
      <c r="E10" s="239"/>
      <c r="F10" s="2"/>
    </row>
    <row r="11" spans="1:10">
      <c r="A11" s="124">
        <v>2</v>
      </c>
      <c r="B11" s="1" t="s">
        <v>1132</v>
      </c>
      <c r="C11" s="1"/>
      <c r="D11" s="2"/>
      <c r="E11" s="240">
        <f>+'Exh JAD-8, State Allocators'!C14</f>
        <v>0.75070000000000003</v>
      </c>
      <c r="F11" s="241"/>
    </row>
    <row r="12" spans="1:10">
      <c r="A12" s="124">
        <v>3</v>
      </c>
      <c r="B12" s="1"/>
      <c r="C12" s="1"/>
      <c r="D12" s="2"/>
      <c r="E12" s="240"/>
      <c r="F12" s="2"/>
    </row>
    <row r="13" spans="1:10" ht="15.75" thickBot="1">
      <c r="A13" s="124">
        <v>4</v>
      </c>
      <c r="B13" s="70" t="s">
        <v>667</v>
      </c>
      <c r="C13" s="70"/>
      <c r="D13" s="242">
        <f>E19+F19+E117+F117</f>
        <v>36573.89</v>
      </c>
      <c r="E13" s="240"/>
      <c r="F13" s="2"/>
    </row>
    <row r="14" spans="1:10" ht="15.75" thickTop="1">
      <c r="A14" s="124">
        <v>5</v>
      </c>
      <c r="B14" s="1"/>
      <c r="C14" s="1"/>
      <c r="D14" s="2"/>
      <c r="E14" s="239"/>
      <c r="F14" s="2"/>
    </row>
    <row r="15" spans="1:10">
      <c r="A15" s="124">
        <v>6</v>
      </c>
      <c r="B15" s="69" t="s">
        <v>1133</v>
      </c>
      <c r="C15" s="1"/>
      <c r="D15" s="2"/>
      <c r="E15" s="239"/>
      <c r="F15" s="2"/>
    </row>
    <row r="16" spans="1:10">
      <c r="A16" s="124">
        <v>7</v>
      </c>
      <c r="B16" s="53" t="s">
        <v>1134</v>
      </c>
      <c r="C16" s="21"/>
      <c r="D16" s="99">
        <v>0</v>
      </c>
      <c r="E16" s="657">
        <f>+D16*E11</f>
        <v>0</v>
      </c>
      <c r="F16" s="185">
        <v>0</v>
      </c>
    </row>
    <row r="17" spans="1:6">
      <c r="A17" s="124">
        <v>8</v>
      </c>
      <c r="D17" s="99">
        <v>0</v>
      </c>
      <c r="E17" s="185">
        <v>0</v>
      </c>
      <c r="F17" s="185">
        <f>D17</f>
        <v>0</v>
      </c>
    </row>
    <row r="18" spans="1:6">
      <c r="A18" s="124">
        <v>9</v>
      </c>
      <c r="D18" s="99">
        <v>0</v>
      </c>
      <c r="E18" s="185">
        <v>0</v>
      </c>
      <c r="F18" s="185">
        <f>D18</f>
        <v>0</v>
      </c>
    </row>
    <row r="19" spans="1:6">
      <c r="A19" s="124">
        <v>10</v>
      </c>
      <c r="B19" s="505" t="s">
        <v>1135</v>
      </c>
      <c r="C19" s="506"/>
      <c r="D19" s="507">
        <f>SUM(D16:D18)</f>
        <v>0</v>
      </c>
      <c r="E19" s="507">
        <f>SUM(E16:E18)</f>
        <v>0</v>
      </c>
      <c r="F19" s="507">
        <f>SUM(F16:F18)</f>
        <v>0</v>
      </c>
    </row>
    <row r="20" spans="1:6">
      <c r="A20" s="124">
        <v>11</v>
      </c>
      <c r="B20" s="1"/>
      <c r="C20" s="1"/>
      <c r="D20" s="47"/>
      <c r="E20" s="47"/>
      <c r="F20" s="47"/>
    </row>
    <row r="21" spans="1:6">
      <c r="A21" s="124">
        <v>12</v>
      </c>
      <c r="B21" s="2"/>
      <c r="C21" s="2"/>
      <c r="D21" s="44"/>
      <c r="E21" s="44"/>
      <c r="F21" s="44"/>
    </row>
    <row r="22" spans="1:6">
      <c r="A22" s="124">
        <v>13</v>
      </c>
      <c r="B22" s="69" t="s">
        <v>1136</v>
      </c>
      <c r="D22" s="44"/>
      <c r="E22" s="44"/>
      <c r="F22" s="44"/>
    </row>
    <row r="23" spans="1:6">
      <c r="A23" s="124">
        <v>14</v>
      </c>
      <c r="B23" s="53" t="s">
        <v>1137</v>
      </c>
      <c r="C23" s="53" t="s">
        <v>1138</v>
      </c>
      <c r="D23" s="103">
        <v>-2.14</v>
      </c>
      <c r="E23" s="780">
        <f>ROUND(D23*$E$11,2)</f>
        <v>-1.61</v>
      </c>
      <c r="F23" s="780"/>
    </row>
    <row r="24" spans="1:6">
      <c r="A24" s="124">
        <v>15</v>
      </c>
      <c r="B24" s="53" t="s">
        <v>1137</v>
      </c>
      <c r="C24" s="53" t="s">
        <v>1139</v>
      </c>
      <c r="D24" s="103">
        <v>-5.51</v>
      </c>
      <c r="E24" s="780">
        <f t="shared" ref="E24:E87" si="0">ROUND(D24*$E$11,2)</f>
        <v>-4.1399999999999997</v>
      </c>
      <c r="F24" s="780"/>
    </row>
    <row r="25" spans="1:6">
      <c r="A25" s="124">
        <v>16</v>
      </c>
      <c r="B25" s="53" t="s">
        <v>1137</v>
      </c>
      <c r="C25" s="53" t="s">
        <v>1140</v>
      </c>
      <c r="D25" s="103">
        <v>-1.82</v>
      </c>
      <c r="E25" s="780">
        <f t="shared" si="0"/>
        <v>-1.37</v>
      </c>
      <c r="F25" s="780"/>
    </row>
    <row r="26" spans="1:6">
      <c r="A26" s="124">
        <v>17</v>
      </c>
      <c r="B26" s="53" t="s">
        <v>1137</v>
      </c>
      <c r="C26" s="53" t="s">
        <v>1141</v>
      </c>
      <c r="D26" s="103">
        <v>-3.38</v>
      </c>
      <c r="E26" s="780">
        <f t="shared" si="0"/>
        <v>-2.54</v>
      </c>
      <c r="F26" s="780"/>
    </row>
    <row r="27" spans="1:6">
      <c r="A27" s="124">
        <v>18</v>
      </c>
      <c r="B27" s="53" t="s">
        <v>1142</v>
      </c>
      <c r="C27" s="53" t="s">
        <v>1143</v>
      </c>
      <c r="D27" s="103">
        <v>3000</v>
      </c>
      <c r="E27" s="780">
        <f t="shared" si="0"/>
        <v>2252.1</v>
      </c>
      <c r="F27" s="780"/>
    </row>
    <row r="28" spans="1:6">
      <c r="A28" s="124">
        <v>19</v>
      </c>
      <c r="B28" s="53" t="s">
        <v>1144</v>
      </c>
      <c r="C28" s="53" t="s">
        <v>1145</v>
      </c>
      <c r="D28" s="103">
        <v>30</v>
      </c>
      <c r="E28" s="780">
        <f t="shared" si="0"/>
        <v>22.52</v>
      </c>
      <c r="F28" s="780"/>
    </row>
    <row r="29" spans="1:6">
      <c r="A29" s="124">
        <v>20</v>
      </c>
      <c r="B29" s="53" t="s">
        <v>1146</v>
      </c>
      <c r="C29" s="53" t="s">
        <v>1147</v>
      </c>
      <c r="D29" s="103">
        <v>400.81</v>
      </c>
      <c r="E29" s="780">
        <f t="shared" si="0"/>
        <v>300.89</v>
      </c>
      <c r="F29" s="780"/>
    </row>
    <row r="30" spans="1:6">
      <c r="A30" s="124">
        <v>21</v>
      </c>
      <c r="B30" t="s">
        <v>1148</v>
      </c>
      <c r="C30" s="53" t="s">
        <v>1149</v>
      </c>
      <c r="D30" s="103">
        <v>97.5</v>
      </c>
      <c r="E30" s="780">
        <f t="shared" si="0"/>
        <v>73.19</v>
      </c>
      <c r="F30" s="780"/>
    </row>
    <row r="31" spans="1:6">
      <c r="A31" s="124">
        <v>22</v>
      </c>
      <c r="B31" s="53" t="s">
        <v>1148</v>
      </c>
      <c r="C31" s="53" t="s">
        <v>1150</v>
      </c>
      <c r="D31" s="103">
        <v>131.25</v>
      </c>
      <c r="E31" s="780">
        <f t="shared" si="0"/>
        <v>98.53</v>
      </c>
      <c r="F31" s="780"/>
    </row>
    <row r="32" spans="1:6">
      <c r="A32" s="124">
        <v>23</v>
      </c>
      <c r="B32" s="53" t="s">
        <v>1151</v>
      </c>
      <c r="C32" s="53" t="s">
        <v>1152</v>
      </c>
      <c r="D32" s="103">
        <v>9.0500000000000007</v>
      </c>
      <c r="E32" s="780">
        <f t="shared" si="0"/>
        <v>6.79</v>
      </c>
      <c r="F32" s="780"/>
    </row>
    <row r="33" spans="1:6">
      <c r="A33" s="124">
        <v>24</v>
      </c>
      <c r="B33" s="53" t="s">
        <v>1153</v>
      </c>
      <c r="C33" s="53" t="s">
        <v>1154</v>
      </c>
      <c r="D33" s="103">
        <v>30</v>
      </c>
      <c r="E33" s="780">
        <f t="shared" si="0"/>
        <v>22.52</v>
      </c>
      <c r="F33" s="780"/>
    </row>
    <row r="34" spans="1:6">
      <c r="A34" s="124">
        <v>25</v>
      </c>
      <c r="B34" s="53" t="s">
        <v>1155</v>
      </c>
      <c r="C34" s="53" t="s">
        <v>1156</v>
      </c>
      <c r="D34" s="103">
        <v>3000</v>
      </c>
      <c r="E34" s="780">
        <f t="shared" si="0"/>
        <v>2252.1</v>
      </c>
      <c r="F34" s="780"/>
    </row>
    <row r="35" spans="1:6">
      <c r="A35" s="124">
        <v>26</v>
      </c>
      <c r="B35" s="53" t="s">
        <v>1157</v>
      </c>
      <c r="C35" s="53" t="s">
        <v>1158</v>
      </c>
      <c r="D35" s="103">
        <v>3278.1</v>
      </c>
      <c r="E35" s="780">
        <f t="shared" si="0"/>
        <v>2460.87</v>
      </c>
      <c r="F35" s="780"/>
    </row>
    <row r="36" spans="1:6">
      <c r="A36" s="124">
        <v>27</v>
      </c>
      <c r="B36" s="53" t="s">
        <v>1151</v>
      </c>
      <c r="C36" s="53" t="s">
        <v>1159</v>
      </c>
      <c r="D36" s="103">
        <v>155.53</v>
      </c>
      <c r="E36" s="780">
        <f t="shared" si="0"/>
        <v>116.76</v>
      </c>
      <c r="F36" s="780"/>
    </row>
    <row r="37" spans="1:6">
      <c r="A37" s="124">
        <v>28</v>
      </c>
      <c r="B37" s="53" t="s">
        <v>1151</v>
      </c>
      <c r="C37" s="53" t="s">
        <v>1160</v>
      </c>
      <c r="D37" s="103">
        <v>618.41</v>
      </c>
      <c r="E37" s="780">
        <f t="shared" si="0"/>
        <v>464.24</v>
      </c>
      <c r="F37" s="780"/>
    </row>
    <row r="38" spans="1:6">
      <c r="A38" s="124">
        <v>29</v>
      </c>
      <c r="B38" s="53" t="s">
        <v>1161</v>
      </c>
      <c r="C38" s="53" t="s">
        <v>1162</v>
      </c>
      <c r="D38" s="103">
        <v>75</v>
      </c>
      <c r="E38" s="780">
        <f t="shared" si="0"/>
        <v>56.3</v>
      </c>
      <c r="F38" s="780"/>
    </row>
    <row r="39" spans="1:6">
      <c r="A39" s="124">
        <v>30</v>
      </c>
      <c r="B39" s="53" t="s">
        <v>1151</v>
      </c>
      <c r="C39" s="53" t="s">
        <v>1163</v>
      </c>
      <c r="D39" s="103">
        <v>180.56</v>
      </c>
      <c r="E39" s="780">
        <f t="shared" si="0"/>
        <v>135.55000000000001</v>
      </c>
      <c r="F39" s="780"/>
    </row>
    <row r="40" spans="1:6">
      <c r="A40" s="124">
        <v>31</v>
      </c>
      <c r="B40" s="53" t="s">
        <v>1164</v>
      </c>
      <c r="C40" s="53" t="s">
        <v>1165</v>
      </c>
      <c r="D40" s="103">
        <v>750</v>
      </c>
      <c r="E40" s="780">
        <f t="shared" si="0"/>
        <v>563.03</v>
      </c>
      <c r="F40" s="780"/>
    </row>
    <row r="41" spans="1:6">
      <c r="A41" s="124">
        <v>32</v>
      </c>
      <c r="B41" s="53" t="s">
        <v>1166</v>
      </c>
      <c r="C41" s="53" t="s">
        <v>1167</v>
      </c>
      <c r="D41" s="103">
        <v>10.27</v>
      </c>
      <c r="E41" s="780">
        <f t="shared" si="0"/>
        <v>7.71</v>
      </c>
      <c r="F41" s="780"/>
    </row>
    <row r="42" spans="1:6">
      <c r="A42" s="124">
        <v>33</v>
      </c>
      <c r="B42" s="53" t="s">
        <v>1166</v>
      </c>
      <c r="C42" s="53" t="s">
        <v>1167</v>
      </c>
      <c r="D42" s="103">
        <v>5.71</v>
      </c>
      <c r="E42" s="780">
        <f t="shared" si="0"/>
        <v>4.29</v>
      </c>
      <c r="F42" s="780"/>
    </row>
    <row r="43" spans="1:6">
      <c r="A43" s="124">
        <v>34</v>
      </c>
      <c r="B43" s="53" t="s">
        <v>1164</v>
      </c>
      <c r="C43" s="53" t="s">
        <v>1168</v>
      </c>
      <c r="D43" s="103">
        <v>337.5</v>
      </c>
      <c r="E43" s="780">
        <f t="shared" si="0"/>
        <v>253.36</v>
      </c>
      <c r="F43" s="780"/>
    </row>
    <row r="44" spans="1:6">
      <c r="A44" s="124">
        <v>35</v>
      </c>
      <c r="B44" s="53" t="s">
        <v>1166</v>
      </c>
      <c r="C44" s="53" t="s">
        <v>1169</v>
      </c>
      <c r="D44" s="103">
        <v>202.5</v>
      </c>
      <c r="E44" s="780">
        <f t="shared" si="0"/>
        <v>152.02000000000001</v>
      </c>
      <c r="F44" s="780"/>
    </row>
    <row r="45" spans="1:6">
      <c r="A45" s="124">
        <v>36</v>
      </c>
      <c r="B45" s="53" t="s">
        <v>1170</v>
      </c>
      <c r="C45" s="53" t="s">
        <v>1171</v>
      </c>
      <c r="D45" s="103">
        <v>528</v>
      </c>
      <c r="E45" s="780"/>
      <c r="F45" s="780">
        <f>+D45</f>
        <v>528</v>
      </c>
    </row>
    <row r="46" spans="1:6">
      <c r="A46" s="124">
        <v>37</v>
      </c>
      <c r="B46" s="53" t="s">
        <v>1172</v>
      </c>
      <c r="C46" s="53" t="s">
        <v>1173</v>
      </c>
      <c r="D46" s="103">
        <v>46.99</v>
      </c>
      <c r="E46" s="780"/>
      <c r="F46" s="780">
        <f>+D46</f>
        <v>46.99</v>
      </c>
    </row>
    <row r="47" spans="1:6">
      <c r="A47" s="124">
        <v>38</v>
      </c>
      <c r="B47" s="53" t="s">
        <v>1174</v>
      </c>
      <c r="C47" s="53" t="s">
        <v>1175</v>
      </c>
      <c r="D47" s="103">
        <v>-3.05</v>
      </c>
      <c r="E47" s="780">
        <f t="shared" si="0"/>
        <v>-2.29</v>
      </c>
      <c r="F47" s="780"/>
    </row>
    <row r="48" spans="1:6">
      <c r="A48" s="124">
        <v>39</v>
      </c>
      <c r="B48" s="53" t="s">
        <v>1146</v>
      </c>
      <c r="C48" s="53" t="s">
        <v>1176</v>
      </c>
      <c r="D48" s="103">
        <v>362.35</v>
      </c>
      <c r="E48" s="780">
        <f t="shared" si="0"/>
        <v>272.02</v>
      </c>
      <c r="F48" s="780"/>
    </row>
    <row r="49" spans="1:6">
      <c r="A49" s="124">
        <v>40</v>
      </c>
      <c r="B49" s="53" t="s">
        <v>1177</v>
      </c>
      <c r="C49" s="53" t="s">
        <v>1178</v>
      </c>
      <c r="D49" s="103">
        <v>45</v>
      </c>
      <c r="E49" s="780">
        <f t="shared" si="0"/>
        <v>33.78</v>
      </c>
      <c r="F49" s="780"/>
    </row>
    <row r="50" spans="1:6">
      <c r="A50" s="124">
        <v>41</v>
      </c>
      <c r="B50" s="53" t="s">
        <v>1179</v>
      </c>
      <c r="C50" s="53" t="s">
        <v>1180</v>
      </c>
      <c r="D50" s="103">
        <v>84</v>
      </c>
      <c r="E50" s="780">
        <f t="shared" si="0"/>
        <v>63.06</v>
      </c>
      <c r="F50" s="780"/>
    </row>
    <row r="51" spans="1:6">
      <c r="A51" s="124">
        <v>42</v>
      </c>
      <c r="B51" s="53" t="s">
        <v>1146</v>
      </c>
      <c r="C51" s="53" t="s">
        <v>247</v>
      </c>
      <c r="D51" s="103">
        <v>359.92</v>
      </c>
      <c r="E51" s="780">
        <f t="shared" si="0"/>
        <v>270.19</v>
      </c>
      <c r="F51" s="780"/>
    </row>
    <row r="52" spans="1:6">
      <c r="A52" s="124">
        <v>43</v>
      </c>
      <c r="B52" s="53" t="s">
        <v>1181</v>
      </c>
      <c r="C52" s="53" t="s">
        <v>1182</v>
      </c>
      <c r="D52" s="103">
        <v>74.7</v>
      </c>
      <c r="E52" s="780">
        <f t="shared" si="0"/>
        <v>56.08</v>
      </c>
      <c r="F52" s="780"/>
    </row>
    <row r="53" spans="1:6">
      <c r="A53" s="124">
        <v>44</v>
      </c>
      <c r="B53" s="53" t="s">
        <v>1181</v>
      </c>
      <c r="C53" s="53" t="s">
        <v>1182</v>
      </c>
      <c r="D53" s="103">
        <v>775.02</v>
      </c>
      <c r="E53" s="780">
        <f t="shared" si="0"/>
        <v>581.80999999999995</v>
      </c>
      <c r="F53" s="780"/>
    </row>
    <row r="54" spans="1:6">
      <c r="A54" s="124">
        <v>45</v>
      </c>
      <c r="B54" s="53" t="s">
        <v>1183</v>
      </c>
      <c r="C54" s="53" t="s">
        <v>1184</v>
      </c>
      <c r="D54" s="103">
        <v>75</v>
      </c>
      <c r="E54" s="780">
        <f t="shared" si="0"/>
        <v>56.3</v>
      </c>
      <c r="F54" s="780"/>
    </row>
    <row r="55" spans="1:6">
      <c r="A55" s="124">
        <v>46</v>
      </c>
      <c r="B55" s="53" t="s">
        <v>1185</v>
      </c>
      <c r="C55" s="53" t="s">
        <v>1186</v>
      </c>
      <c r="D55" s="103">
        <v>75</v>
      </c>
      <c r="E55" s="780">
        <f t="shared" si="0"/>
        <v>56.3</v>
      </c>
      <c r="F55" s="780"/>
    </row>
    <row r="56" spans="1:6">
      <c r="A56" s="124">
        <v>47</v>
      </c>
      <c r="B56" s="53" t="s">
        <v>1187</v>
      </c>
      <c r="C56" s="53" t="s">
        <v>1188</v>
      </c>
      <c r="D56" s="103">
        <v>154.63999999999999</v>
      </c>
      <c r="E56" s="780">
        <f t="shared" si="0"/>
        <v>116.09</v>
      </c>
      <c r="F56" s="780"/>
    </row>
    <row r="57" spans="1:6">
      <c r="A57" s="124">
        <v>48</v>
      </c>
      <c r="B57" s="53" t="s">
        <v>1187</v>
      </c>
      <c r="C57" s="53" t="s">
        <v>1189</v>
      </c>
      <c r="D57" s="103">
        <v>375</v>
      </c>
      <c r="E57" s="780">
        <f t="shared" si="0"/>
        <v>281.51</v>
      </c>
      <c r="F57" s="780"/>
    </row>
    <row r="58" spans="1:6">
      <c r="A58" s="124">
        <v>49</v>
      </c>
      <c r="B58" s="53" t="s">
        <v>1146</v>
      </c>
      <c r="C58" s="53" t="s">
        <v>1147</v>
      </c>
      <c r="D58" s="103">
        <v>415.33</v>
      </c>
      <c r="E58" s="780">
        <f t="shared" si="0"/>
        <v>311.79000000000002</v>
      </c>
      <c r="F58" s="780"/>
    </row>
    <row r="59" spans="1:6">
      <c r="A59" s="124">
        <v>50</v>
      </c>
      <c r="B59" s="53" t="s">
        <v>1190</v>
      </c>
      <c r="C59" s="53" t="s">
        <v>1191</v>
      </c>
      <c r="D59" s="103">
        <v>2000</v>
      </c>
      <c r="E59" s="780"/>
      <c r="F59" s="780">
        <f>+D59</f>
        <v>2000</v>
      </c>
    </row>
    <row r="60" spans="1:6">
      <c r="A60" s="124">
        <v>51</v>
      </c>
      <c r="B60" s="53" t="s">
        <v>1192</v>
      </c>
      <c r="C60" s="53" t="s">
        <v>1193</v>
      </c>
      <c r="D60" s="103">
        <v>150</v>
      </c>
      <c r="E60" s="780">
        <f t="shared" si="0"/>
        <v>112.61</v>
      </c>
      <c r="F60" s="780"/>
    </row>
    <row r="61" spans="1:6">
      <c r="A61" s="124">
        <v>52</v>
      </c>
      <c r="B61" s="53" t="s">
        <v>1157</v>
      </c>
      <c r="C61" s="53" t="s">
        <v>1194</v>
      </c>
      <c r="D61" s="103">
        <v>105.93</v>
      </c>
      <c r="E61" s="780">
        <f t="shared" si="0"/>
        <v>79.52</v>
      </c>
      <c r="F61" s="780"/>
    </row>
    <row r="62" spans="1:6">
      <c r="A62" s="124">
        <v>53</v>
      </c>
      <c r="B62" s="53" t="s">
        <v>1151</v>
      </c>
      <c r="C62" s="53" t="s">
        <v>1195</v>
      </c>
      <c r="D62" s="103">
        <v>295.83</v>
      </c>
      <c r="E62" s="780">
        <f t="shared" si="0"/>
        <v>222.08</v>
      </c>
      <c r="F62" s="780"/>
    </row>
    <row r="63" spans="1:6">
      <c r="A63" s="124">
        <v>54</v>
      </c>
      <c r="B63" s="53" t="s">
        <v>1196</v>
      </c>
      <c r="C63" s="53" t="s">
        <v>1197</v>
      </c>
      <c r="D63" s="103">
        <v>270</v>
      </c>
      <c r="E63" s="780">
        <f t="shared" si="0"/>
        <v>202.69</v>
      </c>
      <c r="F63" s="780"/>
    </row>
    <row r="64" spans="1:6">
      <c r="A64" s="124">
        <v>55</v>
      </c>
      <c r="B64" s="53" t="s">
        <v>1198</v>
      </c>
      <c r="C64" s="53" t="s">
        <v>1199</v>
      </c>
      <c r="D64" s="103">
        <v>75</v>
      </c>
      <c r="E64" s="780">
        <f t="shared" si="0"/>
        <v>56.3</v>
      </c>
      <c r="F64" s="780"/>
    </row>
    <row r="65" spans="1:6">
      <c r="A65" s="124">
        <v>56</v>
      </c>
      <c r="B65" s="53" t="s">
        <v>1200</v>
      </c>
      <c r="C65" s="53" t="s">
        <v>1171</v>
      </c>
      <c r="D65" s="103">
        <v>699</v>
      </c>
      <c r="E65" s="780"/>
      <c r="F65" s="780">
        <f>+D65</f>
        <v>699</v>
      </c>
    </row>
    <row r="66" spans="1:6">
      <c r="A66" s="124">
        <v>57</v>
      </c>
      <c r="B66" s="53" t="s">
        <v>1201</v>
      </c>
      <c r="C66" s="53" t="s">
        <v>1202</v>
      </c>
      <c r="D66" s="103">
        <v>62.21</v>
      </c>
      <c r="E66" s="780"/>
      <c r="F66" s="780">
        <f>+D66</f>
        <v>62.21</v>
      </c>
    </row>
    <row r="67" spans="1:6">
      <c r="A67" s="124">
        <v>58</v>
      </c>
      <c r="B67" s="53" t="s">
        <v>1146</v>
      </c>
      <c r="C67" s="53" t="s">
        <v>1147</v>
      </c>
      <c r="D67" s="103">
        <v>505.51</v>
      </c>
      <c r="E67" s="780">
        <f t="shared" si="0"/>
        <v>379.49</v>
      </c>
      <c r="F67" s="780"/>
    </row>
    <row r="68" spans="1:6">
      <c r="A68" s="124">
        <v>59</v>
      </c>
      <c r="B68" s="53" t="s">
        <v>1203</v>
      </c>
      <c r="C68" s="53" t="s">
        <v>1204</v>
      </c>
      <c r="D68" s="103">
        <v>40.799999999999997</v>
      </c>
      <c r="E68" s="780">
        <f t="shared" si="0"/>
        <v>30.63</v>
      </c>
      <c r="F68" s="780"/>
    </row>
    <row r="69" spans="1:6">
      <c r="A69" s="124">
        <v>60</v>
      </c>
      <c r="B69" s="53" t="s">
        <v>1205</v>
      </c>
      <c r="C69" s="53" t="s">
        <v>1206</v>
      </c>
      <c r="D69" s="103">
        <v>122.4</v>
      </c>
      <c r="E69" s="780">
        <f t="shared" si="0"/>
        <v>91.89</v>
      </c>
      <c r="F69" s="780"/>
    </row>
    <row r="70" spans="1:6">
      <c r="A70" s="124">
        <v>61</v>
      </c>
      <c r="B70" s="53" t="s">
        <v>1205</v>
      </c>
      <c r="C70" s="53" t="s">
        <v>1206</v>
      </c>
      <c r="D70" s="103">
        <v>90.84</v>
      </c>
      <c r="E70" s="780">
        <f t="shared" si="0"/>
        <v>68.19</v>
      </c>
      <c r="F70" s="780"/>
    </row>
    <row r="71" spans="1:6">
      <c r="A71" s="124">
        <v>62</v>
      </c>
      <c r="B71" s="53" t="s">
        <v>1207</v>
      </c>
      <c r="C71" s="53" t="s">
        <v>1208</v>
      </c>
      <c r="D71" s="103">
        <v>2040</v>
      </c>
      <c r="E71" s="780">
        <f t="shared" si="0"/>
        <v>1531.43</v>
      </c>
      <c r="F71" s="780"/>
    </row>
    <row r="72" spans="1:6">
      <c r="A72" s="124">
        <v>63</v>
      </c>
      <c r="B72" s="53" t="s">
        <v>1209</v>
      </c>
      <c r="C72" s="53" t="s">
        <v>1210</v>
      </c>
      <c r="D72" s="103">
        <v>306</v>
      </c>
      <c r="E72" s="780">
        <f t="shared" si="0"/>
        <v>229.71</v>
      </c>
      <c r="F72" s="780"/>
    </row>
    <row r="73" spans="1:6">
      <c r="A73" s="124">
        <v>64</v>
      </c>
      <c r="B73" s="53" t="s">
        <v>1211</v>
      </c>
      <c r="C73" s="53" t="s">
        <v>1212</v>
      </c>
      <c r="D73" s="103">
        <v>1530</v>
      </c>
      <c r="E73" s="780">
        <f t="shared" si="0"/>
        <v>1148.57</v>
      </c>
      <c r="F73" s="780"/>
    </row>
    <row r="74" spans="1:6">
      <c r="A74" s="124">
        <v>65</v>
      </c>
      <c r="B74" s="53" t="s">
        <v>1142</v>
      </c>
      <c r="C74" s="53" t="s">
        <v>1213</v>
      </c>
      <c r="D74" s="103">
        <v>163.53</v>
      </c>
      <c r="E74" s="780">
        <f t="shared" si="0"/>
        <v>122.76</v>
      </c>
      <c r="F74" s="780"/>
    </row>
    <row r="75" spans="1:6">
      <c r="A75" s="124">
        <v>66</v>
      </c>
      <c r="B75" s="53" t="s">
        <v>1214</v>
      </c>
      <c r="C75" s="53" t="s">
        <v>1215</v>
      </c>
      <c r="D75" s="103">
        <v>1020</v>
      </c>
      <c r="E75" s="780">
        <f t="shared" si="0"/>
        <v>765.71</v>
      </c>
      <c r="F75" s="780"/>
    </row>
    <row r="76" spans="1:6">
      <c r="A76" s="124">
        <v>67</v>
      </c>
      <c r="B76" s="53" t="s">
        <v>1216</v>
      </c>
      <c r="C76" s="53" t="s">
        <v>1217</v>
      </c>
      <c r="D76" s="103">
        <v>42.26</v>
      </c>
      <c r="E76" s="780">
        <f t="shared" si="0"/>
        <v>31.72</v>
      </c>
      <c r="F76" s="780"/>
    </row>
    <row r="77" spans="1:6">
      <c r="A77" s="124">
        <v>68</v>
      </c>
      <c r="B77" s="53" t="s">
        <v>1216</v>
      </c>
      <c r="C77" s="53" t="s">
        <v>1217</v>
      </c>
      <c r="D77" s="103">
        <v>16.07</v>
      </c>
      <c r="E77" s="780">
        <f t="shared" si="0"/>
        <v>12.06</v>
      </c>
      <c r="F77" s="780"/>
    </row>
    <row r="78" spans="1:6">
      <c r="A78" s="124">
        <v>69</v>
      </c>
      <c r="B78" s="53" t="s">
        <v>1218</v>
      </c>
      <c r="C78" s="53" t="s">
        <v>1219</v>
      </c>
      <c r="D78" s="103">
        <v>61.2</v>
      </c>
      <c r="E78" s="780">
        <f t="shared" si="0"/>
        <v>45.94</v>
      </c>
      <c r="F78" s="780"/>
    </row>
    <row r="79" spans="1:6">
      <c r="A79" s="124">
        <v>70</v>
      </c>
      <c r="B79" s="53" t="s">
        <v>1220</v>
      </c>
      <c r="C79" s="53" t="s">
        <v>1221</v>
      </c>
      <c r="D79" s="103">
        <v>714</v>
      </c>
      <c r="E79" s="780">
        <f t="shared" si="0"/>
        <v>536</v>
      </c>
      <c r="F79" s="780"/>
    </row>
    <row r="80" spans="1:6">
      <c r="A80" s="124">
        <v>71</v>
      </c>
      <c r="B80" s="53" t="s">
        <v>1222</v>
      </c>
      <c r="C80" s="53" t="s">
        <v>1221</v>
      </c>
      <c r="D80" s="103">
        <v>204</v>
      </c>
      <c r="E80" s="780">
        <f t="shared" si="0"/>
        <v>153.13999999999999</v>
      </c>
      <c r="F80" s="780"/>
    </row>
    <row r="81" spans="1:6">
      <c r="A81" s="124">
        <v>72</v>
      </c>
      <c r="B81" s="53" t="s">
        <v>1142</v>
      </c>
      <c r="C81" s="53" t="s">
        <v>1223</v>
      </c>
      <c r="D81" s="103">
        <v>132.6</v>
      </c>
      <c r="E81" s="780">
        <f t="shared" si="0"/>
        <v>99.54</v>
      </c>
      <c r="F81" s="780"/>
    </row>
    <row r="82" spans="1:6">
      <c r="A82" s="124">
        <v>73</v>
      </c>
      <c r="B82" s="53" t="s">
        <v>1224</v>
      </c>
      <c r="C82" s="53" t="s">
        <v>1225</v>
      </c>
      <c r="D82" s="103">
        <v>408</v>
      </c>
      <c r="E82" s="780">
        <f t="shared" si="0"/>
        <v>306.29000000000002</v>
      </c>
      <c r="F82" s="780"/>
    </row>
    <row r="83" spans="1:6">
      <c r="A83" s="124">
        <v>74</v>
      </c>
      <c r="B83" s="53" t="s">
        <v>1226</v>
      </c>
      <c r="C83" s="53" t="s">
        <v>1199</v>
      </c>
      <c r="D83" s="103">
        <v>20.399999999999999</v>
      </c>
      <c r="E83" s="780">
        <f t="shared" si="0"/>
        <v>15.31</v>
      </c>
      <c r="F83" s="780"/>
    </row>
    <row r="84" spans="1:6">
      <c r="A84" s="124">
        <v>75</v>
      </c>
      <c r="B84" s="53" t="s">
        <v>1227</v>
      </c>
      <c r="C84" s="53" t="s">
        <v>1228</v>
      </c>
      <c r="D84" s="103">
        <v>51</v>
      </c>
      <c r="E84" s="780">
        <f t="shared" si="0"/>
        <v>38.29</v>
      </c>
      <c r="F84" s="780"/>
    </row>
    <row r="85" spans="1:6">
      <c r="A85" s="124">
        <v>76</v>
      </c>
      <c r="B85" s="53" t="s">
        <v>1229</v>
      </c>
      <c r="C85" s="53" t="s">
        <v>1230</v>
      </c>
      <c r="D85" s="103">
        <v>51</v>
      </c>
      <c r="E85" s="780">
        <f t="shared" si="0"/>
        <v>38.29</v>
      </c>
      <c r="F85" s="780"/>
    </row>
    <row r="86" spans="1:6">
      <c r="A86" s="124">
        <v>77</v>
      </c>
      <c r="B86" s="53" t="s">
        <v>1229</v>
      </c>
      <c r="C86" s="53" t="s">
        <v>1230</v>
      </c>
      <c r="D86" s="103">
        <v>51</v>
      </c>
      <c r="E86" s="780">
        <f t="shared" si="0"/>
        <v>38.29</v>
      </c>
      <c r="F86" s="780"/>
    </row>
    <row r="87" spans="1:6">
      <c r="A87" s="124">
        <v>78</v>
      </c>
      <c r="B87" s="53" t="s">
        <v>1231</v>
      </c>
      <c r="C87" s="53" t="s">
        <v>1232</v>
      </c>
      <c r="D87" s="103">
        <v>204</v>
      </c>
      <c r="E87" s="780">
        <f t="shared" si="0"/>
        <v>153.13999999999999</v>
      </c>
      <c r="F87" s="780"/>
    </row>
    <row r="88" spans="1:6">
      <c r="A88" s="124">
        <v>79</v>
      </c>
      <c r="B88" s="53" t="s">
        <v>1190</v>
      </c>
      <c r="C88" s="53" t="s">
        <v>1233</v>
      </c>
      <c r="D88" s="103">
        <v>2000</v>
      </c>
      <c r="E88" s="780">
        <f t="shared" ref="E88:E115" si="1">ROUND(D88*$E$11,2)</f>
        <v>1501.4</v>
      </c>
      <c r="F88" s="780"/>
    </row>
    <row r="89" spans="1:6">
      <c r="A89" s="124">
        <v>80</v>
      </c>
      <c r="B89" s="53" t="s">
        <v>1146</v>
      </c>
      <c r="C89" s="53" t="s">
        <v>1147</v>
      </c>
      <c r="D89" s="103">
        <v>473.96</v>
      </c>
      <c r="E89" s="780">
        <f t="shared" si="1"/>
        <v>355.8</v>
      </c>
      <c r="F89" s="780"/>
    </row>
    <row r="90" spans="1:6">
      <c r="A90" s="124">
        <v>81</v>
      </c>
      <c r="B90" s="53" t="s">
        <v>1234</v>
      </c>
      <c r="C90" s="53" t="s">
        <v>1235</v>
      </c>
      <c r="D90" s="103">
        <v>51</v>
      </c>
      <c r="E90" s="780">
        <f t="shared" si="1"/>
        <v>38.29</v>
      </c>
      <c r="F90" s="780"/>
    </row>
    <row r="91" spans="1:6">
      <c r="A91" s="124">
        <v>82</v>
      </c>
      <c r="B91" s="53" t="s">
        <v>1236</v>
      </c>
      <c r="C91" s="53" t="s">
        <v>1237</v>
      </c>
      <c r="D91" s="103">
        <v>91.8</v>
      </c>
      <c r="E91" s="780">
        <f t="shared" si="1"/>
        <v>68.91</v>
      </c>
      <c r="F91" s="780"/>
    </row>
    <row r="92" spans="1:6">
      <c r="A92" s="124">
        <v>83</v>
      </c>
      <c r="B92" s="53" t="s">
        <v>1238</v>
      </c>
      <c r="C92" s="53" t="s">
        <v>1239</v>
      </c>
      <c r="D92" s="103">
        <v>2034.9</v>
      </c>
      <c r="E92" s="780">
        <f t="shared" si="1"/>
        <v>1527.6</v>
      </c>
      <c r="F92" s="780"/>
    </row>
    <row r="93" spans="1:6">
      <c r="A93" s="124">
        <v>84</v>
      </c>
      <c r="B93" s="53" t="s">
        <v>1238</v>
      </c>
      <c r="C93" s="53" t="s">
        <v>1240</v>
      </c>
      <c r="D93" s="103">
        <v>163.53</v>
      </c>
      <c r="E93" s="780">
        <f t="shared" si="1"/>
        <v>122.76</v>
      </c>
      <c r="F93" s="780"/>
    </row>
    <row r="94" spans="1:6">
      <c r="A94" s="124">
        <v>85</v>
      </c>
      <c r="B94" s="53" t="s">
        <v>1179</v>
      </c>
      <c r="C94" s="53" t="s">
        <v>1241</v>
      </c>
      <c r="D94" s="103">
        <v>401.88</v>
      </c>
      <c r="E94" s="780">
        <f t="shared" si="1"/>
        <v>301.69</v>
      </c>
      <c r="F94" s="780"/>
    </row>
    <row r="95" spans="1:6">
      <c r="A95" s="124">
        <v>86</v>
      </c>
      <c r="B95" s="53" t="s">
        <v>1242</v>
      </c>
      <c r="C95" s="53" t="s">
        <v>1243</v>
      </c>
      <c r="D95" s="103">
        <v>30.6</v>
      </c>
      <c r="E95" s="780">
        <f t="shared" si="1"/>
        <v>22.97</v>
      </c>
      <c r="F95" s="780"/>
    </row>
    <row r="96" spans="1:6">
      <c r="A96" s="124">
        <v>87</v>
      </c>
      <c r="B96" s="53" t="s">
        <v>1244</v>
      </c>
      <c r="C96" s="53" t="s">
        <v>1245</v>
      </c>
      <c r="D96" s="103">
        <v>326.39999999999998</v>
      </c>
      <c r="E96" s="780">
        <f t="shared" si="1"/>
        <v>245.03</v>
      </c>
      <c r="F96" s="780"/>
    </row>
    <row r="97" spans="1:6">
      <c r="A97" s="124">
        <v>88</v>
      </c>
      <c r="B97" s="53" t="s">
        <v>1146</v>
      </c>
      <c r="C97" s="53" t="s">
        <v>1147</v>
      </c>
      <c r="D97" s="103">
        <v>529.63</v>
      </c>
      <c r="E97" s="780">
        <f t="shared" si="1"/>
        <v>397.59</v>
      </c>
      <c r="F97" s="780"/>
    </row>
    <row r="98" spans="1:6">
      <c r="A98" s="124">
        <v>89</v>
      </c>
      <c r="B98" s="53" t="s">
        <v>1246</v>
      </c>
      <c r="C98" s="53" t="s">
        <v>1247</v>
      </c>
      <c r="D98" s="103">
        <v>3264</v>
      </c>
      <c r="E98" s="780">
        <f t="shared" si="1"/>
        <v>2450.2800000000002</v>
      </c>
      <c r="F98" s="780"/>
    </row>
    <row r="99" spans="1:6">
      <c r="A99" s="124">
        <v>90</v>
      </c>
      <c r="B99" s="53" t="s">
        <v>1248</v>
      </c>
      <c r="C99" s="53" t="s">
        <v>1249</v>
      </c>
      <c r="D99" s="103">
        <v>51</v>
      </c>
      <c r="E99" s="780">
        <f t="shared" si="1"/>
        <v>38.29</v>
      </c>
      <c r="F99" s="780"/>
    </row>
    <row r="100" spans="1:6">
      <c r="A100" s="124">
        <v>91</v>
      </c>
      <c r="B100" s="53" t="s">
        <v>1250</v>
      </c>
      <c r="C100" s="53" t="s">
        <v>1251</v>
      </c>
      <c r="D100" s="103">
        <v>1917.6</v>
      </c>
      <c r="E100" s="780">
        <f t="shared" si="1"/>
        <v>1439.54</v>
      </c>
      <c r="F100" s="780"/>
    </row>
    <row r="101" spans="1:6">
      <c r="A101" s="124">
        <v>92</v>
      </c>
      <c r="B101" s="53" t="s">
        <v>1252</v>
      </c>
      <c r="C101" s="53" t="s">
        <v>1253</v>
      </c>
      <c r="D101" s="103">
        <v>188.7</v>
      </c>
      <c r="E101" s="780">
        <f t="shared" si="1"/>
        <v>141.66</v>
      </c>
      <c r="F101" s="780"/>
    </row>
    <row r="102" spans="1:6">
      <c r="A102" s="124">
        <v>93</v>
      </c>
      <c r="B102" s="53" t="s">
        <v>1252</v>
      </c>
      <c r="C102" s="53" t="s">
        <v>904</v>
      </c>
      <c r="D102" s="103">
        <v>15.3</v>
      </c>
      <c r="E102" s="780">
        <f t="shared" si="1"/>
        <v>11.49</v>
      </c>
      <c r="F102" s="780"/>
    </row>
    <row r="103" spans="1:6">
      <c r="A103" s="124">
        <v>94</v>
      </c>
      <c r="B103" s="53" t="s">
        <v>1252</v>
      </c>
      <c r="C103" s="53" t="s">
        <v>904</v>
      </c>
      <c r="D103" s="103">
        <v>15.3</v>
      </c>
      <c r="E103" s="780">
        <f t="shared" si="1"/>
        <v>11.49</v>
      </c>
      <c r="F103" s="780"/>
    </row>
    <row r="104" spans="1:6">
      <c r="A104" s="124">
        <v>95</v>
      </c>
      <c r="B104" s="53" t="s">
        <v>1146</v>
      </c>
      <c r="C104" s="53" t="s">
        <v>1147</v>
      </c>
      <c r="D104" s="103">
        <v>493.26</v>
      </c>
      <c r="E104" s="780">
        <f t="shared" si="1"/>
        <v>370.29</v>
      </c>
      <c r="F104" s="780"/>
    </row>
    <row r="105" spans="1:6">
      <c r="A105" s="124">
        <v>96</v>
      </c>
      <c r="B105" s="53" t="s">
        <v>1254</v>
      </c>
      <c r="C105" s="53" t="s">
        <v>1188</v>
      </c>
      <c r="D105" s="103">
        <v>204</v>
      </c>
      <c r="E105" s="780">
        <f t="shared" si="1"/>
        <v>153.13999999999999</v>
      </c>
      <c r="F105" s="780"/>
    </row>
    <row r="106" spans="1:6">
      <c r="A106" s="124">
        <v>97</v>
      </c>
      <c r="B106" s="53" t="s">
        <v>1254</v>
      </c>
      <c r="C106" s="53" t="s">
        <v>1255</v>
      </c>
      <c r="D106" s="103">
        <v>163.19999999999999</v>
      </c>
      <c r="E106" s="780">
        <f t="shared" si="1"/>
        <v>122.51</v>
      </c>
      <c r="F106" s="780"/>
    </row>
    <row r="107" spans="1:6">
      <c r="A107" s="124">
        <v>98</v>
      </c>
      <c r="B107" s="53" t="s">
        <v>1155</v>
      </c>
      <c r="C107" s="53" t="s">
        <v>1256</v>
      </c>
      <c r="D107" s="103">
        <v>124.77</v>
      </c>
      <c r="E107" s="780">
        <f t="shared" si="1"/>
        <v>93.66</v>
      </c>
      <c r="F107" s="780"/>
    </row>
    <row r="108" spans="1:6">
      <c r="A108" s="124">
        <v>99</v>
      </c>
      <c r="B108" s="53" t="s">
        <v>1157</v>
      </c>
      <c r="C108" s="53" t="s">
        <v>1257</v>
      </c>
      <c r="D108" s="103">
        <v>171.36</v>
      </c>
      <c r="E108" s="780">
        <f t="shared" si="1"/>
        <v>128.63999999999999</v>
      </c>
      <c r="F108" s="780"/>
    </row>
    <row r="109" spans="1:6">
      <c r="A109" s="124">
        <v>100</v>
      </c>
      <c r="B109" s="53" t="s">
        <v>1258</v>
      </c>
      <c r="C109" s="53" t="s">
        <v>1259</v>
      </c>
      <c r="D109" s="103">
        <v>378.5</v>
      </c>
      <c r="E109" s="780">
        <f t="shared" si="1"/>
        <v>284.14</v>
      </c>
      <c r="F109" s="780"/>
    </row>
    <row r="110" spans="1:6">
      <c r="A110" s="124">
        <v>101</v>
      </c>
      <c r="B110" s="53" t="s">
        <v>1260</v>
      </c>
      <c r="C110" s="53" t="s">
        <v>1261</v>
      </c>
      <c r="D110" s="103">
        <v>685.95</v>
      </c>
      <c r="E110" s="780">
        <f t="shared" si="1"/>
        <v>514.94000000000005</v>
      </c>
      <c r="F110" s="780"/>
    </row>
    <row r="111" spans="1:6">
      <c r="A111" s="124">
        <v>102</v>
      </c>
      <c r="B111" s="53" t="s">
        <v>1260</v>
      </c>
      <c r="C111" s="53" t="s">
        <v>1261</v>
      </c>
      <c r="D111" s="103">
        <v>672.5</v>
      </c>
      <c r="E111" s="780">
        <f t="shared" si="1"/>
        <v>504.85</v>
      </c>
      <c r="F111" s="780"/>
    </row>
    <row r="112" spans="1:6">
      <c r="A112" s="124">
        <v>103</v>
      </c>
      <c r="B112" s="53" t="s">
        <v>1146</v>
      </c>
      <c r="C112" s="53" t="s">
        <v>1147</v>
      </c>
      <c r="D112" s="103">
        <v>489.04</v>
      </c>
      <c r="E112" s="780">
        <f t="shared" si="1"/>
        <v>367.12</v>
      </c>
      <c r="F112" s="780"/>
    </row>
    <row r="113" spans="1:6">
      <c r="A113" s="124">
        <v>104</v>
      </c>
      <c r="B113" s="53" t="s">
        <v>1262</v>
      </c>
      <c r="C113" s="53" t="s">
        <v>1188</v>
      </c>
      <c r="D113" s="103">
        <v>3522.06</v>
      </c>
      <c r="E113" s="780">
        <f t="shared" si="1"/>
        <v>2644.01</v>
      </c>
      <c r="F113" s="780"/>
    </row>
    <row r="114" spans="1:6">
      <c r="A114" s="124">
        <v>105</v>
      </c>
      <c r="B114" s="53" t="s">
        <v>1262</v>
      </c>
      <c r="C114" s="53" t="s">
        <v>1188</v>
      </c>
      <c r="D114" s="103">
        <v>2040</v>
      </c>
      <c r="E114" s="780">
        <f t="shared" si="1"/>
        <v>1531.43</v>
      </c>
      <c r="F114" s="780"/>
    </row>
    <row r="115" spans="1:6">
      <c r="A115" s="124">
        <v>106</v>
      </c>
      <c r="B115" s="53" t="s">
        <v>1263</v>
      </c>
      <c r="C115" s="53" t="s">
        <v>1264</v>
      </c>
      <c r="D115" s="103">
        <v>11.76</v>
      </c>
      <c r="E115" s="780">
        <f t="shared" si="1"/>
        <v>8.83</v>
      </c>
      <c r="F115" s="780"/>
    </row>
    <row r="116" spans="1:6">
      <c r="A116" s="124">
        <v>107</v>
      </c>
      <c r="D116" s="99"/>
      <c r="E116" s="185"/>
      <c r="F116" s="185"/>
    </row>
    <row r="117" spans="1:6">
      <c r="A117" s="124">
        <v>108</v>
      </c>
      <c r="B117" s="486" t="s">
        <v>1265</v>
      </c>
      <c r="C117" s="486"/>
      <c r="D117" s="508">
        <f>SUM(D23:D115)</f>
        <v>47611.819999999992</v>
      </c>
      <c r="E117" s="508">
        <f>SUM(E23:E115)</f>
        <v>33237.69</v>
      </c>
      <c r="F117" s="508">
        <f>SUM(F23:F115)</f>
        <v>3336.2</v>
      </c>
    </row>
  </sheetData>
  <mergeCells count="6">
    <mergeCell ref="A1:F1"/>
    <mergeCell ref="A4:F4"/>
    <mergeCell ref="A5:F5"/>
    <mergeCell ref="A6:F6"/>
    <mergeCell ref="A3:F3"/>
    <mergeCell ref="A2:F2"/>
  </mergeCells>
  <printOptions horizontalCentered="1"/>
  <pageMargins left="0.31" right="0.3" top="1" bottom="1" header="0.5" footer="0.5"/>
  <pageSetup scale="81" fitToHeight="0" orientation="portrait" r:id="rId1"/>
  <headerFooter scaleWithDoc="0" alignWithMargins="0">
    <oddHeader>&amp;RPage &amp;P of &amp;N</oddHeader>
    <oddFooter>&amp;LElectronic Tab Name: &amp;A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A1:T92"/>
  <sheetViews>
    <sheetView view="pageBreakPreview" zoomScale="60" zoomScaleNormal="100" workbookViewId="0">
      <selection activeCell="K85" sqref="K85"/>
    </sheetView>
  </sheetViews>
  <sheetFormatPr defaultColWidth="9.140625" defaultRowHeight="15" outlineLevelCol="1"/>
  <cols>
    <col min="1" max="1" width="6.5703125" style="124" customWidth="1"/>
    <col min="2" max="2" width="43.7109375" style="53" bestFit="1" customWidth="1"/>
    <col min="3" max="3" width="9.5703125" style="53" bestFit="1" customWidth="1"/>
    <col min="4" max="4" width="17.28515625" style="53" bestFit="1" customWidth="1"/>
    <col min="5" max="5" width="13.85546875" style="53" bestFit="1" customWidth="1"/>
    <col min="6" max="6" width="20.28515625" style="53" bestFit="1" customWidth="1"/>
    <col min="7" max="7" width="8.140625" style="53" bestFit="1" customWidth="1"/>
    <col min="8" max="8" width="17.5703125" style="53" customWidth="1"/>
    <col min="9" max="9" width="19" style="53" customWidth="1"/>
    <col min="10" max="10" width="16.28515625" style="53" bestFit="1" customWidth="1"/>
    <col min="11" max="11" width="19.5703125" style="53" customWidth="1"/>
    <col min="12" max="12" width="18.42578125" style="53" customWidth="1"/>
    <col min="13" max="13" width="8.85546875" style="53" customWidth="1" outlineLevel="1"/>
    <col min="14" max="14" width="19" style="53" customWidth="1" outlineLevel="1"/>
    <col min="15" max="15" width="17.85546875" style="53" customWidth="1" outlineLevel="1"/>
    <col min="16" max="16" width="9.140625" style="53"/>
    <col min="17" max="17" width="14.42578125" style="53" bestFit="1" customWidth="1"/>
    <col min="18" max="18" width="9.140625" style="53"/>
    <col min="19" max="19" width="11.5703125" style="53" bestFit="1" customWidth="1"/>
    <col min="20" max="16384" width="9.140625" style="53"/>
  </cols>
  <sheetData>
    <row r="1" spans="1:19">
      <c r="A1" s="91" t="str">
        <f>Company</f>
        <v>Cascade Natural Gas Corp.</v>
      </c>
      <c r="C1" s="228"/>
      <c r="D1" s="228"/>
      <c r="G1" s="91"/>
      <c r="H1" s="91"/>
      <c r="I1" s="91"/>
      <c r="J1" s="91"/>
      <c r="K1" s="91"/>
      <c r="L1" s="91"/>
      <c r="N1" s="228"/>
      <c r="O1" s="228"/>
    </row>
    <row r="2" spans="1:19">
      <c r="A2" s="91" t="str">
        <f>Title1</f>
        <v>Washington Jurisdiction</v>
      </c>
      <c r="C2" s="228"/>
      <c r="D2" s="228"/>
      <c r="E2"/>
      <c r="F2"/>
      <c r="G2"/>
      <c r="H2"/>
      <c r="I2"/>
      <c r="J2"/>
      <c r="K2"/>
      <c r="L2" s="91"/>
      <c r="N2" s="228"/>
      <c r="O2" s="837"/>
    </row>
    <row r="3" spans="1:19">
      <c r="A3" s="91" t="str">
        <f>Title2</f>
        <v>Twelve-Months ended December 31, 2023</v>
      </c>
      <c r="C3" s="232"/>
      <c r="E3"/>
      <c r="F3"/>
      <c r="G3"/>
      <c r="H3"/>
      <c r="I3"/>
      <c r="J3"/>
      <c r="K3"/>
      <c r="L3" s="91"/>
      <c r="N3" s="431"/>
      <c r="O3" s="431"/>
    </row>
    <row r="4" spans="1:19">
      <c r="A4" s="91" t="str">
        <f>Title8</f>
        <v>UG-240008</v>
      </c>
      <c r="C4" s="229"/>
      <c r="E4" s="423"/>
      <c r="F4"/>
      <c r="G4"/>
      <c r="H4"/>
      <c r="I4"/>
      <c r="J4"/>
      <c r="K4"/>
      <c r="L4" s="91"/>
      <c r="N4" s="109"/>
      <c r="O4" s="230"/>
    </row>
    <row r="5" spans="1:19">
      <c r="A5" s="91" t="s">
        <v>237</v>
      </c>
      <c r="C5" s="229"/>
      <c r="D5" s="229"/>
      <c r="E5"/>
      <c r="F5"/>
      <c r="G5"/>
      <c r="H5"/>
      <c r="I5"/>
      <c r="J5"/>
      <c r="K5"/>
      <c r="L5" s="91"/>
      <c r="N5" s="231"/>
      <c r="O5" s="230"/>
    </row>
    <row r="6" spans="1:19">
      <c r="A6" s="91" t="s">
        <v>669</v>
      </c>
      <c r="C6" s="229"/>
      <c r="D6" s="229"/>
      <c r="E6" s="91"/>
      <c r="F6" s="91"/>
      <c r="G6" s="91"/>
      <c r="H6" s="91"/>
      <c r="I6" s="91"/>
      <c r="J6" s="91"/>
      <c r="K6" s="91"/>
      <c r="L6" s="91"/>
      <c r="N6" s="229"/>
      <c r="O6" s="230"/>
    </row>
    <row r="7" spans="1:19">
      <c r="C7" s="232"/>
      <c r="D7" s="232"/>
      <c r="E7" s="232"/>
      <c r="F7" s="427"/>
      <c r="G7" s="427"/>
      <c r="H7" s="427"/>
      <c r="I7" s="427"/>
      <c r="J7" s="427"/>
      <c r="K7" s="427"/>
      <c r="L7" s="427"/>
      <c r="M7" s="427"/>
      <c r="N7" s="431"/>
      <c r="O7" s="431"/>
    </row>
    <row r="8" spans="1:19" ht="45">
      <c r="A8" s="172" t="s">
        <v>536</v>
      </c>
      <c r="B8" s="257"/>
      <c r="C8" s="172" t="s">
        <v>1266</v>
      </c>
      <c r="D8" s="476" t="s">
        <v>1267</v>
      </c>
      <c r="E8" s="172" t="s">
        <v>1268</v>
      </c>
      <c r="F8" s="172" t="s">
        <v>1269</v>
      </c>
      <c r="G8" s="172" t="s">
        <v>1270</v>
      </c>
      <c r="H8" s="476" t="s">
        <v>1271</v>
      </c>
      <c r="I8" s="172" t="s">
        <v>1272</v>
      </c>
      <c r="J8" s="476" t="s">
        <v>1273</v>
      </c>
      <c r="K8" s="172" t="s">
        <v>1274</v>
      </c>
      <c r="L8" s="476" t="s">
        <v>1275</v>
      </c>
      <c r="M8" s="172"/>
      <c r="N8" s="476" t="s">
        <v>1276</v>
      </c>
      <c r="O8" s="476" t="s">
        <v>1277</v>
      </c>
    </row>
    <row r="9" spans="1:19">
      <c r="A9" s="487"/>
      <c r="B9" s="487" t="s">
        <v>439</v>
      </c>
      <c r="C9" s="487" t="s">
        <v>208</v>
      </c>
      <c r="D9" s="487" t="s">
        <v>209</v>
      </c>
      <c r="E9" s="487" t="s">
        <v>440</v>
      </c>
      <c r="F9" s="487" t="s">
        <v>441</v>
      </c>
      <c r="G9" s="487" t="s">
        <v>442</v>
      </c>
      <c r="H9" s="487" t="s">
        <v>443</v>
      </c>
      <c r="I9" s="487" t="s">
        <v>444</v>
      </c>
      <c r="J9" s="487" t="s">
        <v>445</v>
      </c>
      <c r="K9" s="487" t="s">
        <v>446</v>
      </c>
      <c r="L9" s="487" t="s">
        <v>447</v>
      </c>
      <c r="M9" s="487" t="s">
        <v>448</v>
      </c>
      <c r="N9" s="487" t="s">
        <v>449</v>
      </c>
      <c r="O9" s="487" t="s">
        <v>450</v>
      </c>
    </row>
    <row r="10" spans="1:19">
      <c r="A10" s="124">
        <v>1</v>
      </c>
      <c r="B10" s="53" t="s">
        <v>1278</v>
      </c>
      <c r="D10" s="233">
        <f>+D39+D85</f>
        <v>13733694.52</v>
      </c>
      <c r="E10"/>
      <c r="F10" s="233"/>
      <c r="G10" s="57"/>
      <c r="H10" s="233"/>
      <c r="I10" s="233">
        <f>+D10+H10</f>
        <v>13733694.52</v>
      </c>
      <c r="J10" s="703">
        <v>6.1699999999999998E-2</v>
      </c>
      <c r="K10" s="233">
        <f>+I10*J10</f>
        <v>847368.95188399998</v>
      </c>
      <c r="L10" s="233">
        <f>+I10+K10</f>
        <v>14581063.471883999</v>
      </c>
      <c r="M10" s="57">
        <v>0.04</v>
      </c>
      <c r="N10" s="233">
        <f>+L10*M10</f>
        <v>583242.53887535993</v>
      </c>
      <c r="O10" s="233">
        <f>+L10+N10</f>
        <v>15164306.010759359</v>
      </c>
      <c r="Q10" s="57"/>
      <c r="S10" s="436"/>
    </row>
    <row r="11" spans="1:19">
      <c r="A11" s="124">
        <v>2</v>
      </c>
      <c r="D11" s="233"/>
      <c r="F11" s="233"/>
      <c r="G11" s="57"/>
      <c r="H11" s="233"/>
      <c r="I11" s="233"/>
      <c r="J11" s="57"/>
      <c r="K11" s="233"/>
      <c r="L11" s="233"/>
      <c r="M11" s="57"/>
      <c r="N11" s="233"/>
      <c r="O11" s="233"/>
      <c r="Q11" s="57"/>
    </row>
    <row r="12" spans="1:19" ht="15.75" thickBot="1">
      <c r="A12" s="124">
        <v>3</v>
      </c>
      <c r="B12" s="53" t="s">
        <v>1279</v>
      </c>
      <c r="D12" s="525">
        <f>+D63</f>
        <v>11338527.860000001</v>
      </c>
      <c r="E12" s="526" t="s">
        <v>1280</v>
      </c>
      <c r="F12" s="525">
        <f>+F63</f>
        <v>2979806.5600000005</v>
      </c>
      <c r="G12" s="554">
        <v>0.03</v>
      </c>
      <c r="H12" s="525">
        <f>+F12*G12</f>
        <v>89394.196800000005</v>
      </c>
      <c r="I12" s="525">
        <f>+D12+H12</f>
        <v>11427922.0568</v>
      </c>
      <c r="J12" s="554">
        <v>0.05</v>
      </c>
      <c r="K12" s="525">
        <f>+I12*J12</f>
        <v>571396.10284000007</v>
      </c>
      <c r="L12" s="525">
        <f>+I12+K12</f>
        <v>11999318.159640001</v>
      </c>
      <c r="M12" s="554">
        <v>0.03</v>
      </c>
      <c r="N12" s="525">
        <f>+L12*M12</f>
        <v>359979.54478920001</v>
      </c>
      <c r="O12" s="525">
        <f>+L12+N12</f>
        <v>12359297.704429202</v>
      </c>
      <c r="Q12" s="57"/>
    </row>
    <row r="13" spans="1:19">
      <c r="A13" s="124">
        <v>4</v>
      </c>
      <c r="D13" s="233"/>
      <c r="F13" s="233"/>
      <c r="G13" s="57"/>
      <c r="H13" s="233"/>
      <c r="I13" s="233"/>
      <c r="J13" s="57"/>
      <c r="K13" s="233"/>
      <c r="L13" s="233"/>
      <c r="M13" s="57"/>
      <c r="N13" s="109"/>
    </row>
    <row r="14" spans="1:19">
      <c r="A14" s="124">
        <v>5</v>
      </c>
      <c r="D14" s="233">
        <f>+D12+D10</f>
        <v>25072222.380000003</v>
      </c>
      <c r="F14" s="233">
        <f>+F12+F10</f>
        <v>2979806.5600000005</v>
      </c>
      <c r="G14" s="57"/>
      <c r="H14" s="234">
        <f>+H10+H12</f>
        <v>89394.196800000005</v>
      </c>
      <c r="I14" s="233">
        <f>+I10+I12</f>
        <v>25161616.5768</v>
      </c>
      <c r="J14" s="57"/>
      <c r="K14" s="234">
        <f>+K10+K12</f>
        <v>1418765.0547239999</v>
      </c>
      <c r="L14" s="233">
        <f>+L10+L12</f>
        <v>26580381.631524</v>
      </c>
      <c r="N14" s="234">
        <f>+N10+N12</f>
        <v>943222.08366455999</v>
      </c>
    </row>
    <row r="15" spans="1:19">
      <c r="A15" s="124">
        <v>6</v>
      </c>
      <c r="D15" s="233"/>
      <c r="F15" s="233"/>
      <c r="G15" s="57"/>
      <c r="H15" s="234"/>
      <c r="I15" s="233"/>
      <c r="J15" s="57"/>
      <c r="K15" s="234"/>
      <c r="L15" s="233"/>
      <c r="N15" s="234"/>
      <c r="Q15" s="53" t="s">
        <v>1281</v>
      </c>
    </row>
    <row r="16" spans="1:19">
      <c r="A16" s="124">
        <v>7</v>
      </c>
      <c r="B16" s="53" t="s">
        <v>1282</v>
      </c>
      <c r="D16" s="233"/>
      <c r="F16" s="233"/>
      <c r="G16" s="57"/>
      <c r="H16" s="235">
        <f>+H14*Q16</f>
        <v>6838.6560552000001</v>
      </c>
      <c r="I16" s="233"/>
      <c r="J16" s="57"/>
      <c r="K16" s="235">
        <f>+K14*Q16</f>
        <v>108535.52668638599</v>
      </c>
      <c r="L16" s="233"/>
      <c r="N16" s="873">
        <f>+N14*Q16</f>
        <v>72156.489400338833</v>
      </c>
      <c r="Q16" s="836">
        <v>7.6499999999999999E-2</v>
      </c>
    </row>
    <row r="17" spans="1:20">
      <c r="A17" s="124">
        <v>8</v>
      </c>
      <c r="D17" s="233"/>
      <c r="G17" s="57"/>
      <c r="K17" s="233"/>
      <c r="L17" s="233"/>
      <c r="N17" s="109"/>
    </row>
    <row r="18" spans="1:20">
      <c r="A18" s="124">
        <v>9</v>
      </c>
      <c r="B18" s="4" t="s">
        <v>1278</v>
      </c>
      <c r="E18" s="215"/>
    </row>
    <row r="19" spans="1:20">
      <c r="A19" s="124">
        <v>10</v>
      </c>
      <c r="B19" s="53" t="s">
        <v>1283</v>
      </c>
      <c r="C19" s="224" t="s">
        <v>1284</v>
      </c>
      <c r="D19" s="121">
        <v>200653.79</v>
      </c>
      <c r="G19" s="57"/>
      <c r="H19" s="233">
        <f>+F19*G19</f>
        <v>0</v>
      </c>
      <c r="I19" s="233">
        <f>+D19+H19</f>
        <v>200653.79</v>
      </c>
      <c r="J19" s="57">
        <f>$J$10</f>
        <v>6.1699999999999998E-2</v>
      </c>
      <c r="K19" s="233">
        <f>+I19*J19</f>
        <v>12380.338843</v>
      </c>
      <c r="L19" s="233">
        <f>+I19+K19</f>
        <v>213034.12884300001</v>
      </c>
      <c r="M19" s="57">
        <f>$M$10</f>
        <v>0.04</v>
      </c>
      <c r="N19" s="109">
        <f>+L19*M19</f>
        <v>8521.3651537200003</v>
      </c>
      <c r="O19" s="233">
        <f>+N19+L19</f>
        <v>221555.49399672</v>
      </c>
    </row>
    <row r="20" spans="1:20">
      <c r="A20" s="124">
        <v>12</v>
      </c>
      <c r="B20" s="53" t="s">
        <v>1285</v>
      </c>
      <c r="C20" s="224" t="s">
        <v>1286</v>
      </c>
      <c r="D20" s="121">
        <v>1358575.02</v>
      </c>
      <c r="G20" s="57"/>
      <c r="H20" s="233">
        <f t="shared" ref="H20:H38" si="0">+F20*G20</f>
        <v>0</v>
      </c>
      <c r="I20" s="233">
        <f t="shared" ref="I20:I38" si="1">+D20+H20</f>
        <v>1358575.02</v>
      </c>
      <c r="J20" s="57">
        <f t="shared" ref="J20:J38" si="2">$J$10</f>
        <v>6.1699999999999998E-2</v>
      </c>
      <c r="K20" s="233">
        <f t="shared" ref="K20:K38" si="3">+I20*J20</f>
        <v>83824.078733999995</v>
      </c>
      <c r="L20" s="233">
        <f t="shared" ref="L20:L38" si="4">+I20+K20</f>
        <v>1442399.098734</v>
      </c>
      <c r="M20" s="57">
        <f t="shared" ref="M20:M38" si="5">$M$10</f>
        <v>0.04</v>
      </c>
      <c r="N20" s="109">
        <f t="shared" ref="N20:N38" si="6">+L20*M20</f>
        <v>57695.963949360004</v>
      </c>
      <c r="O20" s="233">
        <f t="shared" ref="O20:O38" si="7">+N20+L20</f>
        <v>1500095.06268336</v>
      </c>
    </row>
    <row r="21" spans="1:20">
      <c r="A21" s="124">
        <v>13</v>
      </c>
      <c r="B21" s="53" t="s">
        <v>838</v>
      </c>
      <c r="C21" s="224" t="s">
        <v>1287</v>
      </c>
      <c r="D21" s="121">
        <v>193490.37</v>
      </c>
      <c r="G21" s="57"/>
      <c r="H21" s="233">
        <f t="shared" si="0"/>
        <v>0</v>
      </c>
      <c r="I21" s="233">
        <f t="shared" si="1"/>
        <v>193490.37</v>
      </c>
      <c r="J21" s="57">
        <f t="shared" si="2"/>
        <v>6.1699999999999998E-2</v>
      </c>
      <c r="K21" s="233">
        <f t="shared" si="3"/>
        <v>11938.355829</v>
      </c>
      <c r="L21" s="233">
        <f t="shared" si="4"/>
        <v>205428.725829</v>
      </c>
      <c r="M21" s="57">
        <f t="shared" si="5"/>
        <v>0.04</v>
      </c>
      <c r="N21" s="109">
        <f t="shared" si="6"/>
        <v>8217.1490331599998</v>
      </c>
      <c r="O21" s="233">
        <f t="shared" si="7"/>
        <v>213645.87486216001</v>
      </c>
    </row>
    <row r="22" spans="1:20">
      <c r="A22" s="124">
        <v>14</v>
      </c>
      <c r="B22" s="53" t="s">
        <v>1288</v>
      </c>
      <c r="C22" s="224" t="s">
        <v>1289</v>
      </c>
      <c r="D22" s="121">
        <v>100550.03</v>
      </c>
      <c r="G22" s="57"/>
      <c r="H22" s="233">
        <f t="shared" si="0"/>
        <v>0</v>
      </c>
      <c r="I22" s="233">
        <f t="shared" si="1"/>
        <v>100550.03</v>
      </c>
      <c r="J22" s="57">
        <f t="shared" si="2"/>
        <v>6.1699999999999998E-2</v>
      </c>
      <c r="K22" s="233">
        <f t="shared" si="3"/>
        <v>6203.9368509999995</v>
      </c>
      <c r="L22" s="233">
        <f t="shared" si="4"/>
        <v>106753.966851</v>
      </c>
      <c r="M22" s="57">
        <f t="shared" si="5"/>
        <v>0.04</v>
      </c>
      <c r="N22" s="109">
        <f t="shared" si="6"/>
        <v>4270.1586740399998</v>
      </c>
      <c r="O22" s="233">
        <f t="shared" si="7"/>
        <v>111024.12552504</v>
      </c>
      <c r="R22" s="577"/>
      <c r="S22" s="555"/>
      <c r="T22" s="577"/>
    </row>
    <row r="23" spans="1:20">
      <c r="A23" s="124">
        <v>15</v>
      </c>
      <c r="B23" s="53" t="s">
        <v>1290</v>
      </c>
      <c r="C23" s="224">
        <v>28750</v>
      </c>
      <c r="D23" s="121">
        <v>204.66</v>
      </c>
      <c r="G23" s="57"/>
      <c r="H23" s="233">
        <f t="shared" si="0"/>
        <v>0</v>
      </c>
      <c r="I23" s="233">
        <f t="shared" si="1"/>
        <v>204.66</v>
      </c>
      <c r="J23" s="57">
        <f t="shared" si="2"/>
        <v>6.1699999999999998E-2</v>
      </c>
      <c r="K23" s="233">
        <f t="shared" si="3"/>
        <v>12.627521999999999</v>
      </c>
      <c r="L23" s="233">
        <f t="shared" si="4"/>
        <v>217.287522</v>
      </c>
      <c r="M23" s="57">
        <f t="shared" si="5"/>
        <v>0.04</v>
      </c>
      <c r="N23" s="109">
        <f t="shared" si="6"/>
        <v>8.6915008799999995</v>
      </c>
      <c r="O23" s="233">
        <f t="shared" si="7"/>
        <v>225.97902288</v>
      </c>
      <c r="R23" s="577"/>
      <c r="S23" s="555"/>
      <c r="T23" s="577"/>
    </row>
    <row r="24" spans="1:20">
      <c r="A24" s="124">
        <v>16</v>
      </c>
      <c r="B24" s="53" t="s">
        <v>1291</v>
      </c>
      <c r="C24" s="224">
        <v>28760</v>
      </c>
      <c r="D24" s="530">
        <v>689.87</v>
      </c>
      <c r="G24" s="57"/>
      <c r="H24" s="233">
        <f t="shared" si="0"/>
        <v>0</v>
      </c>
      <c r="I24" s="233">
        <f t="shared" si="1"/>
        <v>689.87</v>
      </c>
      <c r="J24" s="57">
        <f t="shared" si="2"/>
        <v>6.1699999999999998E-2</v>
      </c>
      <c r="K24" s="233">
        <f t="shared" si="3"/>
        <v>42.564979000000001</v>
      </c>
      <c r="L24" s="233">
        <f t="shared" si="4"/>
        <v>732.434979</v>
      </c>
      <c r="M24" s="57">
        <f t="shared" si="5"/>
        <v>0.04</v>
      </c>
      <c r="N24" s="109">
        <f t="shared" si="6"/>
        <v>29.297399160000001</v>
      </c>
      <c r="O24" s="233">
        <f t="shared" si="7"/>
        <v>761.73237816000005</v>
      </c>
      <c r="R24" s="577"/>
      <c r="S24" s="555"/>
      <c r="T24" s="577"/>
    </row>
    <row r="25" spans="1:20">
      <c r="A25" s="124">
        <v>17</v>
      </c>
      <c r="B25" s="53" t="s">
        <v>847</v>
      </c>
      <c r="C25" s="224">
        <v>28770</v>
      </c>
      <c r="D25" s="530">
        <v>173.4</v>
      </c>
      <c r="G25" s="57"/>
      <c r="H25" s="233">
        <f t="shared" si="0"/>
        <v>0</v>
      </c>
      <c r="I25" s="233">
        <f t="shared" si="1"/>
        <v>173.4</v>
      </c>
      <c r="J25" s="57">
        <f t="shared" si="2"/>
        <v>6.1699999999999998E-2</v>
      </c>
      <c r="K25" s="233">
        <f t="shared" si="3"/>
        <v>10.698779999999999</v>
      </c>
      <c r="L25" s="233">
        <f t="shared" si="4"/>
        <v>184.09878</v>
      </c>
      <c r="M25" s="57">
        <f t="shared" si="5"/>
        <v>0.04</v>
      </c>
      <c r="N25" s="109">
        <f t="shared" si="6"/>
        <v>7.3639512000000007</v>
      </c>
      <c r="O25" s="233">
        <f t="shared" si="7"/>
        <v>191.46273120000001</v>
      </c>
      <c r="S25" s="555"/>
      <c r="T25" s="577"/>
    </row>
    <row r="26" spans="1:20">
      <c r="A26" s="124">
        <v>18</v>
      </c>
      <c r="B26" s="53" t="s">
        <v>1292</v>
      </c>
      <c r="C26" s="224" t="s">
        <v>1293</v>
      </c>
      <c r="D26" s="121">
        <v>96493.41</v>
      </c>
      <c r="G26" s="57"/>
      <c r="H26" s="233">
        <f t="shared" si="0"/>
        <v>0</v>
      </c>
      <c r="I26" s="233">
        <f t="shared" si="1"/>
        <v>96493.41</v>
      </c>
      <c r="J26" s="57">
        <f t="shared" si="2"/>
        <v>6.1699999999999998E-2</v>
      </c>
      <c r="K26" s="233">
        <f t="shared" si="3"/>
        <v>5953.6433969999998</v>
      </c>
      <c r="L26" s="233">
        <f t="shared" si="4"/>
        <v>102447.05339700001</v>
      </c>
      <c r="M26" s="57">
        <f t="shared" si="5"/>
        <v>0.04</v>
      </c>
      <c r="N26" s="109">
        <f t="shared" si="6"/>
        <v>4097.8821358800005</v>
      </c>
      <c r="O26" s="233">
        <f t="shared" si="7"/>
        <v>106544.93553288002</v>
      </c>
      <c r="R26" s="577"/>
      <c r="S26" s="555"/>
      <c r="T26" s="577"/>
    </row>
    <row r="27" spans="1:20">
      <c r="A27" s="124">
        <v>19</v>
      </c>
      <c r="B27" s="53" t="s">
        <v>1294</v>
      </c>
      <c r="C27" s="224">
        <v>28850</v>
      </c>
      <c r="D27" s="121">
        <v>938182.87</v>
      </c>
      <c r="G27" s="57"/>
      <c r="H27" s="233">
        <f t="shared" si="0"/>
        <v>0</v>
      </c>
      <c r="I27" s="233">
        <f t="shared" si="1"/>
        <v>938182.87</v>
      </c>
      <c r="J27" s="57">
        <f t="shared" si="2"/>
        <v>6.1699999999999998E-2</v>
      </c>
      <c r="K27" s="233">
        <f t="shared" si="3"/>
        <v>57885.883078999999</v>
      </c>
      <c r="L27" s="233">
        <f t="shared" si="4"/>
        <v>996068.75307900005</v>
      </c>
      <c r="M27" s="57">
        <f t="shared" si="5"/>
        <v>0.04</v>
      </c>
      <c r="N27" s="109">
        <f t="shared" si="6"/>
        <v>39842.750123160004</v>
      </c>
      <c r="O27" s="233">
        <f t="shared" si="7"/>
        <v>1035911.50320216</v>
      </c>
      <c r="R27" s="577"/>
      <c r="S27" s="555"/>
      <c r="T27" s="577"/>
    </row>
    <row r="28" spans="1:20">
      <c r="A28" s="124">
        <v>20</v>
      </c>
      <c r="B28" s="53" t="s">
        <v>1295</v>
      </c>
      <c r="C28" s="224" t="s">
        <v>1296</v>
      </c>
      <c r="D28" s="121">
        <v>57466.7</v>
      </c>
      <c r="G28" s="57"/>
      <c r="H28" s="233">
        <f t="shared" si="0"/>
        <v>0</v>
      </c>
      <c r="I28" s="233">
        <f t="shared" si="1"/>
        <v>57466.7</v>
      </c>
      <c r="J28" s="57">
        <f t="shared" si="2"/>
        <v>6.1699999999999998E-2</v>
      </c>
      <c r="K28" s="233">
        <f t="shared" si="3"/>
        <v>3545.6953899999999</v>
      </c>
      <c r="L28" s="233">
        <f t="shared" si="4"/>
        <v>61012.395389999998</v>
      </c>
      <c r="M28" s="57">
        <f t="shared" si="5"/>
        <v>0.04</v>
      </c>
      <c r="N28" s="109">
        <f t="shared" si="6"/>
        <v>2440.4958155999998</v>
      </c>
      <c r="O28" s="233">
        <f t="shared" si="7"/>
        <v>63452.891205599997</v>
      </c>
      <c r="R28" s="577"/>
      <c r="S28" s="555"/>
      <c r="T28" s="577"/>
    </row>
    <row r="29" spans="1:20">
      <c r="A29" s="124">
        <v>21</v>
      </c>
      <c r="B29" s="53" t="s">
        <v>1297</v>
      </c>
      <c r="C29" s="224">
        <v>28890</v>
      </c>
      <c r="D29" s="121">
        <v>563.54999999999995</v>
      </c>
      <c r="G29" s="57"/>
      <c r="H29" s="233">
        <f t="shared" si="0"/>
        <v>0</v>
      </c>
      <c r="I29" s="233">
        <f t="shared" si="1"/>
        <v>563.54999999999995</v>
      </c>
      <c r="J29" s="57">
        <f t="shared" si="2"/>
        <v>6.1699999999999998E-2</v>
      </c>
      <c r="K29" s="233">
        <f t="shared" si="3"/>
        <v>34.771034999999998</v>
      </c>
      <c r="L29" s="233">
        <f t="shared" si="4"/>
        <v>598.32103499999994</v>
      </c>
      <c r="M29" s="57">
        <f t="shared" si="5"/>
        <v>0.04</v>
      </c>
      <c r="N29" s="109">
        <f t="shared" si="6"/>
        <v>23.932841399999997</v>
      </c>
      <c r="O29" s="233">
        <f t="shared" si="7"/>
        <v>622.25387639999997</v>
      </c>
      <c r="R29" s="577"/>
      <c r="S29" s="555"/>
      <c r="T29" s="577"/>
    </row>
    <row r="30" spans="1:20">
      <c r="A30" s="124">
        <v>22</v>
      </c>
      <c r="B30" s="53" t="s">
        <v>1298</v>
      </c>
      <c r="C30" s="224" t="s">
        <v>1299</v>
      </c>
      <c r="D30" s="121">
        <v>15667.84</v>
      </c>
      <c r="G30" s="57"/>
      <c r="H30" s="233">
        <f t="shared" si="0"/>
        <v>0</v>
      </c>
      <c r="I30" s="233">
        <f t="shared" si="1"/>
        <v>15667.84</v>
      </c>
      <c r="J30" s="57">
        <f t="shared" si="2"/>
        <v>6.1699999999999998E-2</v>
      </c>
      <c r="K30" s="233">
        <f t="shared" si="3"/>
        <v>966.70572800000002</v>
      </c>
      <c r="L30" s="233">
        <f t="shared" si="4"/>
        <v>16634.545728000001</v>
      </c>
      <c r="M30" s="57">
        <f t="shared" si="5"/>
        <v>0.04</v>
      </c>
      <c r="N30" s="109">
        <f t="shared" si="6"/>
        <v>665.38182912000002</v>
      </c>
      <c r="O30" s="233">
        <f t="shared" si="7"/>
        <v>17299.927557120001</v>
      </c>
      <c r="R30" s="577"/>
      <c r="S30" s="555"/>
      <c r="T30" s="577"/>
    </row>
    <row r="31" spans="1:20">
      <c r="A31" s="124">
        <v>23</v>
      </c>
      <c r="B31" t="s">
        <v>1300</v>
      </c>
      <c r="C31" s="224" t="s">
        <v>1301</v>
      </c>
      <c r="D31" s="121">
        <v>1189.73</v>
      </c>
      <c r="F31" s="236"/>
      <c r="G31" s="57"/>
      <c r="H31" s="233">
        <f t="shared" si="0"/>
        <v>0</v>
      </c>
      <c r="I31" s="233">
        <f t="shared" si="1"/>
        <v>1189.73</v>
      </c>
      <c r="J31" s="57">
        <f t="shared" si="2"/>
        <v>6.1699999999999998E-2</v>
      </c>
      <c r="K31" s="233">
        <f t="shared" si="3"/>
        <v>73.406340999999998</v>
      </c>
      <c r="L31" s="233">
        <f t="shared" si="4"/>
        <v>1263.1363409999999</v>
      </c>
      <c r="M31" s="57">
        <f t="shared" si="5"/>
        <v>0.04</v>
      </c>
      <c r="N31" s="109">
        <f t="shared" si="6"/>
        <v>50.525453639999995</v>
      </c>
      <c r="O31" s="233">
        <f t="shared" si="7"/>
        <v>1313.6617946399999</v>
      </c>
      <c r="R31" s="577"/>
      <c r="S31" s="555"/>
      <c r="T31" s="577"/>
    </row>
    <row r="32" spans="1:20">
      <c r="A32" s="124">
        <v>24</v>
      </c>
      <c r="B32" s="53" t="s">
        <v>1302</v>
      </c>
      <c r="C32" s="224">
        <v>28940</v>
      </c>
      <c r="D32" s="121">
        <v>5253.01</v>
      </c>
      <c r="G32" s="57"/>
      <c r="H32" s="233">
        <f t="shared" si="0"/>
        <v>0</v>
      </c>
      <c r="I32" s="233">
        <f t="shared" si="1"/>
        <v>5253.01</v>
      </c>
      <c r="J32" s="57">
        <f t="shared" si="2"/>
        <v>6.1699999999999998E-2</v>
      </c>
      <c r="K32" s="233">
        <f t="shared" si="3"/>
        <v>324.11071700000002</v>
      </c>
      <c r="L32" s="233">
        <f t="shared" si="4"/>
        <v>5577.1207169999998</v>
      </c>
      <c r="M32" s="57">
        <f t="shared" si="5"/>
        <v>0.04</v>
      </c>
      <c r="N32" s="109">
        <f t="shared" si="6"/>
        <v>223.08482867999999</v>
      </c>
      <c r="O32" s="233">
        <f t="shared" si="7"/>
        <v>5800.2055456799999</v>
      </c>
      <c r="R32" s="577"/>
      <c r="S32" s="555"/>
      <c r="T32" s="577"/>
    </row>
    <row r="33" spans="1:20">
      <c r="A33" s="124">
        <v>25</v>
      </c>
      <c r="B33" t="s">
        <v>1303</v>
      </c>
      <c r="C33" s="224">
        <v>29010</v>
      </c>
      <c r="D33" s="121">
        <v>80761.039999999994</v>
      </c>
      <c r="G33" s="57"/>
      <c r="H33" s="233">
        <f t="shared" si="0"/>
        <v>0</v>
      </c>
      <c r="I33" s="233">
        <f t="shared" si="1"/>
        <v>80761.039999999994</v>
      </c>
      <c r="J33" s="57">
        <f t="shared" si="2"/>
        <v>6.1699999999999998E-2</v>
      </c>
      <c r="K33" s="233">
        <f t="shared" si="3"/>
        <v>4982.9561679999997</v>
      </c>
      <c r="L33" s="233">
        <f t="shared" si="4"/>
        <v>85743.996167999998</v>
      </c>
      <c r="M33" s="57">
        <f t="shared" si="5"/>
        <v>0.04</v>
      </c>
      <c r="N33" s="109">
        <f t="shared" si="6"/>
        <v>3429.75984672</v>
      </c>
      <c r="O33" s="233">
        <f t="shared" si="7"/>
        <v>89173.756014719998</v>
      </c>
      <c r="R33" s="577"/>
      <c r="S33" s="555"/>
      <c r="T33" s="577"/>
    </row>
    <row r="34" spans="1:20">
      <c r="A34" s="124">
        <v>26</v>
      </c>
      <c r="B34" s="53" t="s">
        <v>1304</v>
      </c>
      <c r="C34" s="224">
        <v>29020</v>
      </c>
      <c r="D34" s="121">
        <v>46137.58</v>
      </c>
      <c r="G34" s="57"/>
      <c r="H34" s="233">
        <f t="shared" si="0"/>
        <v>0</v>
      </c>
      <c r="I34" s="233">
        <f t="shared" si="1"/>
        <v>46137.58</v>
      </c>
      <c r="J34" s="57">
        <f t="shared" si="2"/>
        <v>6.1699999999999998E-2</v>
      </c>
      <c r="K34" s="233">
        <f t="shared" si="3"/>
        <v>2846.688686</v>
      </c>
      <c r="L34" s="233">
        <f t="shared" si="4"/>
        <v>48984.268686000003</v>
      </c>
      <c r="M34" s="57">
        <f t="shared" si="5"/>
        <v>0.04</v>
      </c>
      <c r="N34" s="109">
        <f t="shared" si="6"/>
        <v>1959.3707474400001</v>
      </c>
      <c r="O34" s="233">
        <f t="shared" si="7"/>
        <v>50943.639433440003</v>
      </c>
      <c r="R34" s="577"/>
      <c r="S34" s="555"/>
      <c r="T34" s="577"/>
    </row>
    <row r="35" spans="1:20">
      <c r="A35" s="124">
        <v>27</v>
      </c>
      <c r="B35" s="53" t="s">
        <v>1305</v>
      </c>
      <c r="C35" s="224" t="s">
        <v>1306</v>
      </c>
      <c r="D35" s="121">
        <v>624530.49</v>
      </c>
      <c r="G35" s="57"/>
      <c r="H35" s="233">
        <f t="shared" si="0"/>
        <v>0</v>
      </c>
      <c r="I35" s="233">
        <f t="shared" si="1"/>
        <v>624530.49</v>
      </c>
      <c r="J35" s="57">
        <f t="shared" si="2"/>
        <v>6.1699999999999998E-2</v>
      </c>
      <c r="K35" s="233">
        <f t="shared" si="3"/>
        <v>38533.531233000002</v>
      </c>
      <c r="L35" s="233">
        <f t="shared" si="4"/>
        <v>663064.02123299998</v>
      </c>
      <c r="M35" s="57">
        <f t="shared" si="5"/>
        <v>0.04</v>
      </c>
      <c r="N35" s="109">
        <f t="shared" si="6"/>
        <v>26522.560849319998</v>
      </c>
      <c r="O35" s="233">
        <f t="shared" si="7"/>
        <v>689586.58208232</v>
      </c>
      <c r="R35" s="577"/>
      <c r="S35" s="555"/>
      <c r="T35" s="577"/>
    </row>
    <row r="36" spans="1:20">
      <c r="A36" s="124">
        <v>28</v>
      </c>
      <c r="B36" t="s">
        <v>1307</v>
      </c>
      <c r="C36" s="224">
        <v>29080</v>
      </c>
      <c r="D36" s="121">
        <v>19140.259999999998</v>
      </c>
      <c r="G36" s="57"/>
      <c r="H36" s="233">
        <f t="shared" si="0"/>
        <v>0</v>
      </c>
      <c r="I36" s="233">
        <f t="shared" si="1"/>
        <v>19140.259999999998</v>
      </c>
      <c r="J36" s="57">
        <f t="shared" si="2"/>
        <v>6.1699999999999998E-2</v>
      </c>
      <c r="K36" s="233">
        <f t="shared" si="3"/>
        <v>1180.9540419999998</v>
      </c>
      <c r="L36" s="233">
        <f t="shared" si="4"/>
        <v>20321.214042</v>
      </c>
      <c r="M36" s="57">
        <f t="shared" si="5"/>
        <v>0.04</v>
      </c>
      <c r="N36" s="109">
        <f t="shared" si="6"/>
        <v>812.84856167999999</v>
      </c>
      <c r="O36" s="233">
        <f t="shared" si="7"/>
        <v>21134.062603679999</v>
      </c>
      <c r="R36" s="577"/>
      <c r="S36" s="555"/>
      <c r="T36" s="577"/>
    </row>
    <row r="37" spans="1:20">
      <c r="A37" s="124">
        <v>29</v>
      </c>
      <c r="B37" s="53" t="s">
        <v>1308</v>
      </c>
      <c r="C37" s="224">
        <v>29100</v>
      </c>
      <c r="D37" s="121">
        <v>137461.32</v>
      </c>
      <c r="G37" s="57"/>
      <c r="H37" s="233">
        <f t="shared" si="0"/>
        <v>0</v>
      </c>
      <c r="I37" s="233">
        <f t="shared" si="1"/>
        <v>137461.32</v>
      </c>
      <c r="J37" s="57">
        <f t="shared" si="2"/>
        <v>6.1699999999999998E-2</v>
      </c>
      <c r="K37" s="233">
        <f t="shared" si="3"/>
        <v>8481.3634440000005</v>
      </c>
      <c r="L37" s="233">
        <f t="shared" si="4"/>
        <v>145942.68344399999</v>
      </c>
      <c r="M37" s="57">
        <f t="shared" si="5"/>
        <v>0.04</v>
      </c>
      <c r="N37" s="109">
        <f t="shared" si="6"/>
        <v>5837.70733776</v>
      </c>
      <c r="O37" s="233">
        <f t="shared" si="7"/>
        <v>151780.39078175998</v>
      </c>
      <c r="R37" s="577"/>
      <c r="S37" s="555"/>
      <c r="T37" s="577"/>
    </row>
    <row r="38" spans="1:20">
      <c r="A38" s="124">
        <v>30</v>
      </c>
      <c r="B38" s="53" t="s">
        <v>1309</v>
      </c>
      <c r="C38" s="224" t="s">
        <v>1310</v>
      </c>
      <c r="D38" s="285">
        <v>2597381.19</v>
      </c>
      <c r="G38" s="57"/>
      <c r="H38" s="233">
        <f t="shared" si="0"/>
        <v>0</v>
      </c>
      <c r="I38" s="310">
        <f t="shared" si="1"/>
        <v>2597381.19</v>
      </c>
      <c r="J38" s="57">
        <f t="shared" si="2"/>
        <v>6.1699999999999998E-2</v>
      </c>
      <c r="K38" s="310">
        <f t="shared" si="3"/>
        <v>160258.41942299998</v>
      </c>
      <c r="L38" s="310">
        <f t="shared" si="4"/>
        <v>2757639.6094229999</v>
      </c>
      <c r="M38" s="57">
        <f t="shared" si="5"/>
        <v>0.04</v>
      </c>
      <c r="N38" s="1017">
        <f t="shared" si="6"/>
        <v>110305.58437692</v>
      </c>
      <c r="O38" s="310">
        <f t="shared" si="7"/>
        <v>2867945.1937999199</v>
      </c>
      <c r="R38"/>
      <c r="S38" s="555"/>
      <c r="T38" s="577"/>
    </row>
    <row r="39" spans="1:20">
      <c r="A39" s="124">
        <v>32</v>
      </c>
      <c r="D39" s="215">
        <f>SUM(D19:D38)</f>
        <v>6474566.129999999</v>
      </c>
      <c r="F39" s="215"/>
      <c r="H39" s="215"/>
      <c r="I39" s="215">
        <f>SUM(I19:I38)</f>
        <v>6474566.129999999</v>
      </c>
      <c r="K39" s="215">
        <f>SUM(K19:K38)</f>
        <v>399480.73022099998</v>
      </c>
      <c r="L39" s="215">
        <f>SUM(L19:L38)</f>
        <v>6874046.8602210004</v>
      </c>
      <c r="N39" s="215">
        <f>SUM(N19:N38)</f>
        <v>274961.87440884003</v>
      </c>
      <c r="O39" s="215">
        <f>SUM(O19:O38)</f>
        <v>7149008.7346298415</v>
      </c>
      <c r="R39"/>
      <c r="S39" s="555"/>
      <c r="T39" s="577"/>
    </row>
    <row r="40" spans="1:20">
      <c r="A40" s="124">
        <v>33</v>
      </c>
      <c r="B40" s="4" t="s">
        <v>1279</v>
      </c>
      <c r="R40"/>
      <c r="S40" s="555"/>
      <c r="T40" s="577"/>
    </row>
    <row r="41" spans="1:20">
      <c r="A41" s="124">
        <v>35</v>
      </c>
      <c r="B41" s="53" t="s">
        <v>838</v>
      </c>
      <c r="C41" s="424">
        <v>28710</v>
      </c>
      <c r="D41" s="121">
        <v>502.19</v>
      </c>
      <c r="F41" s="421">
        <v>369.98</v>
      </c>
      <c r="G41" s="57">
        <f>+$G$12</f>
        <v>0.03</v>
      </c>
      <c r="H41" s="233">
        <f>+F41*G41</f>
        <v>11.099399999999999</v>
      </c>
      <c r="I41" s="233">
        <f t="shared" ref="I41:I62" si="8">+D41+H41</f>
        <v>513.2894</v>
      </c>
      <c r="J41" s="57">
        <f>+$J$12</f>
        <v>0.05</v>
      </c>
      <c r="K41" s="233">
        <f t="shared" ref="K41:K62" si="9">+I41*J41</f>
        <v>25.664470000000001</v>
      </c>
      <c r="L41" s="233">
        <f t="shared" ref="L41:L62" si="10">+I41+K41</f>
        <v>538.95387000000005</v>
      </c>
      <c r="M41" s="57">
        <f>+$M$12</f>
        <v>0.03</v>
      </c>
      <c r="N41" s="109">
        <f t="shared" ref="N41:N62" si="11">+L41*M41</f>
        <v>16.168616100000001</v>
      </c>
      <c r="O41" s="109">
        <f>+L41+N41</f>
        <v>555.12248610000006</v>
      </c>
      <c r="R41"/>
      <c r="S41" s="555"/>
      <c r="T41" s="577"/>
    </row>
    <row r="42" spans="1:20">
      <c r="A42" s="124">
        <v>36</v>
      </c>
      <c r="B42" s="53" t="s">
        <v>1311</v>
      </c>
      <c r="C42" s="424">
        <v>28720</v>
      </c>
      <c r="D42" s="121">
        <v>14993.51</v>
      </c>
      <c r="F42" s="421">
        <v>8764</v>
      </c>
      <c r="G42" s="57">
        <f t="shared" ref="G42:G62" si="12">+$G$12</f>
        <v>0.03</v>
      </c>
      <c r="H42" s="233">
        <f t="shared" ref="H42:H62" si="13">+F42*G42</f>
        <v>262.92</v>
      </c>
      <c r="I42" s="233">
        <f t="shared" si="8"/>
        <v>15256.43</v>
      </c>
      <c r="J42" s="57">
        <f t="shared" ref="J42:J62" si="14">+$J$12</f>
        <v>0.05</v>
      </c>
      <c r="K42" s="233">
        <f t="shared" si="9"/>
        <v>762.82150000000001</v>
      </c>
      <c r="L42" s="233">
        <f t="shared" si="10"/>
        <v>16019.2515</v>
      </c>
      <c r="M42" s="57">
        <f t="shared" ref="M42:M62" si="15">+$M$12</f>
        <v>0.03</v>
      </c>
      <c r="N42" s="109">
        <f t="shared" si="11"/>
        <v>480.57754499999999</v>
      </c>
      <c r="O42" s="109">
        <f t="shared" ref="O42:O62" si="16">+L42+N42</f>
        <v>16499.829044999999</v>
      </c>
      <c r="R42"/>
      <c r="S42" s="555"/>
    </row>
    <row r="43" spans="1:20">
      <c r="A43" s="124">
        <v>37</v>
      </c>
      <c r="B43" s="53" t="s">
        <v>1288</v>
      </c>
      <c r="C43" s="424">
        <v>28740</v>
      </c>
      <c r="D43" s="121">
        <v>1180256.32</v>
      </c>
      <c r="F43" s="421">
        <v>427244.9</v>
      </c>
      <c r="G43" s="57">
        <f t="shared" si="12"/>
        <v>0.03</v>
      </c>
      <c r="H43" s="233">
        <f t="shared" si="13"/>
        <v>12817.347</v>
      </c>
      <c r="I43" s="233">
        <f t="shared" si="8"/>
        <v>1193073.6670000001</v>
      </c>
      <c r="J43" s="57">
        <f t="shared" si="14"/>
        <v>0.05</v>
      </c>
      <c r="K43" s="233">
        <f t="shared" si="9"/>
        <v>59653.683350000007</v>
      </c>
      <c r="L43" s="233">
        <f t="shared" si="10"/>
        <v>1252727.3503500002</v>
      </c>
      <c r="M43" s="57">
        <f t="shared" si="15"/>
        <v>0.03</v>
      </c>
      <c r="N43" s="109">
        <f t="shared" si="11"/>
        <v>37581.820510500002</v>
      </c>
      <c r="O43" s="109">
        <f t="shared" si="16"/>
        <v>1290309.1708605003</v>
      </c>
      <c r="R43"/>
      <c r="S43" s="555"/>
    </row>
    <row r="44" spans="1:20">
      <c r="A44" s="124">
        <v>38</v>
      </c>
      <c r="B44" t="s">
        <v>1312</v>
      </c>
      <c r="C44" s="424" t="s">
        <v>1313</v>
      </c>
      <c r="D44" s="121">
        <v>804823.75</v>
      </c>
      <c r="F44" s="421">
        <v>36255.449999999997</v>
      </c>
      <c r="G44" s="57">
        <f t="shared" si="12"/>
        <v>0.03</v>
      </c>
      <c r="H44" s="233">
        <f t="shared" si="13"/>
        <v>1087.6634999999999</v>
      </c>
      <c r="I44" s="233">
        <f t="shared" si="8"/>
        <v>805911.41350000002</v>
      </c>
      <c r="J44" s="57">
        <f t="shared" si="14"/>
        <v>0.05</v>
      </c>
      <c r="K44" s="233">
        <f t="shared" si="9"/>
        <v>40295.570675000003</v>
      </c>
      <c r="L44" s="233">
        <f t="shared" si="10"/>
        <v>846206.98417499999</v>
      </c>
      <c r="M44" s="57">
        <f t="shared" si="15"/>
        <v>0.03</v>
      </c>
      <c r="N44" s="109">
        <f t="shared" si="11"/>
        <v>25386.20952525</v>
      </c>
      <c r="O44" s="109">
        <f t="shared" si="16"/>
        <v>871593.19370025001</v>
      </c>
      <c r="R44"/>
      <c r="S44" s="555"/>
    </row>
    <row r="45" spans="1:20">
      <c r="A45" s="124">
        <v>39</v>
      </c>
      <c r="B45" t="s">
        <v>1314</v>
      </c>
      <c r="C45" s="424" t="s">
        <v>1315</v>
      </c>
      <c r="D45" s="121">
        <v>174678.3</v>
      </c>
      <c r="F45" s="421">
        <v>884.52</v>
      </c>
      <c r="G45" s="57">
        <f t="shared" si="12"/>
        <v>0.03</v>
      </c>
      <c r="H45" s="233">
        <f t="shared" si="13"/>
        <v>26.535599999999999</v>
      </c>
      <c r="I45" s="233">
        <f t="shared" si="8"/>
        <v>174704.83559999999</v>
      </c>
      <c r="J45" s="57">
        <f t="shared" si="14"/>
        <v>0.05</v>
      </c>
      <c r="K45" s="233">
        <f t="shared" si="9"/>
        <v>8735.2417800000003</v>
      </c>
      <c r="L45" s="233">
        <f t="shared" si="10"/>
        <v>183440.07738</v>
      </c>
      <c r="M45" s="57">
        <f t="shared" si="15"/>
        <v>0.03</v>
      </c>
      <c r="N45" s="109">
        <f t="shared" si="11"/>
        <v>5503.2023214000001</v>
      </c>
      <c r="O45" s="109">
        <f t="shared" si="16"/>
        <v>188943.2797014</v>
      </c>
      <c r="R45"/>
      <c r="S45" s="555"/>
    </row>
    <row r="46" spans="1:20">
      <c r="A46" s="124">
        <v>40</v>
      </c>
      <c r="B46" s="53" t="s">
        <v>1290</v>
      </c>
      <c r="C46" s="424">
        <v>28750</v>
      </c>
      <c r="D46" s="121">
        <v>188175.82</v>
      </c>
      <c r="F46" s="421">
        <v>87649.72</v>
      </c>
      <c r="G46" s="57">
        <f t="shared" si="12"/>
        <v>0.03</v>
      </c>
      <c r="H46" s="233">
        <f t="shared" si="13"/>
        <v>2629.4915999999998</v>
      </c>
      <c r="I46" s="233">
        <f t="shared" si="8"/>
        <v>190805.31160000002</v>
      </c>
      <c r="J46" s="57">
        <f t="shared" si="14"/>
        <v>0.05</v>
      </c>
      <c r="K46" s="233">
        <f t="shared" si="9"/>
        <v>9540.2655800000011</v>
      </c>
      <c r="L46" s="233">
        <f t="shared" si="10"/>
        <v>200345.57718000002</v>
      </c>
      <c r="M46" s="57">
        <f t="shared" si="15"/>
        <v>0.03</v>
      </c>
      <c r="N46" s="109">
        <f t="shared" si="11"/>
        <v>6010.3673154000007</v>
      </c>
      <c r="O46" s="109">
        <f t="shared" si="16"/>
        <v>206355.94449540004</v>
      </c>
      <c r="R46"/>
      <c r="S46" s="555"/>
    </row>
    <row r="47" spans="1:20">
      <c r="A47" s="124">
        <v>41</v>
      </c>
      <c r="B47" s="53" t="s">
        <v>1291</v>
      </c>
      <c r="C47" s="424">
        <v>28760</v>
      </c>
      <c r="D47" s="121">
        <v>374932.98</v>
      </c>
      <c r="F47" s="421">
        <v>75407.42</v>
      </c>
      <c r="G47" s="57">
        <f t="shared" si="12"/>
        <v>0.03</v>
      </c>
      <c r="H47" s="233">
        <f t="shared" si="13"/>
        <v>2262.2226000000001</v>
      </c>
      <c r="I47" s="233">
        <f t="shared" si="8"/>
        <v>377195.20259999996</v>
      </c>
      <c r="J47" s="57">
        <f t="shared" si="14"/>
        <v>0.05</v>
      </c>
      <c r="K47" s="233">
        <f t="shared" si="9"/>
        <v>18859.760129999999</v>
      </c>
      <c r="L47" s="233">
        <f t="shared" si="10"/>
        <v>396054.96272999997</v>
      </c>
      <c r="M47" s="57">
        <f t="shared" si="15"/>
        <v>0.03</v>
      </c>
      <c r="N47" s="109">
        <f t="shared" si="11"/>
        <v>11881.648881899999</v>
      </c>
      <c r="O47" s="109">
        <f t="shared" si="16"/>
        <v>407936.61161189998</v>
      </c>
      <c r="R47"/>
      <c r="S47" s="528"/>
    </row>
    <row r="48" spans="1:20">
      <c r="A48" s="124">
        <v>42</v>
      </c>
      <c r="B48" s="53" t="s">
        <v>847</v>
      </c>
      <c r="C48" s="424" t="s">
        <v>1316</v>
      </c>
      <c r="D48" s="121">
        <v>38866.769999999997</v>
      </c>
      <c r="F48" s="421">
        <v>4354.55</v>
      </c>
      <c r="G48" s="57">
        <f t="shared" si="12"/>
        <v>0.03</v>
      </c>
      <c r="H48" s="233">
        <f t="shared" si="13"/>
        <v>130.63650000000001</v>
      </c>
      <c r="I48" s="233">
        <f t="shared" si="8"/>
        <v>38997.406499999997</v>
      </c>
      <c r="J48" s="57">
        <f t="shared" si="14"/>
        <v>0.05</v>
      </c>
      <c r="K48" s="233">
        <f t="shared" si="9"/>
        <v>1949.8703249999999</v>
      </c>
      <c r="L48" s="233">
        <f t="shared" si="10"/>
        <v>40947.276824999994</v>
      </c>
      <c r="M48" s="57">
        <f t="shared" si="15"/>
        <v>0.03</v>
      </c>
      <c r="N48" s="109">
        <f t="shared" si="11"/>
        <v>1228.4183047499998</v>
      </c>
      <c r="O48" s="109">
        <f t="shared" si="16"/>
        <v>42175.695129749991</v>
      </c>
      <c r="R48"/>
      <c r="S48" s="528"/>
    </row>
    <row r="49" spans="1:19">
      <c r="A49" s="124">
        <v>43</v>
      </c>
      <c r="B49" s="53" t="s">
        <v>1317</v>
      </c>
      <c r="C49" s="424">
        <v>28780</v>
      </c>
      <c r="D49" s="121">
        <v>797955.27</v>
      </c>
      <c r="F49" s="421">
        <v>179348.36</v>
      </c>
      <c r="G49" s="57">
        <f t="shared" si="12"/>
        <v>0.03</v>
      </c>
      <c r="H49" s="233">
        <f t="shared" si="13"/>
        <v>5380.4507999999996</v>
      </c>
      <c r="I49" s="233">
        <f t="shared" si="8"/>
        <v>803335.72080000001</v>
      </c>
      <c r="J49" s="57">
        <f t="shared" si="14"/>
        <v>0.05</v>
      </c>
      <c r="K49" s="233">
        <f t="shared" si="9"/>
        <v>40166.786040000006</v>
      </c>
      <c r="L49" s="233">
        <f t="shared" si="10"/>
        <v>843502.50684000005</v>
      </c>
      <c r="M49" s="57">
        <f t="shared" si="15"/>
        <v>0.03</v>
      </c>
      <c r="N49" s="109">
        <f t="shared" si="11"/>
        <v>25305.075205199999</v>
      </c>
      <c r="O49" s="109">
        <f t="shared" si="16"/>
        <v>868807.58204520005</v>
      </c>
      <c r="R49"/>
      <c r="S49" s="528"/>
    </row>
    <row r="50" spans="1:19">
      <c r="A50" s="124">
        <v>44</v>
      </c>
      <c r="B50" s="53" t="s">
        <v>1318</v>
      </c>
      <c r="C50" s="424">
        <v>28790</v>
      </c>
      <c r="D50" s="121">
        <v>374667.26</v>
      </c>
      <c r="F50" s="421">
        <v>96791.2</v>
      </c>
      <c r="G50" s="57">
        <f t="shared" si="12"/>
        <v>0.03</v>
      </c>
      <c r="H50" s="233">
        <f t="shared" si="13"/>
        <v>2903.7359999999999</v>
      </c>
      <c r="I50" s="233">
        <f t="shared" si="8"/>
        <v>377570.99599999998</v>
      </c>
      <c r="J50" s="57">
        <f t="shared" si="14"/>
        <v>0.05</v>
      </c>
      <c r="K50" s="233">
        <f t="shared" si="9"/>
        <v>18878.549800000001</v>
      </c>
      <c r="L50" s="233">
        <f t="shared" si="10"/>
        <v>396449.54579999996</v>
      </c>
      <c r="M50" s="57">
        <f t="shared" si="15"/>
        <v>0.03</v>
      </c>
      <c r="N50" s="109">
        <f t="shared" si="11"/>
        <v>11893.486373999998</v>
      </c>
      <c r="O50" s="109">
        <f t="shared" si="16"/>
        <v>408343.03217399993</v>
      </c>
      <c r="R50"/>
      <c r="S50" s="528"/>
    </row>
    <row r="51" spans="1:19">
      <c r="A51" s="124">
        <v>45</v>
      </c>
      <c r="B51" s="53" t="s">
        <v>1292</v>
      </c>
      <c r="C51" s="424">
        <v>28800</v>
      </c>
      <c r="D51" s="121">
        <v>3094333.21</v>
      </c>
      <c r="F51" s="421">
        <v>969538.64</v>
      </c>
      <c r="G51" s="57">
        <f t="shared" si="12"/>
        <v>0.03</v>
      </c>
      <c r="H51" s="233">
        <f t="shared" si="13"/>
        <v>29086.159199999998</v>
      </c>
      <c r="I51" s="233">
        <f t="shared" si="8"/>
        <v>3123419.3692000001</v>
      </c>
      <c r="J51" s="57">
        <f t="shared" si="14"/>
        <v>0.05</v>
      </c>
      <c r="K51" s="233">
        <f t="shared" si="9"/>
        <v>156170.96846</v>
      </c>
      <c r="L51" s="233">
        <f t="shared" si="10"/>
        <v>3279590.3376600002</v>
      </c>
      <c r="M51" s="57">
        <f t="shared" si="15"/>
        <v>0.03</v>
      </c>
      <c r="N51" s="109">
        <f t="shared" si="11"/>
        <v>98387.710129800005</v>
      </c>
      <c r="O51" s="109">
        <f t="shared" si="16"/>
        <v>3377978.0477898</v>
      </c>
      <c r="R51"/>
      <c r="S51" s="528"/>
    </row>
    <row r="52" spans="1:19">
      <c r="A52" s="124">
        <v>46</v>
      </c>
      <c r="B52" s="53" t="s">
        <v>1295</v>
      </c>
      <c r="C52" s="424">
        <v>28870</v>
      </c>
      <c r="D52" s="121">
        <v>560998.06999999995</v>
      </c>
      <c r="F52" s="421">
        <v>106013.5</v>
      </c>
      <c r="G52" s="57">
        <f t="shared" si="12"/>
        <v>0.03</v>
      </c>
      <c r="H52" s="233">
        <f t="shared" si="13"/>
        <v>3180.4049999999997</v>
      </c>
      <c r="I52" s="233">
        <f t="shared" si="8"/>
        <v>564178.47499999998</v>
      </c>
      <c r="J52" s="57">
        <f t="shared" si="14"/>
        <v>0.05</v>
      </c>
      <c r="K52" s="233">
        <f t="shared" si="9"/>
        <v>28208.923750000002</v>
      </c>
      <c r="L52" s="233">
        <f t="shared" si="10"/>
        <v>592387.39874999993</v>
      </c>
      <c r="M52" s="57">
        <f t="shared" si="15"/>
        <v>0.03</v>
      </c>
      <c r="N52" s="109">
        <f t="shared" si="11"/>
        <v>17771.621962499998</v>
      </c>
      <c r="O52" s="109">
        <f t="shared" si="16"/>
        <v>610159.02071249997</v>
      </c>
      <c r="R52"/>
      <c r="S52" s="528"/>
    </row>
    <row r="53" spans="1:19">
      <c r="A53" s="124">
        <v>47</v>
      </c>
      <c r="B53" s="53" t="s">
        <v>1319</v>
      </c>
      <c r="C53" s="424">
        <v>28880</v>
      </c>
      <c r="D53" s="121">
        <v>54613.61</v>
      </c>
      <c r="F53" s="421">
        <v>17544.23</v>
      </c>
      <c r="G53" s="57">
        <f t="shared" si="12"/>
        <v>0.03</v>
      </c>
      <c r="H53" s="233">
        <f t="shared" si="13"/>
        <v>526.32690000000002</v>
      </c>
      <c r="I53" s="233">
        <f t="shared" si="8"/>
        <v>55139.936900000001</v>
      </c>
      <c r="J53" s="57">
        <f t="shared" si="14"/>
        <v>0.05</v>
      </c>
      <c r="K53" s="233">
        <f t="shared" si="9"/>
        <v>2756.9968450000001</v>
      </c>
      <c r="L53" s="233">
        <f t="shared" si="10"/>
        <v>57896.933745000002</v>
      </c>
      <c r="M53" s="57">
        <f t="shared" si="15"/>
        <v>0.03</v>
      </c>
      <c r="N53" s="109">
        <f t="shared" si="11"/>
        <v>1736.90801235</v>
      </c>
      <c r="O53" s="109">
        <f t="shared" si="16"/>
        <v>59633.841757350005</v>
      </c>
      <c r="R53"/>
      <c r="S53" s="528"/>
    </row>
    <row r="54" spans="1:19">
      <c r="A54" s="124">
        <v>48</v>
      </c>
      <c r="B54" s="53" t="s">
        <v>1297</v>
      </c>
      <c r="C54" s="424">
        <v>28890</v>
      </c>
      <c r="D54" s="121">
        <v>163451.26</v>
      </c>
      <c r="F54" s="421">
        <v>37684.31</v>
      </c>
      <c r="G54" s="57">
        <f t="shared" si="12"/>
        <v>0.03</v>
      </c>
      <c r="H54" s="233">
        <f t="shared" si="13"/>
        <v>1130.5292999999999</v>
      </c>
      <c r="I54" s="233">
        <f t="shared" si="8"/>
        <v>164581.7893</v>
      </c>
      <c r="J54" s="57">
        <f t="shared" si="14"/>
        <v>0.05</v>
      </c>
      <c r="K54" s="233">
        <f t="shared" si="9"/>
        <v>8229.0894650000009</v>
      </c>
      <c r="L54" s="233">
        <f t="shared" si="10"/>
        <v>172810.878765</v>
      </c>
      <c r="M54" s="57">
        <f t="shared" si="15"/>
        <v>0.03</v>
      </c>
      <c r="N54" s="109">
        <f t="shared" si="11"/>
        <v>5184.3263629499997</v>
      </c>
      <c r="O54" s="109">
        <f t="shared" si="16"/>
        <v>177995.20512795</v>
      </c>
      <c r="R54"/>
      <c r="S54" s="528"/>
    </row>
    <row r="55" spans="1:19">
      <c r="A55" s="124">
        <v>49</v>
      </c>
      <c r="B55" t="s">
        <v>1297</v>
      </c>
      <c r="C55" s="424">
        <v>28900</v>
      </c>
      <c r="D55" s="121">
        <v>222058.44</v>
      </c>
      <c r="F55" s="421">
        <v>24234.76</v>
      </c>
      <c r="G55" s="57">
        <f t="shared" si="12"/>
        <v>0.03</v>
      </c>
      <c r="H55" s="233">
        <f t="shared" si="13"/>
        <v>727.04279999999994</v>
      </c>
      <c r="I55" s="233">
        <f t="shared" si="8"/>
        <v>222785.4828</v>
      </c>
      <c r="J55" s="57">
        <f t="shared" si="14"/>
        <v>0.05</v>
      </c>
      <c r="K55" s="233">
        <f t="shared" si="9"/>
        <v>11139.274140000001</v>
      </c>
      <c r="L55" s="233">
        <f t="shared" si="10"/>
        <v>233924.75693999999</v>
      </c>
      <c r="M55" s="57">
        <f t="shared" si="15"/>
        <v>0.03</v>
      </c>
      <c r="N55" s="109">
        <f t="shared" si="11"/>
        <v>7017.7427081999995</v>
      </c>
      <c r="O55" s="109">
        <f t="shared" si="16"/>
        <v>240942.4996482</v>
      </c>
      <c r="R55"/>
      <c r="S55" s="528"/>
    </row>
    <row r="56" spans="1:19">
      <c r="A56" s="124">
        <v>50</v>
      </c>
      <c r="B56" s="53" t="s">
        <v>870</v>
      </c>
      <c r="C56" s="424" t="s">
        <v>1320</v>
      </c>
      <c r="D56" s="121">
        <v>59297.4</v>
      </c>
      <c r="F56" s="421">
        <v>10177.27</v>
      </c>
      <c r="G56" s="57">
        <f t="shared" si="12"/>
        <v>0.03</v>
      </c>
      <c r="H56" s="233">
        <f t="shared" si="13"/>
        <v>305.31810000000002</v>
      </c>
      <c r="I56" s="233">
        <f t="shared" si="8"/>
        <v>59602.718099999998</v>
      </c>
      <c r="J56" s="57">
        <f t="shared" si="14"/>
        <v>0.05</v>
      </c>
      <c r="K56" s="233">
        <f t="shared" si="9"/>
        <v>2980.1359050000001</v>
      </c>
      <c r="L56" s="233">
        <f t="shared" si="10"/>
        <v>62582.854005000001</v>
      </c>
      <c r="M56" s="57">
        <f t="shared" si="15"/>
        <v>0.03</v>
      </c>
      <c r="N56" s="109">
        <f t="shared" si="11"/>
        <v>1877.4856201499999</v>
      </c>
      <c r="O56" s="109">
        <f t="shared" si="16"/>
        <v>64460.339625150002</v>
      </c>
      <c r="R56"/>
      <c r="S56" s="528"/>
    </row>
    <row r="57" spans="1:19">
      <c r="A57" s="124">
        <v>51</v>
      </c>
      <c r="B57" s="53" t="s">
        <v>1298</v>
      </c>
      <c r="C57" s="424">
        <v>28920</v>
      </c>
      <c r="D57" s="121">
        <v>687257.02</v>
      </c>
      <c r="F57" s="421">
        <v>133458.07999999999</v>
      </c>
      <c r="G57" s="57">
        <f t="shared" si="12"/>
        <v>0.03</v>
      </c>
      <c r="H57" s="233">
        <f t="shared" si="13"/>
        <v>4003.7423999999996</v>
      </c>
      <c r="I57" s="233">
        <f t="shared" si="8"/>
        <v>691260.76240000001</v>
      </c>
      <c r="J57" s="57">
        <f t="shared" si="14"/>
        <v>0.05</v>
      </c>
      <c r="K57" s="233">
        <f t="shared" si="9"/>
        <v>34563.038120000005</v>
      </c>
      <c r="L57" s="233">
        <f t="shared" si="10"/>
        <v>725823.80052000005</v>
      </c>
      <c r="M57" s="57">
        <f t="shared" si="15"/>
        <v>0.03</v>
      </c>
      <c r="N57" s="109">
        <f t="shared" si="11"/>
        <v>21774.714015600002</v>
      </c>
      <c r="O57" s="109">
        <f t="shared" si="16"/>
        <v>747598.51453560009</v>
      </c>
      <c r="R57"/>
      <c r="S57" s="528"/>
    </row>
    <row r="58" spans="1:19">
      <c r="A58" s="124">
        <v>52</v>
      </c>
      <c r="B58" s="53" t="s">
        <v>1300</v>
      </c>
      <c r="C58" s="424">
        <v>28930</v>
      </c>
      <c r="D58" s="121">
        <v>1026770.18</v>
      </c>
      <c r="F58" s="421">
        <v>245312.18</v>
      </c>
      <c r="G58" s="57">
        <f t="shared" si="12"/>
        <v>0.03</v>
      </c>
      <c r="H58" s="233">
        <f t="shared" si="13"/>
        <v>7359.3653999999997</v>
      </c>
      <c r="I58" s="233">
        <f t="shared" si="8"/>
        <v>1034129.5454000001</v>
      </c>
      <c r="J58" s="57">
        <f t="shared" si="14"/>
        <v>0.05</v>
      </c>
      <c r="K58" s="233">
        <f t="shared" si="9"/>
        <v>51706.477270000003</v>
      </c>
      <c r="L58" s="233">
        <f t="shared" si="10"/>
        <v>1085836.0226700001</v>
      </c>
      <c r="M58" s="57">
        <f t="shared" si="15"/>
        <v>0.03</v>
      </c>
      <c r="N58" s="109">
        <f t="shared" si="11"/>
        <v>32575.0806801</v>
      </c>
      <c r="O58" s="109">
        <f t="shared" si="16"/>
        <v>1118411.1033501001</v>
      </c>
      <c r="R58"/>
      <c r="S58" s="528"/>
    </row>
    <row r="59" spans="1:19">
      <c r="A59" s="124">
        <v>53</v>
      </c>
      <c r="B59" s="53" t="s">
        <v>1302</v>
      </c>
      <c r="C59" s="424">
        <v>28940</v>
      </c>
      <c r="D59" s="121">
        <v>1142938.98</v>
      </c>
      <c r="F59" s="421">
        <v>416087.06</v>
      </c>
      <c r="G59" s="57">
        <f t="shared" si="12"/>
        <v>0.03</v>
      </c>
      <c r="H59" s="233">
        <f t="shared" si="13"/>
        <v>12482.611799999999</v>
      </c>
      <c r="I59" s="233">
        <f t="shared" si="8"/>
        <v>1155421.5918000001</v>
      </c>
      <c r="J59" s="57">
        <f t="shared" si="14"/>
        <v>0.05</v>
      </c>
      <c r="K59" s="233">
        <f t="shared" si="9"/>
        <v>57771.079590000008</v>
      </c>
      <c r="L59" s="233">
        <f t="shared" si="10"/>
        <v>1213192.67139</v>
      </c>
      <c r="M59" s="57">
        <f t="shared" si="15"/>
        <v>0.03</v>
      </c>
      <c r="N59" s="109">
        <f t="shared" si="11"/>
        <v>36395.780141700001</v>
      </c>
      <c r="O59" s="109">
        <f t="shared" si="16"/>
        <v>1249588.4515317001</v>
      </c>
      <c r="R59"/>
      <c r="S59" s="528"/>
    </row>
    <row r="60" spans="1:19">
      <c r="A60" s="124">
        <v>54</v>
      </c>
      <c r="B60" s="53" t="s">
        <v>1304</v>
      </c>
      <c r="C60" s="424">
        <v>29020</v>
      </c>
      <c r="D60" s="121">
        <v>322897.91999999998</v>
      </c>
      <c r="F60" s="421">
        <v>89279.97</v>
      </c>
      <c r="G60" s="57">
        <f t="shared" si="12"/>
        <v>0.03</v>
      </c>
      <c r="H60" s="233">
        <f t="shared" si="13"/>
        <v>2678.3991000000001</v>
      </c>
      <c r="I60" s="233">
        <f t="shared" si="8"/>
        <v>325576.31909999996</v>
      </c>
      <c r="J60" s="57">
        <f t="shared" si="14"/>
        <v>0.05</v>
      </c>
      <c r="K60" s="233">
        <f t="shared" si="9"/>
        <v>16278.815954999998</v>
      </c>
      <c r="L60" s="233">
        <f t="shared" si="10"/>
        <v>341855.13505499996</v>
      </c>
      <c r="M60" s="57">
        <f t="shared" si="15"/>
        <v>0.03</v>
      </c>
      <c r="N60" s="109">
        <f t="shared" si="11"/>
        <v>10255.654051649999</v>
      </c>
      <c r="O60" s="109">
        <f t="shared" si="16"/>
        <v>352110.78910664999</v>
      </c>
      <c r="R60"/>
      <c r="S60" s="528"/>
    </row>
    <row r="61" spans="1:19">
      <c r="A61" s="124">
        <v>55</v>
      </c>
      <c r="B61" s="53" t="s">
        <v>1305</v>
      </c>
      <c r="C61" s="424">
        <v>29030</v>
      </c>
      <c r="D61" s="121">
        <v>53220.85</v>
      </c>
      <c r="F61" s="421">
        <v>12841.37</v>
      </c>
      <c r="G61" s="57">
        <f t="shared" si="12"/>
        <v>0.03</v>
      </c>
      <c r="H61" s="233">
        <f t="shared" si="13"/>
        <v>385.24110000000002</v>
      </c>
      <c r="I61" s="233">
        <f t="shared" si="8"/>
        <v>53606.091099999998</v>
      </c>
      <c r="J61" s="57">
        <f t="shared" si="14"/>
        <v>0.05</v>
      </c>
      <c r="K61" s="233">
        <f t="shared" si="9"/>
        <v>2680.3045550000002</v>
      </c>
      <c r="L61" s="233">
        <f t="shared" si="10"/>
        <v>56286.395655</v>
      </c>
      <c r="M61" s="57">
        <f t="shared" si="15"/>
        <v>0.03</v>
      </c>
      <c r="N61" s="109">
        <f t="shared" si="11"/>
        <v>1688.59186965</v>
      </c>
      <c r="O61" s="109">
        <f t="shared" si="16"/>
        <v>57974.987524650001</v>
      </c>
      <c r="R61"/>
      <c r="S61" s="528"/>
    </row>
    <row r="62" spans="1:19">
      <c r="A62" s="124">
        <v>56</v>
      </c>
      <c r="B62" s="53" t="s">
        <v>928</v>
      </c>
      <c r="C62" s="424">
        <v>29350</v>
      </c>
      <c r="D62" s="285">
        <v>838.75</v>
      </c>
      <c r="E62" s="213"/>
      <c r="F62" s="422">
        <v>565.09</v>
      </c>
      <c r="G62" s="57">
        <f t="shared" si="12"/>
        <v>0.03</v>
      </c>
      <c r="H62" s="310">
        <f t="shared" si="13"/>
        <v>16.9527</v>
      </c>
      <c r="I62" s="310">
        <f t="shared" si="8"/>
        <v>855.70270000000005</v>
      </c>
      <c r="J62" s="57">
        <f t="shared" si="14"/>
        <v>0.05</v>
      </c>
      <c r="K62" s="310">
        <f t="shared" si="9"/>
        <v>42.785135000000004</v>
      </c>
      <c r="L62" s="310">
        <f t="shared" si="10"/>
        <v>898.48783500000002</v>
      </c>
      <c r="M62" s="57">
        <f t="shared" si="15"/>
        <v>0.03</v>
      </c>
      <c r="N62" s="1017">
        <f t="shared" si="11"/>
        <v>26.95463505</v>
      </c>
      <c r="O62" s="1017">
        <f t="shared" si="16"/>
        <v>925.44247005</v>
      </c>
      <c r="R62"/>
      <c r="S62" s="528"/>
    </row>
    <row r="63" spans="1:19">
      <c r="A63" s="124">
        <v>57</v>
      </c>
      <c r="D63" s="215">
        <f>SUM(D41:D62)</f>
        <v>11338527.860000001</v>
      </c>
      <c r="F63" s="215">
        <f>SUM(F41:F62)</f>
        <v>2979806.5600000005</v>
      </c>
      <c r="H63" s="215">
        <f>SUM(H41:H62)</f>
        <v>89394.196799999976</v>
      </c>
      <c r="I63" s="215">
        <f>SUM(I41:I62)</f>
        <v>11427922.0568</v>
      </c>
      <c r="K63" s="215">
        <f>SUM(K41:K62)</f>
        <v>571396.10284000007</v>
      </c>
      <c r="L63" s="215">
        <f>SUM(L41:L62)</f>
        <v>11999318.159640001</v>
      </c>
      <c r="N63" s="215">
        <f>SUM(N41:N62)</f>
        <v>359979.54478920001</v>
      </c>
      <c r="O63" s="215">
        <f>SUM(O41:O62)</f>
        <v>12359297.7044292</v>
      </c>
      <c r="Q63" s="215"/>
      <c r="R63"/>
      <c r="S63" s="528"/>
    </row>
    <row r="64" spans="1:19">
      <c r="A64" s="124">
        <v>58</v>
      </c>
      <c r="R64"/>
      <c r="S64" s="528"/>
    </row>
    <row r="65" spans="1:19">
      <c r="A65" s="124">
        <v>59</v>
      </c>
      <c r="D65" s="215"/>
      <c r="S65" s="528"/>
    </row>
    <row r="66" spans="1:19" ht="15.75" thickBot="1">
      <c r="A66" s="124">
        <v>60</v>
      </c>
      <c r="R66"/>
      <c r="S66" s="528"/>
    </row>
    <row r="67" spans="1:19">
      <c r="A67" s="124">
        <v>61</v>
      </c>
      <c r="B67" s="793" t="s">
        <v>1321</v>
      </c>
      <c r="C67" s="794"/>
      <c r="D67" s="794"/>
      <c r="E67" s="795"/>
      <c r="F67" s="121"/>
      <c r="R67"/>
      <c r="S67" s="528"/>
    </row>
    <row r="68" spans="1:19">
      <c r="A68" s="124">
        <v>62</v>
      </c>
      <c r="B68" s="796"/>
      <c r="C68" s="797"/>
      <c r="D68" s="797"/>
      <c r="E68" s="798"/>
      <c r="R68"/>
    </row>
    <row r="69" spans="1:19">
      <c r="A69" s="124">
        <v>63</v>
      </c>
      <c r="B69" s="796"/>
      <c r="C69" s="797"/>
      <c r="D69" s="797"/>
      <c r="E69" s="798"/>
      <c r="R69"/>
    </row>
    <row r="70" spans="1:19" ht="15.75" thickBot="1">
      <c r="A70" s="124">
        <v>64</v>
      </c>
      <c r="B70" s="799"/>
      <c r="C70" s="800"/>
      <c r="D70" s="800"/>
      <c r="E70" s="801"/>
      <c r="R70"/>
    </row>
    <row r="71" spans="1:19">
      <c r="A71" s="124">
        <v>65</v>
      </c>
      <c r="R71"/>
    </row>
    <row r="72" spans="1:19">
      <c r="A72" s="124">
        <v>66</v>
      </c>
      <c r="B72" s="423" t="s">
        <v>1283</v>
      </c>
      <c r="C72" s="1" t="s">
        <v>1284</v>
      </c>
      <c r="D72" s="322">
        <v>64087.16</v>
      </c>
      <c r="H72" s="233">
        <f>+F72*G72</f>
        <v>0</v>
      </c>
      <c r="I72" s="121">
        <f>+H72+D72</f>
        <v>64087.16</v>
      </c>
      <c r="J72" s="57">
        <f>+$J$10</f>
        <v>6.1699999999999998E-2</v>
      </c>
      <c r="K72" s="216">
        <f>+I72*J72</f>
        <v>3954.177772</v>
      </c>
      <c r="L72" s="216">
        <f>+I72+K72</f>
        <v>68041.337771999999</v>
      </c>
      <c r="M72" s="57">
        <f>M10</f>
        <v>0.04</v>
      </c>
      <c r="N72" s="178">
        <f>+L72*M72</f>
        <v>2721.6535108799999</v>
      </c>
      <c r="O72" s="216">
        <f>+L72+N72</f>
        <v>70762.991282880001</v>
      </c>
      <c r="R72"/>
    </row>
    <row r="73" spans="1:19">
      <c r="A73" s="124">
        <v>67</v>
      </c>
      <c r="B73" s="59" t="s">
        <v>1285</v>
      </c>
      <c r="C73" s="1" t="s">
        <v>1286</v>
      </c>
      <c r="D73" s="322">
        <v>874745.84</v>
      </c>
      <c r="H73" s="233">
        <f t="shared" ref="H73:H84" si="17">+F73*G73</f>
        <v>0</v>
      </c>
      <c r="I73" s="121">
        <f t="shared" ref="I73:I84" si="18">+H73+D73</f>
        <v>874745.84</v>
      </c>
      <c r="J73" s="57">
        <f t="shared" ref="J73:J84" si="19">+$J$10</f>
        <v>6.1699999999999998E-2</v>
      </c>
      <c r="K73" s="216">
        <f>+I73*J73</f>
        <v>53971.818327999994</v>
      </c>
      <c r="L73" s="216">
        <f>+I73+K73</f>
        <v>928717.65832799999</v>
      </c>
      <c r="M73" s="57">
        <f t="shared" ref="M73:M84" si="20">M72</f>
        <v>0.04</v>
      </c>
      <c r="N73" s="178">
        <f>+L73*M73</f>
        <v>37148.706333119997</v>
      </c>
      <c r="O73" s="216">
        <f>+L73+N73</f>
        <v>965866.36466111999</v>
      </c>
      <c r="R73"/>
    </row>
    <row r="74" spans="1:19">
      <c r="A74" s="124">
        <v>68</v>
      </c>
      <c r="B74" s="59" t="s">
        <v>1311</v>
      </c>
      <c r="C74" s="1" t="s">
        <v>1322</v>
      </c>
      <c r="D74" s="322">
        <v>27355.550000000007</v>
      </c>
      <c r="H74" s="233">
        <f t="shared" si="17"/>
        <v>0</v>
      </c>
      <c r="I74" s="121">
        <f t="shared" si="18"/>
        <v>27355.550000000007</v>
      </c>
      <c r="J74" s="57">
        <f t="shared" si="19"/>
        <v>6.1699999999999998E-2</v>
      </c>
      <c r="K74" s="216">
        <f t="shared" ref="K74:K84" si="21">+I74*J74</f>
        <v>1687.8374350000004</v>
      </c>
      <c r="L74" s="216">
        <f t="shared" ref="L74:L84" si="22">+I74+K74</f>
        <v>29043.387435000008</v>
      </c>
      <c r="M74" s="57">
        <f t="shared" si="20"/>
        <v>0.04</v>
      </c>
      <c r="N74" s="178">
        <f t="shared" ref="N74:N84" si="23">+L74*M74</f>
        <v>1161.7354974000004</v>
      </c>
      <c r="O74" s="216">
        <f t="shared" ref="O74:O84" si="24">+L74+N74</f>
        <v>30205.122932400009</v>
      </c>
      <c r="R74"/>
    </row>
    <row r="75" spans="1:19">
      <c r="A75" s="124">
        <v>69</v>
      </c>
      <c r="B75" s="59" t="s">
        <v>1288</v>
      </c>
      <c r="C75" s="1" t="s">
        <v>1289</v>
      </c>
      <c r="D75" s="322">
        <v>3134.35</v>
      </c>
      <c r="E75" s="5"/>
      <c r="H75" s="233">
        <f t="shared" si="17"/>
        <v>0</v>
      </c>
      <c r="I75" s="121">
        <f t="shared" si="18"/>
        <v>3134.35</v>
      </c>
      <c r="J75" s="57">
        <f t="shared" si="19"/>
        <v>6.1699999999999998E-2</v>
      </c>
      <c r="K75" s="216">
        <f t="shared" si="21"/>
        <v>193.38939499999998</v>
      </c>
      <c r="L75" s="216">
        <f t="shared" si="22"/>
        <v>3327.7393950000001</v>
      </c>
      <c r="M75" s="57">
        <f t="shared" si="20"/>
        <v>0.04</v>
      </c>
      <c r="N75" s="178">
        <f t="shared" si="23"/>
        <v>133.10957580000002</v>
      </c>
      <c r="O75" s="216">
        <f t="shared" si="24"/>
        <v>3460.8489708000002</v>
      </c>
      <c r="R75"/>
    </row>
    <row r="76" spans="1:19">
      <c r="A76" s="124">
        <v>70</v>
      </c>
      <c r="B76" s="59" t="s">
        <v>1292</v>
      </c>
      <c r="C76" s="1" t="s">
        <v>1293</v>
      </c>
      <c r="D76" s="322">
        <v>422357.59</v>
      </c>
      <c r="E76" s="5"/>
      <c r="H76" s="233">
        <f t="shared" si="17"/>
        <v>0</v>
      </c>
      <c r="I76" s="121">
        <f t="shared" si="18"/>
        <v>422357.59</v>
      </c>
      <c r="J76" s="57">
        <f t="shared" si="19"/>
        <v>6.1699999999999998E-2</v>
      </c>
      <c r="K76" s="216">
        <f t="shared" si="21"/>
        <v>26059.463303</v>
      </c>
      <c r="L76" s="216">
        <f t="shared" si="22"/>
        <v>448417.05330300005</v>
      </c>
      <c r="M76" s="57">
        <f t="shared" si="20"/>
        <v>0.04</v>
      </c>
      <c r="N76" s="178">
        <f t="shared" si="23"/>
        <v>17936.682132120004</v>
      </c>
      <c r="O76" s="216">
        <f t="shared" si="24"/>
        <v>466353.73543512006</v>
      </c>
      <c r="R76"/>
    </row>
    <row r="77" spans="1:19">
      <c r="A77" s="124">
        <v>71</v>
      </c>
      <c r="B77" s="59" t="s">
        <v>1294</v>
      </c>
      <c r="C77" s="1" t="s">
        <v>1323</v>
      </c>
      <c r="D77" s="322">
        <v>12825.81</v>
      </c>
      <c r="H77" s="233">
        <f t="shared" si="17"/>
        <v>0</v>
      </c>
      <c r="I77" s="121">
        <f t="shared" si="18"/>
        <v>12825.81</v>
      </c>
      <c r="J77" s="57">
        <f t="shared" si="19"/>
        <v>6.1699999999999998E-2</v>
      </c>
      <c r="K77" s="216">
        <f t="shared" si="21"/>
        <v>791.35247699999991</v>
      </c>
      <c r="L77" s="216">
        <f t="shared" si="22"/>
        <v>13617.162477</v>
      </c>
      <c r="M77" s="57">
        <f t="shared" si="20"/>
        <v>0.04</v>
      </c>
      <c r="N77" s="178">
        <f t="shared" si="23"/>
        <v>544.68649907999998</v>
      </c>
      <c r="O77" s="216">
        <f t="shared" si="24"/>
        <v>14161.84897608</v>
      </c>
      <c r="R77"/>
    </row>
    <row r="78" spans="1:19">
      <c r="A78" s="124">
        <v>72</v>
      </c>
      <c r="B78" s="59" t="s">
        <v>1295</v>
      </c>
      <c r="C78" s="1" t="s">
        <v>1296</v>
      </c>
      <c r="D78" s="322">
        <v>4719.2300000000005</v>
      </c>
      <c r="H78" s="233">
        <f t="shared" si="17"/>
        <v>0</v>
      </c>
      <c r="I78" s="121">
        <f t="shared" si="18"/>
        <v>4719.2300000000005</v>
      </c>
      <c r="J78" s="57">
        <f t="shared" si="19"/>
        <v>6.1699999999999998E-2</v>
      </c>
      <c r="K78" s="216">
        <f t="shared" si="21"/>
        <v>291.176491</v>
      </c>
      <c r="L78" s="216">
        <f t="shared" si="22"/>
        <v>5010.4064910000006</v>
      </c>
      <c r="M78" s="57">
        <f t="shared" si="20"/>
        <v>0.04</v>
      </c>
      <c r="N78" s="178">
        <f t="shared" si="23"/>
        <v>200.41625964000002</v>
      </c>
      <c r="O78" s="216">
        <f t="shared" si="24"/>
        <v>5210.8227506400008</v>
      </c>
      <c r="R78"/>
    </row>
    <row r="79" spans="1:19">
      <c r="A79" s="124">
        <v>73</v>
      </c>
      <c r="B79" s="59" t="s">
        <v>1303</v>
      </c>
      <c r="C79" s="1" t="s">
        <v>1324</v>
      </c>
      <c r="D79" s="322">
        <v>24352.63</v>
      </c>
      <c r="H79" s="233">
        <f t="shared" si="17"/>
        <v>0</v>
      </c>
      <c r="I79" s="121">
        <f t="shared" si="18"/>
        <v>24352.63</v>
      </c>
      <c r="J79" s="57">
        <f t="shared" si="19"/>
        <v>6.1699999999999998E-2</v>
      </c>
      <c r="K79" s="216">
        <f t="shared" si="21"/>
        <v>1502.5572709999999</v>
      </c>
      <c r="L79" s="216">
        <f t="shared" si="22"/>
        <v>25855.187271000003</v>
      </c>
      <c r="M79" s="57">
        <f t="shared" si="20"/>
        <v>0.04</v>
      </c>
      <c r="N79" s="178">
        <f t="shared" si="23"/>
        <v>1034.2074908400002</v>
      </c>
      <c r="O79" s="216">
        <f t="shared" si="24"/>
        <v>26889.394761840002</v>
      </c>
      <c r="R79"/>
    </row>
    <row r="80" spans="1:19">
      <c r="A80" s="124">
        <v>74</v>
      </c>
      <c r="B80" s="423" t="s">
        <v>1304</v>
      </c>
      <c r="C80" s="1" t="s">
        <v>1325</v>
      </c>
      <c r="D80" s="322">
        <v>36959.24</v>
      </c>
      <c r="H80" s="233">
        <f t="shared" si="17"/>
        <v>0</v>
      </c>
      <c r="I80" s="121">
        <f t="shared" si="18"/>
        <v>36959.24</v>
      </c>
      <c r="J80" s="57">
        <f t="shared" si="19"/>
        <v>6.1699999999999998E-2</v>
      </c>
      <c r="K80" s="216">
        <f t="shared" si="21"/>
        <v>2280.3851079999999</v>
      </c>
      <c r="L80" s="216">
        <f t="shared" si="22"/>
        <v>39239.625108</v>
      </c>
      <c r="M80" s="57">
        <f t="shared" si="20"/>
        <v>0.04</v>
      </c>
      <c r="N80" s="178">
        <f t="shared" si="23"/>
        <v>1569.5850043200001</v>
      </c>
      <c r="O80" s="216">
        <f t="shared" si="24"/>
        <v>40809.210112319997</v>
      </c>
      <c r="R80"/>
    </row>
    <row r="81" spans="1:18">
      <c r="A81" s="124">
        <v>75</v>
      </c>
      <c r="B81" s="59" t="s">
        <v>1305</v>
      </c>
      <c r="C81" s="1" t="s">
        <v>1306</v>
      </c>
      <c r="D81" s="322">
        <v>1814110.98</v>
      </c>
      <c r="H81" s="233">
        <f t="shared" si="17"/>
        <v>0</v>
      </c>
      <c r="I81" s="121">
        <f t="shared" si="18"/>
        <v>1814110.98</v>
      </c>
      <c r="J81" s="57">
        <f t="shared" si="19"/>
        <v>6.1699999999999998E-2</v>
      </c>
      <c r="K81" s="216">
        <f t="shared" si="21"/>
        <v>111930.64746599999</v>
      </c>
      <c r="L81" s="216">
        <f t="shared" si="22"/>
        <v>1926041.6274659999</v>
      </c>
      <c r="M81" s="57">
        <f t="shared" si="20"/>
        <v>0.04</v>
      </c>
      <c r="N81" s="178">
        <f t="shared" si="23"/>
        <v>77041.665098640005</v>
      </c>
      <c r="O81" s="216">
        <f t="shared" si="24"/>
        <v>2003083.2925646398</v>
      </c>
      <c r="R81"/>
    </row>
    <row r="82" spans="1:18">
      <c r="A82" s="124">
        <v>76</v>
      </c>
      <c r="B82" s="59" t="s">
        <v>1307</v>
      </c>
      <c r="C82" s="1" t="s">
        <v>1326</v>
      </c>
      <c r="D82" s="322">
        <v>16945.63</v>
      </c>
      <c r="H82" s="233">
        <f t="shared" si="17"/>
        <v>0</v>
      </c>
      <c r="I82" s="121">
        <f t="shared" si="18"/>
        <v>16945.63</v>
      </c>
      <c r="J82" s="57">
        <f t="shared" si="19"/>
        <v>6.1699999999999998E-2</v>
      </c>
      <c r="K82" s="216">
        <f t="shared" si="21"/>
        <v>1045.5453709999999</v>
      </c>
      <c r="L82" s="216">
        <f t="shared" si="22"/>
        <v>17991.175371000001</v>
      </c>
      <c r="M82" s="57">
        <f t="shared" si="20"/>
        <v>0.04</v>
      </c>
      <c r="N82" s="178">
        <f t="shared" si="23"/>
        <v>719.64701484000011</v>
      </c>
      <c r="O82" s="216">
        <f t="shared" si="24"/>
        <v>18710.822385840002</v>
      </c>
      <c r="R82"/>
    </row>
    <row r="83" spans="1:18">
      <c r="A83" s="124">
        <v>77</v>
      </c>
      <c r="B83" s="59" t="s">
        <v>1327</v>
      </c>
      <c r="C83" s="1" t="s">
        <v>1328</v>
      </c>
      <c r="D83" s="322">
        <v>16945.63</v>
      </c>
      <c r="H83" s="233">
        <f t="shared" si="17"/>
        <v>0</v>
      </c>
      <c r="I83" s="121">
        <f t="shared" si="18"/>
        <v>16945.63</v>
      </c>
      <c r="J83" s="57">
        <f t="shared" si="19"/>
        <v>6.1699999999999998E-2</v>
      </c>
      <c r="K83" s="216">
        <f t="shared" si="21"/>
        <v>1045.5453709999999</v>
      </c>
      <c r="L83" s="216">
        <f t="shared" si="22"/>
        <v>17991.175371000001</v>
      </c>
      <c r="M83" s="57">
        <f t="shared" si="20"/>
        <v>0.04</v>
      </c>
      <c r="N83" s="178">
        <f t="shared" si="23"/>
        <v>719.64701484000011</v>
      </c>
      <c r="O83" s="216">
        <f t="shared" si="24"/>
        <v>18710.822385840002</v>
      </c>
      <c r="R83"/>
    </row>
    <row r="84" spans="1:18">
      <c r="A84" s="124">
        <v>78</v>
      </c>
      <c r="B84" s="59" t="s">
        <v>1309</v>
      </c>
      <c r="C84" s="1" t="s">
        <v>1310</v>
      </c>
      <c r="D84" s="388">
        <v>3940588.75</v>
      </c>
      <c r="H84" s="233">
        <f t="shared" si="17"/>
        <v>0</v>
      </c>
      <c r="I84" s="285">
        <f t="shared" si="18"/>
        <v>3940588.75</v>
      </c>
      <c r="J84" s="57">
        <f t="shared" si="19"/>
        <v>6.1699999999999998E-2</v>
      </c>
      <c r="K84" s="216">
        <f t="shared" si="21"/>
        <v>243134.32587499998</v>
      </c>
      <c r="L84" s="216">
        <f t="shared" si="22"/>
        <v>4183723.0758750001</v>
      </c>
      <c r="M84" s="57">
        <f t="shared" si="20"/>
        <v>0.04</v>
      </c>
      <c r="N84" s="178">
        <f t="shared" si="23"/>
        <v>167348.92303500001</v>
      </c>
      <c r="O84" s="216">
        <f t="shared" si="24"/>
        <v>4351071.9989100005</v>
      </c>
      <c r="R84"/>
    </row>
    <row r="85" spans="1:18">
      <c r="A85" s="124">
        <v>79</v>
      </c>
      <c r="B85" s="59" t="s">
        <v>1329</v>
      </c>
      <c r="D85" s="216">
        <f>SUM(D72:D84)</f>
        <v>7259128.3899999997</v>
      </c>
      <c r="I85" s="121">
        <f>SUM(I72:I84)</f>
        <v>7259128.3899999997</v>
      </c>
      <c r="K85" s="510">
        <f>SUM(K72:K84)</f>
        <v>447888.22166299995</v>
      </c>
      <c r="L85" s="510">
        <f>SUM(L72:L84)</f>
        <v>7707016.6116629997</v>
      </c>
      <c r="N85" s="510">
        <f>SUM(N72:N84)</f>
        <v>308280.66446652007</v>
      </c>
      <c r="O85" s="510">
        <f>SUM(O72:O84)</f>
        <v>8015297.2761295214</v>
      </c>
      <c r="R85"/>
    </row>
    <row r="86" spans="1:18">
      <c r="A86" s="53"/>
      <c r="I86" s="530"/>
      <c r="R86"/>
    </row>
    <row r="87" spans="1:18">
      <c r="K87" s="216"/>
      <c r="R87"/>
    </row>
    <row r="88" spans="1:18">
      <c r="A88" s="237" t="s">
        <v>1330</v>
      </c>
      <c r="R88"/>
    </row>
    <row r="89" spans="1:18">
      <c r="A89" s="237" t="s">
        <v>1331</v>
      </c>
      <c r="R89"/>
    </row>
    <row r="90" spans="1:18">
      <c r="A90" s="237" t="s">
        <v>1332</v>
      </c>
      <c r="R90"/>
    </row>
    <row r="91" spans="1:18">
      <c r="A91" s="237" t="s">
        <v>1333</v>
      </c>
      <c r="R91"/>
    </row>
    <row r="92" spans="1:18">
      <c r="R92"/>
    </row>
  </sheetData>
  <sortState xmlns:xlrd2="http://schemas.microsoft.com/office/spreadsheetml/2017/richdata2" ref="R38:R67">
    <sortCondition ref="R38:R67"/>
  </sortState>
  <printOptions horizontalCentered="1"/>
  <pageMargins left="0.31" right="0.3" top="1" bottom="1" header="0.5" footer="0.5"/>
  <pageSetup scale="45" fitToHeight="0" orientation="landscape" r:id="rId1"/>
  <headerFooter scaleWithDoc="0" alignWithMargins="0">
    <oddHeader>&amp;RPage &amp;P of &amp;N</oddHeader>
    <oddFooter>&amp;LElectronic Tab Name: &amp;A</oddFooter>
  </headerFooter>
  <rowBreaks count="1" manualBreakCount="1">
    <brk id="63"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Q67"/>
  <sheetViews>
    <sheetView view="pageBreakPreview" zoomScale="60" zoomScaleNormal="100" workbookViewId="0">
      <selection activeCell="C35" sqref="C35"/>
    </sheetView>
  </sheetViews>
  <sheetFormatPr defaultColWidth="8.85546875" defaultRowHeight="15"/>
  <cols>
    <col min="1" max="1" width="5.140625" style="53" bestFit="1" customWidth="1"/>
    <col min="2" max="2" width="39.140625" style="53" customWidth="1"/>
    <col min="3" max="3" width="15.5703125" style="1" bestFit="1" customWidth="1"/>
    <col min="4" max="4" width="13.85546875" style="1" bestFit="1" customWidth="1"/>
    <col min="5" max="6" width="12.85546875" style="1" bestFit="1" customWidth="1"/>
    <col min="7" max="7" width="14.28515625" style="1" bestFit="1" customWidth="1"/>
    <col min="8" max="8" width="15.28515625" style="1" bestFit="1" customWidth="1"/>
    <col min="9" max="9" width="26.7109375" style="53" bestFit="1" customWidth="1"/>
    <col min="10" max="10" width="15.140625" style="53" bestFit="1" customWidth="1"/>
    <col min="11" max="11" width="13.85546875" style="53" bestFit="1" customWidth="1"/>
    <col min="12" max="12" width="9.5703125" style="53" bestFit="1" customWidth="1"/>
    <col min="13" max="13" width="8.85546875" style="53"/>
    <col min="14" max="14" width="13.42578125" style="53" bestFit="1" customWidth="1"/>
    <col min="15" max="15" width="9.5703125" style="53" bestFit="1" customWidth="1"/>
    <col min="16" max="16" width="8.85546875" style="53"/>
    <col min="17" max="17" width="10.28515625" style="53" bestFit="1" customWidth="1"/>
    <col min="18" max="16384" width="8.85546875" style="53"/>
  </cols>
  <sheetData>
    <row r="1" spans="1:8">
      <c r="A1" s="1402" t="str">
        <f>Company</f>
        <v>Cascade Natural Gas Corp.</v>
      </c>
      <c r="B1" s="1402"/>
      <c r="C1" s="1402"/>
      <c r="D1" s="1402"/>
      <c r="E1" s="1402"/>
      <c r="F1" s="1402"/>
      <c r="G1" s="1402"/>
      <c r="H1" s="91"/>
    </row>
    <row r="2" spans="1:8">
      <c r="A2" s="1402" t="str">
        <f>Title1</f>
        <v>Washington Jurisdiction</v>
      </c>
      <c r="B2" s="1402"/>
      <c r="C2" s="1402"/>
      <c r="D2" s="1402"/>
      <c r="E2" s="1402"/>
      <c r="F2" s="1402"/>
      <c r="G2" s="1402"/>
      <c r="H2" s="91"/>
    </row>
    <row r="3" spans="1:8">
      <c r="A3" s="1402" t="str">
        <f>Title2</f>
        <v>Twelve-Months ended December 31, 2023</v>
      </c>
      <c r="B3" s="1402"/>
      <c r="C3" s="1402"/>
      <c r="D3" s="1402"/>
      <c r="E3" s="1402"/>
      <c r="F3" s="1402"/>
      <c r="G3" s="1402"/>
      <c r="H3" s="91"/>
    </row>
    <row r="4" spans="1:8">
      <c r="A4" s="1402" t="str">
        <f>Title8</f>
        <v>UG-240008</v>
      </c>
      <c r="B4" s="1402"/>
      <c r="C4" s="1402"/>
      <c r="D4" s="1402"/>
      <c r="E4" s="1402"/>
      <c r="F4" s="1402"/>
      <c r="G4" s="1402"/>
      <c r="H4" s="91"/>
    </row>
    <row r="5" spans="1:8">
      <c r="A5" s="1402" t="s">
        <v>238</v>
      </c>
      <c r="B5" s="1402"/>
      <c r="C5" s="1402"/>
      <c r="D5" s="1402"/>
      <c r="E5" s="1402"/>
      <c r="F5" s="1402"/>
      <c r="G5" s="1402"/>
      <c r="H5" s="91"/>
    </row>
    <row r="6" spans="1:8">
      <c r="A6" s="1402" t="s">
        <v>1334</v>
      </c>
      <c r="B6" s="1402"/>
      <c r="C6" s="1402"/>
      <c r="D6" s="1402"/>
      <c r="E6" s="1402"/>
      <c r="F6" s="1402"/>
      <c r="G6" s="1402"/>
      <c r="H6" s="91"/>
    </row>
    <row r="7" spans="1:8">
      <c r="A7" s="427"/>
      <c r="B7" s="427"/>
      <c r="C7" s="427"/>
      <c r="D7" s="427"/>
      <c r="E7" s="427"/>
      <c r="F7" s="427"/>
      <c r="G7" s="427"/>
      <c r="H7" s="91"/>
    </row>
    <row r="8" spans="1:8" ht="30">
      <c r="A8" s="222" t="s">
        <v>536</v>
      </c>
      <c r="B8" s="430" t="s">
        <v>1335</v>
      </c>
      <c r="C8" s="1476" t="s">
        <v>1336</v>
      </c>
      <c r="D8" s="1476"/>
      <c r="E8" s="1476"/>
      <c r="F8" s="1476"/>
      <c r="G8" s="1476"/>
      <c r="H8" s="91"/>
    </row>
    <row r="9" spans="1:8">
      <c r="A9" s="213"/>
      <c r="B9" s="60" t="s">
        <v>439</v>
      </c>
      <c r="C9" s="432" t="s">
        <v>208</v>
      </c>
      <c r="D9" s="432" t="s">
        <v>209</v>
      </c>
      <c r="E9" s="432" t="s">
        <v>440</v>
      </c>
      <c r="F9" s="432" t="s">
        <v>441</v>
      </c>
      <c r="G9" s="432" t="s">
        <v>442</v>
      </c>
    </row>
    <row r="10" spans="1:8">
      <c r="A10" s="124">
        <v>1</v>
      </c>
      <c r="B10" s="53" t="s">
        <v>1337</v>
      </c>
      <c r="C10" s="20">
        <v>516073.2899999998</v>
      </c>
      <c r="E10" s="19"/>
      <c r="F10" s="19"/>
      <c r="G10" s="19"/>
    </row>
    <row r="11" spans="1:8">
      <c r="A11" s="124">
        <f>MAX($A$10:A10)+1</f>
        <v>2</v>
      </c>
      <c r="B11" s="53" t="s">
        <v>1338</v>
      </c>
      <c r="C11" s="20">
        <v>558332.26</v>
      </c>
      <c r="E11" s="19"/>
      <c r="F11" s="19"/>
      <c r="G11" s="19"/>
    </row>
    <row r="12" spans="1:8">
      <c r="A12" s="124">
        <f>MAX($A$10:A11)+1</f>
        <v>3</v>
      </c>
      <c r="B12" s="53" t="s">
        <v>1339</v>
      </c>
      <c r="C12" s="20">
        <v>1303288.6100000001</v>
      </c>
      <c r="E12" s="19"/>
      <c r="F12" s="19"/>
      <c r="G12" s="19"/>
    </row>
    <row r="13" spans="1:8">
      <c r="A13" s="124">
        <f>MAX($A$10:A12)+1</f>
        <v>4</v>
      </c>
      <c r="B13" s="53" t="s">
        <v>1340</v>
      </c>
      <c r="C13" s="993">
        <v>1523715.89</v>
      </c>
      <c r="E13" s="19"/>
      <c r="F13" s="19"/>
      <c r="G13" s="19"/>
    </row>
    <row r="14" spans="1:8">
      <c r="A14" s="124">
        <f>MAX($A$10:A13)+1</f>
        <v>5</v>
      </c>
      <c r="B14" s="224" t="s">
        <v>200</v>
      </c>
      <c r="C14" s="48">
        <f>SUM(C10:C13)</f>
        <v>3901410.05</v>
      </c>
      <c r="E14" s="994"/>
      <c r="F14" s="994"/>
      <c r="G14" s="994"/>
    </row>
    <row r="15" spans="1:8">
      <c r="A15" s="124">
        <f>MAX($A$10:A14)+1</f>
        <v>6</v>
      </c>
    </row>
    <row r="16" spans="1:8">
      <c r="A16" s="124">
        <f>MAX($A$10:A15)+1</f>
        <v>7</v>
      </c>
    </row>
    <row r="17" spans="1:17">
      <c r="A17" s="124">
        <f>MAX($A$10:A16)+1</f>
        <v>8</v>
      </c>
      <c r="B17" s="53" t="s">
        <v>1341</v>
      </c>
      <c r="C17" s="20">
        <v>1087477.31</v>
      </c>
    </row>
    <row r="18" spans="1:17">
      <c r="A18" s="124">
        <f>MAX($A$10:A17)+1</f>
        <v>9</v>
      </c>
      <c r="B18" s="53" t="s">
        <v>1342</v>
      </c>
      <c r="C18" s="20">
        <v>436238.58</v>
      </c>
      <c r="J18" s="439"/>
      <c r="K18" s="226"/>
      <c r="L18" s="226"/>
      <c r="O18" s="226"/>
      <c r="Q18"/>
    </row>
    <row r="19" spans="1:17">
      <c r="A19" s="124">
        <f>MAX($A$10:A18)+1</f>
        <v>10</v>
      </c>
      <c r="B19" s="53" t="s">
        <v>1343</v>
      </c>
      <c r="C19" s="20">
        <v>774451.43</v>
      </c>
      <c r="K19" s="132"/>
      <c r="L19" s="135"/>
      <c r="N19" s="132"/>
      <c r="O19" s="135"/>
      <c r="Q19" s="135"/>
    </row>
    <row r="20" spans="1:17">
      <c r="A20" s="124">
        <f>MAX($A$10:A19)+1</f>
        <v>11</v>
      </c>
      <c r="B20" s="53" t="s">
        <v>1344</v>
      </c>
      <c r="C20" s="20">
        <v>528837.18000000005</v>
      </c>
      <c r="K20" s="132"/>
      <c r="N20" s="132"/>
      <c r="Q20" s="135"/>
    </row>
    <row r="21" spans="1:17">
      <c r="A21" s="124">
        <f>MAX($A$10:A20)+1</f>
        <v>12</v>
      </c>
      <c r="B21" s="53" t="s">
        <v>1345</v>
      </c>
      <c r="C21" s="20">
        <v>516073.2899999998</v>
      </c>
      <c r="J21"/>
      <c r="K21" s="132"/>
      <c r="N21" s="132"/>
      <c r="Q21" s="135"/>
    </row>
    <row r="22" spans="1:17">
      <c r="A22" s="124">
        <f>MAX($A$10:A21)+1</f>
        <v>13</v>
      </c>
      <c r="B22" s="53" t="s">
        <v>1346</v>
      </c>
      <c r="C22" s="993">
        <v>558332.26</v>
      </c>
      <c r="J22"/>
      <c r="K22" s="132"/>
      <c r="L22" s="135"/>
      <c r="N22" s="132"/>
      <c r="O22" s="135"/>
      <c r="Q22" s="135"/>
    </row>
    <row r="23" spans="1:17">
      <c r="A23" s="124">
        <f>MAX($A$10:A22)+1</f>
        <v>14</v>
      </c>
      <c r="B23" s="224" t="s">
        <v>200</v>
      </c>
      <c r="C23" s="48">
        <f>ROUND(SUM(C17:C22), 2)</f>
        <v>3901410.05</v>
      </c>
      <c r="J23"/>
      <c r="K23" s="132"/>
      <c r="L23" s="135"/>
      <c r="N23" s="132"/>
      <c r="O23" s="135"/>
      <c r="Q23" s="135"/>
    </row>
    <row r="24" spans="1:17">
      <c r="A24" s="124">
        <f>MAX($A$10:A23)+1</f>
        <v>15</v>
      </c>
      <c r="C24" s="20"/>
      <c r="J24"/>
      <c r="K24" s="132"/>
      <c r="N24" s="132"/>
      <c r="Q24" s="135"/>
    </row>
    <row r="25" spans="1:17">
      <c r="A25" s="124">
        <f>MAX($A$10:A24)+1</f>
        <v>16</v>
      </c>
      <c r="B25" s="53" t="s">
        <v>1347</v>
      </c>
      <c r="C25" s="20">
        <f>+C17+C19</f>
        <v>1861928.7400000002</v>
      </c>
      <c r="J25"/>
      <c r="K25" s="132"/>
      <c r="N25" s="132"/>
      <c r="Q25" s="135"/>
    </row>
    <row r="26" spans="1:17">
      <c r="A26" s="124">
        <f>MAX($A$10:A25)+1</f>
        <v>17</v>
      </c>
      <c r="C26" s="20"/>
      <c r="J26"/>
      <c r="K26" s="132"/>
      <c r="L26" s="132"/>
      <c r="N26" s="132"/>
      <c r="O26" s="132"/>
      <c r="Q26" s="135"/>
    </row>
    <row r="27" spans="1:17">
      <c r="A27" s="124">
        <f>MAX($A$10:A26)+1</f>
        <v>18</v>
      </c>
      <c r="B27" s="53" t="s">
        <v>1348</v>
      </c>
      <c r="C27" s="995">
        <f>-C25</f>
        <v>-1861928.7400000002</v>
      </c>
      <c r="D27" s="16"/>
      <c r="E27" s="16"/>
      <c r="F27" s="16"/>
      <c r="G27" s="16"/>
      <c r="J27"/>
      <c r="K27" s="135"/>
      <c r="L27" s="135"/>
    </row>
    <row r="28" spans="1:17">
      <c r="A28" s="124">
        <f>MAX($A$10:A27)+1</f>
        <v>19</v>
      </c>
      <c r="C28" s="16"/>
      <c r="D28" s="16"/>
      <c r="E28" s="16"/>
      <c r="F28" s="16"/>
      <c r="G28" s="16"/>
    </row>
    <row r="29" spans="1:17">
      <c r="A29" s="124">
        <f>MAX($A$10:A28)+1</f>
        <v>20</v>
      </c>
      <c r="C29" s="16"/>
      <c r="D29" s="16"/>
      <c r="E29" s="16"/>
      <c r="F29" s="16"/>
      <c r="G29" s="16"/>
    </row>
    <row r="30" spans="1:17">
      <c r="A30" s="124">
        <f>MAX($A$10:A29)+1</f>
        <v>21</v>
      </c>
      <c r="B30" s="226"/>
      <c r="C30" s="1">
        <v>2019</v>
      </c>
      <c r="D30" s="1">
        <f>C30+1</f>
        <v>2020</v>
      </c>
      <c r="E30" s="1">
        <f>D30+1</f>
        <v>2021</v>
      </c>
      <c r="F30" s="1">
        <f>E30+1</f>
        <v>2022</v>
      </c>
      <c r="G30" s="1">
        <f>F30+1</f>
        <v>2023</v>
      </c>
      <c r="K30" s="226"/>
    </row>
    <row r="31" spans="1:17">
      <c r="A31" s="124">
        <f>MAX($A$10:A30)+1</f>
        <v>22</v>
      </c>
      <c r="B31" s="424" t="s">
        <v>1349</v>
      </c>
      <c r="C31" s="47">
        <v>2890621.39</v>
      </c>
      <c r="D31" s="47">
        <v>2853343.67</v>
      </c>
      <c r="E31" s="47">
        <v>2754722.18</v>
      </c>
      <c r="F31" s="47">
        <v>2000171.07</v>
      </c>
      <c r="G31" s="20">
        <f>+C23</f>
        <v>3901410.05</v>
      </c>
      <c r="J31" s="440"/>
      <c r="K31" s="135"/>
    </row>
    <row r="32" spans="1:17">
      <c r="A32" s="124">
        <f>MAX($A$10:A31)+1</f>
        <v>23</v>
      </c>
      <c r="B32" s="424" t="s">
        <v>1350</v>
      </c>
      <c r="C32" s="679">
        <v>1162983.27</v>
      </c>
      <c r="D32" s="679">
        <v>1584885.6400000001</v>
      </c>
      <c r="E32" s="679">
        <v>1797251.48</v>
      </c>
      <c r="F32" s="679">
        <f>757310.69+526816.43</f>
        <v>1284127.1200000001</v>
      </c>
      <c r="G32" s="993">
        <f>+C25</f>
        <v>1861928.7400000002</v>
      </c>
      <c r="J32" s="440"/>
      <c r="K32" s="135"/>
    </row>
    <row r="33" spans="1:11">
      <c r="A33" s="124">
        <f>MAX($A$10:A32)+1</f>
        <v>24</v>
      </c>
      <c r="B33" s="424" t="s">
        <v>1351</v>
      </c>
      <c r="C33" s="20">
        <f>C31-C32</f>
        <v>1727638.12</v>
      </c>
      <c r="D33" s="20">
        <f>D31-D32</f>
        <v>1268458.0299999998</v>
      </c>
      <c r="E33" s="20">
        <f>E31-E32</f>
        <v>957470.70000000019</v>
      </c>
      <c r="F33" s="20">
        <f>F31-F32</f>
        <v>716043.95</v>
      </c>
      <c r="G33" s="20">
        <f>G31-G32</f>
        <v>2039481.3099999996</v>
      </c>
      <c r="J33" s="132"/>
      <c r="K33" s="135"/>
    </row>
    <row r="34" spans="1:11">
      <c r="A34" s="124">
        <f>MAX($A$10:A33)+1</f>
        <v>25</v>
      </c>
      <c r="F34" s="9"/>
      <c r="J34" s="135"/>
    </row>
    <row r="35" spans="1:11">
      <c r="A35" s="124">
        <f>MAX($A$10:A34)+1</f>
        <v>26</v>
      </c>
      <c r="B35" s="424" t="s">
        <v>1352</v>
      </c>
      <c r="C35" s="20">
        <f>AVERAGE(C33:G33)</f>
        <v>1341818.4219999998</v>
      </c>
      <c r="F35" s="9"/>
      <c r="G35" s="9"/>
      <c r="I35" s="226"/>
      <c r="J35" s="132"/>
      <c r="K35" s="135"/>
    </row>
    <row r="36" spans="1:11">
      <c r="A36" s="124">
        <f>MAX($A$10:A35)+1</f>
        <v>27</v>
      </c>
      <c r="C36" s="20"/>
      <c r="D36" s="16"/>
      <c r="E36" s="16"/>
      <c r="F36" s="16"/>
      <c r="G36" s="16"/>
      <c r="I36" s="226"/>
      <c r="J36" s="135"/>
    </row>
    <row r="37" spans="1:11">
      <c r="A37" s="124">
        <f>MAX($A$10:A36)+1</f>
        <v>28</v>
      </c>
      <c r="B37" s="53" t="s">
        <v>1353</v>
      </c>
      <c r="C37" s="995">
        <f>C35-G33</f>
        <v>-697662.8879999998</v>
      </c>
      <c r="D37" s="16"/>
      <c r="E37" s="16"/>
      <c r="F37" s="16"/>
      <c r="G37" s="16"/>
      <c r="I37" s="226"/>
      <c r="J37" s="441"/>
      <c r="K37" s="135"/>
    </row>
    <row r="38" spans="1:11">
      <c r="A38" s="124">
        <f>MAX($A$10:A37)+1</f>
        <v>29</v>
      </c>
      <c r="C38" s="20"/>
    </row>
    <row r="39" spans="1:11" ht="15.75" thickBot="1">
      <c r="A39" s="124">
        <f>MAX($A$10:A38)+1</f>
        <v>30</v>
      </c>
      <c r="B39" s="53" t="s">
        <v>1354</v>
      </c>
      <c r="C39" s="996">
        <f>C27+C37</f>
        <v>-2559591.628</v>
      </c>
      <c r="J39" s="441"/>
      <c r="K39" s="135"/>
    </row>
    <row r="40" spans="1:11" ht="15.75" thickTop="1">
      <c r="A40" s="124">
        <f>MAX($A$10:A39)+1</f>
        <v>31</v>
      </c>
    </row>
    <row r="41" spans="1:11" ht="60">
      <c r="A41" s="124">
        <f>MAX($A$10:A40)+1</f>
        <v>32</v>
      </c>
      <c r="B41" s="53" t="s">
        <v>1355</v>
      </c>
      <c r="C41" s="545" t="s">
        <v>1356</v>
      </c>
      <c r="D41" s="545" t="s">
        <v>1357</v>
      </c>
      <c r="E41" s="545" t="s">
        <v>1358</v>
      </c>
    </row>
    <row r="42" spans="1:11">
      <c r="A42" s="124">
        <f>MAX($A$10:A41)+1</f>
        <v>33</v>
      </c>
      <c r="B42" s="520" t="s">
        <v>1359</v>
      </c>
      <c r="C42" s="997">
        <v>51340.05000000001</v>
      </c>
      <c r="D42" s="7">
        <f>C42/$C$64</f>
        <v>1.3161802653399907E-2</v>
      </c>
      <c r="E42" s="997">
        <f>ROUND($C$39*D42,2)</f>
        <v>-33688.839999999997</v>
      </c>
    </row>
    <row r="43" spans="1:11">
      <c r="A43" s="124">
        <f>MAX($A$10:A42)+1</f>
        <v>34</v>
      </c>
      <c r="B43" s="520" t="s">
        <v>835</v>
      </c>
      <c r="C43" s="997">
        <v>374880.14000000042</v>
      </c>
      <c r="D43" s="7">
        <f t="shared" ref="D43:D63" si="0">C43/$C$64</f>
        <v>9.610622547813906E-2</v>
      </c>
      <c r="E43" s="997">
        <f t="shared" ref="E43:E63" si="1">ROUND($C$39*D43,2)</f>
        <v>-245992.69</v>
      </c>
    </row>
    <row r="44" spans="1:11">
      <c r="A44" s="124">
        <f>MAX($A$10:A43)+1</f>
        <v>35</v>
      </c>
      <c r="B44" s="520" t="s">
        <v>837</v>
      </c>
      <c r="C44" s="997">
        <v>28385.68</v>
      </c>
      <c r="D44" s="7">
        <f t="shared" si="0"/>
        <v>7.2771007886155269E-3</v>
      </c>
      <c r="E44" s="997">
        <f t="shared" si="1"/>
        <v>-18626.41</v>
      </c>
    </row>
    <row r="45" spans="1:11">
      <c r="A45" s="124">
        <f>MAX($A$10:A44)+1</f>
        <v>36</v>
      </c>
      <c r="B45" s="520" t="s">
        <v>839</v>
      </c>
      <c r="C45" s="997">
        <v>3746.2</v>
      </c>
      <c r="D45" s="7">
        <f t="shared" si="0"/>
        <v>9.6039534632643949E-4</v>
      </c>
      <c r="E45" s="997">
        <f t="shared" si="1"/>
        <v>-2458.2199999999998</v>
      </c>
    </row>
    <row r="46" spans="1:11">
      <c r="A46" s="124">
        <f>MAX($A$10:A45)+1</f>
        <v>37</v>
      </c>
      <c r="B46" s="520" t="s">
        <v>1360</v>
      </c>
      <c r="C46" s="997">
        <v>14401.14</v>
      </c>
      <c r="D46" s="7">
        <f t="shared" si="0"/>
        <v>3.691951267363072E-3</v>
      </c>
      <c r="E46" s="997">
        <f t="shared" si="1"/>
        <v>-9449.89</v>
      </c>
    </row>
    <row r="47" spans="1:11">
      <c r="A47" s="124">
        <f>MAX($A$10:A46)+1</f>
        <v>38</v>
      </c>
      <c r="B47" s="520" t="s">
        <v>843</v>
      </c>
      <c r="C47" s="997">
        <v>17.41</v>
      </c>
      <c r="D47" s="7">
        <f t="shared" si="0"/>
        <v>4.463318290412501E-6</v>
      </c>
      <c r="E47" s="997">
        <f t="shared" si="1"/>
        <v>-11.42</v>
      </c>
    </row>
    <row r="48" spans="1:11">
      <c r="A48" s="124">
        <f>MAX($A$10:A47)+1</f>
        <v>39</v>
      </c>
      <c r="B48" s="520" t="s">
        <v>845</v>
      </c>
      <c r="C48" s="997">
        <v>60.24</v>
      </c>
      <c r="D48" s="7">
        <f t="shared" si="0"/>
        <v>1.5443440196119994E-5</v>
      </c>
      <c r="E48" s="997">
        <f t="shared" si="1"/>
        <v>-39.53</v>
      </c>
    </row>
    <row r="49" spans="1:5">
      <c r="A49" s="124">
        <f>MAX($A$10:A48)+1</f>
        <v>40</v>
      </c>
      <c r="B49" s="520" t="s">
        <v>1361</v>
      </c>
      <c r="C49" s="997">
        <v>15.100000000000001</v>
      </c>
      <c r="D49" s="7">
        <f t="shared" si="0"/>
        <v>3.8711146573939561E-6</v>
      </c>
      <c r="E49" s="997">
        <f t="shared" si="1"/>
        <v>-9.91</v>
      </c>
    </row>
    <row r="50" spans="1:5">
      <c r="A50" s="124">
        <f>MAX($A$10:A49)+1</f>
        <v>41</v>
      </c>
      <c r="B50" s="520" t="s">
        <v>852</v>
      </c>
      <c r="C50" s="997">
        <v>67238.540000000023</v>
      </c>
      <c r="D50" s="7">
        <f t="shared" si="0"/>
        <v>1.7237622366607277E-2</v>
      </c>
      <c r="E50" s="997">
        <f t="shared" si="1"/>
        <v>-44121.27</v>
      </c>
    </row>
    <row r="51" spans="1:5">
      <c r="A51" s="124">
        <f>MAX($A$10:A50)+1</f>
        <v>42</v>
      </c>
      <c r="B51" s="520" t="s">
        <v>860</v>
      </c>
      <c r="C51" s="997">
        <v>138805.94000000006</v>
      </c>
      <c r="D51" s="7">
        <f t="shared" si="0"/>
        <v>3.5585013832274581E-2</v>
      </c>
      <c r="E51" s="997">
        <f t="shared" si="1"/>
        <v>-91083.1</v>
      </c>
    </row>
    <row r="52" spans="1:5">
      <c r="A52" s="124">
        <f>MAX($A$10:A51)+1</f>
        <v>43</v>
      </c>
      <c r="B52" s="520" t="s">
        <v>864</v>
      </c>
      <c r="C52" s="997">
        <v>4789.5200000000004</v>
      </c>
      <c r="D52" s="7">
        <f t="shared" si="0"/>
        <v>1.227866296283543E-3</v>
      </c>
      <c r="E52" s="997">
        <f t="shared" si="1"/>
        <v>-3142.84</v>
      </c>
    </row>
    <row r="53" spans="1:5">
      <c r="A53" s="124">
        <f>MAX($A$10:A52)+1</f>
        <v>44</v>
      </c>
      <c r="B53" s="520" t="s">
        <v>867</v>
      </c>
      <c r="C53" s="997">
        <v>49.070000000000007</v>
      </c>
      <c r="D53" s="7">
        <f t="shared" si="0"/>
        <v>1.2579840810484864E-5</v>
      </c>
      <c r="E53" s="997">
        <f t="shared" si="1"/>
        <v>-32.200000000000003</v>
      </c>
    </row>
    <row r="54" spans="1:5">
      <c r="A54" s="124">
        <f>MAX($A$10:A53)+1</f>
        <v>45</v>
      </c>
      <c r="B54" s="520" t="s">
        <v>871</v>
      </c>
      <c r="C54" s="997">
        <v>2489.92</v>
      </c>
      <c r="D54" s="7">
        <f t="shared" si="0"/>
        <v>6.3832886143962641E-4</v>
      </c>
      <c r="E54" s="997">
        <f t="shared" si="1"/>
        <v>-1633.86</v>
      </c>
    </row>
    <row r="55" spans="1:5">
      <c r="A55" s="124">
        <f>MAX($A$10:A54)+1</f>
        <v>46</v>
      </c>
      <c r="B55" s="520" t="s">
        <v>873</v>
      </c>
      <c r="C55" s="997">
        <v>1508.5699999999997</v>
      </c>
      <c r="D55" s="7">
        <f t="shared" si="0"/>
        <v>3.8674486349038402E-4</v>
      </c>
      <c r="E55" s="997">
        <f t="shared" si="1"/>
        <v>-989.91</v>
      </c>
    </row>
    <row r="56" spans="1:5">
      <c r="A56" s="124">
        <f>MAX($A$10:A55)+1</f>
        <v>47</v>
      </c>
      <c r="B56" s="520" t="s">
        <v>875</v>
      </c>
      <c r="C56" s="997">
        <v>3125.3599999999997</v>
      </c>
      <c r="D56" s="7">
        <f t="shared" si="0"/>
        <v>8.0123356990945507E-4</v>
      </c>
      <c r="E56" s="997">
        <f t="shared" si="1"/>
        <v>-2050.83</v>
      </c>
    </row>
    <row r="57" spans="1:5">
      <c r="A57" s="124">
        <f>MAX($A$10:A56)+1</f>
        <v>48</v>
      </c>
      <c r="B57" s="520" t="s">
        <v>880</v>
      </c>
      <c r="C57" s="997">
        <v>15444.580000000004</v>
      </c>
      <c r="D57" s="7">
        <f t="shared" si="0"/>
        <v>3.9594529811452688E-3</v>
      </c>
      <c r="E57" s="997">
        <f t="shared" si="1"/>
        <v>-10134.58</v>
      </c>
    </row>
    <row r="58" spans="1:5">
      <c r="A58" s="124">
        <f>MAX($A$10:A57)+1</f>
        <v>49</v>
      </c>
      <c r="B58" s="520" t="s">
        <v>882</v>
      </c>
      <c r="C58" s="997">
        <v>14380</v>
      </c>
      <c r="D58" s="7">
        <f t="shared" si="0"/>
        <v>3.6865317068427209E-3</v>
      </c>
      <c r="E58" s="997">
        <f t="shared" si="1"/>
        <v>-9436.02</v>
      </c>
    </row>
    <row r="59" spans="1:5">
      <c r="A59" s="124">
        <f>MAX($A$10:A58)+1</f>
        <v>50</v>
      </c>
      <c r="B59" s="520" t="s">
        <v>884</v>
      </c>
      <c r="C59" s="997">
        <v>344811.41</v>
      </c>
      <c r="D59" s="7">
        <f t="shared" si="0"/>
        <v>8.839764922434945E-2</v>
      </c>
      <c r="E59" s="997">
        <f t="shared" si="1"/>
        <v>-226261.88</v>
      </c>
    </row>
    <row r="60" spans="1:5">
      <c r="A60" s="124">
        <f>MAX($A$10:A59)+1</f>
        <v>51</v>
      </c>
      <c r="B60" s="520" t="s">
        <v>892</v>
      </c>
      <c r="C60" s="997">
        <v>75849.200000000012</v>
      </c>
      <c r="D60" s="7">
        <f t="shared" si="0"/>
        <v>1.9445096017987131E-2</v>
      </c>
      <c r="E60" s="997">
        <f t="shared" si="1"/>
        <v>-49771.5</v>
      </c>
    </row>
    <row r="61" spans="1:5">
      <c r="A61" s="124">
        <f>MAX($A$10:A60)+1</f>
        <v>52</v>
      </c>
      <c r="B61" s="520" t="s">
        <v>896</v>
      </c>
      <c r="C61" s="997">
        <v>21281.009999999995</v>
      </c>
      <c r="D61" s="7">
        <f t="shared" si="0"/>
        <v>5.455710578486578E-3</v>
      </c>
      <c r="E61" s="997">
        <f t="shared" si="1"/>
        <v>-13964.39</v>
      </c>
    </row>
    <row r="62" spans="1:5">
      <c r="A62" s="124">
        <f>MAX($A$10:A61)+1</f>
        <v>53</v>
      </c>
      <c r="B62" s="520" t="s">
        <v>901</v>
      </c>
      <c r="C62" s="997">
        <v>2075.8600000000006</v>
      </c>
      <c r="D62" s="7">
        <f t="shared" si="0"/>
        <v>5.3217828296012052E-4</v>
      </c>
      <c r="E62" s="997">
        <f t="shared" si="1"/>
        <v>-1362.16</v>
      </c>
    </row>
    <row r="63" spans="1:5">
      <c r="A63" s="124">
        <f>MAX($A$10:A62)+1</f>
        <v>54</v>
      </c>
      <c r="B63" s="520" t="s">
        <v>909</v>
      </c>
      <c r="C63" s="998">
        <v>2735990.3500000015</v>
      </c>
      <c r="D63" s="999">
        <f t="shared" si="0"/>
        <v>0.70141273817042549</v>
      </c>
      <c r="E63" s="998">
        <f t="shared" si="1"/>
        <v>-1795330.17</v>
      </c>
    </row>
    <row r="64" spans="1:5">
      <c r="A64" s="124">
        <f>MAX($A$10:A63)+1</f>
        <v>55</v>
      </c>
      <c r="B64" s="520" t="s">
        <v>3739</v>
      </c>
      <c r="C64" s="997">
        <f>SUM(C42:C63)</f>
        <v>3900685.2900000019</v>
      </c>
      <c r="D64" s="72">
        <f>SUM(D42:D63)</f>
        <v>1</v>
      </c>
      <c r="E64" s="997">
        <f>SUM(E42:E63)</f>
        <v>-2559591.62</v>
      </c>
    </row>
    <row r="65" spans="1:3">
      <c r="A65" s="124">
        <f>MAX($A$10:A64)+1</f>
        <v>56</v>
      </c>
      <c r="B65" s="59" t="s">
        <v>3737</v>
      </c>
      <c r="C65" s="576">
        <v>724.69</v>
      </c>
    </row>
    <row r="66" spans="1:3">
      <c r="A66" s="124">
        <f>MAX($A$10:A65)+1</f>
        <v>57</v>
      </c>
      <c r="B66" s="520" t="s">
        <v>3738</v>
      </c>
      <c r="C66" s="173">
        <f>C64+C65</f>
        <v>3901409.9800000018</v>
      </c>
    </row>
    <row r="67" spans="1:3">
      <c r="A67" s="124">
        <f>MAX($A$10:A66)+1</f>
        <v>58</v>
      </c>
      <c r="B67" s="520" t="s">
        <v>201</v>
      </c>
      <c r="C67" s="173">
        <f>C23-C66</f>
        <v>6.9999997969716787E-2</v>
      </c>
    </row>
  </sheetData>
  <mergeCells count="7">
    <mergeCell ref="C8:G8"/>
    <mergeCell ref="A3:G3"/>
    <mergeCell ref="A6:G6"/>
    <mergeCell ref="A5:G5"/>
    <mergeCell ref="A1:G1"/>
    <mergeCell ref="A4:G4"/>
    <mergeCell ref="A2:G2"/>
  </mergeCells>
  <printOptions horizontalCentered="1"/>
  <pageMargins left="0.31" right="0.3" top="1" bottom="1" header="0.5" footer="0.5"/>
  <pageSetup scale="88" fitToHeight="0" orientation="portrait" r:id="rId1"/>
  <headerFooter scaleWithDoc="0" alignWithMargins="0">
    <oddHeader>&amp;RPage &amp;P of &amp;N</oddHeader>
    <oddFooter>&amp;LElectronic Tab Name: &amp;A</oddFooter>
  </headerFooter>
  <rowBreaks count="1" manualBreakCount="1">
    <brk id="40"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0EFB4-BFBC-4351-896C-07E512542737}">
  <sheetPr codeName="Sheet83">
    <tabColor rgb="FF57AAB5"/>
  </sheetPr>
  <dimension ref="A1:AR74"/>
  <sheetViews>
    <sheetView tabSelected="1" view="pageBreakPreview" zoomScale="85" zoomScaleNormal="100" zoomScaleSheetLayoutView="85" workbookViewId="0"/>
  </sheetViews>
  <sheetFormatPr defaultColWidth="9.140625" defaultRowHeight="12.75"/>
  <cols>
    <col min="1" max="1" width="1.42578125" style="1199" customWidth="1"/>
    <col min="2" max="2" width="3.28515625" style="1199" customWidth="1"/>
    <col min="3" max="3" width="1.42578125" style="1199" customWidth="1"/>
    <col min="4" max="4" width="6.28515625" style="1199" bestFit="1" customWidth="1"/>
    <col min="5" max="5" width="1.42578125" style="1199" customWidth="1"/>
    <col min="6" max="6" width="32.7109375" style="1199" customWidth="1"/>
    <col min="7" max="8" width="1.42578125" style="1200" customWidth="1"/>
    <col min="9" max="9" width="10" style="1199" customWidth="1"/>
    <col min="10" max="10" width="1.42578125" style="1199" customWidth="1"/>
    <col min="11" max="11" width="10" style="1199" customWidth="1"/>
    <col min="12" max="12" width="1.42578125" style="1199" customWidth="1"/>
    <col min="13" max="13" width="10" style="1199" customWidth="1"/>
    <col min="14" max="14" width="1.42578125" style="1200" customWidth="1"/>
    <col min="15" max="15" width="1.42578125" style="1199" customWidth="1"/>
    <col min="16" max="16" width="10" style="1199" customWidth="1"/>
    <col min="17" max="17" width="1.42578125" style="1199" customWidth="1"/>
    <col min="18" max="18" width="10" style="1199" customWidth="1"/>
    <col min="19" max="19" width="1.42578125" style="1199" customWidth="1"/>
    <col min="20" max="20" width="10" style="1199" customWidth="1"/>
    <col min="21" max="22" width="1.42578125" style="1199" customWidth="1"/>
    <col min="23" max="23" width="10" style="1200" customWidth="1"/>
    <col min="24" max="24" width="1.42578125" style="1200" customWidth="1"/>
    <col min="25" max="25" width="10" style="1200" customWidth="1"/>
    <col min="26" max="26" width="1.28515625" style="1200" customWidth="1"/>
    <col min="27" max="27" width="10" style="1200" customWidth="1"/>
    <col min="28" max="28" width="1.42578125" style="1200" customWidth="1"/>
    <col min="29" max="29" width="10" style="1200" customWidth="1"/>
    <col min="30" max="30" width="1.42578125" style="1200" customWidth="1"/>
    <col min="31" max="31" width="9.28515625" style="1200" customWidth="1"/>
    <col min="32" max="32" width="17.42578125" style="1200" customWidth="1"/>
    <col min="33" max="34" width="2.7109375" style="1200" customWidth="1"/>
    <col min="35" max="35" width="21.140625" style="1200" customWidth="1"/>
    <col min="36" max="38" width="11.85546875" style="1199" customWidth="1"/>
    <col min="39" max="40" width="9.140625" style="1199"/>
    <col min="41" max="41" width="11" style="1199" customWidth="1"/>
    <col min="42" max="42" width="9.140625" style="1199"/>
    <col min="43" max="43" width="12.28515625" style="1199" bestFit="1" customWidth="1"/>
    <col min="44" max="16384" width="9.140625" style="1199"/>
  </cols>
  <sheetData>
    <row r="1" spans="1:38">
      <c r="A1" s="1198" t="s">
        <v>4231</v>
      </c>
      <c r="B1" s="1198"/>
      <c r="C1" s="1198"/>
      <c r="E1" s="1198"/>
      <c r="F1" s="1198"/>
      <c r="I1" s="1200"/>
      <c r="J1" s="1198"/>
      <c r="K1" s="1198"/>
      <c r="L1" s="1198"/>
      <c r="M1" s="1198"/>
      <c r="O1" s="1198"/>
      <c r="P1" s="1198"/>
      <c r="Q1" s="1198"/>
      <c r="R1" s="1198"/>
      <c r="S1" s="1198"/>
      <c r="T1" s="1198"/>
      <c r="X1" s="1207"/>
      <c r="AH1" s="1201"/>
      <c r="AJ1" s="1200"/>
      <c r="AK1" s="1200"/>
      <c r="AL1" s="1200"/>
    </row>
    <row r="2" spans="1:38">
      <c r="B2" s="1198"/>
      <c r="C2" s="1198"/>
      <c r="D2" s="1198"/>
      <c r="E2" s="1198"/>
      <c r="F2" s="1198"/>
      <c r="H2" s="1202"/>
      <c r="I2" s="1203" t="s">
        <v>4139</v>
      </c>
      <c r="J2" s="1204"/>
      <c r="K2" s="1204"/>
      <c r="L2" s="1204"/>
      <c r="M2" s="1204"/>
      <c r="O2" s="1198"/>
      <c r="P2" s="1203" t="s">
        <v>4101</v>
      </c>
      <c r="Q2" s="1205"/>
      <c r="R2" s="1205"/>
      <c r="S2" s="1205"/>
      <c r="T2" s="1205"/>
      <c r="W2" s="1203" t="s">
        <v>4102</v>
      </c>
      <c r="X2" s="1238"/>
      <c r="Y2" s="1206"/>
      <c r="Z2" s="1206"/>
      <c r="AA2" s="1206"/>
      <c r="AB2" s="1206"/>
      <c r="AC2" s="1206"/>
      <c r="AD2" s="1207"/>
      <c r="AE2" s="1207"/>
      <c r="AF2" s="1207"/>
      <c r="AH2" s="1201"/>
      <c r="AI2" s="1208" t="s">
        <v>4103</v>
      </c>
      <c r="AJ2" s="1208"/>
      <c r="AK2" s="1208"/>
      <c r="AL2" s="1208"/>
    </row>
    <row r="3" spans="1:38">
      <c r="B3" s="1198"/>
      <c r="C3" s="1198"/>
      <c r="D3" s="1198"/>
      <c r="E3" s="1198"/>
      <c r="F3" s="1198"/>
      <c r="I3" s="1207"/>
      <c r="J3" s="1207"/>
      <c r="K3" s="1207"/>
      <c r="L3" s="1207"/>
      <c r="M3" s="1207" t="s">
        <v>4104</v>
      </c>
      <c r="P3" s="1207"/>
      <c r="Q3" s="1207"/>
      <c r="R3" s="1207"/>
      <c r="S3" s="1207"/>
      <c r="T3" s="1207" t="s">
        <v>4104</v>
      </c>
      <c r="W3" s="1207" t="s">
        <v>4136</v>
      </c>
      <c r="X3" s="1207"/>
      <c r="Y3" s="1207"/>
      <c r="Z3" s="1207"/>
      <c r="AA3" s="1207"/>
      <c r="AB3" s="1207"/>
      <c r="AC3" s="1207" t="s">
        <v>4104</v>
      </c>
      <c r="AD3" s="1207"/>
      <c r="AE3" s="1207"/>
      <c r="AF3" s="1207"/>
      <c r="AH3" s="1201"/>
      <c r="AI3" s="1199"/>
    </row>
    <row r="4" spans="1:38">
      <c r="B4" s="1198"/>
      <c r="C4" s="1198"/>
      <c r="D4" s="1209" t="s">
        <v>4105</v>
      </c>
      <c r="E4" s="1198"/>
      <c r="F4" s="1198"/>
      <c r="I4" s="1207" t="s">
        <v>4106</v>
      </c>
      <c r="J4" s="1207"/>
      <c r="K4" s="1207"/>
      <c r="L4" s="1207"/>
      <c r="M4" s="1207" t="s">
        <v>4107</v>
      </c>
      <c r="P4" s="1207" t="s">
        <v>4106</v>
      </c>
      <c r="Q4" s="1207"/>
      <c r="R4" s="1207"/>
      <c r="S4" s="1207"/>
      <c r="T4" s="1207" t="s">
        <v>4107</v>
      </c>
      <c r="W4" s="1207" t="s">
        <v>4106</v>
      </c>
      <c r="X4" s="1207"/>
      <c r="Y4" s="1207" t="s">
        <v>4106</v>
      </c>
      <c r="Z4" s="1207"/>
      <c r="AA4" s="1207"/>
      <c r="AB4" s="1207"/>
      <c r="AC4" s="1207" t="s">
        <v>4107</v>
      </c>
      <c r="AD4" s="1207"/>
      <c r="AE4" s="1207" t="s">
        <v>4108</v>
      </c>
      <c r="AF4" s="1207"/>
      <c r="AH4" s="1201"/>
      <c r="AI4" s="1199" t="s">
        <v>4109</v>
      </c>
      <c r="AJ4" s="1210">
        <f>+'Exh JAD-6, Conversion Factor'!C26</f>
        <v>0.75110130289694599</v>
      </c>
    </row>
    <row r="5" spans="1:38">
      <c r="B5" s="1205" t="s">
        <v>4110</v>
      </c>
      <c r="C5" s="1198"/>
      <c r="D5" s="1211" t="s">
        <v>4111</v>
      </c>
      <c r="E5" s="1198"/>
      <c r="F5" s="1205" t="s">
        <v>537</v>
      </c>
      <c r="I5" s="1212" t="s">
        <v>4112</v>
      </c>
      <c r="J5" s="1207"/>
      <c r="K5" s="1212" t="s">
        <v>568</v>
      </c>
      <c r="L5" s="1207"/>
      <c r="M5" s="1212" t="s">
        <v>4113</v>
      </c>
      <c r="P5" s="1212" t="s">
        <v>4112</v>
      </c>
      <c r="Q5" s="1207"/>
      <c r="R5" s="1212" t="s">
        <v>568</v>
      </c>
      <c r="S5" s="1207"/>
      <c r="T5" s="1212" t="s">
        <v>4113</v>
      </c>
      <c r="W5" s="1212" t="s">
        <v>4112</v>
      </c>
      <c r="X5" s="1207"/>
      <c r="Y5" s="1212" t="s">
        <v>4112</v>
      </c>
      <c r="Z5" s="1207"/>
      <c r="AA5" s="1212" t="s">
        <v>568</v>
      </c>
      <c r="AB5" s="1207"/>
      <c r="AC5" s="1212" t="s">
        <v>4113</v>
      </c>
      <c r="AD5" s="1207"/>
      <c r="AE5" s="1212" t="s">
        <v>4114</v>
      </c>
      <c r="AF5" s="1207"/>
      <c r="AH5" s="1201"/>
      <c r="AI5" s="1199" t="s">
        <v>4115</v>
      </c>
      <c r="AJ5" s="1213">
        <v>0.21</v>
      </c>
    </row>
    <row r="6" spans="1:38">
      <c r="AE6" s="1207"/>
      <c r="AF6" s="1207"/>
      <c r="AH6" s="1201"/>
      <c r="AI6" s="1199" t="s">
        <v>4116</v>
      </c>
    </row>
    <row r="7" spans="1:38">
      <c r="B7" s="1199">
        <v>1</v>
      </c>
      <c r="D7" s="1199" t="s">
        <v>4140</v>
      </c>
      <c r="E7" s="1198"/>
      <c r="F7" s="1214" t="s">
        <v>4138</v>
      </c>
      <c r="I7" s="1214">
        <f>+'Operating Report'!F154/1000</f>
        <v>32433.674810000004</v>
      </c>
      <c r="J7" s="1214"/>
      <c r="K7" s="1214">
        <f>+'Rate Base'!C16/1000</f>
        <v>583520.55953238544</v>
      </c>
      <c r="L7" s="1214"/>
      <c r="M7" s="1214">
        <f>+($K7*$AL$16-$I7)/$AJ$4</f>
        <v>12039.609739303944</v>
      </c>
      <c r="O7" s="1198"/>
      <c r="P7" s="1215">
        <f>+I7</f>
        <v>32433.674810000004</v>
      </c>
      <c r="Q7" s="1214"/>
      <c r="R7" s="1214">
        <f>+K7</f>
        <v>583520.55953238544</v>
      </c>
      <c r="S7" s="1214"/>
      <c r="T7" s="1214">
        <f>+($R7*$AL$16-$P7)/$AJ$4</f>
        <v>12039.609739303944</v>
      </c>
      <c r="AE7" s="1207"/>
      <c r="AF7" s="1207"/>
      <c r="AH7" s="1201"/>
      <c r="AI7" s="1199"/>
    </row>
    <row r="8" spans="1:38">
      <c r="D8" s="1216"/>
      <c r="I8" s="1217"/>
      <c r="J8" s="1217"/>
      <c r="K8" s="1217"/>
      <c r="L8" s="1217"/>
      <c r="M8" s="1217"/>
      <c r="P8" s="1217"/>
      <c r="Q8" s="1217"/>
      <c r="R8" s="1217"/>
      <c r="S8" s="1217"/>
      <c r="T8" s="1217"/>
      <c r="AE8" s="1207"/>
      <c r="AF8" s="1207"/>
      <c r="AH8" s="1201"/>
    </row>
    <row r="9" spans="1:38">
      <c r="B9" s="1202" t="s">
        <v>4117</v>
      </c>
      <c r="D9" s="1216"/>
      <c r="I9" s="1217"/>
      <c r="J9" s="1217"/>
      <c r="K9" s="1217"/>
      <c r="L9" s="1217"/>
      <c r="M9" s="1217"/>
      <c r="P9" s="1217"/>
      <c r="Q9" s="1217"/>
      <c r="R9" s="1217"/>
      <c r="S9" s="1217"/>
      <c r="T9" s="1217"/>
      <c r="AE9" s="1207"/>
      <c r="AF9" s="1207"/>
      <c r="AH9" s="1201"/>
    </row>
    <row r="10" spans="1:38">
      <c r="B10" s="1199">
        <f t="shared" ref="B10:B21" ca="1" si="0">+MAX(OFFSET($B$7,0,0,ROW($B10)-ROW($B$7),1))+1</f>
        <v>2</v>
      </c>
      <c r="D10" s="1216" t="s">
        <v>759</v>
      </c>
      <c r="F10" s="1217" t="str">
        <f>+INDEX('Exh JAD-7, Summary of Adj'!$C$5:$AN$5,1,MATCH($D10,'Exh JAD-7, Summary of Adj'!$C$4:$AN$4,0))</f>
        <v>Remove Supplemental Schedules Adjustment</v>
      </c>
      <c r="I10" s="1217" cm="1">
        <f t="array" ref="I10">+SUM('Exh. BGM-3 (Detail)'!J$9:J$65*N('Exh. BGM-3 (Detail)'!$D$9:$D$65=$D10))</f>
        <v>252.2380234104395</v>
      </c>
      <c r="J10" s="1217"/>
      <c r="K10" s="1217" cm="1">
        <f t="array" ref="K10">+SUM('Exh. BGM-3 (Detail)'!L$9:L$65*N('Exh. BGM-3 (Detail)'!$D$9:$D$65=$D10))</f>
        <v>0</v>
      </c>
      <c r="L10" s="1217"/>
      <c r="M10" s="1217">
        <f t="shared" ref="M10:M21" si="1">+($K10*$AL$16-$I10)/$AJ$4</f>
        <v>-335.82423893764371</v>
      </c>
      <c r="P10" s="1217">
        <f t="shared" ref="P10:P20" si="2">+I10+Y10</f>
        <v>252.2380234104395</v>
      </c>
      <c r="Q10" s="1217"/>
      <c r="R10" s="1217">
        <f t="shared" ref="R10:R20" si="3">+K10+AA10</f>
        <v>0</v>
      </c>
      <c r="S10" s="1217"/>
      <c r="T10" s="1217">
        <f t="shared" ref="T10:T21" si="4">+($R10*$AL$16-$P10)/$AJ$4</f>
        <v>-335.82423893764371</v>
      </c>
      <c r="W10" s="1217" cm="1">
        <f t="array" ref="W10">+SUM('Exh. BGM-3 (Detail)'!X$9:X$65*N('Exh. BGM-3 (Detail)'!$D$9:$D$65=$D10))</f>
        <v>0</v>
      </c>
      <c r="X10" s="1217"/>
      <c r="Y10" s="1217" cm="1">
        <f t="array" ref="Y10">+SUM('Exh. BGM-3 (Detail)'!Z$9:Z$65*N('Exh. BGM-3 (Detail)'!$D$9:$D$65=$D10))</f>
        <v>0</v>
      </c>
      <c r="Z10" s="1217"/>
      <c r="AA10" s="1217" cm="1">
        <f t="array" ref="AA10">+SUM('Exh. BGM-3 (Detail)'!AB$9:AB$65*N('Exh. BGM-3 (Detail)'!$D$9:$D$65=$D10))</f>
        <v>0</v>
      </c>
      <c r="AB10" s="1218"/>
      <c r="AC10" s="1217">
        <f t="shared" ref="AC10:AC20" si="5">+T10-M10</f>
        <v>0</v>
      </c>
      <c r="AE10" s="1207"/>
      <c r="AF10" s="1207"/>
      <c r="AH10" s="1201"/>
    </row>
    <row r="11" spans="1:38">
      <c r="B11" s="1199">
        <f t="shared" ca="1" si="0"/>
        <v>3</v>
      </c>
      <c r="D11" s="1216" t="s">
        <v>760</v>
      </c>
      <c r="F11" s="1217" t="str">
        <f>+INDEX('Exh JAD-7, Summary of Adj'!$C$5:$AN$5,1,MATCH($D11,'Exh JAD-7, Summary of Adj'!$C$4:$AN$4,0))</f>
        <v>Normalize Revenue Adjustment</v>
      </c>
      <c r="I11" s="1217" cm="1">
        <f t="array" ref="I11">+SUM('Exh. BGM-3 (Detail)'!J$9:J$65*N('Exh. BGM-3 (Detail)'!$D$9:$D$65=$D11))</f>
        <v>-1332.817241649866</v>
      </c>
      <c r="J11" s="1217"/>
      <c r="K11" s="1217" cm="1">
        <f t="array" ref="K11">+SUM('Exh. BGM-3 (Detail)'!L$9:L$65*N('Exh. BGM-3 (Detail)'!$D$9:$D$65=$D11))</f>
        <v>0</v>
      </c>
      <c r="L11" s="1217"/>
      <c r="M11" s="1217">
        <f t="shared" si="1"/>
        <v>1774.4839963787597</v>
      </c>
      <c r="P11" s="1217">
        <f t="shared" si="2"/>
        <v>-1332.817241649866</v>
      </c>
      <c r="Q11" s="1217"/>
      <c r="R11" s="1217">
        <f t="shared" si="3"/>
        <v>0</v>
      </c>
      <c r="S11" s="1217"/>
      <c r="T11" s="1217">
        <f t="shared" si="4"/>
        <v>1774.4839963787597</v>
      </c>
      <c r="W11" s="1217" cm="1">
        <f t="array" ref="W11">+SUM('Exh. BGM-3 (Detail)'!X$9:X$65*N('Exh. BGM-3 (Detail)'!$D$9:$D$65=$D11))</f>
        <v>0</v>
      </c>
      <c r="X11" s="1217"/>
      <c r="Y11" s="1217" cm="1">
        <f t="array" ref="Y11">+SUM('Exh. BGM-3 (Detail)'!Z$9:Z$65*N('Exh. BGM-3 (Detail)'!$D$9:$D$65=$D11))</f>
        <v>0</v>
      </c>
      <c r="Z11" s="1217"/>
      <c r="AA11" s="1217" cm="1">
        <f t="array" ref="AA11">+SUM('Exh. BGM-3 (Detail)'!AB$9:AB$65*N('Exh. BGM-3 (Detail)'!$D$9:$D$65=$D11))</f>
        <v>0</v>
      </c>
      <c r="AB11" s="1218"/>
      <c r="AC11" s="1217">
        <f t="shared" si="5"/>
        <v>0</v>
      </c>
      <c r="AE11" s="1207"/>
      <c r="AF11" s="1207"/>
      <c r="AH11" s="1201"/>
      <c r="AI11" s="1276" t="s">
        <v>4118</v>
      </c>
      <c r="AJ11" s="1276" t="s">
        <v>2471</v>
      </c>
      <c r="AK11" s="1276"/>
      <c r="AL11" s="1276" t="s">
        <v>4119</v>
      </c>
    </row>
    <row r="12" spans="1:38">
      <c r="B12" s="1199">
        <f t="shared" ca="1" si="0"/>
        <v>4</v>
      </c>
      <c r="D12" s="1219" t="s">
        <v>761</v>
      </c>
      <c r="F12" s="1217" t="str">
        <f>+INDEX('Exh JAD-7, Summary of Adj'!$C$5:$AN$5,1,MATCH($D12,'Exh JAD-7, Summary of Adj'!$C$4:$AN$4,0))</f>
        <v>Restate End of Period Adjustment</v>
      </c>
      <c r="I12" s="1217" cm="1">
        <f t="array" ref="I12">+SUM('Exh. BGM-3 (Detail)'!J$9:J$65*N('Exh. BGM-3 (Detail)'!$D$9:$D$65=$D12))</f>
        <v>-630.14628698055117</v>
      </c>
      <c r="J12" s="1217"/>
      <c r="K12" s="1217" cm="1">
        <f t="array" ref="K12">+SUM('Exh. BGM-3 (Detail)'!L$9:L$65*N('Exh. BGM-3 (Detail)'!$D$9:$D$65=$D12))</f>
        <v>35820.359008750063</v>
      </c>
      <c r="L12" s="1217"/>
      <c r="M12" s="1217">
        <f t="shared" si="1"/>
        <v>4228.8002870876408</v>
      </c>
      <c r="P12" s="1217">
        <f t="shared" si="2"/>
        <v>-630.14628698055117</v>
      </c>
      <c r="Q12" s="1217"/>
      <c r="R12" s="1217">
        <f t="shared" si="3"/>
        <v>35820.359008750063</v>
      </c>
      <c r="S12" s="1217"/>
      <c r="T12" s="1217">
        <f t="shared" si="4"/>
        <v>4228.8002870876408</v>
      </c>
      <c r="W12" s="1217" cm="1">
        <f t="array" ref="W12">+SUM('Exh. BGM-3 (Detail)'!X$9:X$65*N('Exh. BGM-3 (Detail)'!$D$9:$D$65=$D12))</f>
        <v>0</v>
      </c>
      <c r="X12" s="1217"/>
      <c r="Y12" s="1217" cm="1">
        <f t="array" ref="Y12">+SUM('Exh. BGM-3 (Detail)'!Z$9:Z$65*N('Exh. BGM-3 (Detail)'!$D$9:$D$65=$D12))</f>
        <v>0</v>
      </c>
      <c r="Z12" s="1217"/>
      <c r="AA12" s="1217" cm="1">
        <f t="array" ref="AA12">+SUM('Exh. BGM-3 (Detail)'!AB$9:AB$65*N('Exh. BGM-3 (Detail)'!$D$9:$D$65=$D12))</f>
        <v>0</v>
      </c>
      <c r="AB12" s="1218"/>
      <c r="AC12" s="1217">
        <f t="shared" si="5"/>
        <v>0</v>
      </c>
      <c r="AE12" s="1207"/>
      <c r="AF12" s="1207"/>
      <c r="AH12" s="1201"/>
      <c r="AI12" s="1220" t="s">
        <v>4121</v>
      </c>
      <c r="AJ12" s="1220" t="s">
        <v>4122</v>
      </c>
      <c r="AK12" s="1220" t="s">
        <v>1032</v>
      </c>
      <c r="AL12" s="1220" t="s">
        <v>1032</v>
      </c>
    </row>
    <row r="13" spans="1:38">
      <c r="B13" s="1199">
        <f t="shared" ca="1" si="0"/>
        <v>5</v>
      </c>
      <c r="D13" s="1219" t="s">
        <v>762</v>
      </c>
      <c r="F13" s="1217" t="str">
        <f>+INDEX('Exh JAD-7, Summary of Adj'!$C$5:$AN$5,1,MATCH($D13,'Exh JAD-7, Summary of Adj'!$C$4:$AN$4,0))</f>
        <v>Annualized CRM Adjustment</v>
      </c>
      <c r="I13" s="1217" cm="1">
        <f t="array" ref="I13">+SUM('Exh. BGM-3 (Detail)'!J$9:J$65*N('Exh. BGM-3 (Detail)'!$D$9:$D$65=$D13))</f>
        <v>1375.9911771251268</v>
      </c>
      <c r="J13" s="1217"/>
      <c r="K13" s="1217" cm="1">
        <f t="array" ref="K13">+SUM('Exh. BGM-3 (Detail)'!L$9:L$65*N('Exh. BGM-3 (Detail)'!$D$9:$D$65=$D13))</f>
        <v>0</v>
      </c>
      <c r="L13" s="1217"/>
      <c r="M13" s="1217">
        <f t="shared" si="1"/>
        <v>-1831.9648385883816</v>
      </c>
      <c r="P13" s="1217">
        <f t="shared" si="2"/>
        <v>1375.9911771251268</v>
      </c>
      <c r="Q13" s="1217"/>
      <c r="R13" s="1217">
        <f t="shared" si="3"/>
        <v>0</v>
      </c>
      <c r="S13" s="1217"/>
      <c r="T13" s="1217">
        <f t="shared" si="4"/>
        <v>-1831.9648385883816</v>
      </c>
      <c r="W13" s="1217" cm="1">
        <f t="array" ref="W13">+SUM('Exh. BGM-3 (Detail)'!X$9:X$65*N('Exh. BGM-3 (Detail)'!$D$9:$D$65=$D13))</f>
        <v>0</v>
      </c>
      <c r="X13" s="1217"/>
      <c r="Y13" s="1217" cm="1">
        <f t="array" ref="Y13">+SUM('Exh. BGM-3 (Detail)'!Z$9:Z$65*N('Exh. BGM-3 (Detail)'!$D$9:$D$65=$D13))</f>
        <v>0</v>
      </c>
      <c r="Z13" s="1217"/>
      <c r="AA13" s="1217" cm="1">
        <f t="array" ref="AA13">+SUM('Exh. BGM-3 (Detail)'!AB$9:AB$65*N('Exh. BGM-3 (Detail)'!$D$9:$D$65=$D13))</f>
        <v>0</v>
      </c>
      <c r="AB13" s="1218"/>
      <c r="AC13" s="1217">
        <f t="shared" si="5"/>
        <v>0</v>
      </c>
      <c r="AE13" s="1207"/>
      <c r="AF13" s="1207"/>
      <c r="AH13" s="1201"/>
      <c r="AI13" s="1277" t="s">
        <v>4137</v>
      </c>
      <c r="AJ13" s="1221">
        <v>0.5</v>
      </c>
      <c r="AK13" s="1221">
        <f>+AK21</f>
        <v>4.9155999999999998E-2</v>
      </c>
      <c r="AL13" s="1278">
        <f>+ROUND(AJ13*AK13,5)</f>
        <v>2.4580000000000001E-2</v>
      </c>
    </row>
    <row r="14" spans="1:38">
      <c r="B14" s="1199">
        <f t="shared" ca="1" si="0"/>
        <v>6</v>
      </c>
      <c r="D14" s="1216" t="s">
        <v>763</v>
      </c>
      <c r="F14" s="1217" t="str">
        <f>+INDEX('Exh JAD-7, Summary of Adj'!$C$5:$AN$5,1,MATCH($D14,'Exh JAD-7, Summary of Adj'!$C$4:$AN$4,0))</f>
        <v>Promotional Advertising Adjustment</v>
      </c>
      <c r="I14" s="1217" cm="1">
        <f t="array" ref="I14">+SUM('Exh. BGM-3 (Detail)'!J$9:J$65*N('Exh. BGM-3 (Detail)'!$D$9:$D$65=$D14))</f>
        <v>28.893373100000002</v>
      </c>
      <c r="J14" s="1217"/>
      <c r="K14" s="1217" cm="1">
        <f t="array" ref="K14">+SUM('Exh. BGM-3 (Detail)'!L$9:L$65*N('Exh. BGM-3 (Detail)'!$D$9:$D$65=$D14))</f>
        <v>0</v>
      </c>
      <c r="L14" s="1217"/>
      <c r="M14" s="1217">
        <f t="shared" si="1"/>
        <v>-38.468010890888152</v>
      </c>
      <c r="P14" s="1217">
        <f t="shared" si="2"/>
        <v>28.893373100000002</v>
      </c>
      <c r="Q14" s="1217"/>
      <c r="R14" s="1217">
        <f t="shared" si="3"/>
        <v>0</v>
      </c>
      <c r="S14" s="1217"/>
      <c r="T14" s="1217">
        <f t="shared" si="4"/>
        <v>-38.468010890888152</v>
      </c>
      <c r="W14" s="1217" cm="1">
        <f t="array" ref="W14">+SUM('Exh. BGM-3 (Detail)'!X$9:X$65*N('Exh. BGM-3 (Detail)'!$D$9:$D$65=$D14))</f>
        <v>0</v>
      </c>
      <c r="X14" s="1217"/>
      <c r="Y14" s="1217" cm="1">
        <f t="array" ref="Y14">+SUM('Exh. BGM-3 (Detail)'!Z$9:Z$65*N('Exh. BGM-3 (Detail)'!$D$9:$D$65=$D14))</f>
        <v>0</v>
      </c>
      <c r="Z14" s="1217"/>
      <c r="AA14" s="1217" cm="1">
        <f t="array" ref="AA14">+SUM('Exh. BGM-3 (Detail)'!AB$9:AB$65*N('Exh. BGM-3 (Detail)'!$D$9:$D$65=$D14))</f>
        <v>0</v>
      </c>
      <c r="AB14" s="1218"/>
      <c r="AC14" s="1217">
        <f t="shared" si="5"/>
        <v>0</v>
      </c>
      <c r="AE14" s="1207"/>
      <c r="AF14" s="1207"/>
      <c r="AH14" s="1201"/>
      <c r="AI14" s="1277" t="s">
        <v>1035</v>
      </c>
      <c r="AJ14" s="1221">
        <v>0</v>
      </c>
      <c r="AK14" s="1221">
        <f>+AK22</f>
        <v>8.0140000000000003E-2</v>
      </c>
      <c r="AL14" s="1278">
        <f>+ROUND(AJ14*AK14,5)</f>
        <v>0</v>
      </c>
    </row>
    <row r="15" spans="1:38">
      <c r="B15" s="1199">
        <f t="shared" ca="1" si="0"/>
        <v>7</v>
      </c>
      <c r="D15" s="1216" t="s">
        <v>764</v>
      </c>
      <c r="F15" s="1217" t="str">
        <f>+INDEX('Exh JAD-7, Summary of Adj'!$C$5:$AN$5,1,MATCH($D15,'Exh JAD-7, Summary of Adj'!$C$4:$AN$4,0))</f>
        <v>Restate Wages Adjustment</v>
      </c>
      <c r="I15" s="1217" cm="1">
        <f t="array" ref="I15">+SUM('Exh. BGM-3 (Detail)'!J$9:J$65*N('Exh. BGM-3 (Detail)'!$D$9:$D$65=$D15))</f>
        <v>-76.023953755607977</v>
      </c>
      <c r="J15" s="1217"/>
      <c r="K15" s="1217" cm="1">
        <f t="array" ref="K15">+SUM('Exh. BGM-3 (Detail)'!L$9:L$65*N('Exh. BGM-3 (Detail)'!$D$9:$D$65=$D15))</f>
        <v>0</v>
      </c>
      <c r="L15" s="1217"/>
      <c r="M15" s="1217">
        <f t="shared" si="1"/>
        <v>101.21664476201656</v>
      </c>
      <c r="P15" s="1217">
        <f t="shared" si="2"/>
        <v>-76.023953755607977</v>
      </c>
      <c r="Q15" s="1217"/>
      <c r="R15" s="1217">
        <f t="shared" si="3"/>
        <v>0</v>
      </c>
      <c r="S15" s="1217"/>
      <c r="T15" s="1217">
        <f t="shared" si="4"/>
        <v>101.21664476201656</v>
      </c>
      <c r="W15" s="1217" cm="1">
        <f t="array" ref="W15">+SUM('Exh. BGM-3 (Detail)'!X$9:X$65*N('Exh. BGM-3 (Detail)'!$D$9:$D$65=$D15))</f>
        <v>0</v>
      </c>
      <c r="X15" s="1217"/>
      <c r="Y15" s="1217" cm="1">
        <f t="array" ref="Y15">+SUM('Exh. BGM-3 (Detail)'!Z$9:Z$65*N('Exh. BGM-3 (Detail)'!$D$9:$D$65=$D15))</f>
        <v>0</v>
      </c>
      <c r="Z15" s="1217"/>
      <c r="AA15" s="1217" cm="1">
        <f t="array" ref="AA15">+SUM('Exh. BGM-3 (Detail)'!AB$9:AB$65*N('Exh. BGM-3 (Detail)'!$D$9:$D$65=$D15))</f>
        <v>0</v>
      </c>
      <c r="AB15" s="1218"/>
      <c r="AC15" s="1217">
        <f t="shared" si="5"/>
        <v>0</v>
      </c>
      <c r="AE15" s="1207"/>
      <c r="AF15" s="1207"/>
      <c r="AH15" s="1201"/>
      <c r="AI15" s="1277" t="s">
        <v>4154</v>
      </c>
      <c r="AJ15" s="1222">
        <v>0.5</v>
      </c>
      <c r="AK15" s="1221">
        <v>9.2999999999999999E-2</v>
      </c>
      <c r="AL15" s="1278">
        <f>+ROUND(AJ15*AK15,5)</f>
        <v>4.65E-2</v>
      </c>
    </row>
    <row r="16" spans="1:38">
      <c r="B16" s="1199">
        <f t="shared" ca="1" si="0"/>
        <v>8</v>
      </c>
      <c r="D16" s="1216" t="s">
        <v>765</v>
      </c>
      <c r="F16" s="1217" t="str">
        <f>+INDEX('Exh JAD-7, Summary of Adj'!$C$5:$AN$5,1,MATCH($D16,'Exh JAD-7, Summary of Adj'!$C$4:$AN$4,0))</f>
        <v>Restate Incentives Adjustment</v>
      </c>
      <c r="I16" s="1217" cm="1">
        <f t="array" ref="I16">+SUM('Exh. BGM-3 (Detail)'!J$9:J$65*N('Exh. BGM-3 (Detail)'!$D$9:$D$65=$D16))</f>
        <v>2022.0773798000002</v>
      </c>
      <c r="J16" s="1217"/>
      <c r="K16" s="1217" cm="1">
        <f t="array" ref="K16">+SUM('Exh. BGM-3 (Detail)'!L$9:L$65*N('Exh. BGM-3 (Detail)'!$D$9:$D$65=$D16))</f>
        <v>0</v>
      </c>
      <c r="L16" s="1217"/>
      <c r="M16" s="1217">
        <f t="shared" si="1"/>
        <v>-2692.150009593895</v>
      </c>
      <c r="P16" s="1217">
        <f t="shared" si="2"/>
        <v>2022.0773798000002</v>
      </c>
      <c r="Q16" s="1217"/>
      <c r="R16" s="1217">
        <f t="shared" si="3"/>
        <v>0</v>
      </c>
      <c r="S16" s="1217"/>
      <c r="T16" s="1217">
        <f t="shared" si="4"/>
        <v>-2692.150009593895</v>
      </c>
      <c r="W16" s="1217" cm="1">
        <f t="array" ref="W16">+SUM('Exh. BGM-3 (Detail)'!X$9:X$65*N('Exh. BGM-3 (Detail)'!$D$9:$D$65=$D16))</f>
        <v>0</v>
      </c>
      <c r="X16" s="1217"/>
      <c r="Y16" s="1217" cm="1">
        <f t="array" ref="Y16">+SUM('Exh. BGM-3 (Detail)'!Z$9:Z$65*N('Exh. BGM-3 (Detail)'!$D$9:$D$65=$D16))</f>
        <v>0</v>
      </c>
      <c r="Z16" s="1217"/>
      <c r="AA16" s="1217" cm="1">
        <f t="array" ref="AA16">+SUM('Exh. BGM-3 (Detail)'!AB$9:AB$65*N('Exh. BGM-3 (Detail)'!$D$9:$D$65=$D16))</f>
        <v>0</v>
      </c>
      <c r="AB16" s="1218"/>
      <c r="AC16" s="1217">
        <f t="shared" si="5"/>
        <v>0</v>
      </c>
      <c r="AE16" s="1207"/>
      <c r="AF16" s="1207"/>
      <c r="AH16" s="1201"/>
      <c r="AI16" s="1277" t="s">
        <v>200</v>
      </c>
      <c r="AJ16" s="1221">
        <v>1</v>
      </c>
      <c r="AK16" s="1277"/>
      <c r="AL16" s="1280">
        <f>+SUM(AL13:AL15)</f>
        <v>7.1080000000000004E-2</v>
      </c>
    </row>
    <row r="17" spans="2:44">
      <c r="B17" s="1199">
        <f t="shared" ca="1" si="0"/>
        <v>9</v>
      </c>
      <c r="D17" s="1216" t="s">
        <v>766</v>
      </c>
      <c r="F17" s="1217" t="str">
        <f>+INDEX('Exh JAD-7, Summary of Adj'!$C$5:$AN$5,1,MATCH($D17,'Exh JAD-7, Summary of Adj'!$C$4:$AN$4,0))</f>
        <v>Director &amp; Officers Adjustment</v>
      </c>
      <c r="I17" s="1217" cm="1">
        <f t="array" ref="I17">+SUM('Exh. BGM-3 (Detail)'!J$9:J$65*N('Exh. BGM-3 (Detail)'!$D$9:$D$65=$D17))</f>
        <v>126.77949624999999</v>
      </c>
      <c r="J17" s="1217"/>
      <c r="K17" s="1217" cm="1">
        <f t="array" ref="K17">+SUM('Exh. BGM-3 (Detail)'!L$9:L$65*N('Exh. BGM-3 (Detail)'!$D$9:$D$65=$D17))</f>
        <v>0</v>
      </c>
      <c r="L17" s="1217"/>
      <c r="M17" s="1217">
        <f t="shared" si="1"/>
        <v>-168.79147428052676</v>
      </c>
      <c r="P17" s="1217">
        <f t="shared" si="2"/>
        <v>252.46704660000006</v>
      </c>
      <c r="Q17" s="1217"/>
      <c r="R17" s="1217">
        <f t="shared" si="3"/>
        <v>0</v>
      </c>
      <c r="S17" s="1217"/>
      <c r="T17" s="1217">
        <f t="shared" si="4"/>
        <v>-336.12915544980689</v>
      </c>
      <c r="W17" s="1217" cm="1">
        <f t="array" ref="W17">+SUM('Exh. BGM-3 (Detail)'!X$9:X$65*N('Exh. BGM-3 (Detail)'!$D$9:$D$65=$D17))</f>
        <v>159.09816500000005</v>
      </c>
      <c r="X17" s="1217"/>
      <c r="Y17" s="1217" cm="1">
        <f t="array" ref="Y17">+SUM('Exh. BGM-3 (Detail)'!Z$9:Z$65*N('Exh. BGM-3 (Detail)'!$D$9:$D$65=$D17))</f>
        <v>125.68755035000005</v>
      </c>
      <c r="Z17" s="1217"/>
      <c r="AA17" s="1217" cm="1">
        <f t="array" ref="AA17">+SUM('Exh. BGM-3 (Detail)'!AB$9:AB$65*N('Exh. BGM-3 (Detail)'!$D$9:$D$65=$D17))</f>
        <v>0</v>
      </c>
      <c r="AB17" s="1218"/>
      <c r="AC17" s="1217">
        <f t="shared" si="5"/>
        <v>-167.33768116928013</v>
      </c>
      <c r="AE17" s="1207" t="s">
        <v>4120</v>
      </c>
      <c r="AF17" s="1207"/>
      <c r="AH17" s="1201"/>
      <c r="AI17" s="1199"/>
      <c r="AO17" s="1217" t="e">
        <f>ABS(#REF!*1000)</f>
        <v>#REF!</v>
      </c>
      <c r="AP17" s="1217" t="e">
        <f>ABS(#REF!*1000)</f>
        <v>#REF!</v>
      </c>
      <c r="AQ17" s="1217" t="e">
        <f>ABS(#REF!*1000)</f>
        <v>#REF!</v>
      </c>
      <c r="AR17" s="1217" t="e">
        <f>ABS(#REF!*1000)</f>
        <v>#REF!</v>
      </c>
    </row>
    <row r="18" spans="2:44">
      <c r="B18" s="1199">
        <f t="shared" ca="1" si="0"/>
        <v>10</v>
      </c>
      <c r="D18" s="1216" t="s">
        <v>767</v>
      </c>
      <c r="F18" s="1217" t="str">
        <f>+INDEX('Exh JAD-7, Summary of Adj'!$C$5:$AN$5,1,MATCH($D18,'Exh JAD-7, Summary of Adj'!$C$4:$AN$4,0))</f>
        <v>Restate COVID-19 Deferral Offsets Adjustment</v>
      </c>
      <c r="I18" s="1217" cm="1">
        <f t="array" ref="I18">+SUM('Exh. BGM-3 (Detail)'!J$9:J$65*N('Exh. BGM-3 (Detail)'!$D$9:$D$65=$D18))</f>
        <v>-1141.6207998</v>
      </c>
      <c r="J18" s="1217"/>
      <c r="K18" s="1217" cm="1">
        <f t="array" ref="K18">+SUM('Exh. BGM-3 (Detail)'!L$9:L$65*N('Exh. BGM-3 (Detail)'!$D$9:$D$65=$D18))</f>
        <v>0</v>
      </c>
      <c r="L18" s="1217"/>
      <c r="M18" s="1217">
        <f t="shared" si="1"/>
        <v>1519.9291964969934</v>
      </c>
      <c r="P18" s="1217">
        <f t="shared" si="2"/>
        <v>-1141.6207998</v>
      </c>
      <c r="Q18" s="1217"/>
      <c r="R18" s="1217">
        <f t="shared" si="3"/>
        <v>0</v>
      </c>
      <c r="S18" s="1217"/>
      <c r="T18" s="1217">
        <f t="shared" si="4"/>
        <v>1519.9291964969934</v>
      </c>
      <c r="W18" s="1217" cm="1">
        <f t="array" ref="W18">+SUM('Exh. BGM-3 (Detail)'!X$9:X$65*N('Exh. BGM-3 (Detail)'!$D$9:$D$65=$D18))</f>
        <v>0</v>
      </c>
      <c r="X18" s="1217"/>
      <c r="Y18" s="1217" cm="1">
        <f t="array" ref="Y18">+SUM('Exh. BGM-3 (Detail)'!Z$9:Z$65*N('Exh. BGM-3 (Detail)'!$D$9:$D$65=$D18))</f>
        <v>0</v>
      </c>
      <c r="Z18" s="1217"/>
      <c r="AA18" s="1217" cm="1">
        <f t="array" ref="AA18">+SUM('Exh. BGM-3 (Detail)'!AB$9:AB$65*N('Exh. BGM-3 (Detail)'!$D$9:$D$65=$D18))</f>
        <v>0</v>
      </c>
      <c r="AB18" s="1218"/>
      <c r="AC18" s="1217">
        <f t="shared" si="5"/>
        <v>0</v>
      </c>
      <c r="AE18" s="1207"/>
      <c r="AF18" s="1207"/>
      <c r="AH18" s="1201"/>
      <c r="AI18" s="1199"/>
      <c r="AO18" s="1217">
        <f t="shared" ref="AO18:AO24" si="6">ABS(W18*1000)</f>
        <v>0</v>
      </c>
      <c r="AP18" s="1217">
        <f t="shared" ref="AP18:AP24" si="7">ABS(Y18*1000)</f>
        <v>0</v>
      </c>
      <c r="AQ18" s="1217">
        <f t="shared" ref="AQ18:AQ24" si="8">ABS(AA18*1000)</f>
        <v>0</v>
      </c>
      <c r="AR18" s="1217">
        <f t="shared" ref="AR18:AR24" si="9">ABS(AC18*1000)</f>
        <v>0</v>
      </c>
    </row>
    <row r="19" spans="2:44">
      <c r="B19" s="1199">
        <f t="shared" ca="1" si="0"/>
        <v>11</v>
      </c>
      <c r="D19" s="1219" t="s">
        <v>768</v>
      </c>
      <c r="F19" s="1217" t="str">
        <f>+INDEX('Exh JAD-7, Summary of Adj'!$C$5:$AN$5,1,MATCH($D19,'Exh JAD-7, Summary of Adj'!$C$4:$AN$4,0))</f>
        <v>Restate CCA Labor Expense Adjustment</v>
      </c>
      <c r="I19" s="1217" cm="1">
        <f t="array" ref="I19">+SUM('Exh. BGM-3 (Detail)'!J$9:J$65*N('Exh. BGM-3 (Detail)'!$D$9:$D$65=$D19))</f>
        <v>-53.762296599999992</v>
      </c>
      <c r="J19" s="1217"/>
      <c r="K19" s="1217" cm="1">
        <f t="array" ref="K19">+SUM('Exh. BGM-3 (Detail)'!L$9:L$65*N('Exh. BGM-3 (Detail)'!$D$9:$D$65=$D19))</f>
        <v>0</v>
      </c>
      <c r="L19" s="1217"/>
      <c r="M19" s="1217">
        <f t="shared" si="1"/>
        <v>71.577956785113429</v>
      </c>
      <c r="P19" s="1217">
        <f t="shared" si="2"/>
        <v>-53.762296599999992</v>
      </c>
      <c r="Q19" s="1217"/>
      <c r="R19" s="1217">
        <f t="shared" si="3"/>
        <v>0</v>
      </c>
      <c r="S19" s="1217"/>
      <c r="T19" s="1217">
        <f t="shared" si="4"/>
        <v>71.577956785113429</v>
      </c>
      <c r="W19" s="1217" cm="1">
        <f t="array" ref="W19">+SUM('Exh. BGM-3 (Detail)'!X$9:X$65*N('Exh. BGM-3 (Detail)'!$D$9:$D$65=$D19))</f>
        <v>0</v>
      </c>
      <c r="X19" s="1217"/>
      <c r="Y19" s="1217" cm="1">
        <f t="array" ref="Y19">+SUM('Exh. BGM-3 (Detail)'!Z$9:Z$65*N('Exh. BGM-3 (Detail)'!$D$9:$D$65=$D19))</f>
        <v>0</v>
      </c>
      <c r="Z19" s="1217"/>
      <c r="AA19" s="1217" cm="1">
        <f t="array" ref="AA19">+SUM('Exh. BGM-3 (Detail)'!AB$9:AB$65*N('Exh. BGM-3 (Detail)'!$D$9:$D$65=$D19))</f>
        <v>0</v>
      </c>
      <c r="AB19" s="1218"/>
      <c r="AC19" s="1217">
        <f t="shared" si="5"/>
        <v>0</v>
      </c>
      <c r="AE19" s="1207"/>
      <c r="AF19" s="1207"/>
      <c r="AH19" s="1201"/>
      <c r="AI19" s="1276" t="s">
        <v>4123</v>
      </c>
      <c r="AJ19" s="1276" t="s">
        <v>2471</v>
      </c>
      <c r="AK19" s="1276"/>
      <c r="AL19" s="1276" t="s">
        <v>4119</v>
      </c>
      <c r="AO19" s="1217">
        <f t="shared" si="6"/>
        <v>0</v>
      </c>
      <c r="AP19" s="1217">
        <f t="shared" si="7"/>
        <v>0</v>
      </c>
      <c r="AQ19" s="1217">
        <f t="shared" si="8"/>
        <v>0</v>
      </c>
      <c r="AR19" s="1217">
        <f t="shared" si="9"/>
        <v>0</v>
      </c>
    </row>
    <row r="20" spans="2:44">
      <c r="B20" s="1199">
        <f t="shared" ca="1" si="0"/>
        <v>12</v>
      </c>
      <c r="D20" s="1216" t="s">
        <v>769</v>
      </c>
      <c r="F20" s="1217" t="str">
        <f>+INDEX('Exh JAD-7, Summary of Adj'!$C$5:$AN$5,1,MATCH($D20,'Exh JAD-7, Summary of Adj'!$C$4:$AN$4,0))</f>
        <v>Restate Commission Fees Adjustment</v>
      </c>
      <c r="I20" s="1217" cm="1">
        <f t="array" ref="I20">+SUM('Exh. BGM-3 (Detail)'!J$9:J$65*N('Exh. BGM-3 (Detail)'!$D$9:$D$65=$D20))</f>
        <v>-288.20944174064255</v>
      </c>
      <c r="J20" s="1217"/>
      <c r="K20" s="1217" cm="1">
        <f t="array" ref="K20">+SUM('Exh. BGM-3 (Detail)'!L$9:L$65*N('Exh. BGM-3 (Detail)'!$D$9:$D$65=$D20))</f>
        <v>0</v>
      </c>
      <c r="L20" s="1217"/>
      <c r="M20" s="1217">
        <f t="shared" si="1"/>
        <v>383.7158058826933</v>
      </c>
      <c r="P20" s="1217">
        <f t="shared" si="2"/>
        <v>-288.20944174064255</v>
      </c>
      <c r="Q20" s="1217"/>
      <c r="R20" s="1217">
        <f t="shared" si="3"/>
        <v>0</v>
      </c>
      <c r="S20" s="1217"/>
      <c r="T20" s="1217">
        <f t="shared" si="4"/>
        <v>383.7158058826933</v>
      </c>
      <c r="W20" s="1217" cm="1">
        <f t="array" ref="W20">+SUM('Exh. BGM-3 (Detail)'!X$9:X$65*N('Exh. BGM-3 (Detail)'!$D$9:$D$65=$D20))</f>
        <v>0</v>
      </c>
      <c r="X20" s="1217"/>
      <c r="Y20" s="1217" cm="1">
        <f t="array" ref="Y20">+SUM('Exh. BGM-3 (Detail)'!Z$9:Z$65*N('Exh. BGM-3 (Detail)'!$D$9:$D$65=$D20))</f>
        <v>0</v>
      </c>
      <c r="Z20" s="1217"/>
      <c r="AA20" s="1217" cm="1">
        <f t="array" ref="AA20">+SUM('Exh. BGM-3 (Detail)'!AB$9:AB$65*N('Exh. BGM-3 (Detail)'!$D$9:$D$65=$D20))</f>
        <v>0</v>
      </c>
      <c r="AB20" s="1218"/>
      <c r="AC20" s="1217">
        <f t="shared" si="5"/>
        <v>0</v>
      </c>
      <c r="AE20" s="1207"/>
      <c r="AF20" s="1207"/>
      <c r="AH20" s="1201"/>
      <c r="AI20" s="1220" t="s">
        <v>4121</v>
      </c>
      <c r="AJ20" s="1220" t="s">
        <v>4122</v>
      </c>
      <c r="AK20" s="1220" t="s">
        <v>1032</v>
      </c>
      <c r="AL20" s="1220" t="s">
        <v>1032</v>
      </c>
      <c r="AO20" s="1217">
        <f t="shared" si="6"/>
        <v>0</v>
      </c>
      <c r="AP20" s="1217">
        <f t="shared" si="7"/>
        <v>0</v>
      </c>
      <c r="AQ20" s="1217">
        <f t="shared" si="8"/>
        <v>0</v>
      </c>
      <c r="AR20" s="1217">
        <f t="shared" si="9"/>
        <v>0</v>
      </c>
    </row>
    <row r="21" spans="2:44">
      <c r="B21" s="1199">
        <f t="shared" ca="1" si="0"/>
        <v>13</v>
      </c>
      <c r="D21" s="1216" t="s">
        <v>4195</v>
      </c>
      <c r="F21" s="1217" t="s">
        <v>4153</v>
      </c>
      <c r="I21" s="1217" cm="1">
        <f t="array" ref="I21">+SUM('Exh. BGM-3 (Detail)'!J$9:J$65*N('Exh. BGM-3 (Detail)'!$D$9:$D$65=$D21))</f>
        <v>0</v>
      </c>
      <c r="J21" s="1217"/>
      <c r="K21" s="1217" cm="1">
        <f t="array" ref="K21">+SUM('Exh. BGM-3 (Detail)'!L$9:L$65*N('Exh. BGM-3 (Detail)'!$D$9:$D$65=$D21))</f>
        <v>0</v>
      </c>
      <c r="L21" s="1217"/>
      <c r="M21" s="1217">
        <f t="shared" si="1"/>
        <v>0</v>
      </c>
      <c r="P21" s="1217">
        <f>+I21+Y21</f>
        <v>303.81362590000003</v>
      </c>
      <c r="Q21" s="1217"/>
      <c r="R21" s="1217">
        <f>+K21+AA21</f>
        <v>0</v>
      </c>
      <c r="S21" s="1217"/>
      <c r="T21" s="1217">
        <f t="shared" si="4"/>
        <v>-404.49087856486443</v>
      </c>
      <c r="W21" s="1217" cm="1">
        <f t="array" ref="W21">+SUM('Exh. BGM-3 (Detail)'!X$9:X$65*N('Exh. BGM-3 (Detail)'!$D$9:$D$65=$D21))</f>
        <v>384.57420999999999</v>
      </c>
      <c r="X21" s="1217"/>
      <c r="Y21" s="1217" cm="1">
        <f t="array" ref="Y21">+SUM('Exh. BGM-3 (Detail)'!Z$9:Z$65*N('Exh. BGM-3 (Detail)'!$D$9:$D$65=$D21))</f>
        <v>303.81362590000003</v>
      </c>
      <c r="Z21" s="1217"/>
      <c r="AA21" s="1217" cm="1">
        <f t="array" ref="AA21">+SUM('Exh. BGM-3 (Detail)'!AB$9:AB$65*N('Exh. BGM-3 (Detail)'!$D$9:$D$65=$D21))</f>
        <v>0</v>
      </c>
      <c r="AB21" s="1218"/>
      <c r="AC21" s="1217">
        <f>+T21-M21</f>
        <v>-404.49087856486443</v>
      </c>
      <c r="AE21" s="1207" t="s">
        <v>4126</v>
      </c>
      <c r="AF21" s="1207"/>
      <c r="AH21" s="1201"/>
      <c r="AI21" s="1277" t="s">
        <v>4137</v>
      </c>
      <c r="AJ21" s="1221">
        <f>+'WACC Calculation'!C10</f>
        <v>0.44213999999999998</v>
      </c>
      <c r="AK21" s="1221">
        <f>+'WACC Calculation'!D10</f>
        <v>4.9155999999999998E-2</v>
      </c>
      <c r="AL21" s="1278">
        <f>+ROUND(AJ21*AK21,5)</f>
        <v>2.1729999999999999E-2</v>
      </c>
      <c r="AO21" s="1217">
        <f t="shared" si="6"/>
        <v>384574.21</v>
      </c>
      <c r="AP21" s="1217">
        <f t="shared" si="7"/>
        <v>303813.62590000004</v>
      </c>
      <c r="AQ21" s="1217">
        <f t="shared" si="8"/>
        <v>0</v>
      </c>
      <c r="AR21" s="1217">
        <f t="shared" si="9"/>
        <v>404490.87856486446</v>
      </c>
    </row>
    <row r="22" spans="2:44">
      <c r="D22" s="1216"/>
      <c r="F22" s="1214"/>
      <c r="I22" s="1217"/>
      <c r="J22" s="1217"/>
      <c r="K22" s="1217"/>
      <c r="L22" s="1217"/>
      <c r="M22" s="1217"/>
      <c r="P22" s="1217"/>
      <c r="Q22" s="1217"/>
      <c r="R22" s="1217"/>
      <c r="S22" s="1217"/>
      <c r="T22" s="1217"/>
      <c r="W22" s="1217"/>
      <c r="X22" s="1217"/>
      <c r="Y22" s="1217"/>
      <c r="Z22" s="1217"/>
      <c r="AA22" s="1217"/>
      <c r="AB22" s="1218"/>
      <c r="AC22" s="1217"/>
      <c r="AE22" s="1207"/>
      <c r="AH22" s="1201"/>
      <c r="AI22" s="1277" t="s">
        <v>1035</v>
      </c>
      <c r="AJ22" s="1221">
        <f>+'WACC Calculation'!C11</f>
        <v>5.5010000000000003E-2</v>
      </c>
      <c r="AK22" s="1221">
        <f>+'WACC Calculation'!D11</f>
        <v>8.0140000000000003E-2</v>
      </c>
      <c r="AL22" s="1278">
        <f>+ROUND(AJ22*AK22,5)</f>
        <v>4.4099999999999999E-3</v>
      </c>
      <c r="AO22" s="1217">
        <f t="shared" si="6"/>
        <v>0</v>
      </c>
      <c r="AP22" s="1217">
        <f t="shared" si="7"/>
        <v>0</v>
      </c>
      <c r="AQ22" s="1217">
        <f t="shared" si="8"/>
        <v>0</v>
      </c>
      <c r="AR22" s="1217">
        <f t="shared" si="9"/>
        <v>0</v>
      </c>
    </row>
    <row r="23" spans="2:44" ht="13.5">
      <c r="C23" s="1200"/>
      <c r="D23" s="1225"/>
      <c r="E23" s="1200"/>
      <c r="F23" s="1218" t="s">
        <v>4124</v>
      </c>
      <c r="I23" s="1226">
        <f>+SUBTOTAL(9,I$9:I$22)</f>
        <v>283.39942915889878</v>
      </c>
      <c r="J23" s="1218"/>
      <c r="K23" s="1226">
        <f>+SUBTOTAL(9,K$9:K$22)</f>
        <v>35820.359008750063</v>
      </c>
      <c r="L23" s="1218"/>
      <c r="M23" s="1226">
        <f>+SUBTOTAL(9,M$9:M$22)</f>
        <v>3012.5253151018824</v>
      </c>
      <c r="O23" s="1200"/>
      <c r="P23" s="1226">
        <f>+SUBTOTAL(9,P$9:P$22)</f>
        <v>712.90060540889885</v>
      </c>
      <c r="Q23" s="1218"/>
      <c r="R23" s="1226">
        <f>+SUBTOTAL(9,R$9:R$22)</f>
        <v>35820.359008750063</v>
      </c>
      <c r="S23" s="1218"/>
      <c r="T23" s="1226">
        <f>+SUBTOTAL(9,T$9:T$22)</f>
        <v>2440.6967553677373</v>
      </c>
      <c r="U23" s="1200"/>
      <c r="V23" s="1200"/>
      <c r="W23" s="1226">
        <f>+SUBTOTAL(9,W$9:W$22)</f>
        <v>543.6723750000001</v>
      </c>
      <c r="X23" s="1218"/>
      <c r="Y23" s="1226">
        <f>+SUBTOTAL(9,Y$9:Y$22)</f>
        <v>429.50117625000007</v>
      </c>
      <c r="Z23" s="1218"/>
      <c r="AA23" s="1226">
        <f>+SUBTOTAL(9,AA$9:AA$22)</f>
        <v>0</v>
      </c>
      <c r="AB23" s="1227"/>
      <c r="AC23" s="1228">
        <f>+SUBTOTAL(9,AC$9:AC$22)</f>
        <v>-571.82855973414462</v>
      </c>
      <c r="AE23" s="1207"/>
      <c r="AH23" s="1201"/>
      <c r="AI23" s="1277" t="s">
        <v>4154</v>
      </c>
      <c r="AJ23" s="1222">
        <f>+'WACC Calculation'!C13</f>
        <v>0.50285000000000002</v>
      </c>
      <c r="AK23" s="1221">
        <f>+'WACC Calculation'!D13</f>
        <v>0.105</v>
      </c>
      <c r="AL23" s="1278">
        <f>+ROUND(AJ23*AK23,5)</f>
        <v>5.28E-2</v>
      </c>
      <c r="AO23" s="1217">
        <f t="shared" si="6"/>
        <v>543672.37500000012</v>
      </c>
      <c r="AP23" s="1217">
        <f t="shared" si="7"/>
        <v>429501.17625000008</v>
      </c>
      <c r="AQ23" s="1217">
        <f t="shared" si="8"/>
        <v>0</v>
      </c>
      <c r="AR23" s="1217">
        <f t="shared" si="9"/>
        <v>571828.5597341446</v>
      </c>
    </row>
    <row r="24" spans="2:44">
      <c r="D24" s="1216"/>
      <c r="F24" s="1214"/>
      <c r="I24" s="1217"/>
      <c r="J24" s="1217"/>
      <c r="K24" s="1217"/>
      <c r="L24" s="1217"/>
      <c r="M24" s="1217"/>
      <c r="P24" s="1217"/>
      <c r="Q24" s="1217"/>
      <c r="R24" s="1217"/>
      <c r="S24" s="1217"/>
      <c r="T24" s="1217"/>
      <c r="W24" s="1217"/>
      <c r="X24" s="1217"/>
      <c r="Y24" s="1217"/>
      <c r="Z24" s="1217"/>
      <c r="AA24" s="1217"/>
      <c r="AB24" s="1218"/>
      <c r="AC24" s="1217"/>
      <c r="AE24" s="1207"/>
      <c r="AH24" s="1201"/>
      <c r="AI24" s="1277" t="s">
        <v>200</v>
      </c>
      <c r="AJ24" s="1221">
        <v>1</v>
      </c>
      <c r="AK24" s="1277"/>
      <c r="AL24" s="1279">
        <f>+SUM(AL21:AL23)</f>
        <v>7.8939999999999996E-2</v>
      </c>
      <c r="AO24" s="1217">
        <f t="shared" si="6"/>
        <v>0</v>
      </c>
      <c r="AP24" s="1217">
        <f t="shared" si="7"/>
        <v>0</v>
      </c>
      <c r="AQ24" s="1217">
        <f t="shared" si="8"/>
        <v>0</v>
      </c>
      <c r="AR24" s="1217">
        <f t="shared" si="9"/>
        <v>0</v>
      </c>
    </row>
    <row r="25" spans="2:44">
      <c r="B25" s="1202" t="s">
        <v>4125</v>
      </c>
      <c r="D25" s="1216"/>
      <c r="F25" s="1214"/>
      <c r="I25" s="1217"/>
      <c r="J25" s="1217"/>
      <c r="K25" s="1217"/>
      <c r="L25" s="1217"/>
      <c r="M25" s="1217"/>
      <c r="P25" s="1217"/>
      <c r="Q25" s="1217"/>
      <c r="R25" s="1217"/>
      <c r="S25" s="1217"/>
      <c r="T25" s="1217"/>
      <c r="W25" s="1217"/>
      <c r="X25" s="1217"/>
      <c r="Y25" s="1217"/>
      <c r="Z25" s="1217"/>
      <c r="AA25" s="1217"/>
      <c r="AB25" s="1218"/>
      <c r="AC25" s="1217"/>
      <c r="AE25" s="1207"/>
      <c r="AH25" s="1201"/>
    </row>
    <row r="26" spans="2:44">
      <c r="B26" s="1199">
        <f t="shared" ref="B26:B36" ca="1" si="10">+MAX(OFFSET($B$7,0,0,ROW($B26)-ROW($B$7),1))+1</f>
        <v>14</v>
      </c>
      <c r="D26" s="1216" t="s">
        <v>770</v>
      </c>
      <c r="F26" s="1217" t="str">
        <f>+INDEX('Exh JAD-7, Summary of Adj'!$C$5:$AN$5,1,MATCH($D26,'Exh JAD-7, Summary of Adj'!$C$4:$AN$4,0))</f>
        <v>Interest  Coordination Adjustment</v>
      </c>
      <c r="I26" s="1217" cm="1">
        <f t="array" ref="I26">+SUM('Exh. BGM-3 (Detail)'!J$9:J$65*N('Exh. BGM-3 (Detail)'!$D$9:$D$65=$D26))</f>
        <v>-983.42172025999662</v>
      </c>
      <c r="J26" s="1217"/>
      <c r="K26" s="1217" cm="1">
        <f t="array" ref="K26">+SUM('Exh. BGM-3 (Detail)'!L$9:L$65*N('Exh. BGM-3 (Detail)'!$D$9:$D$65=$D26))</f>
        <v>0</v>
      </c>
      <c r="L26" s="1217"/>
      <c r="M26" s="1217">
        <f t="shared" ref="M26:M36" si="11">+($K26*$AL$16-$I26)/$AJ$4</f>
        <v>1309.3063698159046</v>
      </c>
      <c r="P26" s="1217">
        <f t="shared" ref="P26:P36" si="12">+I26+Y26</f>
        <v>-983.42172025999662</v>
      </c>
      <c r="Q26" s="1217"/>
      <c r="R26" s="1217">
        <f t="shared" ref="R26:R36" si="13">+K26+AA26</f>
        <v>0</v>
      </c>
      <c r="S26" s="1217"/>
      <c r="T26" s="1217">
        <f t="shared" ref="T26:T36" si="14">+($R26*$AL$16-$P26)/$AJ$4</f>
        <v>1309.3063698159046</v>
      </c>
      <c r="W26" s="1217" cm="1">
        <f t="array" ref="W26">+SUM('Exh. BGM-3 (Detail)'!X$9:X$65*N('Exh. BGM-3 (Detail)'!$D$9:$D$65=$D26))</f>
        <v>0</v>
      </c>
      <c r="X26" s="1217"/>
      <c r="Y26" s="1217" cm="1">
        <f t="array" ref="Y26">+SUM('Exh. BGM-3 (Detail)'!Z$9:Z$65*N('Exh. BGM-3 (Detail)'!$D$9:$D$65=$D26))</f>
        <v>0</v>
      </c>
      <c r="Z26" s="1217"/>
      <c r="AA26" s="1217" cm="1">
        <f t="array" ref="AA26">+SUM('Exh. BGM-3 (Detail)'!AB$9:AB$65*N('Exh. BGM-3 (Detail)'!$D$9:$D$65=$D26))</f>
        <v>0</v>
      </c>
      <c r="AB26" s="1218"/>
      <c r="AC26" s="1217">
        <f t="shared" ref="AC26:AC36" si="15">+T26-M26</f>
        <v>0</v>
      </c>
      <c r="AE26" s="1207"/>
      <c r="AH26" s="1201"/>
      <c r="AI26" s="1199"/>
    </row>
    <row r="27" spans="2:44" ht="13.5">
      <c r="B27" s="1199">
        <f t="shared" ca="1" si="10"/>
        <v>15</v>
      </c>
      <c r="D27" s="1216" t="s">
        <v>771</v>
      </c>
      <c r="E27" s="1239"/>
      <c r="F27" s="1217" t="str">
        <f>+INDEX('Exh JAD-7, Summary of Adj'!$C$5:$AN$5,1,MATCH($D27,'Exh JAD-7, Summary of Adj'!$C$4:$AN$4,0))</f>
        <v>2024 Pro Forma Wage Adjustment</v>
      </c>
      <c r="I27" s="1217" cm="1">
        <f t="array" ref="I27">+SUM('Exh. BGM-3 (Detail)'!J$9:J$65*N('Exh. BGM-3 (Detail)'!$D$9:$D$65=$D27))</f>
        <v>-1206.5674593142048</v>
      </c>
      <c r="J27" s="1217"/>
      <c r="K27" s="1217" cm="1">
        <f t="array" ref="K27">+SUM('Exh. BGM-3 (Detail)'!L$9:L$65*N('Exh. BGM-3 (Detail)'!$D$9:$D$65=$D27))</f>
        <v>0</v>
      </c>
      <c r="L27" s="1217"/>
      <c r="M27" s="1217">
        <f t="shared" si="11"/>
        <v>1606.3977717260739</v>
      </c>
      <c r="P27" s="1217">
        <f t="shared" si="12"/>
        <v>-84.744806787276048</v>
      </c>
      <c r="Q27" s="1217"/>
      <c r="R27" s="1217">
        <f t="shared" si="13"/>
        <v>0</v>
      </c>
      <c r="S27" s="1217"/>
      <c r="T27" s="1217">
        <f t="shared" si="14"/>
        <v>112.82739952709596</v>
      </c>
      <c r="W27" s="1217" cm="1">
        <f t="array" ref="W27">+SUM('Exh. BGM-3 (Detail)'!X$9:X$65*N('Exh. BGM-3 (Detail)'!$D$9:$D$65=$D27))</f>
        <v>1420.0286740847198</v>
      </c>
      <c r="X27" s="1217"/>
      <c r="Y27" s="1217" cm="1">
        <f t="array" ref="Y27">+SUM('Exh. BGM-3 (Detail)'!Z$9:Z$65*N('Exh. BGM-3 (Detail)'!$D$9:$D$65=$D27))</f>
        <v>1121.8226525269288</v>
      </c>
      <c r="Z27" s="1217"/>
      <c r="AA27" s="1217" cm="1">
        <f t="array" ref="AA27">+SUM('Exh. BGM-3 (Detail)'!AB$9:AB$65*N('Exh. BGM-3 (Detail)'!$D$9:$D$65=$D27))</f>
        <v>0</v>
      </c>
      <c r="AB27" s="1218"/>
      <c r="AC27" s="1217">
        <f t="shared" si="15"/>
        <v>-1493.570372198978</v>
      </c>
      <c r="AD27" s="1240"/>
      <c r="AE27" s="1207" t="s">
        <v>4120</v>
      </c>
      <c r="AH27" s="1201"/>
      <c r="AI27" s="1223"/>
      <c r="AK27" s="1217"/>
      <c r="AM27" s="1217"/>
      <c r="AO27" s="1217" t="e">
        <f>ABS(#REF!*1000)</f>
        <v>#REF!</v>
      </c>
      <c r="AP27" s="1217" t="e">
        <f>ABS(#REF!*1000)</f>
        <v>#REF!</v>
      </c>
      <c r="AQ27" s="1217" t="e">
        <f>ABS(#REF!*1000)</f>
        <v>#REF!</v>
      </c>
      <c r="AR27" s="1217" t="e">
        <f>ABS(#REF!*1000)</f>
        <v>#REF!</v>
      </c>
    </row>
    <row r="28" spans="2:44" ht="13.5">
      <c r="B28" s="1199">
        <f t="shared" ca="1" si="10"/>
        <v>16</v>
      </c>
      <c r="D28" s="1216" t="s">
        <v>772</v>
      </c>
      <c r="E28" s="1239"/>
      <c r="F28" s="1217" t="str">
        <f>+INDEX('Exh JAD-7, Summary of Adj'!$C$5:$AN$5,1,MATCH($D28,'Exh JAD-7, Summary of Adj'!$C$4:$AN$4,0))</f>
        <v>MAOP Deferral Amortization</v>
      </c>
      <c r="I28" s="1217" cm="1">
        <f t="array" ref="I28">+SUM('Exh. BGM-3 (Detail)'!J$9:J$65*N('Exh. BGM-3 (Detail)'!$D$9:$D$65=$D28))</f>
        <v>-1594.37514336</v>
      </c>
      <c r="J28" s="1217"/>
      <c r="K28" s="1217" cm="1">
        <f t="array" ref="K28">+SUM('Exh. BGM-3 (Detail)'!L$9:L$65*N('Exh. BGM-3 (Detail)'!$D$9:$D$65=$D28))</f>
        <v>0</v>
      </c>
      <c r="L28" s="1217"/>
      <c r="M28" s="1217">
        <f t="shared" si="11"/>
        <v>2122.7165193438022</v>
      </c>
      <c r="P28" s="1217">
        <f t="shared" si="12"/>
        <v>-1594.37514336</v>
      </c>
      <c r="Q28" s="1217"/>
      <c r="R28" s="1217">
        <f t="shared" si="13"/>
        <v>0</v>
      </c>
      <c r="S28" s="1217"/>
      <c r="T28" s="1217">
        <f t="shared" si="14"/>
        <v>2122.7165193438022</v>
      </c>
      <c r="W28" s="1217" cm="1">
        <f t="array" ref="W28">+SUM('Exh. BGM-3 (Detail)'!X$9:X$65*N('Exh. BGM-3 (Detail)'!$D$9:$D$65=$D28))</f>
        <v>0</v>
      </c>
      <c r="X28" s="1217"/>
      <c r="Y28" s="1217" cm="1">
        <f t="array" ref="Y28">+SUM('Exh. BGM-3 (Detail)'!Z$9:Z$65*N('Exh. BGM-3 (Detail)'!$D$9:$D$65=$D28))</f>
        <v>0</v>
      </c>
      <c r="Z28" s="1217"/>
      <c r="AA28" s="1217" cm="1">
        <f t="array" ref="AA28">+SUM('Exh. BGM-3 (Detail)'!AB$9:AB$65*N('Exh. BGM-3 (Detail)'!$D$9:$D$65=$D28))</f>
        <v>0</v>
      </c>
      <c r="AB28" s="1218"/>
      <c r="AC28" s="1217">
        <f t="shared" si="15"/>
        <v>0</v>
      </c>
      <c r="AD28" s="1240"/>
      <c r="AE28" s="1241"/>
      <c r="AH28" s="1201"/>
      <c r="AI28" s="1223"/>
      <c r="AK28" s="1224"/>
      <c r="AL28" s="1217"/>
    </row>
    <row r="29" spans="2:44" ht="13.5">
      <c r="B29" s="1199">
        <f t="shared" ca="1" si="10"/>
        <v>17</v>
      </c>
      <c r="D29" s="1216" t="s">
        <v>773</v>
      </c>
      <c r="E29" s="1239"/>
      <c r="F29" s="1217" t="str">
        <f>+INDEX('Exh JAD-7, Summary of Adj'!$C$5:$AN$5,1,MATCH($D29,'Exh JAD-7, Summary of Adj'!$C$4:$AN$4,0))</f>
        <v>Pro Forma Rate Case Expense Adjustment</v>
      </c>
      <c r="I29" s="1217" cm="1">
        <f t="array" ref="I29">+SUM('Exh. BGM-3 (Detail)'!J$9:J$65*N('Exh. BGM-3 (Detail)'!$D$9:$D$65=$D29))</f>
        <v>-1044.2307295000001</v>
      </c>
      <c r="J29" s="1217"/>
      <c r="K29" s="1217" cm="1">
        <f t="array" ref="K29">+SUM('Exh. BGM-3 (Detail)'!L$9:L$65*N('Exh. BGM-3 (Detail)'!$D$9:$D$65=$D29))</f>
        <v>0</v>
      </c>
      <c r="L29" s="1217"/>
      <c r="M29" s="1217">
        <f t="shared" si="11"/>
        <v>1390.2661671234946</v>
      </c>
      <c r="P29" s="1217">
        <f t="shared" si="12"/>
        <v>101.26927049999995</v>
      </c>
      <c r="Q29" s="1217"/>
      <c r="R29" s="1217">
        <f t="shared" si="13"/>
        <v>0</v>
      </c>
      <c r="S29" s="1217"/>
      <c r="T29" s="1217">
        <f t="shared" si="14"/>
        <v>-134.82771246622971</v>
      </c>
      <c r="W29" s="1217" cm="1">
        <f t="array" ref="W29">+SUM('Exh. BGM-3 (Detail)'!X$9:X$65*N('Exh. BGM-3 (Detail)'!$D$9:$D$65=$D29))</f>
        <v>1450</v>
      </c>
      <c r="X29" s="1217"/>
      <c r="Y29" s="1217" cm="1">
        <f t="array" ref="Y29">+SUM('Exh. BGM-3 (Detail)'!Z$9:Z$65*N('Exh. BGM-3 (Detail)'!$D$9:$D$65=$D29))</f>
        <v>1145.5</v>
      </c>
      <c r="Z29" s="1217"/>
      <c r="AA29" s="1217" cm="1">
        <f t="array" ref="AA29">+SUM('Exh. BGM-3 (Detail)'!AB$9:AB$65*N('Exh. BGM-3 (Detail)'!$D$9:$D$65=$D29))</f>
        <v>0</v>
      </c>
      <c r="AB29" s="1218"/>
      <c r="AC29" s="1217">
        <f t="shared" si="15"/>
        <v>-1525.0938795897243</v>
      </c>
      <c r="AD29" s="1240"/>
      <c r="AE29" s="1207" t="s">
        <v>4120</v>
      </c>
      <c r="AH29" s="1201"/>
      <c r="AI29" s="1223"/>
      <c r="AK29" s="1224"/>
      <c r="AL29" s="1217"/>
      <c r="AO29" s="1217" t="e">
        <f>ABS(#REF!*1000)</f>
        <v>#REF!</v>
      </c>
      <c r="AP29" s="1217" t="e">
        <f>ABS(#REF!*1000)</f>
        <v>#REF!</v>
      </c>
      <c r="AQ29" s="1217" t="e">
        <f>ABS(#REF!*1000)</f>
        <v>#REF!</v>
      </c>
      <c r="AR29" s="1217" t="e">
        <f>ABS(#REF!*1000)</f>
        <v>#REF!</v>
      </c>
    </row>
    <row r="30" spans="2:44">
      <c r="B30" s="1199">
        <f t="shared" ca="1" si="10"/>
        <v>18</v>
      </c>
      <c r="D30" s="1216" t="s">
        <v>774</v>
      </c>
      <c r="F30" s="1217" t="str">
        <f>+INDEX('Exh JAD-7, Summary of Adj'!$C$5:$AN$5,1,MATCH($D30,'Exh JAD-7, Summary of Adj'!$C$4:$AN$4,0))</f>
        <v>Pro Forma Medical, Dental, &amp; Life Insurance Expense Adjustment</v>
      </c>
      <c r="I30" s="1217" cm="1">
        <f t="array" ref="I30">+SUM('Exh. BGM-3 (Detail)'!J$9:J$65*N('Exh. BGM-3 (Detail)'!$D$9:$D$65=$D30))</f>
        <v>-839.94744980000007</v>
      </c>
      <c r="J30" s="1217"/>
      <c r="K30" s="1217" cm="1">
        <f t="array" ref="K30">+SUM('Exh. BGM-3 (Detail)'!L$9:L$65*N('Exh. BGM-3 (Detail)'!$D$9:$D$65=$D30))</f>
        <v>0</v>
      </c>
      <c r="L30" s="1217"/>
      <c r="M30" s="1217">
        <f t="shared" si="11"/>
        <v>1118.287834890421</v>
      </c>
      <c r="P30" s="1217">
        <f t="shared" si="12"/>
        <v>-839.94744980000007</v>
      </c>
      <c r="Q30" s="1217"/>
      <c r="R30" s="1217">
        <f t="shared" si="13"/>
        <v>0</v>
      </c>
      <c r="S30" s="1217"/>
      <c r="T30" s="1217">
        <f t="shared" si="14"/>
        <v>1118.287834890421</v>
      </c>
      <c r="W30" s="1217" cm="1">
        <f t="array" ref="W30">+SUM('Exh. BGM-3 (Detail)'!X$9:X$65*N('Exh. BGM-3 (Detail)'!$D$9:$D$65=$D30))</f>
        <v>0</v>
      </c>
      <c r="X30" s="1217"/>
      <c r="Y30" s="1217" cm="1">
        <f t="array" ref="Y30">+SUM('Exh. BGM-3 (Detail)'!Z$9:Z$65*N('Exh. BGM-3 (Detail)'!$D$9:$D$65=$D30))</f>
        <v>0</v>
      </c>
      <c r="Z30" s="1217"/>
      <c r="AA30" s="1217" cm="1">
        <f t="array" ref="AA30">+SUM('Exh. BGM-3 (Detail)'!AB$9:AB$65*N('Exh. BGM-3 (Detail)'!$D$9:$D$65=$D30))</f>
        <v>0</v>
      </c>
      <c r="AB30" s="1218"/>
      <c r="AC30" s="1217">
        <f t="shared" si="15"/>
        <v>0</v>
      </c>
      <c r="AE30" s="1207"/>
      <c r="AH30" s="1201"/>
      <c r="AI30" s="1199"/>
    </row>
    <row r="31" spans="2:44">
      <c r="B31" s="1199">
        <f t="shared" ca="1" si="10"/>
        <v>19</v>
      </c>
      <c r="D31" s="1216" t="s">
        <v>775</v>
      </c>
      <c r="F31" s="1217" t="str">
        <f>+INDEX('Exh JAD-7, Summary of Adj'!$C$5:$AN$5,1,MATCH($D31,'Exh JAD-7, Summary of Adj'!$C$4:$AN$4,0))</f>
        <v>Pro Forma Property Tax Adjustment</v>
      </c>
      <c r="I31" s="1217" cm="1">
        <f t="array" ref="I31">+SUM('Exh. BGM-3 (Detail)'!J$9:J$65*N('Exh. BGM-3 (Detail)'!$D$9:$D$65=$D31))</f>
        <v>-159.47643848654283</v>
      </c>
      <c r="J31" s="1217"/>
      <c r="K31" s="1217" cm="1">
        <f t="array" ref="K31">+SUM('Exh. BGM-3 (Detail)'!L$9:L$65*N('Exh. BGM-3 (Detail)'!$D$9:$D$65=$D31))</f>
        <v>0</v>
      </c>
      <c r="L31" s="1217"/>
      <c r="M31" s="1217">
        <f t="shared" si="11"/>
        <v>212.32347470501409</v>
      </c>
      <c r="P31" s="1217">
        <f t="shared" si="12"/>
        <v>-159.47643848654283</v>
      </c>
      <c r="Q31" s="1217"/>
      <c r="R31" s="1217">
        <f t="shared" si="13"/>
        <v>0</v>
      </c>
      <c r="S31" s="1217"/>
      <c r="T31" s="1217">
        <f t="shared" si="14"/>
        <v>212.32347470501409</v>
      </c>
      <c r="W31" s="1217" cm="1">
        <f t="array" ref="W31">+SUM('Exh. BGM-3 (Detail)'!X$9:X$65*N('Exh. BGM-3 (Detail)'!$D$9:$D$65=$D31))</f>
        <v>0</v>
      </c>
      <c r="X31" s="1217"/>
      <c r="Y31" s="1217" cm="1">
        <f t="array" ref="Y31">+SUM('Exh. BGM-3 (Detail)'!Z$9:Z$65*N('Exh. BGM-3 (Detail)'!$D$9:$D$65=$D31))</f>
        <v>0</v>
      </c>
      <c r="Z31" s="1217"/>
      <c r="AA31" s="1217" cm="1">
        <f t="array" ref="AA31">+SUM('Exh. BGM-3 (Detail)'!AB$9:AB$65*N('Exh. BGM-3 (Detail)'!$D$9:$D$65=$D31))</f>
        <v>0</v>
      </c>
      <c r="AB31" s="1218"/>
      <c r="AC31" s="1217">
        <f t="shared" si="15"/>
        <v>0</v>
      </c>
      <c r="AE31" s="1207"/>
      <c r="AH31" s="1201"/>
      <c r="AI31" s="1199"/>
    </row>
    <row r="32" spans="2:44">
      <c r="B32" s="1199">
        <f t="shared" ca="1" si="10"/>
        <v>20</v>
      </c>
      <c r="D32" s="1216" t="s">
        <v>776</v>
      </c>
      <c r="F32" s="1217" t="str">
        <f>+INDEX('Exh JAD-7, Summary of Adj'!$C$5:$AN$5,1,MATCH($D32,'Exh JAD-7, Summary of Adj'!$C$4:$AN$4,0))</f>
        <v>2024 Pro Forma Pension Expense Adjustment</v>
      </c>
      <c r="I32" s="1217" cm="1">
        <f t="array" ref="I32">+SUM('Exh. BGM-3 (Detail)'!J$9:J$65*N('Exh. BGM-3 (Detail)'!$D$9:$D$65=$D32))</f>
        <v>-652.57106753999994</v>
      </c>
      <c r="J32" s="1217"/>
      <c r="K32" s="1217" cm="1">
        <f t="array" ref="K32">+SUM('Exh. BGM-3 (Detail)'!L$9:L$65*N('Exh. BGM-3 (Detail)'!$D$9:$D$65=$D32))</f>
        <v>523.32695746225636</v>
      </c>
      <c r="L32" s="1217"/>
      <c r="M32" s="1217">
        <f t="shared" si="11"/>
        <v>918.34369746933601</v>
      </c>
      <c r="P32" s="1217">
        <f t="shared" si="12"/>
        <v>-137.03992418339999</v>
      </c>
      <c r="Q32" s="1217"/>
      <c r="R32" s="1217">
        <f t="shared" si="13"/>
        <v>523.32695746225636</v>
      </c>
      <c r="S32" s="1217"/>
      <c r="T32" s="1217">
        <f t="shared" si="14"/>
        <v>231.97670360548329</v>
      </c>
      <c r="W32" s="1217" cm="1">
        <f t="array" ref="W32">+SUM('Exh. BGM-3 (Detail)'!X$9:X$65*N('Exh. BGM-3 (Detail)'!$D$9:$D$65=$D32))</f>
        <v>652.57106753999994</v>
      </c>
      <c r="X32" s="1217"/>
      <c r="Y32" s="1217" cm="1">
        <f t="array" ref="Y32">+SUM('Exh. BGM-3 (Detail)'!Z$9:Z$65*N('Exh. BGM-3 (Detail)'!$D$9:$D$65=$D32))</f>
        <v>515.53114335659996</v>
      </c>
      <c r="Z32" s="1217"/>
      <c r="AA32" s="1217" cm="1">
        <f t="array" ref="AA32">+SUM('Exh. BGM-3 (Detail)'!AB$9:AB$65*N('Exh. BGM-3 (Detail)'!$D$9:$D$65=$D32))</f>
        <v>0</v>
      </c>
      <c r="AB32" s="1218"/>
      <c r="AC32" s="1217">
        <f t="shared" si="15"/>
        <v>-686.36699386385271</v>
      </c>
      <c r="AE32" s="1207"/>
      <c r="AH32" s="1201"/>
      <c r="AI32" s="1199"/>
    </row>
    <row r="33" spans="1:44">
      <c r="B33" s="1199">
        <f t="shared" ca="1" si="10"/>
        <v>21</v>
      </c>
      <c r="D33" s="1216" t="s">
        <v>777</v>
      </c>
      <c r="F33" s="1217" t="str">
        <f>+INDEX('Exh JAD-7, Summary of Adj'!$C$5:$AN$5,1,MATCH($D33,'Exh JAD-7, Summary of Adj'!$C$4:$AN$4,0))</f>
        <v>2024 Pro Forma Tax Flow-Through Adjustment</v>
      </c>
      <c r="I33" s="1217" cm="1">
        <f t="array" ref="I33">+SUM('Exh. BGM-3 (Detail)'!J$9:J$65*N('Exh. BGM-3 (Detail)'!$D$9:$D$65=$D33))</f>
        <v>-9.1758372300000008</v>
      </c>
      <c r="J33" s="1217"/>
      <c r="K33" s="1217" cm="1">
        <f t="array" ref="K33">+SUM('Exh. BGM-3 (Detail)'!L$9:L$65*N('Exh. BGM-3 (Detail)'!$D$9:$D$65=$D33))</f>
        <v>0</v>
      </c>
      <c r="L33" s="1217"/>
      <c r="M33" s="1217">
        <f t="shared" si="11"/>
        <v>12.216510868253629</v>
      </c>
      <c r="P33" s="1217">
        <f t="shared" si="12"/>
        <v>-9.1758372300000008</v>
      </c>
      <c r="Q33" s="1217"/>
      <c r="R33" s="1217">
        <f t="shared" si="13"/>
        <v>0</v>
      </c>
      <c r="S33" s="1217"/>
      <c r="T33" s="1217">
        <f t="shared" si="14"/>
        <v>12.216510868253629</v>
      </c>
      <c r="W33" s="1217" cm="1">
        <f t="array" ref="W33">+SUM('Exh. BGM-3 (Detail)'!X$9:X$65*N('Exh. BGM-3 (Detail)'!$D$9:$D$65=$D33))</f>
        <v>0</v>
      </c>
      <c r="X33" s="1217"/>
      <c r="Y33" s="1217" cm="1">
        <f t="array" ref="Y33">+SUM('Exh. BGM-3 (Detail)'!Z$9:Z$65*N('Exh. BGM-3 (Detail)'!$D$9:$D$65=$D33))</f>
        <v>0</v>
      </c>
      <c r="Z33" s="1217"/>
      <c r="AA33" s="1217" cm="1">
        <f t="array" ref="AA33">+SUM('Exh. BGM-3 (Detail)'!AB$9:AB$65*N('Exh. BGM-3 (Detail)'!$D$9:$D$65=$D33))</f>
        <v>0</v>
      </c>
      <c r="AB33" s="1218"/>
      <c r="AC33" s="1217">
        <f t="shared" si="15"/>
        <v>0</v>
      </c>
      <c r="AE33" s="1207"/>
      <c r="AH33" s="1201"/>
      <c r="AI33" s="1199"/>
      <c r="AO33" s="1217" t="e">
        <f>ABS(#REF!*1000)</f>
        <v>#REF!</v>
      </c>
      <c r="AP33" s="1217" t="e">
        <f>ABS(#REF!*1000)</f>
        <v>#REF!</v>
      </c>
      <c r="AR33" s="1217" t="e">
        <f>ABS(#REF!*1000)</f>
        <v>#REF!</v>
      </c>
    </row>
    <row r="34" spans="1:44">
      <c r="B34" s="1199">
        <f t="shared" ca="1" si="10"/>
        <v>22</v>
      </c>
      <c r="D34" s="1216" t="s">
        <v>778</v>
      </c>
      <c r="F34" s="1217" t="str">
        <f>+INDEX('Exh JAD-7, Summary of Adj'!$C$5:$AN$5,1,MATCH($D34,'Exh JAD-7, Summary of Adj'!$C$4:$AN$4,0))</f>
        <v>2024 Pro Forma Misc. O&amp;M Expense Adjustment</v>
      </c>
      <c r="I34" s="1217" cm="1">
        <f t="array" ref="I34">+SUM('Exh. BGM-3 (Detail)'!J$9:J$65*N('Exh. BGM-3 (Detail)'!$D$9:$D$65=$D34))</f>
        <v>-172.53112085552812</v>
      </c>
      <c r="J34" s="1217"/>
      <c r="K34" s="1217" cm="1">
        <f t="array" ref="K34">+SUM('Exh. BGM-3 (Detail)'!L$9:L$65*N('Exh. BGM-3 (Detail)'!$D$9:$D$65=$D34))</f>
        <v>0</v>
      </c>
      <c r="L34" s="1217"/>
      <c r="M34" s="1217">
        <f t="shared" si="11"/>
        <v>229.70419594545697</v>
      </c>
      <c r="P34" s="1217">
        <f t="shared" si="12"/>
        <v>-20.157227667676466</v>
      </c>
      <c r="Q34" s="1217"/>
      <c r="R34" s="1217">
        <f t="shared" si="13"/>
        <v>0</v>
      </c>
      <c r="S34" s="1217"/>
      <c r="T34" s="1217">
        <f t="shared" si="14"/>
        <v>26.836896154928006</v>
      </c>
      <c r="W34" s="1217" cm="1">
        <f t="array" ref="W34">+SUM('Exh. BGM-3 (Detail)'!X$9:X$65*N('Exh. BGM-3 (Detail)'!$D$9:$D$65=$D34))</f>
        <v>192.87834580740713</v>
      </c>
      <c r="X34" s="1217"/>
      <c r="Y34" s="1217" cm="1">
        <f t="array" ref="Y34">+SUM('Exh. BGM-3 (Detail)'!Z$9:Z$65*N('Exh. BGM-3 (Detail)'!$D$9:$D$65=$D34))</f>
        <v>152.37389318785165</v>
      </c>
      <c r="Z34" s="1217"/>
      <c r="AA34" s="1217" cm="1">
        <f t="array" ref="AA34">+SUM('Exh. BGM-3 (Detail)'!AB$9:AB$65*N('Exh. BGM-3 (Detail)'!$D$9:$D$65=$D34))</f>
        <v>0</v>
      </c>
      <c r="AB34" s="1218"/>
      <c r="AC34" s="1217">
        <f t="shared" si="15"/>
        <v>-202.86729979052896</v>
      </c>
      <c r="AE34" s="1207" t="s">
        <v>4120</v>
      </c>
      <c r="AH34" s="1201"/>
    </row>
    <row r="35" spans="1:44" s="1200" customFormat="1">
      <c r="A35" s="1199"/>
      <c r="B35" s="1199">
        <f t="shared" ca="1" si="10"/>
        <v>23</v>
      </c>
      <c r="C35" s="1199"/>
      <c r="D35" s="1216" t="s">
        <v>781</v>
      </c>
      <c r="E35" s="1199"/>
      <c r="F35" s="1217" t="str">
        <f>+INDEX('Exh JAD-7, Summary of Adj'!$C$5:$AN$5,1,MATCH($D35,'Exh JAD-7, Summary of Adj'!$C$4:$AN$4,0))</f>
        <v>2024 Provisonal Plant Additions</v>
      </c>
      <c r="I35" s="1217" cm="1">
        <f t="array" ref="I35">+SUM('Exh. BGM-3 (Detail)'!J$9:J$65*N('Exh. BGM-3 (Detail)'!$D$9:$D$65=$D35))</f>
        <v>-3201.4139038194976</v>
      </c>
      <c r="J35" s="1217"/>
      <c r="K35" s="1217" cm="1">
        <f t="array" ref="K35">+SUM('Exh. BGM-3 (Detail)'!L$9:L$65*N('Exh. BGM-3 (Detail)'!$D$9:$D$65=$D35))</f>
        <v>104550.51838203738</v>
      </c>
      <c r="L35" s="1217"/>
      <c r="M35" s="1217">
        <f t="shared" si="11"/>
        <v>14156.365738422352</v>
      </c>
      <c r="O35" s="1199"/>
      <c r="P35" s="1217">
        <f t="shared" si="12"/>
        <v>-1918.2197032101155</v>
      </c>
      <c r="Q35" s="1217"/>
      <c r="R35" s="1217">
        <f t="shared" si="13"/>
        <v>18016.375539682369</v>
      </c>
      <c r="S35" s="1217"/>
      <c r="T35" s="1217">
        <f t="shared" si="14"/>
        <v>4258.8445316671614</v>
      </c>
      <c r="U35" s="1199"/>
      <c r="V35" s="1199"/>
      <c r="W35" s="1217" cm="1">
        <f t="array" ref="W35">+SUM('Exh. BGM-3 (Detail)'!X$9:X$65*N('Exh. BGM-3 (Detail)'!$D$9:$D$65=$D35))</f>
        <v>1624.2964564675722</v>
      </c>
      <c r="X35" s="1217"/>
      <c r="Y35" s="1217" cm="1">
        <f t="array" ref="Y35">+SUM('Exh. BGM-3 (Detail)'!Z$9:Z$65*N('Exh. BGM-3 (Detail)'!$D$9:$D$65=$D35))</f>
        <v>1283.1942006093821</v>
      </c>
      <c r="Z35" s="1217"/>
      <c r="AA35" s="1217" cm="1">
        <f t="array" ref="AA35">+SUM('Exh. BGM-3 (Detail)'!AB$9:AB$65*N('Exh. BGM-3 (Detail)'!$D$9:$D$65=$D35))</f>
        <v>-86534.14284235501</v>
      </c>
      <c r="AB35" s="1218"/>
      <c r="AC35" s="1217">
        <f t="shared" si="15"/>
        <v>-9897.5212067551911</v>
      </c>
      <c r="AE35" s="1207" t="s">
        <v>4120</v>
      </c>
      <c r="AH35" s="1201"/>
      <c r="AJ35" s="1199"/>
      <c r="AK35" s="1199"/>
      <c r="AL35" s="1199"/>
    </row>
    <row r="36" spans="1:44" s="1200" customFormat="1">
      <c r="A36" s="1199"/>
      <c r="B36" s="1199">
        <f t="shared" ca="1" si="10"/>
        <v>24</v>
      </c>
      <c r="C36" s="1199"/>
      <c r="D36" s="1216" t="s">
        <v>782</v>
      </c>
      <c r="E36" s="1239"/>
      <c r="F36" s="1217" t="str">
        <f>+INDEX('Exh JAD-7, Summary of Adj'!$C$5:$AN$5,1,MATCH($D36,'Exh JAD-7, Summary of Adj'!$C$4:$AN$4,0))</f>
        <v>2024 Offsets to Provisional Plant Additions</v>
      </c>
      <c r="I36" s="1217" cm="1">
        <f t="array" ref="I36">+SUM('Exh. BGM-3 (Detail)'!J$9:J$65*N('Exh. BGM-3 (Detail)'!$D$9:$D$65=$D36))</f>
        <v>1411.4134546489108</v>
      </c>
      <c r="J36" s="1217"/>
      <c r="K36" s="1217" cm="1">
        <f t="array" ref="K36">+SUM('Exh. BGM-3 (Detail)'!L$9:L$65*N('Exh. BGM-3 (Detail)'!$D$9:$D$65=$D36))</f>
        <v>0</v>
      </c>
      <c r="L36" s="1217"/>
      <c r="M36" s="1217">
        <f t="shared" si="11"/>
        <v>-1879.1252913624119</v>
      </c>
      <c r="O36" s="1199"/>
      <c r="P36" s="1217">
        <f t="shared" si="12"/>
        <v>1411.4134546489108</v>
      </c>
      <c r="Q36" s="1217"/>
      <c r="R36" s="1217">
        <f t="shared" si="13"/>
        <v>0</v>
      </c>
      <c r="S36" s="1217"/>
      <c r="T36" s="1217">
        <f t="shared" si="14"/>
        <v>-1879.1252913624119</v>
      </c>
      <c r="U36" s="1199"/>
      <c r="V36" s="1199"/>
      <c r="W36" s="1217" cm="1">
        <f t="array" ref="W36">+SUM('Exh. BGM-3 (Detail)'!X$9:X$65*N('Exh. BGM-3 (Detail)'!$D$9:$D$65=$D36))</f>
        <v>0</v>
      </c>
      <c r="X36" s="1217"/>
      <c r="Y36" s="1217" cm="1">
        <f t="array" ref="Y36">+SUM('Exh. BGM-3 (Detail)'!Z$9:Z$65*N('Exh. BGM-3 (Detail)'!$D$9:$D$65=$D36))</f>
        <v>0</v>
      </c>
      <c r="Z36" s="1217"/>
      <c r="AA36" s="1217" cm="1">
        <f t="array" ref="AA36">+SUM('Exh. BGM-3 (Detail)'!AB$9:AB$65*N('Exh. BGM-3 (Detail)'!$D$9:$D$65=$D36))</f>
        <v>0</v>
      </c>
      <c r="AB36" s="1218"/>
      <c r="AC36" s="1217">
        <f t="shared" si="15"/>
        <v>0</v>
      </c>
      <c r="AD36" s="1240"/>
      <c r="AE36" s="1241"/>
      <c r="AH36" s="1201"/>
      <c r="AJ36" s="1199"/>
      <c r="AK36" s="1199"/>
      <c r="AL36" s="1199"/>
    </row>
    <row r="37" spans="1:44" s="1200" customFormat="1">
      <c r="A37" s="1199"/>
      <c r="B37" s="1199"/>
      <c r="C37" s="1199"/>
      <c r="D37" s="1216"/>
      <c r="E37" s="1199"/>
      <c r="F37" s="1214"/>
      <c r="I37" s="1217"/>
      <c r="J37" s="1217"/>
      <c r="K37" s="1217"/>
      <c r="L37" s="1217"/>
      <c r="M37" s="1217"/>
      <c r="O37" s="1199"/>
      <c r="P37" s="1217"/>
      <c r="Q37" s="1217"/>
      <c r="R37" s="1217"/>
      <c r="S37" s="1217"/>
      <c r="T37" s="1217"/>
      <c r="U37" s="1199"/>
      <c r="V37" s="1199"/>
      <c r="W37" s="1217"/>
      <c r="X37" s="1217"/>
      <c r="Y37" s="1217"/>
      <c r="Z37" s="1217"/>
      <c r="AA37" s="1217"/>
      <c r="AB37" s="1218"/>
      <c r="AC37" s="1217"/>
      <c r="AE37" s="1207"/>
      <c r="AH37" s="1201"/>
      <c r="AJ37" s="1199"/>
      <c r="AK37" s="1199"/>
      <c r="AL37" s="1199"/>
    </row>
    <row r="38" spans="1:44" s="1200" customFormat="1">
      <c r="A38" s="1199"/>
      <c r="B38" s="1199"/>
      <c r="C38" s="1199"/>
      <c r="D38" s="1216"/>
      <c r="E38" s="1199"/>
      <c r="F38" s="1218" t="s">
        <v>4127</v>
      </c>
      <c r="I38" s="1226">
        <f>+SUBTOTAL(9,I$25:I$37)</f>
        <v>-8452.2974155168577</v>
      </c>
      <c r="J38" s="1218"/>
      <c r="K38" s="1226">
        <f>+SUBTOTAL(9,K$25:K$37)</f>
        <v>105073.84533949963</v>
      </c>
      <c r="L38" s="1218"/>
      <c r="M38" s="1226">
        <f>+SUBTOTAL(9,M$25:M$37)</f>
        <v>21196.802988947697</v>
      </c>
      <c r="P38" s="1226">
        <f>+SUBTOTAL(9,P$25:P$37)</f>
        <v>-4233.8755258360961</v>
      </c>
      <c r="Q38" s="1218"/>
      <c r="R38" s="1226">
        <f>+SUBTOTAL(9,R$25:R$37)</f>
        <v>18539.702497144626</v>
      </c>
      <c r="S38" s="1218"/>
      <c r="T38" s="1226">
        <f>+SUBTOTAL(9,T$25:T$37)</f>
        <v>7391.3832367494215</v>
      </c>
      <c r="W38" s="1226">
        <f>+SUBTOTAL(9,W$25:W$37)</f>
        <v>5339.774543899699</v>
      </c>
      <c r="X38" s="1218"/>
      <c r="Y38" s="1226">
        <f>+SUBTOTAL(9,Y$25:Y$37)</f>
        <v>4218.4218896807624</v>
      </c>
      <c r="Z38" s="1218"/>
      <c r="AA38" s="1226">
        <f>+SUBTOTAL(9,AA$25:AA$37)</f>
        <v>-86534.14284235501</v>
      </c>
      <c r="AB38" s="1218"/>
      <c r="AC38" s="1226">
        <f>+SUBTOTAL(9,AC$25:AC$37)</f>
        <v>-13805.419752198275</v>
      </c>
      <c r="AE38" s="1207"/>
      <c r="AH38" s="1201"/>
      <c r="AJ38" s="1199"/>
      <c r="AK38" s="1199"/>
      <c r="AL38" s="1199"/>
    </row>
    <row r="39" spans="1:44" s="1200" customFormat="1">
      <c r="A39" s="1199"/>
      <c r="B39" s="1199"/>
      <c r="C39" s="1199"/>
      <c r="D39" s="1216"/>
      <c r="E39" s="1199"/>
      <c r="F39" s="1214"/>
      <c r="I39" s="1217"/>
      <c r="J39" s="1217"/>
      <c r="K39" s="1217"/>
      <c r="L39" s="1217"/>
      <c r="M39" s="1217"/>
      <c r="O39" s="1199"/>
      <c r="P39" s="1217"/>
      <c r="Q39" s="1217"/>
      <c r="R39" s="1217"/>
      <c r="S39" s="1217"/>
      <c r="T39" s="1217"/>
      <c r="U39" s="1199"/>
      <c r="V39" s="1199"/>
      <c r="W39" s="1217"/>
      <c r="X39" s="1217"/>
      <c r="Y39" s="1217"/>
      <c r="Z39" s="1217"/>
      <c r="AA39" s="1217"/>
      <c r="AB39" s="1218"/>
      <c r="AC39" s="1217"/>
      <c r="AE39" s="1207"/>
      <c r="AH39" s="1201"/>
      <c r="AJ39" s="1199"/>
      <c r="AK39" s="1199"/>
      <c r="AL39" s="1199"/>
    </row>
    <row r="40" spans="1:44" s="1200" customFormat="1" ht="14.25" thickBot="1">
      <c r="A40" s="1199"/>
      <c r="B40" s="1199"/>
      <c r="C40" s="1199"/>
      <c r="D40" s="1216"/>
      <c r="E40" s="1199"/>
      <c r="F40" s="1214" t="s">
        <v>4128</v>
      </c>
      <c r="I40" s="1229">
        <f>+SUBTOTAL(9,I$6:I$39)</f>
        <v>24264.776823642034</v>
      </c>
      <c r="J40" s="1217"/>
      <c r="K40" s="1229">
        <f>+SUBTOTAL(9,K$6:K$39)</f>
        <v>724414.76388063515</v>
      </c>
      <c r="L40" s="1217"/>
      <c r="M40" s="1229">
        <f>+SUBTOTAL(9,M$6:M$39)</f>
        <v>36248.938043353519</v>
      </c>
      <c r="O40" s="1199"/>
      <c r="P40" s="1229">
        <f>+SUBTOTAL(9,P$6:P$39)</f>
        <v>28912.699889572814</v>
      </c>
      <c r="Q40" s="1217"/>
      <c r="R40" s="1229">
        <f>+SUBTOTAL(9,R$6:R$39)</f>
        <v>637880.62103828008</v>
      </c>
      <c r="S40" s="1217"/>
      <c r="T40" s="1229">
        <f>+SUBTOTAL(9,T$6:T$39)</f>
        <v>21871.689731421098</v>
      </c>
      <c r="U40" s="1199"/>
      <c r="V40" s="1199"/>
      <c r="W40" s="1229">
        <f>+SUBTOTAL(9,W$6:W$39)</f>
        <v>5883.4469188996991</v>
      </c>
      <c r="X40" s="1217"/>
      <c r="Y40" s="1229">
        <f>+SUBTOTAL(9,Y$6:Y$39)</f>
        <v>4647.9230659307623</v>
      </c>
      <c r="Z40" s="1217"/>
      <c r="AA40" s="1229">
        <f>+SUBTOTAL(9,AA$6:AA$39)</f>
        <v>-86534.14284235501</v>
      </c>
      <c r="AB40" s="1218"/>
      <c r="AC40" s="1229">
        <f>+SUBTOTAL(9,AC$6:AC$39)</f>
        <v>-14377.248311932419</v>
      </c>
      <c r="AE40" s="1207"/>
      <c r="AH40" s="1201"/>
      <c r="AJ40" s="1199"/>
      <c r="AK40" s="1199"/>
      <c r="AL40" s="1199"/>
    </row>
    <row r="41" spans="1:44" s="1200" customFormat="1" ht="13.5" thickTop="1">
      <c r="A41" s="1199"/>
      <c r="B41" s="1199"/>
      <c r="C41" s="1199"/>
      <c r="D41" s="1216"/>
      <c r="E41" s="1199"/>
      <c r="F41" s="1214"/>
      <c r="I41" s="1217"/>
      <c r="J41" s="1217"/>
      <c r="K41" s="1217"/>
      <c r="L41" s="1217"/>
      <c r="M41" s="1217"/>
      <c r="O41" s="1199"/>
      <c r="P41" s="1217"/>
      <c r="Q41" s="1217"/>
      <c r="R41" s="1217"/>
      <c r="S41" s="1217"/>
      <c r="T41" s="1217"/>
      <c r="U41" s="1199"/>
      <c r="V41" s="1199"/>
      <c r="W41" s="1217"/>
      <c r="X41" s="1217"/>
      <c r="Y41" s="1217"/>
      <c r="Z41" s="1217"/>
      <c r="AA41" s="1217"/>
      <c r="AB41" s="1218"/>
      <c r="AC41" s="1217"/>
      <c r="AE41" s="1207"/>
      <c r="AH41" s="1201"/>
      <c r="AJ41" s="1199"/>
      <c r="AK41" s="1199"/>
      <c r="AL41" s="1199"/>
      <c r="AO41" s="1217">
        <f>ABS(W43*1000)</f>
        <v>5883446.9188996982</v>
      </c>
      <c r="AP41" s="1217">
        <f>ABS(Y43*1000)</f>
        <v>4647923.0659307633</v>
      </c>
      <c r="AQ41" s="1217">
        <f>ABS(AA43*1000)</f>
        <v>86534142.842355013</v>
      </c>
      <c r="AR41" s="1217">
        <f>ABS(AC43*1000)</f>
        <v>14377248.311932409</v>
      </c>
    </row>
    <row r="42" spans="1:44" s="1200" customFormat="1">
      <c r="A42" s="1199"/>
      <c r="B42" s="1202" t="s">
        <v>4129</v>
      </c>
      <c r="C42" s="1199"/>
      <c r="D42" s="1216"/>
      <c r="E42" s="1199"/>
      <c r="F42" s="1214"/>
      <c r="I42" s="1217"/>
      <c r="J42" s="1217"/>
      <c r="K42" s="1217"/>
      <c r="L42" s="1217"/>
      <c r="M42" s="1217"/>
      <c r="O42" s="1199"/>
      <c r="P42" s="1217"/>
      <c r="Q42" s="1217"/>
      <c r="R42" s="1217"/>
      <c r="S42" s="1217"/>
      <c r="T42" s="1217"/>
      <c r="U42" s="1199"/>
      <c r="V42" s="1199"/>
      <c r="W42" s="1217"/>
      <c r="X42" s="1217"/>
      <c r="Y42" s="1217"/>
      <c r="Z42" s="1217"/>
      <c r="AA42" s="1217"/>
      <c r="AB42" s="1218"/>
      <c r="AC42" s="1217"/>
      <c r="AE42" s="1207"/>
      <c r="AH42" s="1201"/>
      <c r="AJ42" s="1199"/>
      <c r="AK42" s="1199"/>
      <c r="AL42" s="1199"/>
    </row>
    <row r="43" spans="1:44" s="1200" customFormat="1">
      <c r="A43" s="1199"/>
      <c r="B43" s="1199">
        <f t="shared" ref="B43:B51" ca="1" si="16">+MAX(OFFSET($B$7,0,0,ROW($B43)-ROW($B$7),1))+1</f>
        <v>25</v>
      </c>
      <c r="C43" s="1199"/>
      <c r="D43" s="1216" t="s">
        <v>4196</v>
      </c>
      <c r="E43" s="1199"/>
      <c r="F43" s="1218" t="s">
        <v>4130</v>
      </c>
      <c r="I43" s="1217" cm="1">
        <f t="array" ref="I43">+SUM('Exh. BGM-3 (Detail)'!J$9:J$65*N('Exh. BGM-3 (Detail)'!$D$9:$D$65=$D43))</f>
        <v>-24264.776823642034</v>
      </c>
      <c r="J43" s="1217"/>
      <c r="K43" s="1217" cm="1">
        <f t="array" ref="K43">+SUM('Exh. BGM-3 (Detail)'!L$9:L$65*N('Exh. BGM-3 (Detail)'!$D$9:$D$65=$D43))</f>
        <v>-724414.76388063515</v>
      </c>
      <c r="L43" s="1217"/>
      <c r="M43" s="1217">
        <f t="shared" ref="M43:M51" si="17">+($K43*$AL$16-$I43)/$AJ$4</f>
        <v>-36248.938043353541</v>
      </c>
      <c r="O43" s="1199"/>
      <c r="P43" s="1217">
        <f t="shared" ref="P43:P51" si="18">+I43+Y43</f>
        <v>-28912.699889572796</v>
      </c>
      <c r="Q43" s="1217"/>
      <c r="R43" s="1217">
        <f>+K43+AA43</f>
        <v>-637880.62103828019</v>
      </c>
      <c r="S43" s="1217"/>
      <c r="T43" s="1217">
        <f t="shared" ref="T43:T51" si="19">+($R43*$AL$16-$P43)/$AJ$4</f>
        <v>-21871.689731421131</v>
      </c>
      <c r="U43" s="1199"/>
      <c r="V43" s="1199"/>
      <c r="W43" s="1217" cm="1">
        <f t="array" ref="W43">+SUM('Exh. BGM-3 (Detail)'!X$9:X$65*N('Exh. BGM-3 (Detail)'!$D$9:$D$65=$D43))</f>
        <v>-5883.4469188996982</v>
      </c>
      <c r="X43" s="1217"/>
      <c r="Y43" s="1217" cm="1">
        <f t="array" ref="Y43">+SUM('Exh. BGM-3 (Detail)'!Z$9:Z$65*N('Exh. BGM-3 (Detail)'!$D$9:$D$65=$D43))</f>
        <v>-4647.9230659307632</v>
      </c>
      <c r="Z43" s="1217"/>
      <c r="AA43" s="1217" cm="1">
        <f t="array" ref="AA43">+SUM('Exh. BGM-3 (Detail)'!AB$9:AB$65*N('Exh. BGM-3 (Detail)'!$D$9:$D$65=$D43))</f>
        <v>86534.14284235501</v>
      </c>
      <c r="AB43" s="1218"/>
      <c r="AC43" s="1217">
        <f t="shared" ref="AC43:AC51" si="20">+T43-M43</f>
        <v>14377.24831193241</v>
      </c>
      <c r="AE43" s="1207"/>
      <c r="AH43" s="1201"/>
      <c r="AJ43" s="1199"/>
      <c r="AK43" s="1199"/>
      <c r="AL43" s="1199"/>
    </row>
    <row r="44" spans="1:44" s="1200" customFormat="1">
      <c r="A44" s="1199"/>
      <c r="B44" s="1199">
        <f t="shared" ca="1" si="16"/>
        <v>26</v>
      </c>
      <c r="C44" s="1199"/>
      <c r="D44" s="1216" t="s">
        <v>783</v>
      </c>
      <c r="E44" s="1199"/>
      <c r="F44" s="1217" t="str">
        <f>+INDEX('Exh JAD-7, Summary of Adj'!$C$5:$AN$5,1,MATCH($D44,'Exh JAD-7, Summary of Adj'!$C$4:$AN$4,0))</f>
        <v>2025 Provisional Plant Additions</v>
      </c>
      <c r="I44" s="1217" cm="1">
        <f t="array" ref="I44">+SUM('Exh. BGM-3 (Detail)'!J$9:J$65*N('Exh. BGM-3 (Detail)'!$D$9:$D$65=$D44))</f>
        <v>-3216.9089847831428</v>
      </c>
      <c r="J44" s="1217"/>
      <c r="K44" s="1217" cm="1">
        <f t="array" ref="K44">+SUM('Exh. BGM-3 (Detail)'!L$9:L$65*N('Exh. BGM-3 (Detail)'!$D$9:$D$65=$D44))</f>
        <v>68184.934662988249</v>
      </c>
      <c r="L44" s="1217"/>
      <c r="M44" s="1217">
        <f t="shared" si="17"/>
        <v>10735.561381038759</v>
      </c>
      <c r="O44" s="1199"/>
      <c r="P44" s="1217">
        <f t="shared" si="18"/>
        <v>-3216.9089847831428</v>
      </c>
      <c r="Q44" s="1217"/>
      <c r="R44" s="1217">
        <f t="shared" ref="R44:R51" si="21">+K44+AA44</f>
        <v>68184.934662988249</v>
      </c>
      <c r="S44" s="1217"/>
      <c r="T44" s="1217">
        <f t="shared" si="19"/>
        <v>10735.561381038759</v>
      </c>
      <c r="U44" s="1199"/>
      <c r="V44" s="1199"/>
      <c r="W44" s="1217" cm="1">
        <f t="array" ref="W44">+SUM('Exh. BGM-3 (Detail)'!X$9:X$65*N('Exh. BGM-3 (Detail)'!$D$9:$D$65=$D44))</f>
        <v>0</v>
      </c>
      <c r="X44" s="1217"/>
      <c r="Y44" s="1217" cm="1">
        <f t="array" ref="Y44">+SUM('Exh. BGM-3 (Detail)'!Z$9:Z$65*N('Exh. BGM-3 (Detail)'!$D$9:$D$65=$D44))</f>
        <v>0</v>
      </c>
      <c r="Z44" s="1217"/>
      <c r="AA44" s="1217" cm="1">
        <f t="array" ref="AA44">+SUM('Exh. BGM-3 (Detail)'!AB$9:AB$65*N('Exh. BGM-3 (Detail)'!$D$9:$D$65=$D44))</f>
        <v>0</v>
      </c>
      <c r="AB44" s="1218"/>
      <c r="AC44" s="1217">
        <f t="shared" si="20"/>
        <v>0</v>
      </c>
      <c r="AE44" s="1207"/>
      <c r="AH44" s="1201"/>
      <c r="AJ44" s="1199"/>
      <c r="AK44" s="1199"/>
      <c r="AL44" s="1199"/>
    </row>
    <row r="45" spans="1:44" s="1200" customFormat="1">
      <c r="A45" s="1199"/>
      <c r="B45" s="1199">
        <f t="shared" ca="1" si="16"/>
        <v>27</v>
      </c>
      <c r="C45" s="1199"/>
      <c r="D45" s="1216" t="s">
        <v>784</v>
      </c>
      <c r="E45" s="1199"/>
      <c r="F45" s="1217" t="str">
        <f>+INDEX('Exh JAD-7, Summary of Adj'!$C$5:$AN$5,1,MATCH($D45,'Exh JAD-7, Summary of Adj'!$C$4:$AN$4,0))</f>
        <v>2025 Offsets to Provisional Plant Additions</v>
      </c>
      <c r="I45" s="1217" cm="1">
        <f t="array" ref="I45">+SUM('Exh. BGM-3 (Detail)'!J$9:J$65*N('Exh. BGM-3 (Detail)'!$D$9:$D$65=$D45))</f>
        <v>1897.0128810161518</v>
      </c>
      <c r="J45" s="1217"/>
      <c r="K45" s="1217" cm="1">
        <f t="array" ref="K45">+SUM('Exh. BGM-3 (Detail)'!L$9:L$65*N('Exh. BGM-3 (Detail)'!$D$9:$D$65=$D45))</f>
        <v>0</v>
      </c>
      <c r="L45" s="1217"/>
      <c r="M45" s="1217">
        <f t="shared" si="17"/>
        <v>-2525.6418457796622</v>
      </c>
      <c r="O45" s="1199"/>
      <c r="P45" s="1217">
        <f t="shared" si="18"/>
        <v>3573.3269707174604</v>
      </c>
      <c r="Q45" s="1217"/>
      <c r="R45" s="1217">
        <f t="shared" si="21"/>
        <v>-63029.077908570434</v>
      </c>
      <c r="S45" s="1217"/>
      <c r="T45" s="1217">
        <f t="shared" si="19"/>
        <v>-10722.167299400371</v>
      </c>
      <c r="U45" s="1199"/>
      <c r="V45" s="1199"/>
      <c r="W45" s="1217" cm="1">
        <f t="array" ref="W45">+SUM('Exh. BGM-3 (Detail)'!X$9:X$65*N('Exh. BGM-3 (Detail)'!$D$9:$D$65=$D45))</f>
        <v>2121.916569242163</v>
      </c>
      <c r="X45" s="1217"/>
      <c r="Y45" s="1217" cm="1">
        <f t="array" ref="Y45">+SUM('Exh. BGM-3 (Detail)'!Z$9:Z$65*N('Exh. BGM-3 (Detail)'!$D$9:$D$65=$D45))</f>
        <v>1676.3140897013088</v>
      </c>
      <c r="Z45" s="1217"/>
      <c r="AA45" s="1217" cm="1">
        <f t="array" ref="AA45">+SUM('Exh. BGM-3 (Detail)'!AB$9:AB$65*N('Exh. BGM-3 (Detail)'!$D$9:$D$65=$D45))</f>
        <v>-63029.077908570434</v>
      </c>
      <c r="AB45" s="1218"/>
      <c r="AC45" s="1217">
        <f t="shared" si="20"/>
        <v>-8196.5254536207085</v>
      </c>
      <c r="AE45" s="1207" t="s">
        <v>4120</v>
      </c>
      <c r="AH45" s="1201"/>
      <c r="AJ45" s="1199"/>
      <c r="AK45" s="1199"/>
      <c r="AL45" s="1199"/>
      <c r="AO45" s="1217" t="e">
        <f>ABS(#REF!*1000)</f>
        <v>#REF!</v>
      </c>
      <c r="AP45" s="1217" t="e">
        <f>ABS(#REF!*1000)</f>
        <v>#REF!</v>
      </c>
      <c r="AQ45" s="1217" t="e">
        <f>ABS(#REF!*1000)</f>
        <v>#REF!</v>
      </c>
      <c r="AR45" s="1217" t="e">
        <f>ABS(#REF!*1000)</f>
        <v>#REF!</v>
      </c>
    </row>
    <row r="46" spans="1:44" s="1200" customFormat="1">
      <c r="A46" s="1199"/>
      <c r="B46" s="1199">
        <f t="shared" ca="1" si="16"/>
        <v>28</v>
      </c>
      <c r="C46" s="1199"/>
      <c r="D46" s="1216" t="s">
        <v>785</v>
      </c>
      <c r="E46" s="1199"/>
      <c r="F46" s="1217" t="str">
        <f>+INDEX('Exh JAD-7, Summary of Adj'!$C$5:$AN$5,1,MATCH($D46,'Exh JAD-7, Summary of Adj'!$C$4:$AN$4,0))</f>
        <v>2025 Pro Forma Wage Adjustment</v>
      </c>
      <c r="I46" s="1217" cm="1">
        <f t="array" ref="I46">+SUM('Exh. BGM-3 (Detail)'!J$9:J$65*N('Exh. BGM-3 (Detail)'!$D$9:$D$65=$D46))</f>
        <v>-802.14907272127004</v>
      </c>
      <c r="J46" s="1217"/>
      <c r="K46" s="1217" cm="1">
        <f t="array" ref="K46">+SUM('Exh. BGM-3 (Detail)'!L$9:L$65*N('Exh. BGM-3 (Detail)'!$D$9:$D$65=$D46))</f>
        <v>0</v>
      </c>
      <c r="L46" s="1217"/>
      <c r="M46" s="1217">
        <f t="shared" si="17"/>
        <v>1067.9638946536722</v>
      </c>
      <c r="O46" s="1199"/>
      <c r="P46" s="1217">
        <f t="shared" si="18"/>
        <v>-352.75267319911228</v>
      </c>
      <c r="Q46" s="1217"/>
      <c r="R46" s="1217">
        <f t="shared" si="21"/>
        <v>0</v>
      </c>
      <c r="S46" s="1217"/>
      <c r="T46" s="1217">
        <f t="shared" si="19"/>
        <v>469.64726573974713</v>
      </c>
      <c r="U46" s="1199"/>
      <c r="V46" s="1199"/>
      <c r="W46" s="1217" cm="1">
        <f t="array" ref="W46">+SUM('Exh. BGM-3 (Detail)'!X$9:X$65*N('Exh. BGM-3 (Detail)'!$D$9:$D$65=$D46))</f>
        <v>568.85620192678198</v>
      </c>
      <c r="X46" s="1217"/>
      <c r="Y46" s="1217" cm="1">
        <f t="array" ref="Y46">+SUM('Exh. BGM-3 (Detail)'!Z$9:Z$65*N('Exh. BGM-3 (Detail)'!$D$9:$D$65=$D46))</f>
        <v>449.39639952215776</v>
      </c>
      <c r="Z46" s="1217"/>
      <c r="AA46" s="1217" cm="1">
        <f t="array" ref="AA46">+SUM('Exh. BGM-3 (Detail)'!AB$9:AB$65*N('Exh. BGM-3 (Detail)'!$D$9:$D$65=$D46))</f>
        <v>0</v>
      </c>
      <c r="AB46" s="1218"/>
      <c r="AC46" s="1217">
        <f t="shared" si="20"/>
        <v>-598.31662891392511</v>
      </c>
      <c r="AE46" s="1207" t="s">
        <v>4120</v>
      </c>
      <c r="AH46" s="1201"/>
      <c r="AJ46" s="1199"/>
      <c r="AK46" s="1199"/>
      <c r="AL46" s="1199"/>
    </row>
    <row r="47" spans="1:44" s="1200" customFormat="1">
      <c r="A47" s="1199"/>
      <c r="B47" s="1199">
        <f t="shared" ca="1" si="16"/>
        <v>29</v>
      </c>
      <c r="C47" s="1199"/>
      <c r="D47" s="1216" t="s">
        <v>786</v>
      </c>
      <c r="E47" s="1199"/>
      <c r="F47" s="1217" t="str">
        <f>+INDEX('Exh JAD-7, Summary of Adj'!$C$5:$AN$5,1,MATCH($D47,'Exh JAD-7, Summary of Adj'!$C$4:$AN$4,0))</f>
        <v>2025 Pro Forma Pension Expense Adjustment</v>
      </c>
      <c r="I47" s="1217" cm="1">
        <f t="array" ref="I47">+SUM('Exh. BGM-3 (Detail)'!J$9:J$65*N('Exh. BGM-3 (Detail)'!$D$9:$D$65=$D47))</f>
        <v>-764.88494607500002</v>
      </c>
      <c r="J47" s="1217"/>
      <c r="K47" s="1217" cm="1">
        <f t="array" ref="K47">+SUM('Exh. BGM-3 (Detail)'!L$9:L$65*N('Exh. BGM-3 (Detail)'!$D$9:$D$65=$D47))</f>
        <v>-635.12663849578723</v>
      </c>
      <c r="L47" s="1217"/>
      <c r="M47" s="1217">
        <f t="shared" si="17"/>
        <v>958.24643338352803</v>
      </c>
      <c r="O47" s="1199"/>
      <c r="P47" s="1217">
        <f t="shared" si="18"/>
        <v>-160.62583867574995</v>
      </c>
      <c r="Q47" s="1217"/>
      <c r="R47" s="1217">
        <f t="shared" si="21"/>
        <v>-635.12663849578723</v>
      </c>
      <c r="S47" s="1217"/>
      <c r="T47" s="1217">
        <f t="shared" si="19"/>
        <v>153.74895072883908</v>
      </c>
      <c r="U47" s="1199"/>
      <c r="V47" s="1199"/>
      <c r="W47" s="1217" cm="1">
        <f t="array" ref="W47">+SUM('Exh. BGM-3 (Detail)'!X$9:X$65*N('Exh. BGM-3 (Detail)'!$D$9:$D$65=$D47))</f>
        <v>764.88494607500002</v>
      </c>
      <c r="X47" s="1217"/>
      <c r="Y47" s="1217" cm="1">
        <f t="array" ref="Y47">+SUM('Exh. BGM-3 (Detail)'!Z$9:Z$65*N('Exh. BGM-3 (Detail)'!$D$9:$D$65=$D47))</f>
        <v>604.25910739925007</v>
      </c>
      <c r="Z47" s="1217"/>
      <c r="AA47" s="1217" cm="1">
        <f t="array" ref="AA47">+SUM('Exh. BGM-3 (Detail)'!AB$9:AB$65*N('Exh. BGM-3 (Detail)'!$D$9:$D$65=$D47))</f>
        <v>0</v>
      </c>
      <c r="AB47" s="1218"/>
      <c r="AC47" s="1217">
        <f t="shared" si="20"/>
        <v>-804.49748265468895</v>
      </c>
      <c r="AE47" s="1207"/>
      <c r="AH47" s="1201"/>
      <c r="AJ47" s="1199"/>
      <c r="AK47" s="1199"/>
      <c r="AL47" s="1199"/>
    </row>
    <row r="48" spans="1:44" s="1200" customFormat="1">
      <c r="A48" s="1199"/>
      <c r="B48" s="1199">
        <f t="shared" ca="1" si="16"/>
        <v>30</v>
      </c>
      <c r="C48" s="1199"/>
      <c r="D48" s="1216" t="s">
        <v>787</v>
      </c>
      <c r="E48" s="1199"/>
      <c r="F48" s="1217" t="str">
        <f>+INDEX('Exh JAD-7, Summary of Adj'!$C$5:$AN$5,1,MATCH($D48,'Exh JAD-7, Summary of Adj'!$C$4:$AN$4,0))</f>
        <v>2025 Pro Forma 401K Expense Adjustment</v>
      </c>
      <c r="I48" s="1217" cm="1">
        <f t="array" ref="I48">+SUM('Exh. BGM-3 (Detail)'!J$9:J$65*N('Exh. BGM-3 (Detail)'!$D$9:$D$65=$D48))</f>
        <v>-95.547560911649981</v>
      </c>
      <c r="J48" s="1217"/>
      <c r="K48" s="1217" cm="1">
        <f t="array" ref="K48">+SUM('Exh. BGM-3 (Detail)'!L$9:L$65*N('Exh. BGM-3 (Detail)'!$D$9:$D$65=$D48))</f>
        <v>0</v>
      </c>
      <c r="L48" s="1217"/>
      <c r="M48" s="1217">
        <f t="shared" si="17"/>
        <v>127.20995229688674</v>
      </c>
      <c r="O48" s="1199"/>
      <c r="P48" s="1217">
        <f t="shared" si="18"/>
        <v>-95.547560911649981</v>
      </c>
      <c r="Q48" s="1217"/>
      <c r="R48" s="1217">
        <f t="shared" si="21"/>
        <v>0</v>
      </c>
      <c r="S48" s="1217"/>
      <c r="T48" s="1217">
        <f t="shared" si="19"/>
        <v>127.20995229688674</v>
      </c>
      <c r="U48" s="1199"/>
      <c r="V48" s="1199"/>
      <c r="W48" s="1217" cm="1">
        <f t="array" ref="W48">+SUM('Exh. BGM-3 (Detail)'!X$9:X$65*N('Exh. BGM-3 (Detail)'!$D$9:$D$65=$D48))</f>
        <v>0</v>
      </c>
      <c r="X48" s="1217"/>
      <c r="Y48" s="1217" cm="1">
        <f t="array" ref="Y48">+SUM('Exh. BGM-3 (Detail)'!Z$9:Z$65*N('Exh. BGM-3 (Detail)'!$D$9:$D$65=$D48))</f>
        <v>0</v>
      </c>
      <c r="Z48" s="1217"/>
      <c r="AA48" s="1217" cm="1">
        <f t="array" ref="AA48">+SUM('Exh. BGM-3 (Detail)'!AB$9:AB$65*N('Exh. BGM-3 (Detail)'!$D$9:$D$65=$D48))</f>
        <v>0</v>
      </c>
      <c r="AB48" s="1218"/>
      <c r="AC48" s="1217">
        <f t="shared" si="20"/>
        <v>0</v>
      </c>
      <c r="AE48" s="1207"/>
      <c r="AH48" s="1201"/>
      <c r="AJ48" s="1199"/>
      <c r="AK48" s="1199"/>
      <c r="AL48" s="1199"/>
    </row>
    <row r="49" spans="1:44" s="1200" customFormat="1">
      <c r="A49" s="1199"/>
      <c r="B49" s="1199">
        <f t="shared" ca="1" si="16"/>
        <v>31</v>
      </c>
      <c r="C49" s="1230"/>
      <c r="D49" s="1216" t="s">
        <v>788</v>
      </c>
      <c r="E49" s="1239"/>
      <c r="F49" s="1217" t="str">
        <f>+INDEX('Exh JAD-7, Summary of Adj'!$C$5:$AN$5,1,MATCH($D49,'Exh JAD-7, Summary of Adj'!$C$4:$AN$4,0))</f>
        <v>2025 Pro Forma Tax Flow-Through Adjustment</v>
      </c>
      <c r="I49" s="1217" cm="1">
        <f t="array" ref="I49">+SUM('Exh. BGM-3 (Detail)'!J$9:J$65*N('Exh. BGM-3 (Detail)'!$D$9:$D$65=$D49))</f>
        <v>1.7320762080000027</v>
      </c>
      <c r="J49" s="1217"/>
      <c r="K49" s="1217" cm="1">
        <f t="array" ref="K49">+SUM('Exh. BGM-3 (Detail)'!L$9:L$65*N('Exh. BGM-3 (Detail)'!$D$9:$D$65=$D49))</f>
        <v>0</v>
      </c>
      <c r="L49" s="1217"/>
      <c r="M49" s="1217">
        <f t="shared" si="17"/>
        <v>-2.3060487331329398</v>
      </c>
      <c r="O49" s="1199"/>
      <c r="P49" s="1217">
        <f t="shared" si="18"/>
        <v>1.7320762080000027</v>
      </c>
      <c r="Q49" s="1217"/>
      <c r="R49" s="1217">
        <f t="shared" si="21"/>
        <v>0</v>
      </c>
      <c r="S49" s="1217"/>
      <c r="T49" s="1217">
        <f t="shared" si="19"/>
        <v>-2.3060487331329398</v>
      </c>
      <c r="U49" s="1199"/>
      <c r="V49" s="1199"/>
      <c r="W49" s="1217" cm="1">
        <f t="array" ref="W49">+SUM('Exh. BGM-3 (Detail)'!X$9:X$65*N('Exh. BGM-3 (Detail)'!$D$9:$D$65=$D49))</f>
        <v>0</v>
      </c>
      <c r="X49" s="1217"/>
      <c r="Y49" s="1217" cm="1">
        <f t="array" ref="Y49">+SUM('Exh. BGM-3 (Detail)'!Z$9:Z$65*N('Exh. BGM-3 (Detail)'!$D$9:$D$65=$D49))</f>
        <v>0</v>
      </c>
      <c r="Z49" s="1217"/>
      <c r="AA49" s="1217" cm="1">
        <f t="array" ref="AA49">+SUM('Exh. BGM-3 (Detail)'!AB$9:AB$65*N('Exh. BGM-3 (Detail)'!$D$9:$D$65=$D49))</f>
        <v>0</v>
      </c>
      <c r="AB49" s="1218"/>
      <c r="AC49" s="1217">
        <f t="shared" si="20"/>
        <v>0</v>
      </c>
      <c r="AD49" s="1240"/>
      <c r="AE49" s="1241"/>
      <c r="AH49" s="1201"/>
      <c r="AJ49" s="1199"/>
      <c r="AK49" s="1199"/>
      <c r="AL49" s="1199"/>
    </row>
    <row r="50" spans="1:44" s="1200" customFormat="1">
      <c r="A50" s="1199"/>
      <c r="B50" s="1199">
        <f t="shared" ca="1" si="16"/>
        <v>32</v>
      </c>
      <c r="C50" s="1199"/>
      <c r="D50" s="1216" t="s">
        <v>789</v>
      </c>
      <c r="E50" s="1199"/>
      <c r="F50" s="1217" t="str">
        <f>+INDEX('Exh JAD-7, Summary of Adj'!$C$5:$AN$5,1,MATCH($D50,'Exh JAD-7, Summary of Adj'!$C$4:$AN$4,0))</f>
        <v>2025 Pro Forma Decarbonization Testing &amp; Demonstration Expense Adjustment</v>
      </c>
      <c r="I50" s="1217" cm="1">
        <f t="array" ref="I50">+SUM('Exh. BGM-3 (Detail)'!J$9:J$65*N('Exh. BGM-3 (Detail)'!$D$9:$D$65=$D50))</f>
        <v>-276.5</v>
      </c>
      <c r="J50" s="1217"/>
      <c r="K50" s="1217" cm="1">
        <f t="array" ref="K50">+SUM('Exh. BGM-3 (Detail)'!L$9:L$65*N('Exh. BGM-3 (Detail)'!$D$9:$D$65=$D50))</f>
        <v>0</v>
      </c>
      <c r="L50" s="1217"/>
      <c r="M50" s="1217">
        <f t="shared" si="17"/>
        <v>368.1261088664852</v>
      </c>
      <c r="O50" s="1199"/>
      <c r="P50" s="1217">
        <f t="shared" si="18"/>
        <v>-276.5</v>
      </c>
      <c r="Q50" s="1217"/>
      <c r="R50" s="1217">
        <f t="shared" si="21"/>
        <v>0</v>
      </c>
      <c r="S50" s="1217"/>
      <c r="T50" s="1217">
        <f t="shared" si="19"/>
        <v>368.1261088664852</v>
      </c>
      <c r="U50" s="1199"/>
      <c r="V50" s="1199"/>
      <c r="W50" s="1217" cm="1">
        <f t="array" ref="W50">+SUM('Exh. BGM-3 (Detail)'!X$9:X$65*N('Exh. BGM-3 (Detail)'!$D$9:$D$65=$D50))</f>
        <v>0</v>
      </c>
      <c r="X50" s="1217"/>
      <c r="Y50" s="1217" cm="1">
        <f t="array" ref="Y50">+SUM('Exh. BGM-3 (Detail)'!Z$9:Z$65*N('Exh. BGM-3 (Detail)'!$D$9:$D$65=$D50))</f>
        <v>0</v>
      </c>
      <c r="Z50" s="1217"/>
      <c r="AA50" s="1217" cm="1">
        <f t="array" ref="AA50">+SUM('Exh. BGM-3 (Detail)'!AB$9:AB$65*N('Exh. BGM-3 (Detail)'!$D$9:$D$65=$D50))</f>
        <v>0</v>
      </c>
      <c r="AB50" s="1218"/>
      <c r="AC50" s="1217">
        <f t="shared" si="20"/>
        <v>0</v>
      </c>
      <c r="AE50" s="1207"/>
      <c r="AH50" s="1201"/>
      <c r="AJ50" s="1199"/>
      <c r="AK50" s="1199"/>
      <c r="AL50" s="1199"/>
      <c r="AO50" s="1217" t="e">
        <f>ABS(#REF!*1000)</f>
        <v>#REF!</v>
      </c>
      <c r="AP50" s="1217" t="e">
        <f>ABS(#REF!*1000)</f>
        <v>#REF!</v>
      </c>
      <c r="AR50" s="1217" t="e">
        <f>ABS(#REF!*1000)</f>
        <v>#REF!</v>
      </c>
    </row>
    <row r="51" spans="1:44" s="1200" customFormat="1">
      <c r="A51" s="1230"/>
      <c r="B51" s="1199">
        <f t="shared" ca="1" si="16"/>
        <v>33</v>
      </c>
      <c r="C51" s="1199"/>
      <c r="D51" s="1216" t="s">
        <v>790</v>
      </c>
      <c r="E51" s="1239"/>
      <c r="F51" s="1217" t="str">
        <f>+INDEX('Exh JAD-7, Summary of Adj'!$C$5:$AN$5,1,MATCH($D51,'Exh JAD-7, Summary of Adj'!$C$4:$AN$4,0))</f>
        <v>2025 Pro Forma Misc. O&amp;M Expense Adjustment</v>
      </c>
      <c r="I51" s="1217" cm="1">
        <f t="array" ref="I51">+SUM('Exh. BGM-3 (Detail)'!J$9:J$65*N('Exh. BGM-3 (Detail)'!$D$9:$D$65=$D51))</f>
        <v>-175.15511568892825</v>
      </c>
      <c r="J51" s="1217"/>
      <c r="K51" s="1217" cm="1">
        <f t="array" ref="K51">+SUM('Exh. BGM-3 (Detail)'!L$9:L$65*N('Exh. BGM-3 (Detail)'!$D$9:$D$65=$D51))</f>
        <v>0</v>
      </c>
      <c r="L51" s="1217"/>
      <c r="M51" s="1217">
        <f t="shared" si="17"/>
        <v>233.1977258105758</v>
      </c>
      <c r="O51" s="1199"/>
      <c r="P51" s="1217">
        <f t="shared" si="18"/>
        <v>-20.193044707528799</v>
      </c>
      <c r="Q51" s="1217"/>
      <c r="R51" s="1217">
        <f t="shared" si="21"/>
        <v>0</v>
      </c>
      <c r="S51" s="1217"/>
      <c r="T51" s="1217">
        <f t="shared" si="19"/>
        <v>26.884582185712656</v>
      </c>
      <c r="U51" s="1199"/>
      <c r="V51" s="1199"/>
      <c r="W51" s="1217" cm="1">
        <f t="array" ref="W51">+SUM('Exh. BGM-3 (Detail)'!X$9:X$65*N('Exh. BGM-3 (Detail)'!$D$9:$D$65=$D51))</f>
        <v>196.15452022961955</v>
      </c>
      <c r="X51" s="1217"/>
      <c r="Y51" s="1217" cm="1">
        <f t="array" ref="Y51">+SUM('Exh. BGM-3 (Detail)'!Z$9:Z$65*N('Exh. BGM-3 (Detail)'!$D$9:$D$65=$D51))</f>
        <v>154.96207098139945</v>
      </c>
      <c r="Z51" s="1217"/>
      <c r="AA51" s="1217" cm="1">
        <f t="array" ref="AA51">+SUM('Exh. BGM-3 (Detail)'!AB$9:AB$65*N('Exh. BGM-3 (Detail)'!$D$9:$D$65=$D51))</f>
        <v>0</v>
      </c>
      <c r="AB51" s="1218"/>
      <c r="AC51" s="1217">
        <f t="shared" si="20"/>
        <v>-206.31314362486316</v>
      </c>
      <c r="AD51" s="1240"/>
      <c r="AE51" s="1207" t="s">
        <v>4120</v>
      </c>
      <c r="AH51" s="1201"/>
      <c r="AJ51" s="1199"/>
      <c r="AK51" s="1199"/>
      <c r="AL51" s="1199"/>
    </row>
    <row r="52" spans="1:44" s="1200" customFormat="1">
      <c r="A52" s="1199"/>
      <c r="B52" s="1199"/>
      <c r="C52" s="1199"/>
      <c r="D52" s="1199"/>
      <c r="E52" s="1199"/>
      <c r="F52" s="1199"/>
      <c r="I52" s="1199"/>
      <c r="J52" s="1199"/>
      <c r="K52" s="1199"/>
      <c r="L52" s="1199"/>
      <c r="M52" s="1199"/>
      <c r="O52" s="1199"/>
      <c r="P52" s="1199"/>
      <c r="Q52" s="1199"/>
      <c r="R52" s="1199"/>
      <c r="S52" s="1199"/>
      <c r="T52" s="1199"/>
      <c r="U52" s="1199"/>
      <c r="V52" s="1199"/>
      <c r="AH52" s="1201"/>
      <c r="AJ52" s="1199"/>
      <c r="AK52" s="1199"/>
      <c r="AL52" s="1199"/>
    </row>
    <row r="53" spans="1:44" s="1200" customFormat="1">
      <c r="A53" s="1199"/>
      <c r="B53" s="1199"/>
      <c r="C53" s="1198"/>
      <c r="D53" s="1216"/>
      <c r="E53" s="1198"/>
      <c r="F53" s="1199"/>
      <c r="I53" s="1231"/>
      <c r="J53" s="1214"/>
      <c r="K53" s="1231"/>
      <c r="L53" s="1214"/>
      <c r="M53" s="1231"/>
      <c r="O53" s="1198"/>
      <c r="P53" s="1231"/>
      <c r="Q53" s="1214"/>
      <c r="R53" s="1231"/>
      <c r="S53" s="1214"/>
      <c r="T53" s="1231"/>
      <c r="U53" s="1199"/>
      <c r="V53" s="1199"/>
      <c r="W53" s="1231"/>
      <c r="X53" s="1199"/>
      <c r="Y53" s="1231"/>
      <c r="Z53" s="1214"/>
      <c r="AA53" s="1231"/>
      <c r="AB53" s="1214"/>
      <c r="AC53" s="1232"/>
      <c r="AE53" s="1207"/>
      <c r="AH53" s="1201"/>
      <c r="AJ53" s="1199"/>
      <c r="AK53" s="1199"/>
      <c r="AL53" s="1199"/>
    </row>
    <row r="54" spans="1:44" s="1200" customFormat="1" ht="13.5" thickBot="1">
      <c r="A54" s="1199"/>
      <c r="B54" s="1199">
        <f ca="1">+MAX(OFFSET($B$7,0,0,ROW($B54)-ROW($B$7),1))+1</f>
        <v>34</v>
      </c>
      <c r="C54" s="1199"/>
      <c r="D54" s="1216"/>
      <c r="E54" s="1199"/>
      <c r="F54" s="1198" t="s">
        <v>4131</v>
      </c>
      <c r="I54" s="1233">
        <f>+SUBTOTAL(9,I6:I53)</f>
        <v>-3432.4007229558392</v>
      </c>
      <c r="J54" s="1217"/>
      <c r="K54" s="1233">
        <f>+SUBTOTAL(9,K6:K53)</f>
        <v>67549.808024492464</v>
      </c>
      <c r="L54" s="1217"/>
      <c r="M54" s="1233">
        <f>+SUBTOTAL(9,M6:M53)</f>
        <v>10962.357601537091</v>
      </c>
      <c r="O54" s="1199"/>
      <c r="P54" s="1233">
        <f>+SUBTOTAL(9,P6:P53)</f>
        <v>-547.46905535170526</v>
      </c>
      <c r="Q54" s="1217"/>
      <c r="R54" s="1233">
        <f>+SUBTOTAL(9,R6:R53)</f>
        <v>4520.7301159219114</v>
      </c>
      <c r="S54" s="1217"/>
      <c r="T54" s="1233">
        <f>+($R54*$AL$16-$P54)/$AJ$4</f>
        <v>1156.7048927228898</v>
      </c>
      <c r="V54" s="1199"/>
      <c r="W54" s="1233">
        <f>+SUBTOTAL(9,W6:W53)</f>
        <v>3651.8122374735653</v>
      </c>
      <c r="X54" s="1218"/>
      <c r="Y54" s="1233">
        <f>+SUBTOTAL(9,Y6:Y53)</f>
        <v>2884.9316676041149</v>
      </c>
      <c r="Z54" s="1217"/>
      <c r="AA54" s="1233">
        <f>+SUBTOTAL(9,AA6:AA53)</f>
        <v>-63029.077908570434</v>
      </c>
      <c r="AB54" s="1217"/>
      <c r="AC54" s="1233">
        <f>+SUBTOTAL(9,AC6:AC53)</f>
        <v>-9805.6527088141938</v>
      </c>
      <c r="AE54" s="1207"/>
      <c r="AH54" s="1201"/>
      <c r="AJ54" s="1199"/>
      <c r="AK54" s="1199"/>
      <c r="AL54" s="1199"/>
    </row>
    <row r="55" spans="1:44" s="1200" customFormat="1" ht="13.5" thickTop="1">
      <c r="A55" s="1199"/>
      <c r="B55" s="1199"/>
      <c r="C55" s="1199"/>
      <c r="D55" s="1216"/>
      <c r="E55" s="1199"/>
      <c r="F55" s="1198"/>
      <c r="I55" s="1214"/>
      <c r="J55" s="1217"/>
      <c r="K55" s="1214"/>
      <c r="L55" s="1217"/>
      <c r="M55" s="1214"/>
      <c r="O55" s="1199"/>
      <c r="P55" s="1214"/>
      <c r="Q55" s="1217"/>
      <c r="R55" s="1214"/>
      <c r="S55" s="1234"/>
      <c r="T55" s="1214"/>
      <c r="U55" s="1199"/>
      <c r="V55" s="1199"/>
      <c r="W55" s="1214"/>
      <c r="X55" s="1218"/>
      <c r="Y55" s="1214"/>
      <c r="Z55" s="1217"/>
      <c r="AA55" s="1214"/>
      <c r="AB55" s="1217"/>
      <c r="AC55" s="1214"/>
      <c r="AE55" s="1207"/>
      <c r="AH55" s="1201"/>
      <c r="AJ55" s="1199"/>
      <c r="AK55" s="1199"/>
      <c r="AL55" s="1199"/>
    </row>
    <row r="56" spans="1:44" s="1200" customFormat="1">
      <c r="A56" s="1199"/>
      <c r="B56" s="1199"/>
      <c r="C56" s="1199"/>
      <c r="D56" s="1199"/>
      <c r="E56" s="1199"/>
      <c r="F56" s="1198"/>
      <c r="I56" s="1214"/>
      <c r="J56" s="1199"/>
      <c r="K56" s="1214"/>
      <c r="L56" s="1199"/>
      <c r="M56" s="1214"/>
      <c r="O56" s="1199"/>
      <c r="P56" s="1214"/>
      <c r="Q56" s="1199"/>
      <c r="R56" s="1214"/>
      <c r="S56" s="1199"/>
      <c r="T56" s="1214"/>
      <c r="U56" s="1199"/>
      <c r="V56" s="1199"/>
      <c r="AH56" s="1201"/>
      <c r="AJ56" s="1199"/>
      <c r="AK56" s="1199"/>
      <c r="AL56" s="1199"/>
    </row>
    <row r="57" spans="1:44" s="1200" customFormat="1">
      <c r="A57" s="1199"/>
      <c r="B57" s="1199"/>
      <c r="C57" s="1199"/>
      <c r="D57" s="1199"/>
      <c r="E57" s="1199"/>
      <c r="F57" s="1199"/>
      <c r="I57" s="1209" t="s">
        <v>4132</v>
      </c>
      <c r="J57" s="1209"/>
      <c r="K57" s="1209" t="s">
        <v>4133</v>
      </c>
      <c r="L57" s="1209"/>
      <c r="M57" s="1209" t="s">
        <v>4064</v>
      </c>
      <c r="O57" s="1199"/>
      <c r="P57" s="1199"/>
      <c r="Q57" s="1199"/>
      <c r="R57" s="1199"/>
      <c r="S57" s="1199"/>
      <c r="T57" s="1199"/>
      <c r="U57" s="1199"/>
      <c r="V57" s="1199"/>
      <c r="AH57" s="1201"/>
      <c r="AJ57" s="1199"/>
      <c r="AK57" s="1199"/>
      <c r="AL57" s="1199"/>
    </row>
    <row r="58" spans="1:44" s="1200" customFormat="1">
      <c r="A58" s="1199"/>
      <c r="B58" s="1199"/>
      <c r="C58" s="1199"/>
      <c r="D58" s="1199"/>
      <c r="E58" s="1199"/>
      <c r="F58" s="1199"/>
      <c r="G58" s="1199"/>
      <c r="H58" s="1199"/>
      <c r="I58" s="1209" t="s">
        <v>4134</v>
      </c>
      <c r="J58" s="1209"/>
      <c r="K58" s="1235" t="s">
        <v>4064</v>
      </c>
      <c r="L58" s="1209"/>
      <c r="M58" s="1209" t="s">
        <v>4135</v>
      </c>
      <c r="O58" s="1199"/>
      <c r="P58" s="1199"/>
      <c r="Q58" s="1199"/>
      <c r="R58" s="1199"/>
      <c r="S58" s="1199"/>
      <c r="T58" s="1199"/>
      <c r="U58" s="1199"/>
      <c r="V58" s="1199"/>
      <c r="AH58" s="1201"/>
      <c r="AJ58" s="1199"/>
      <c r="AK58" s="1199"/>
      <c r="AL58" s="1199"/>
    </row>
    <row r="59" spans="1:44" s="1200" customFormat="1">
      <c r="A59" s="1199"/>
      <c r="B59" s="1199"/>
      <c r="C59" s="1199"/>
      <c r="D59" s="1199"/>
      <c r="E59" s="1199"/>
      <c r="F59" s="1198"/>
      <c r="G59" s="1236" t="s">
        <v>2436</v>
      </c>
      <c r="H59" s="1199"/>
      <c r="I59" s="1217">
        <f>+'Exh JAD-5, Rev Req Calc'!E15/1000</f>
        <v>43829.673000000003</v>
      </c>
      <c r="J59" s="1199"/>
      <c r="K59" s="1217">
        <f>+M40</f>
        <v>36248.938043353519</v>
      </c>
      <c r="L59" s="1199"/>
      <c r="M59" s="1217">
        <f>+K59-I59</f>
        <v>-7580.7349566464836</v>
      </c>
      <c r="O59" s="1199"/>
      <c r="P59" s="1199"/>
      <c r="Q59" s="1199"/>
      <c r="R59" s="1199"/>
      <c r="S59" s="1199"/>
      <c r="T59" s="1217"/>
      <c r="U59" s="1199"/>
      <c r="V59" s="1199"/>
      <c r="AH59" s="1201"/>
      <c r="AJ59" s="1199"/>
      <c r="AK59" s="1199"/>
      <c r="AL59" s="1199"/>
    </row>
    <row r="60" spans="1:44" s="1200" customFormat="1">
      <c r="A60" s="1199"/>
      <c r="B60" s="1199"/>
      <c r="C60" s="1199"/>
      <c r="D60" s="1199"/>
      <c r="E60" s="1199"/>
      <c r="F60" s="1198"/>
      <c r="G60" s="1236" t="s">
        <v>2437</v>
      </c>
      <c r="H60" s="1199"/>
      <c r="I60" s="1217">
        <f>+'Exh JAD-5, Rev Req Calc'!F15/1000</f>
        <v>11669.242</v>
      </c>
      <c r="J60" s="1199"/>
      <c r="K60" s="1217">
        <f>+M54</f>
        <v>10962.357601537091</v>
      </c>
      <c r="L60" s="1199"/>
      <c r="M60" s="1217">
        <f>+K60-I60</f>
        <v>-706.8843984629093</v>
      </c>
      <c r="O60" s="1199"/>
      <c r="P60" s="1199"/>
      <c r="Q60" s="1199"/>
      <c r="R60" s="1199"/>
      <c r="S60" s="1199"/>
      <c r="T60" s="1237"/>
      <c r="U60" s="1199"/>
      <c r="V60" s="1199"/>
      <c r="AH60" s="1201"/>
      <c r="AJ60" s="1199"/>
      <c r="AK60" s="1199"/>
      <c r="AL60" s="1199"/>
    </row>
    <row r="61" spans="1:44" s="1200" customFormat="1">
      <c r="A61" s="1199"/>
      <c r="B61" s="1199"/>
      <c r="C61" s="1199"/>
      <c r="D61" s="1199"/>
      <c r="E61" s="1199"/>
      <c r="F61" s="1199"/>
      <c r="I61" s="1199"/>
      <c r="J61" s="1199"/>
      <c r="K61" s="1199"/>
      <c r="L61" s="1199"/>
      <c r="M61" s="1199"/>
      <c r="O61" s="1199"/>
      <c r="P61" s="1199"/>
      <c r="Q61" s="1199"/>
      <c r="R61" s="1199"/>
      <c r="S61" s="1199"/>
      <c r="T61" s="1199"/>
      <c r="U61" s="1199"/>
      <c r="V61" s="1199"/>
      <c r="AH61" s="1201"/>
      <c r="AJ61" s="1199"/>
      <c r="AK61" s="1199"/>
      <c r="AL61" s="1199"/>
    </row>
    <row r="62" spans="1:44" s="1200" customFormat="1">
      <c r="A62" s="1199"/>
      <c r="B62" s="1199"/>
      <c r="C62" s="1199"/>
      <c r="D62" s="1199"/>
      <c r="E62" s="1199"/>
      <c r="F62" s="1199"/>
      <c r="I62" s="1199"/>
      <c r="J62" s="1199"/>
      <c r="K62" s="1199"/>
      <c r="L62" s="1199"/>
      <c r="M62" s="1199"/>
      <c r="O62" s="1199"/>
      <c r="P62" s="1199"/>
      <c r="Q62" s="1199"/>
      <c r="R62" s="1199"/>
      <c r="S62" s="1199"/>
      <c r="T62" s="1199"/>
      <c r="U62" s="1199"/>
      <c r="V62" s="1199"/>
      <c r="AH62" s="1201"/>
      <c r="AJ62" s="1199"/>
      <c r="AK62" s="1199"/>
      <c r="AL62" s="1199"/>
    </row>
    <row r="63" spans="1:44" s="1200" customFormat="1">
      <c r="A63" s="1199"/>
      <c r="B63" s="1199"/>
      <c r="C63" s="1199"/>
      <c r="D63" s="1199"/>
      <c r="E63" s="1199"/>
      <c r="F63" s="1217"/>
      <c r="I63" s="1199"/>
      <c r="J63" s="1199"/>
      <c r="K63" s="1199"/>
      <c r="L63" s="1199"/>
      <c r="O63" s="1199"/>
      <c r="P63" s="1199"/>
      <c r="Q63" s="1199"/>
      <c r="R63" s="1199"/>
      <c r="S63" s="1199"/>
      <c r="T63" s="1199"/>
      <c r="U63" s="1199"/>
      <c r="V63" s="1199"/>
      <c r="AH63" s="1201"/>
      <c r="AJ63" s="1199"/>
      <c r="AK63" s="1199"/>
      <c r="AL63" s="1199"/>
    </row>
    <row r="64" spans="1:44" s="1200" customFormat="1">
      <c r="A64" s="1199"/>
      <c r="B64" s="1199"/>
      <c r="C64" s="1199"/>
      <c r="D64" s="1199"/>
      <c r="E64" s="1199"/>
      <c r="F64" s="1217"/>
      <c r="I64" s="1199"/>
      <c r="J64" s="1199"/>
      <c r="K64" s="1199"/>
      <c r="L64" s="1199"/>
      <c r="M64" s="1199"/>
      <c r="O64" s="1199"/>
      <c r="P64" s="1199"/>
      <c r="Q64" s="1199"/>
      <c r="R64" s="1199"/>
      <c r="S64" s="1199"/>
      <c r="T64" s="1199"/>
      <c r="U64" s="1199"/>
      <c r="V64" s="1199"/>
      <c r="AH64" s="1201"/>
      <c r="AJ64" s="1199"/>
      <c r="AK64" s="1199"/>
      <c r="AL64" s="1199"/>
    </row>
    <row r="65" spans="1:38" s="1200" customFormat="1">
      <c r="A65" s="1199"/>
      <c r="B65" s="1199"/>
      <c r="C65" s="1199"/>
      <c r="D65" s="1199"/>
      <c r="E65" s="1199"/>
      <c r="F65" s="1217"/>
      <c r="I65" s="1199"/>
      <c r="J65" s="1199"/>
      <c r="K65" s="1199"/>
      <c r="L65" s="1199"/>
      <c r="M65" s="1199"/>
      <c r="O65" s="1199"/>
      <c r="P65" s="1199"/>
      <c r="Q65" s="1199"/>
      <c r="R65" s="1199"/>
      <c r="S65" s="1199"/>
      <c r="T65" s="1199"/>
      <c r="U65" s="1199"/>
      <c r="V65" s="1199"/>
      <c r="AH65" s="1201"/>
      <c r="AJ65" s="1199"/>
      <c r="AK65" s="1199"/>
      <c r="AL65" s="1199"/>
    </row>
    <row r="66" spans="1:38" s="1200" customFormat="1">
      <c r="A66" s="1199"/>
      <c r="B66" s="1199"/>
      <c r="C66" s="1199"/>
      <c r="D66" s="1199"/>
      <c r="E66" s="1199"/>
      <c r="F66" s="1199"/>
      <c r="I66" s="1199"/>
      <c r="J66" s="1199"/>
      <c r="K66" s="1199"/>
      <c r="L66" s="1199"/>
      <c r="M66" s="1199"/>
      <c r="O66" s="1199"/>
      <c r="P66" s="1199"/>
      <c r="Q66" s="1199"/>
      <c r="R66" s="1199"/>
      <c r="S66" s="1199"/>
      <c r="T66" s="1199"/>
      <c r="U66" s="1199"/>
      <c r="V66" s="1199"/>
      <c r="AH66" s="1201"/>
      <c r="AJ66" s="1199"/>
      <c r="AK66" s="1199"/>
      <c r="AL66" s="1199"/>
    </row>
    <row r="67" spans="1:38" s="1200" customFormat="1">
      <c r="A67" s="1199"/>
      <c r="B67" s="1199"/>
      <c r="C67" s="1199"/>
      <c r="D67" s="1199"/>
      <c r="E67" s="1199"/>
      <c r="F67" s="1199"/>
      <c r="I67" s="1199"/>
      <c r="J67" s="1199"/>
      <c r="K67" s="1199"/>
      <c r="L67" s="1199"/>
      <c r="M67" s="1199"/>
      <c r="O67" s="1199"/>
      <c r="P67" s="1199"/>
      <c r="Q67" s="1199"/>
      <c r="R67" s="1199"/>
      <c r="S67" s="1199"/>
      <c r="T67" s="1199"/>
      <c r="U67" s="1199"/>
      <c r="V67" s="1199"/>
      <c r="AH67" s="1201"/>
      <c r="AJ67" s="1199"/>
      <c r="AK67" s="1199"/>
      <c r="AL67" s="1199"/>
    </row>
    <row r="68" spans="1:38" s="1200" customFormat="1">
      <c r="A68" s="1199"/>
      <c r="B68" s="1199"/>
      <c r="C68" s="1199"/>
      <c r="D68" s="1199"/>
      <c r="E68" s="1199"/>
      <c r="F68" s="1199"/>
      <c r="I68" s="1199"/>
      <c r="J68" s="1199"/>
      <c r="K68" s="1199"/>
      <c r="L68" s="1199"/>
      <c r="M68" s="1199"/>
      <c r="O68" s="1199"/>
      <c r="P68" s="1199"/>
      <c r="Q68" s="1199"/>
      <c r="R68" s="1199"/>
      <c r="S68" s="1199"/>
      <c r="T68" s="1199"/>
      <c r="U68" s="1199"/>
      <c r="V68" s="1199"/>
      <c r="AH68" s="1201"/>
      <c r="AJ68" s="1199"/>
      <c r="AK68" s="1199"/>
      <c r="AL68" s="1199"/>
    </row>
    <row r="69" spans="1:38" s="1200" customFormat="1">
      <c r="A69" s="1199"/>
      <c r="B69" s="1199"/>
      <c r="C69" s="1199"/>
      <c r="D69" s="1199"/>
      <c r="E69" s="1199"/>
      <c r="F69" s="1199"/>
      <c r="I69" s="1199"/>
      <c r="J69" s="1199"/>
      <c r="K69" s="1199"/>
      <c r="L69" s="1199"/>
      <c r="M69" s="1199"/>
      <c r="O69" s="1199"/>
      <c r="P69" s="1199"/>
      <c r="Q69" s="1199"/>
      <c r="R69" s="1199"/>
      <c r="S69" s="1199"/>
      <c r="T69" s="1199"/>
      <c r="U69" s="1199"/>
      <c r="V69" s="1199"/>
      <c r="AH69" s="1201"/>
      <c r="AJ69" s="1199"/>
      <c r="AK69" s="1199"/>
      <c r="AL69" s="1199"/>
    </row>
    <row r="70" spans="1:38" s="1200" customFormat="1">
      <c r="A70" s="1199"/>
      <c r="B70" s="1199"/>
      <c r="C70" s="1199"/>
      <c r="D70" s="1199"/>
      <c r="E70" s="1199"/>
      <c r="F70" s="1199"/>
      <c r="I70" s="1199"/>
      <c r="J70" s="1199"/>
      <c r="K70" s="1199"/>
      <c r="L70" s="1199"/>
      <c r="M70" s="1199"/>
      <c r="O70" s="1199"/>
      <c r="P70" s="1199"/>
      <c r="Q70" s="1199"/>
      <c r="R70" s="1199"/>
      <c r="S70" s="1199"/>
      <c r="T70" s="1199"/>
      <c r="U70" s="1199"/>
      <c r="V70" s="1199"/>
      <c r="AH70" s="1201"/>
      <c r="AJ70" s="1199"/>
      <c r="AK70" s="1199"/>
      <c r="AL70" s="1199"/>
    </row>
    <row r="71" spans="1:38" s="1200" customFormat="1">
      <c r="A71" s="1199"/>
      <c r="B71" s="1199"/>
      <c r="C71" s="1199"/>
      <c r="D71" s="1199"/>
      <c r="E71" s="1199"/>
      <c r="F71" s="1199"/>
      <c r="I71" s="1199"/>
      <c r="J71" s="1199"/>
      <c r="K71" s="1199"/>
      <c r="L71" s="1199"/>
      <c r="M71" s="1199"/>
      <c r="O71" s="1199"/>
      <c r="P71" s="1199"/>
      <c r="Q71" s="1199"/>
      <c r="R71" s="1199"/>
      <c r="S71" s="1199"/>
      <c r="T71" s="1199"/>
      <c r="U71" s="1199"/>
      <c r="V71" s="1199"/>
      <c r="AH71" s="1201"/>
      <c r="AJ71" s="1199"/>
      <c r="AK71" s="1199"/>
      <c r="AL71" s="1199"/>
    </row>
    <row r="72" spans="1:38" s="1200" customFormat="1">
      <c r="A72" s="1199"/>
      <c r="B72" s="1199"/>
      <c r="C72" s="1199"/>
      <c r="D72" s="1199"/>
      <c r="E72" s="1199"/>
      <c r="F72" s="1199"/>
      <c r="I72" s="1199"/>
      <c r="J72" s="1199"/>
      <c r="K72" s="1199"/>
      <c r="L72" s="1199"/>
      <c r="M72" s="1199"/>
      <c r="O72" s="1199"/>
      <c r="P72" s="1199"/>
      <c r="Q72" s="1199"/>
      <c r="R72" s="1199"/>
      <c r="S72" s="1199"/>
      <c r="T72" s="1199"/>
      <c r="U72" s="1199"/>
      <c r="V72" s="1199"/>
      <c r="AH72" s="1201"/>
      <c r="AJ72" s="1199"/>
      <c r="AK72" s="1199"/>
      <c r="AL72" s="1199"/>
    </row>
    <row r="73" spans="1:38" s="1200" customFormat="1">
      <c r="A73" s="1199"/>
      <c r="B73" s="1199"/>
      <c r="C73" s="1199"/>
      <c r="D73" s="1199"/>
      <c r="E73" s="1199"/>
      <c r="F73" s="1199"/>
      <c r="I73" s="1199"/>
      <c r="J73" s="1199"/>
      <c r="K73" s="1199"/>
      <c r="L73" s="1199"/>
      <c r="M73" s="1199"/>
      <c r="O73" s="1199"/>
      <c r="P73" s="1199"/>
      <c r="Q73" s="1199"/>
      <c r="R73" s="1199"/>
      <c r="S73" s="1199"/>
      <c r="T73" s="1199"/>
      <c r="U73" s="1199"/>
      <c r="V73" s="1199"/>
      <c r="AH73" s="1201"/>
      <c r="AJ73" s="1199"/>
      <c r="AK73" s="1199"/>
      <c r="AL73" s="1199"/>
    </row>
    <row r="74" spans="1:38" s="1200" customFormat="1">
      <c r="A74" s="1199"/>
      <c r="B74" s="1199"/>
      <c r="C74" s="1199"/>
      <c r="D74" s="1199"/>
      <c r="E74" s="1199"/>
      <c r="F74" s="1199"/>
      <c r="I74" s="1199"/>
      <c r="J74" s="1199"/>
      <c r="K74" s="1199"/>
      <c r="L74" s="1199"/>
      <c r="M74" s="1199"/>
      <c r="O74" s="1199"/>
      <c r="P74" s="1199"/>
      <c r="Q74" s="1199"/>
      <c r="R74" s="1199"/>
      <c r="S74" s="1199"/>
      <c r="T74" s="1199"/>
      <c r="U74" s="1199"/>
      <c r="V74" s="1199"/>
      <c r="AH74" s="1201"/>
      <c r="AJ74" s="1199"/>
      <c r="AK74" s="1199"/>
      <c r="AL74" s="1199"/>
    </row>
  </sheetData>
  <pageMargins left="0.15" right="0.15" top="1" bottom="0.25" header="0" footer="0.25"/>
  <pageSetup scale="75" pageOrder="overThenDown" orientation="portrait" r:id="rId1"/>
  <colBreaks count="1" manualBreakCount="1">
    <brk id="21" max="61"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B418-29D8-43E2-A4C1-94787F122E4A}">
  <sheetPr codeName="Sheet9">
    <pageSetUpPr fitToPage="1"/>
  </sheetPr>
  <dimension ref="A1:H17"/>
  <sheetViews>
    <sheetView workbookViewId="0">
      <selection activeCell="C8" sqref="C8"/>
    </sheetView>
  </sheetViews>
  <sheetFormatPr defaultColWidth="8.85546875" defaultRowHeight="15"/>
  <cols>
    <col min="1" max="1" width="12" style="53" customWidth="1"/>
    <col min="2" max="2" width="50.85546875" style="53" customWidth="1"/>
    <col min="3" max="3" width="11.5703125" style="1" bestFit="1" customWidth="1"/>
    <col min="4" max="6" width="8.85546875" style="53"/>
    <col min="7" max="7" width="9.5703125" style="53" bestFit="1" customWidth="1"/>
    <col min="8" max="16384" width="8.85546875" style="53"/>
  </cols>
  <sheetData>
    <row r="1" spans="1:8">
      <c r="A1" s="1401" t="str">
        <f>Company</f>
        <v>Cascade Natural Gas Corp.</v>
      </c>
      <c r="B1" s="1401"/>
      <c r="C1" s="1401"/>
    </row>
    <row r="2" spans="1:8">
      <c r="A2" s="1401" t="str">
        <f>Title1</f>
        <v>Washington Jurisdiction</v>
      </c>
      <c r="B2" s="1401"/>
      <c r="C2" s="1401"/>
    </row>
    <row r="3" spans="1:8">
      <c r="A3" s="1401" t="str">
        <f>Title2</f>
        <v>Twelve-Months ended December 31, 2023</v>
      </c>
      <c r="B3" s="1401"/>
      <c r="C3" s="1401"/>
    </row>
    <row r="4" spans="1:8">
      <c r="B4" s="427" t="s">
        <v>673</v>
      </c>
    </row>
    <row r="5" spans="1:8">
      <c r="A5" s="1401" t="s">
        <v>672</v>
      </c>
      <c r="B5" s="1401"/>
      <c r="C5" s="1401"/>
    </row>
    <row r="6" spans="1:8">
      <c r="A6" s="172" t="s">
        <v>536</v>
      </c>
      <c r="B6" s="172" t="s">
        <v>537</v>
      </c>
      <c r="C6" s="67" t="s">
        <v>1064</v>
      </c>
      <c r="E6" s="644"/>
      <c r="F6" s="644"/>
    </row>
    <row r="7" spans="1:8">
      <c r="A7" s="486"/>
      <c r="B7" s="487" t="s">
        <v>439</v>
      </c>
      <c r="C7" s="425" t="s">
        <v>208</v>
      </c>
    </row>
    <row r="8" spans="1:8">
      <c r="A8" s="124">
        <v>1</v>
      </c>
      <c r="B8" s="53" t="s">
        <v>1362</v>
      </c>
      <c r="C8" s="20">
        <v>309816.11</v>
      </c>
      <c r="H8"/>
    </row>
    <row r="9" spans="1:8">
      <c r="A9" s="124">
        <v>2</v>
      </c>
      <c r="B9" s="53" t="s">
        <v>1363</v>
      </c>
      <c r="C9" s="991">
        <v>0.5</v>
      </c>
      <c r="G9" s="656"/>
    </row>
    <row r="10" spans="1:8" ht="15.75" thickBot="1">
      <c r="A10" s="449">
        <v>3</v>
      </c>
      <c r="B10" s="53" t="s">
        <v>179</v>
      </c>
      <c r="C10" s="992">
        <f>+C8*C9</f>
        <v>154908.05499999999</v>
      </c>
    </row>
    <row r="11" spans="1:8" ht="15.75" thickTop="1">
      <c r="A11" s="449">
        <v>4</v>
      </c>
      <c r="C11" s="65"/>
    </row>
    <row r="12" spans="1:8">
      <c r="A12" s="449">
        <v>5</v>
      </c>
      <c r="B12" s="53" t="s">
        <v>1364</v>
      </c>
      <c r="C12" s="20">
        <v>5572.32</v>
      </c>
    </row>
    <row r="13" spans="1:8">
      <c r="A13" s="449">
        <v>6</v>
      </c>
    </row>
    <row r="14" spans="1:8">
      <c r="A14" s="449">
        <v>7</v>
      </c>
      <c r="B14" t="s">
        <v>1365</v>
      </c>
      <c r="C14" s="6">
        <f>C10+C12</f>
        <v>160480.375</v>
      </c>
    </row>
    <row r="15" spans="1:8">
      <c r="A15" s="449"/>
    </row>
    <row r="16" spans="1:8">
      <c r="A16" s="449"/>
      <c r="C16" s="6"/>
    </row>
    <row r="17" spans="1:3">
      <c r="A17" s="449"/>
      <c r="B17"/>
      <c r="C17" s="6"/>
    </row>
  </sheetData>
  <mergeCells count="4">
    <mergeCell ref="A1:C1"/>
    <mergeCell ref="A5:C5"/>
    <mergeCell ref="A3:C3"/>
    <mergeCell ref="A2:C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3C41-40FD-410F-95BB-5547CC970869}">
  <sheetPr codeName="Sheet22">
    <pageSetUpPr fitToPage="1"/>
  </sheetPr>
  <dimension ref="A1:N27"/>
  <sheetViews>
    <sheetView workbookViewId="0">
      <selection activeCell="A19" sqref="A19:A838"/>
    </sheetView>
  </sheetViews>
  <sheetFormatPr defaultColWidth="8.85546875" defaultRowHeight="15"/>
  <cols>
    <col min="1" max="1" width="5.85546875" style="53" customWidth="1"/>
    <col min="2" max="2" width="50.7109375" style="53" bestFit="1" customWidth="1"/>
    <col min="3" max="3" width="14.28515625" style="53" bestFit="1" customWidth="1"/>
    <col min="4" max="4" width="8.85546875" style="53"/>
    <col min="5" max="5" width="10.5703125" style="53" bestFit="1" customWidth="1"/>
    <col min="6" max="7" width="15" style="53" bestFit="1" customWidth="1"/>
    <col min="8" max="8" width="14.28515625" style="53" bestFit="1" customWidth="1"/>
    <col min="9" max="11" width="8.85546875" style="53"/>
    <col min="12" max="12" width="14.28515625" style="53" bestFit="1" customWidth="1"/>
    <col min="13" max="13" width="15" style="53" bestFit="1" customWidth="1"/>
    <col min="14" max="14" width="14.28515625" style="53" bestFit="1" customWidth="1"/>
    <col min="15" max="16384" width="8.85546875" style="53"/>
  </cols>
  <sheetData>
    <row r="1" spans="1:14">
      <c r="A1" s="1401" t="str">
        <f>Company</f>
        <v>Cascade Natural Gas Corp.</v>
      </c>
      <c r="B1" s="1401"/>
      <c r="C1" s="1401"/>
    </row>
    <row r="2" spans="1:14">
      <c r="A2" s="1401" t="str">
        <f>Title1</f>
        <v>Washington Jurisdiction</v>
      </c>
      <c r="B2" s="1401"/>
      <c r="C2" s="1401"/>
    </row>
    <row r="3" spans="1:14">
      <c r="A3" s="1401" t="str">
        <f>Title2</f>
        <v>Twelve-Months ended December 31, 2023</v>
      </c>
      <c r="B3" s="1401"/>
      <c r="C3" s="1401"/>
    </row>
    <row r="4" spans="1:14">
      <c r="B4" s="427" t="s">
        <v>675</v>
      </c>
    </row>
    <row r="5" spans="1:14">
      <c r="A5" s="1401" t="s">
        <v>674</v>
      </c>
      <c r="B5" s="1401"/>
      <c r="C5" s="1401"/>
    </row>
    <row r="6" spans="1:14" ht="30">
      <c r="A6" s="75" t="s">
        <v>536</v>
      </c>
      <c r="B6" s="75" t="s">
        <v>537</v>
      </c>
      <c r="C6" s="76" t="s">
        <v>369</v>
      </c>
      <c r="E6" s="644"/>
    </row>
    <row r="7" spans="1:14">
      <c r="A7" s="74"/>
      <c r="B7" s="63" t="s">
        <v>439</v>
      </c>
      <c r="C7" s="63" t="s">
        <v>208</v>
      </c>
    </row>
    <row r="8" spans="1:14">
      <c r="A8" s="124">
        <v>1</v>
      </c>
      <c r="B8" s="53" t="s">
        <v>1366</v>
      </c>
      <c r="D8" s="5"/>
      <c r="N8" s="99"/>
    </row>
    <row r="9" spans="1:14">
      <c r="A9" s="124">
        <f>MAX($A$8:A8)+1</f>
        <v>2</v>
      </c>
      <c r="B9" s="577" t="s">
        <v>1367</v>
      </c>
      <c r="C9" s="362">
        <v>1232453.0799999998</v>
      </c>
      <c r="E9"/>
    </row>
    <row r="10" spans="1:14">
      <c r="A10" s="124">
        <f>MAX($A$8:A9)+1</f>
        <v>3</v>
      </c>
      <c r="B10" s="577" t="s">
        <v>1368</v>
      </c>
      <c r="C10" s="362">
        <v>1632.76</v>
      </c>
    </row>
    <row r="11" spans="1:14">
      <c r="A11" s="124">
        <f>MAX($A$8:A10)+1</f>
        <v>4</v>
      </c>
      <c r="B11" s="577" t="s">
        <v>1369</v>
      </c>
      <c r="C11" s="362">
        <v>296151.94999999995</v>
      </c>
    </row>
    <row r="12" spans="1:14">
      <c r="A12" s="124">
        <f>MAX($A$8:A11)+1</f>
        <v>5</v>
      </c>
      <c r="B12" s="577" t="s">
        <v>1370</v>
      </c>
      <c r="C12" s="547">
        <v>-85148.169999999984</v>
      </c>
    </row>
    <row r="13" spans="1:14">
      <c r="A13" s="124">
        <f>MAX($A$8:A12)+1</f>
        <v>6</v>
      </c>
      <c r="B13" s="520" t="s">
        <v>1365</v>
      </c>
      <c r="C13" s="362">
        <f>SUM(C9:C12)</f>
        <v>1445089.6199999999</v>
      </c>
      <c r="N13" s="112"/>
    </row>
    <row r="14" spans="1:14">
      <c r="A14" s="124"/>
      <c r="B14"/>
      <c r="C14"/>
    </row>
    <row r="15" spans="1:14">
      <c r="A15" s="124"/>
      <c r="B15"/>
      <c r="C15"/>
    </row>
    <row r="16" spans="1:14">
      <c r="A16" s="124"/>
      <c r="B16"/>
      <c r="C16"/>
    </row>
    <row r="17" spans="1:9">
      <c r="A17" s="124"/>
      <c r="B17"/>
      <c r="C17"/>
      <c r="E17"/>
    </row>
    <row r="18" spans="1:9" ht="15" customHeight="1">
      <c r="E18"/>
    </row>
    <row r="19" spans="1:9">
      <c r="E19"/>
    </row>
    <row r="21" spans="1:9">
      <c r="D21"/>
      <c r="I21"/>
    </row>
    <row r="22" spans="1:9">
      <c r="D22"/>
      <c r="E22"/>
      <c r="F22"/>
      <c r="G22"/>
      <c r="H22"/>
      <c r="I22"/>
    </row>
    <row r="23" spans="1:9">
      <c r="D23"/>
      <c r="E23"/>
      <c r="F23"/>
      <c r="G23"/>
      <c r="H23"/>
    </row>
    <row r="24" spans="1:9">
      <c r="D24"/>
      <c r="E24"/>
      <c r="F24"/>
      <c r="G24"/>
      <c r="H24"/>
    </row>
    <row r="25" spans="1:9">
      <c r="D25"/>
      <c r="E25"/>
      <c r="F25"/>
      <c r="G25"/>
      <c r="H25"/>
    </row>
    <row r="26" spans="1:9">
      <c r="D26"/>
      <c r="E26"/>
      <c r="F26"/>
      <c r="G26"/>
      <c r="H26"/>
    </row>
    <row r="27" spans="1:9">
      <c r="D27"/>
      <c r="E27"/>
      <c r="F27"/>
      <c r="G27"/>
      <c r="H27"/>
    </row>
  </sheetData>
  <mergeCells count="4">
    <mergeCell ref="A1:C1"/>
    <mergeCell ref="A2:C2"/>
    <mergeCell ref="A3:C3"/>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F32F-EB6A-4762-BE67-3B53EFFB60C4}">
  <sheetPr codeName="Sheet63"/>
  <dimension ref="A1:W46"/>
  <sheetViews>
    <sheetView zoomScaleNormal="100" workbookViewId="0">
      <selection activeCell="C11" sqref="C11"/>
    </sheetView>
  </sheetViews>
  <sheetFormatPr defaultRowHeight="15"/>
  <cols>
    <col min="1" max="1" width="8.85546875" customWidth="1"/>
    <col min="2" max="2" width="47.42578125" bestFit="1" customWidth="1"/>
    <col min="3" max="3" width="11.5703125" bestFit="1" customWidth="1"/>
    <col min="6" max="6" width="21.5703125" bestFit="1" customWidth="1"/>
    <col min="7" max="15" width="9.5703125" bestFit="1" customWidth="1"/>
    <col min="16" max="18" width="10.5703125" bestFit="1" customWidth="1"/>
  </cols>
  <sheetData>
    <row r="1" spans="1:23">
      <c r="A1" s="1402" t="str">
        <f>Company</f>
        <v>Cascade Natural Gas Corp.</v>
      </c>
      <c r="B1" s="1402"/>
      <c r="C1" s="1402"/>
      <c r="D1" s="1402"/>
    </row>
    <row r="2" spans="1:23">
      <c r="A2" s="1402" t="str">
        <f>Title1</f>
        <v>Washington Jurisdiction</v>
      </c>
      <c r="B2" s="1402"/>
      <c r="C2" s="1402"/>
      <c r="D2" s="1402"/>
    </row>
    <row r="3" spans="1:23">
      <c r="A3" s="1402" t="str">
        <f>Title2</f>
        <v>Twelve-Months ended December 31, 2023</v>
      </c>
      <c r="B3" s="1402"/>
      <c r="C3" s="1402"/>
      <c r="D3" s="1402"/>
    </row>
    <row r="4" spans="1:23">
      <c r="A4" s="1402" t="str">
        <f>Title8</f>
        <v>UG-240008</v>
      </c>
      <c r="B4" s="1402"/>
      <c r="C4" s="1402"/>
      <c r="D4" s="1402"/>
    </row>
    <row r="5" spans="1:23">
      <c r="A5" s="1402" t="s">
        <v>677</v>
      </c>
      <c r="B5" s="1402"/>
      <c r="C5" s="1402"/>
      <c r="D5" s="1402"/>
    </row>
    <row r="6" spans="1:23">
      <c r="A6" s="1402" t="s">
        <v>676</v>
      </c>
      <c r="B6" s="1402"/>
      <c r="C6" s="1402"/>
      <c r="D6" s="1402"/>
    </row>
    <row r="7" spans="1:23">
      <c r="F7" s="644"/>
      <c r="G7" s="53"/>
    </row>
    <row r="8" spans="1:23">
      <c r="A8" s="531" t="s">
        <v>536</v>
      </c>
      <c r="B8" s="531" t="s">
        <v>537</v>
      </c>
      <c r="C8" s="531" t="s">
        <v>369</v>
      </c>
      <c r="F8" s="53"/>
      <c r="G8" s="53"/>
    </row>
    <row r="9" spans="1:23">
      <c r="B9" s="449" t="s">
        <v>439</v>
      </c>
      <c r="C9" s="449" t="s">
        <v>208</v>
      </c>
    </row>
    <row r="10" spans="1:23">
      <c r="A10" s="449">
        <v>1</v>
      </c>
      <c r="B10" t="s">
        <v>1371</v>
      </c>
      <c r="C10" s="546"/>
    </row>
    <row r="11" spans="1:23">
      <c r="A11" s="449">
        <f>MAX($A$10:A10)+1</f>
        <v>2</v>
      </c>
      <c r="B11" s="520" t="s">
        <v>1372</v>
      </c>
      <c r="C11" s="546">
        <v>18393.799999999992</v>
      </c>
    </row>
    <row r="12" spans="1:23">
      <c r="A12" s="449">
        <f>MAX($A$10:A11)+1</f>
        <v>3</v>
      </c>
      <c r="B12" s="520" t="s">
        <v>1373</v>
      </c>
      <c r="C12" s="550">
        <v>49659.740000000005</v>
      </c>
    </row>
    <row r="13" spans="1:23">
      <c r="A13" s="449">
        <f>MAX($A$10:A12)+1</f>
        <v>4</v>
      </c>
      <c r="B13" t="s">
        <v>200</v>
      </c>
      <c r="C13" s="549">
        <f>SUM(C11:C12)</f>
        <v>68053.539999999994</v>
      </c>
    </row>
    <row r="14" spans="1:23">
      <c r="A14" s="449"/>
    </row>
    <row r="16" spans="1:23">
      <c r="W16" s="756"/>
    </row>
    <row r="43" spans="11:18">
      <c r="K43" s="756"/>
      <c r="L43" s="756"/>
      <c r="M43" s="756"/>
      <c r="N43" s="756"/>
      <c r="O43" s="756"/>
      <c r="P43" s="756"/>
      <c r="Q43" s="756"/>
    </row>
    <row r="44" spans="11:18">
      <c r="K44" s="756"/>
      <c r="L44" s="756"/>
      <c r="M44" s="756"/>
      <c r="N44" s="756"/>
      <c r="O44" s="756"/>
      <c r="P44" s="756"/>
      <c r="Q44" s="756"/>
      <c r="R44" s="756"/>
    </row>
    <row r="46" spans="11:18">
      <c r="P46" s="756"/>
      <c r="R46" s="756"/>
    </row>
  </sheetData>
  <mergeCells count="6">
    <mergeCell ref="A6:D6"/>
    <mergeCell ref="A1:D1"/>
    <mergeCell ref="A2:D2"/>
    <mergeCell ref="A3:D3"/>
    <mergeCell ref="A4:D4"/>
    <mergeCell ref="A5:D5"/>
  </mergeCells>
  <printOptions horizontalCentered="1"/>
  <pageMargins left="0.7" right="0.7" top="0.75" bottom="0.75" header="0.3" footer="0.3"/>
  <pageSetup orientation="portrait" horizontalDpi="1200" verticalDpi="1200" r:id="rId1"/>
  <headerFooter>
    <oddHeader>&amp;RPage &amp;P of &amp;N</oddHeader>
    <oddFooter>&amp;LElectronic Tab Name: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89D6-AC24-4BC1-9716-B16D56556FB6}">
  <sheetPr codeName="Sheet67"/>
  <dimension ref="A1:J25"/>
  <sheetViews>
    <sheetView zoomScaleNormal="100" workbookViewId="0">
      <selection activeCell="D10" sqref="D10"/>
    </sheetView>
  </sheetViews>
  <sheetFormatPr defaultRowHeight="15"/>
  <cols>
    <col min="1" max="1" width="10.7109375" bestFit="1" customWidth="1"/>
    <col min="2" max="2" width="63.5703125" bestFit="1" customWidth="1"/>
    <col min="3" max="3" width="18.140625" customWidth="1"/>
    <col min="4" max="4" width="15.7109375" bestFit="1" customWidth="1"/>
    <col min="5" max="6" width="17" bestFit="1" customWidth="1"/>
    <col min="7" max="7" width="15" bestFit="1" customWidth="1"/>
    <col min="8" max="8" width="15.7109375" bestFit="1" customWidth="1"/>
    <col min="9" max="9" width="16" bestFit="1" customWidth="1"/>
    <col min="11" max="11" width="13.5703125" bestFit="1" customWidth="1"/>
    <col min="13" max="13" width="13.5703125" bestFit="1" customWidth="1"/>
  </cols>
  <sheetData>
    <row r="1" spans="1:6">
      <c r="A1" s="1402" t="str">
        <f>Company</f>
        <v>Cascade Natural Gas Corp.</v>
      </c>
      <c r="B1" s="1402"/>
      <c r="C1" s="1402"/>
      <c r="D1" s="1402"/>
    </row>
    <row r="2" spans="1:6">
      <c r="A2" s="1402" t="str">
        <f>Title1</f>
        <v>Washington Jurisdiction</v>
      </c>
      <c r="B2" s="1402"/>
      <c r="C2" s="1402"/>
      <c r="D2" s="1402"/>
    </row>
    <row r="3" spans="1:6">
      <c r="A3" s="1402" t="str">
        <f>Title2</f>
        <v>Twelve-Months ended December 31, 2023</v>
      </c>
      <c r="B3" s="1402"/>
      <c r="C3" s="1402"/>
      <c r="D3" s="1402"/>
    </row>
    <row r="4" spans="1:6">
      <c r="A4" s="1402" t="str">
        <f>Title8</f>
        <v>UG-240008</v>
      </c>
      <c r="B4" s="1402"/>
      <c r="C4" s="1402"/>
      <c r="D4" s="1402"/>
    </row>
    <row r="5" spans="1:6">
      <c r="A5" s="1402" t="s">
        <v>679</v>
      </c>
      <c r="B5" s="1402"/>
      <c r="C5" s="1402"/>
      <c r="D5" s="1402"/>
    </row>
    <row r="6" spans="1:6">
      <c r="A6" s="1402" t="s">
        <v>678</v>
      </c>
      <c r="B6" s="1402"/>
      <c r="C6" s="1402"/>
      <c r="D6" s="1402"/>
    </row>
    <row r="8" spans="1:6">
      <c r="A8" s="531" t="s">
        <v>536</v>
      </c>
      <c r="B8" s="531" t="s">
        <v>537</v>
      </c>
      <c r="C8" s="531" t="s">
        <v>369</v>
      </c>
      <c r="E8" s="644"/>
      <c r="F8" s="53"/>
    </row>
    <row r="9" spans="1:6">
      <c r="B9" s="449" t="s">
        <v>439</v>
      </c>
      <c r="C9" s="449" t="s">
        <v>208</v>
      </c>
    </row>
    <row r="10" spans="1:6">
      <c r="A10" s="449">
        <v>1</v>
      </c>
      <c r="B10" t="s">
        <v>1374</v>
      </c>
      <c r="C10" s="71">
        <f>'Exh JAD-3 ROO Summary'!G13</f>
        <v>145629249.60486835</v>
      </c>
      <c r="D10" s="529"/>
    </row>
    <row r="11" spans="1:6">
      <c r="A11" s="449">
        <f>MAX($A$10:A10)+1</f>
        <v>2</v>
      </c>
      <c r="B11" t="s">
        <v>1375</v>
      </c>
      <c r="C11" s="776">
        <v>4.0000000000000001E-3</v>
      </c>
    </row>
    <row r="12" spans="1:6">
      <c r="A12" s="449">
        <f>MAX($A$10:A11)+1</f>
        <v>3</v>
      </c>
      <c r="B12" t="s">
        <v>1376</v>
      </c>
      <c r="C12" s="71">
        <f>C10*C11</f>
        <v>582516.99841947341</v>
      </c>
    </row>
    <row r="13" spans="1:6">
      <c r="A13" s="449">
        <f>MAX($A$10:A12)+1</f>
        <v>4</v>
      </c>
      <c r="B13" t="s">
        <v>1377</v>
      </c>
      <c r="C13" s="547">
        <f>-C25</f>
        <v>-217694.92026676133</v>
      </c>
    </row>
    <row r="14" spans="1:6">
      <c r="A14" s="449">
        <f>MAX($A$10:A13)+1</f>
        <v>5</v>
      </c>
      <c r="B14" t="s">
        <v>1378</v>
      </c>
      <c r="C14" s="549">
        <f>C12+C13</f>
        <v>364822.07815271209</v>
      </c>
    </row>
    <row r="15" spans="1:6">
      <c r="A15" s="449">
        <f>MAX($A$10:A14)+1</f>
        <v>6</v>
      </c>
      <c r="C15" s="549"/>
    </row>
    <row r="16" spans="1:6">
      <c r="A16" s="449">
        <f>MAX($A$10:A15)+1</f>
        <v>7</v>
      </c>
      <c r="B16" t="s">
        <v>1379</v>
      </c>
      <c r="C16" s="549"/>
    </row>
    <row r="17" spans="1:10">
      <c r="A17" s="449">
        <f>MAX($A$10:A16)+1</f>
        <v>8</v>
      </c>
      <c r="B17" t="s">
        <v>1380</v>
      </c>
      <c r="C17" s="546">
        <v>687556.01</v>
      </c>
    </row>
    <row r="18" spans="1:10">
      <c r="A18" s="449">
        <f>MAX($A$10:A17)+1</f>
        <v>9</v>
      </c>
      <c r="B18" t="s">
        <v>1381</v>
      </c>
      <c r="C18" s="549"/>
      <c r="D18" s="449" t="s">
        <v>1382</v>
      </c>
      <c r="E18" s="449" t="s">
        <v>1383</v>
      </c>
    </row>
    <row r="19" spans="1:10">
      <c r="A19" s="449">
        <f>MAX($A$10:A18)+1</f>
        <v>10</v>
      </c>
      <c r="B19" t="s">
        <v>1384</v>
      </c>
      <c r="C19" s="546">
        <f>'Operating Report'!K29*'Exh JAD-6, Conversion Factor'!C12</f>
        <v>7327.8593543535271</v>
      </c>
      <c r="D19" s="549">
        <f>'Operating Report'!K29*'Exh JAD-6, Conversion Factor'!C11</f>
        <v>70567.285582424462</v>
      </c>
      <c r="E19" s="549">
        <f>C19+D19-'Operating Report'!K54</f>
        <v>0</v>
      </c>
    </row>
    <row r="20" spans="1:10">
      <c r="A20" s="449">
        <f>MAX($A$10:A19)+1</f>
        <v>11</v>
      </c>
      <c r="B20" t="s">
        <v>1385</v>
      </c>
      <c r="C20" s="362">
        <f>'Operating Report'!J29*'Exh JAD-6, Conversion Factor'!C12</f>
        <v>1744.9881052106182</v>
      </c>
      <c r="D20" s="549">
        <f>'Operating Report'!J29*'Exh JAD-6, Conversion Factor'!C11</f>
        <v>16804.235453178251</v>
      </c>
      <c r="E20" s="549">
        <f>C20+D20-'Operating Report'!J54</f>
        <v>0</v>
      </c>
    </row>
    <row r="21" spans="1:10">
      <c r="A21" s="449">
        <f>MAX($A$10:A20)+1</f>
        <v>12</v>
      </c>
      <c r="B21" t="s">
        <v>1386</v>
      </c>
      <c r="C21" s="362">
        <f>'Suppl Sch Adj'!J17/('Exh JAD-6, Conversion Factor'!E12+'Exh JAD-6, Conversion Factor'!E11)*'Exh JAD-6, Conversion Factor'!E12</f>
        <v>-471836.00120728777</v>
      </c>
      <c r="D21" s="549">
        <f>'Suppl Sch Adj'!J17/('Exh JAD-6, Conversion Factor'!E12+'Exh JAD-6, Conversion Factor'!E11)*'Exh JAD-6, Conversion Factor'!E11</f>
        <v>-9087561.3832523618</v>
      </c>
      <c r="E21" s="549">
        <f>C21+D21-'Operating Report'!H54</f>
        <v>0</v>
      </c>
      <c r="I21" s="529"/>
      <c r="J21" s="529"/>
    </row>
    <row r="22" spans="1:10">
      <c r="A22" s="449">
        <f>MAX($A$10:A21)+1</f>
        <v>13</v>
      </c>
      <c r="B22" t="s">
        <v>1387</v>
      </c>
      <c r="C22" s="547">
        <f>'Operating Report'!I29*'Exh JAD-6, Conversion Factor'!C12</f>
        <v>-7097.9359855150396</v>
      </c>
      <c r="D22" s="549">
        <f>'Operating Report'!I29*'Exh JAD-6, Conversion Factor'!C11</f>
        <v>-68353.123540509827</v>
      </c>
      <c r="E22" s="549">
        <f>C22+D22-'Operating Report'!I54</f>
        <v>0</v>
      </c>
    </row>
    <row r="23" spans="1:10">
      <c r="A23" s="449">
        <f>MAX($A$10:A22)+1</f>
        <v>14</v>
      </c>
      <c r="B23" t="s">
        <v>1066</v>
      </c>
      <c r="C23" s="549">
        <f>SUM(C19:C22)</f>
        <v>-469861.08973323868</v>
      </c>
    </row>
    <row r="24" spans="1:10">
      <c r="A24" s="449">
        <f>MAX($A$10:A23)+1</f>
        <v>15</v>
      </c>
      <c r="C24" s="549"/>
    </row>
    <row r="25" spans="1:10">
      <c r="A25" s="449">
        <f>MAX($A$10:A24)+1</f>
        <v>16</v>
      </c>
      <c r="B25" t="s">
        <v>1388</v>
      </c>
      <c r="C25" s="549">
        <f>C17+C23</f>
        <v>217694.92026676133</v>
      </c>
    </row>
  </sheetData>
  <mergeCells count="6">
    <mergeCell ref="A6:D6"/>
    <mergeCell ref="A1:D1"/>
    <mergeCell ref="A2:D2"/>
    <mergeCell ref="A3:D3"/>
    <mergeCell ref="A4:D4"/>
    <mergeCell ref="A5:D5"/>
  </mergeCells>
  <pageMargins left="0.7" right="0.7" top="0.75" bottom="0.75" header="0.3" footer="0.3"/>
  <pageSetup scale="72" orientation="portrait" r:id="rId1"/>
  <headerFooter>
    <oddFooter>&amp;LElectronic Tab Name: &amp;A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M13"/>
  <sheetViews>
    <sheetView zoomScaleNormal="100" workbookViewId="0">
      <selection activeCell="A19" sqref="A19:A838"/>
    </sheetView>
  </sheetViews>
  <sheetFormatPr defaultColWidth="9.140625" defaultRowHeight="15"/>
  <cols>
    <col min="1" max="1" width="5" style="124" bestFit="1" customWidth="1"/>
    <col min="2" max="2" width="16.5703125" style="53" bestFit="1" customWidth="1"/>
    <col min="3" max="3" width="10.85546875" style="53" bestFit="1" customWidth="1"/>
    <col min="4" max="5" width="15.42578125" style="53" bestFit="1" customWidth="1"/>
    <col min="6" max="6" width="12.5703125" style="53" bestFit="1" customWidth="1"/>
    <col min="7" max="7" width="7.85546875" style="53" bestFit="1" customWidth="1"/>
    <col min="8" max="8" width="11.85546875" style="124" bestFit="1" customWidth="1"/>
    <col min="9" max="16384" width="9.140625" style="53"/>
  </cols>
  <sheetData>
    <row r="1" spans="1:13">
      <c r="A1" s="1402" t="str">
        <f>Company</f>
        <v>Cascade Natural Gas Corp.</v>
      </c>
      <c r="B1" s="1402"/>
      <c r="C1" s="1402"/>
      <c r="D1" s="1402"/>
      <c r="E1" s="1402"/>
      <c r="F1" s="1402"/>
      <c r="G1" s="1402"/>
      <c r="H1" s="1402"/>
      <c r="I1" s="91"/>
      <c r="J1" s="91"/>
      <c r="K1" s="217"/>
      <c r="L1" s="217"/>
      <c r="M1" s="217"/>
    </row>
    <row r="2" spans="1:13">
      <c r="A2" s="1402" t="str">
        <f>Title1</f>
        <v>Washington Jurisdiction</v>
      </c>
      <c r="B2" s="1402"/>
      <c r="C2" s="1402"/>
      <c r="D2" s="1402"/>
      <c r="E2" s="1402"/>
      <c r="F2" s="1402"/>
      <c r="G2" s="1402"/>
      <c r="H2" s="1402"/>
      <c r="I2" s="91"/>
      <c r="J2" s="91"/>
      <c r="K2" s="217"/>
      <c r="L2" s="217"/>
      <c r="M2" s="217"/>
    </row>
    <row r="3" spans="1:13">
      <c r="A3" s="1402" t="str">
        <f>Title2</f>
        <v>Twelve-Months ended December 31, 2023</v>
      </c>
      <c r="B3" s="1402"/>
      <c r="C3" s="1402"/>
      <c r="D3" s="1402"/>
      <c r="E3" s="1402"/>
      <c r="F3" s="1402"/>
      <c r="G3" s="1402"/>
      <c r="H3" s="1402"/>
      <c r="I3" s="91"/>
      <c r="J3" s="91"/>
      <c r="K3" s="217"/>
      <c r="L3" s="217"/>
      <c r="M3" s="217"/>
    </row>
    <row r="4" spans="1:13">
      <c r="A4" s="1402" t="str">
        <f>Title8</f>
        <v>UG-240008</v>
      </c>
      <c r="B4" s="1402"/>
      <c r="C4" s="1402"/>
      <c r="D4" s="1402"/>
      <c r="E4" s="1402"/>
      <c r="F4" s="1402"/>
      <c r="G4" s="1402"/>
      <c r="H4" s="1402"/>
      <c r="I4" s="91"/>
      <c r="J4" s="91"/>
      <c r="K4" s="217"/>
      <c r="L4" s="217"/>
      <c r="M4" s="217"/>
    </row>
    <row r="5" spans="1:13">
      <c r="A5" s="1402" t="s">
        <v>681</v>
      </c>
      <c r="B5" s="1402"/>
      <c r="C5" s="1402"/>
      <c r="D5" s="1402"/>
      <c r="E5" s="1402"/>
      <c r="F5" s="1402"/>
      <c r="G5" s="1402"/>
      <c r="H5" s="1402"/>
      <c r="I5" s="91"/>
      <c r="J5" s="91"/>
      <c r="K5" s="217"/>
      <c r="L5" s="217"/>
      <c r="M5" s="217"/>
    </row>
    <row r="6" spans="1:13">
      <c r="A6" s="1402" t="s">
        <v>680</v>
      </c>
      <c r="B6" s="1402"/>
      <c r="C6" s="1402"/>
      <c r="D6" s="1402"/>
      <c r="E6" s="1402"/>
      <c r="F6" s="1402"/>
      <c r="G6" s="1402"/>
      <c r="H6" s="1402"/>
      <c r="I6" s="91"/>
      <c r="L6" s="217"/>
      <c r="M6" s="217"/>
    </row>
    <row r="7" spans="1:13">
      <c r="K7" s="217"/>
      <c r="L7" s="217"/>
      <c r="M7" s="217"/>
    </row>
    <row r="8" spans="1:13" ht="30">
      <c r="A8" s="172" t="s">
        <v>536</v>
      </c>
      <c r="B8" s="172" t="s">
        <v>568</v>
      </c>
      <c r="C8" s="172" t="s">
        <v>1389</v>
      </c>
      <c r="D8" s="172" t="s">
        <v>1066</v>
      </c>
      <c r="E8" s="172" t="s">
        <v>1390</v>
      </c>
      <c r="F8" s="172" t="s">
        <v>179</v>
      </c>
      <c r="G8" s="172" t="s">
        <v>1391</v>
      </c>
      <c r="H8" s="172" t="s">
        <v>1365</v>
      </c>
      <c r="J8" s="644"/>
      <c r="K8" s="644"/>
      <c r="L8" s="217"/>
      <c r="M8" s="217"/>
    </row>
    <row r="9" spans="1:13" s="124" customFormat="1">
      <c r="A9" s="60"/>
      <c r="B9" s="60" t="s">
        <v>439</v>
      </c>
      <c r="C9" s="60" t="s">
        <v>208</v>
      </c>
      <c r="D9" s="60" t="s">
        <v>209</v>
      </c>
      <c r="E9" s="60" t="s">
        <v>440</v>
      </c>
      <c r="F9" s="60" t="s">
        <v>441</v>
      </c>
      <c r="G9" s="60" t="s">
        <v>442</v>
      </c>
      <c r="H9" s="60" t="s">
        <v>443</v>
      </c>
      <c r="K9" s="218"/>
      <c r="L9" s="218"/>
      <c r="M9" s="218"/>
    </row>
    <row r="10" spans="1:13" ht="15.75" thickBot="1">
      <c r="A10" s="124">
        <v>1</v>
      </c>
      <c r="B10" s="43">
        <f>+'Exh JAD-3 ROO Summary'!I38</f>
        <v>619864245.49859786</v>
      </c>
      <c r="C10" s="435">
        <f>+'WACC Calculation'!E10+'WACC Calculation'!E11</f>
        <v>2.614E-2</v>
      </c>
      <c r="D10" s="43">
        <f>B10*C10</f>
        <v>16203251.377333349</v>
      </c>
      <c r="E10" s="43">
        <f>+'Operating Report'!F163</f>
        <v>20886211.949999999</v>
      </c>
      <c r="F10" s="43">
        <f>+D10-E10</f>
        <v>-4682960.5726666506</v>
      </c>
      <c r="G10" s="219">
        <f>+'Exh JAD-6, Conversion Factor'!C33</f>
        <v>0.21</v>
      </c>
      <c r="H10" s="284">
        <f>+F10*-G10</f>
        <v>983421.7202599966</v>
      </c>
      <c r="K10" s="217"/>
      <c r="L10" s="217"/>
      <c r="M10" s="217"/>
    </row>
    <row r="11" spans="1:13" ht="15.75" thickTop="1">
      <c r="B11" s="217"/>
      <c r="C11" s="217"/>
      <c r="D11" s="217"/>
      <c r="E11" s="217"/>
      <c r="F11" s="217"/>
      <c r="G11" s="220"/>
      <c r="H11" s="218"/>
      <c r="K11" s="217"/>
      <c r="L11" s="221"/>
      <c r="M11" s="217"/>
    </row>
    <row r="12" spans="1:13">
      <c r="B12" s="217"/>
      <c r="C12" s="217"/>
      <c r="D12" s="217"/>
      <c r="E12" s="217"/>
      <c r="F12" s="217"/>
      <c r="I12" s="217"/>
      <c r="J12" s="217"/>
      <c r="K12" s="217"/>
      <c r="L12" s="217"/>
      <c r="M12" s="218"/>
    </row>
    <row r="13" spans="1:13">
      <c r="G13" s="217"/>
      <c r="H13" s="218"/>
      <c r="I13" s="217"/>
      <c r="J13" s="217"/>
      <c r="K13" s="217"/>
      <c r="L13" s="217"/>
      <c r="M13" s="217"/>
    </row>
  </sheetData>
  <mergeCells count="6">
    <mergeCell ref="A1:H1"/>
    <mergeCell ref="A4:H4"/>
    <mergeCell ref="A5:H5"/>
    <mergeCell ref="A6:H6"/>
    <mergeCell ref="A3:H3"/>
    <mergeCell ref="A2:H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K24"/>
  <sheetViews>
    <sheetView zoomScaleNormal="100" workbookViewId="0">
      <selection activeCell="B9" sqref="B9:G9"/>
    </sheetView>
  </sheetViews>
  <sheetFormatPr defaultColWidth="9.140625" defaultRowHeight="15"/>
  <cols>
    <col min="1" max="1" width="5" style="53" bestFit="1" customWidth="1"/>
    <col min="2" max="2" width="37.140625" style="53" bestFit="1" customWidth="1"/>
    <col min="3" max="4" width="16.5703125" style="1" bestFit="1" customWidth="1"/>
    <col min="5" max="5" width="12" style="53" customWidth="1"/>
    <col min="6" max="6" width="15.28515625" style="53" bestFit="1" customWidth="1"/>
    <col min="7" max="7" width="28.28515625" style="53" bestFit="1" customWidth="1"/>
    <col min="8" max="8" width="10.140625" style="53" bestFit="1" customWidth="1"/>
    <col min="9" max="16384" width="9.140625" style="53"/>
  </cols>
  <sheetData>
    <row r="1" spans="1:11">
      <c r="A1" s="1402" t="str">
        <f>Company</f>
        <v>Cascade Natural Gas Corp.</v>
      </c>
      <c r="B1" s="1402"/>
      <c r="C1" s="1402"/>
      <c r="D1" s="1402"/>
      <c r="E1" s="1402"/>
      <c r="F1" s="1402"/>
      <c r="G1" s="1402"/>
      <c r="H1" s="91"/>
      <c r="I1" s="91"/>
      <c r="J1" s="91"/>
      <c r="K1" s="91"/>
    </row>
    <row r="2" spans="1:11">
      <c r="A2" s="1402" t="str">
        <f>Title1</f>
        <v>Washington Jurisdiction</v>
      </c>
      <c r="B2" s="1402"/>
      <c r="C2" s="1402"/>
      <c r="D2" s="1402"/>
      <c r="E2" s="1402"/>
      <c r="F2" s="1402"/>
      <c r="G2" s="1402"/>
      <c r="H2" s="91"/>
      <c r="I2" s="91"/>
      <c r="J2" s="91"/>
      <c r="K2" s="91"/>
    </row>
    <row r="3" spans="1:11">
      <c r="A3" s="1402" t="str">
        <f>Title2</f>
        <v>Twelve-Months ended December 31, 2023</v>
      </c>
      <c r="B3" s="1402"/>
      <c r="C3" s="1402"/>
      <c r="D3" s="1402"/>
      <c r="E3" s="1402"/>
      <c r="F3" s="1402"/>
      <c r="G3" s="1402"/>
      <c r="H3" s="91"/>
      <c r="I3" s="91"/>
      <c r="J3" s="91"/>
      <c r="K3" s="91"/>
    </row>
    <row r="4" spans="1:11">
      <c r="A4" s="1402" t="str">
        <f>Title8</f>
        <v>UG-240008</v>
      </c>
      <c r="B4" s="1402"/>
      <c r="C4" s="1402"/>
      <c r="D4" s="1402"/>
      <c r="E4" s="1402"/>
      <c r="F4" s="1402"/>
      <c r="G4" s="1402"/>
      <c r="H4" s="91"/>
      <c r="I4" s="91"/>
      <c r="J4" s="91"/>
      <c r="K4" s="91"/>
    </row>
    <row r="5" spans="1:11">
      <c r="A5" s="1402" t="s">
        <v>683</v>
      </c>
      <c r="B5" s="1402"/>
      <c r="C5" s="1402"/>
      <c r="D5" s="1402"/>
      <c r="E5" s="1402"/>
      <c r="F5" s="1402"/>
      <c r="G5" s="1402"/>
      <c r="H5" s="91"/>
      <c r="I5" s="91"/>
      <c r="J5" s="91"/>
      <c r="K5" s="91"/>
    </row>
    <row r="6" spans="1:11">
      <c r="A6" s="1402" t="s">
        <v>682</v>
      </c>
      <c r="B6" s="1402"/>
      <c r="C6" s="1402"/>
      <c r="D6" s="1402"/>
      <c r="E6" s="1402"/>
      <c r="F6" s="1402"/>
      <c r="G6" s="1402"/>
      <c r="H6" s="91"/>
      <c r="I6" s="91"/>
      <c r="J6" s="91"/>
      <c r="K6" s="91"/>
    </row>
    <row r="8" spans="1:11" ht="30">
      <c r="A8" s="172" t="s">
        <v>536</v>
      </c>
      <c r="B8" s="172" t="s">
        <v>537</v>
      </c>
      <c r="C8" s="67" t="s">
        <v>1392</v>
      </c>
      <c r="D8" s="67" t="s">
        <v>3740</v>
      </c>
      <c r="E8" s="476" t="s">
        <v>3741</v>
      </c>
      <c r="F8" s="172" t="s">
        <v>1393</v>
      </c>
      <c r="G8" s="172" t="s">
        <v>1075</v>
      </c>
      <c r="I8" s="644"/>
      <c r="J8" s="644"/>
    </row>
    <row r="9" spans="1:11">
      <c r="A9" s="60"/>
      <c r="B9" s="60" t="s">
        <v>439</v>
      </c>
      <c r="C9" s="432" t="s">
        <v>208</v>
      </c>
      <c r="D9" s="432" t="s">
        <v>209</v>
      </c>
      <c r="E9" s="60" t="s">
        <v>440</v>
      </c>
      <c r="F9" s="60" t="s">
        <v>441</v>
      </c>
      <c r="G9" s="60" t="s">
        <v>442</v>
      </c>
    </row>
    <row r="10" spans="1:11">
      <c r="A10" s="124">
        <v>1</v>
      </c>
      <c r="B10" s="53" t="s">
        <v>1394</v>
      </c>
      <c r="C10" s="1019">
        <v>5423017.3499999996</v>
      </c>
      <c r="D10" s="1019">
        <v>2485549.7000000002</v>
      </c>
      <c r="E10" s="177">
        <v>10</v>
      </c>
      <c r="F10" s="1019">
        <f>C10/E10</f>
        <v>542301.73499999999</v>
      </c>
      <c r="G10" s="53" t="s">
        <v>1395</v>
      </c>
    </row>
    <row r="11" spans="1:11">
      <c r="A11" s="124">
        <f t="shared" ref="A11:A18" si="0">A10+1</f>
        <v>2</v>
      </c>
      <c r="B11" s="53" t="s">
        <v>1396</v>
      </c>
      <c r="C11" s="65">
        <v>5432080</v>
      </c>
      <c r="D11" s="65">
        <v>3349782.58</v>
      </c>
      <c r="E11" s="177">
        <v>10</v>
      </c>
      <c r="F11" s="185">
        <f>C11/E11</f>
        <v>543208</v>
      </c>
      <c r="G11" s="53" t="s">
        <v>1397</v>
      </c>
    </row>
    <row r="12" spans="1:11">
      <c r="A12" s="124">
        <f t="shared" si="0"/>
        <v>3</v>
      </c>
      <c r="B12" s="53" t="s">
        <v>1398</v>
      </c>
      <c r="C12" s="65">
        <v>2571965</v>
      </c>
      <c r="D12" s="65">
        <v>1928973.8</v>
      </c>
      <c r="E12" s="185">
        <v>10</v>
      </c>
      <c r="F12" s="185">
        <f>C12/E12</f>
        <v>257196.5</v>
      </c>
      <c r="G12" s="53" t="s">
        <v>1399</v>
      </c>
    </row>
    <row r="13" spans="1:11">
      <c r="A13" s="124">
        <f t="shared" si="0"/>
        <v>4</v>
      </c>
      <c r="B13" s="481" t="s">
        <v>1400</v>
      </c>
      <c r="C13" s="679">
        <v>20181963.84</v>
      </c>
      <c r="D13" s="679">
        <f>+C13</f>
        <v>20181963.84</v>
      </c>
      <c r="E13" s="177">
        <v>10</v>
      </c>
      <c r="F13" s="214">
        <f>C13/E13</f>
        <v>2018196.3840000001</v>
      </c>
    </row>
    <row r="14" spans="1:11">
      <c r="A14" s="124">
        <f t="shared" si="0"/>
        <v>5</v>
      </c>
      <c r="B14" s="53" t="s">
        <v>1401</v>
      </c>
      <c r="C14" s="1019">
        <f>SUM(C10:C13)</f>
        <v>33609026.189999998</v>
      </c>
      <c r="D14" s="1019">
        <f>SUM(D10:D13)</f>
        <v>27946269.920000002</v>
      </c>
      <c r="F14" s="1020">
        <f>+F10+F11+F12+F13</f>
        <v>3360902.6189999999</v>
      </c>
    </row>
    <row r="15" spans="1:11">
      <c r="A15" s="124">
        <f t="shared" si="0"/>
        <v>6</v>
      </c>
      <c r="F15" s="185"/>
    </row>
    <row r="16" spans="1:11">
      <c r="A16" s="124">
        <f t="shared" si="0"/>
        <v>7</v>
      </c>
      <c r="B16" s="53" t="s">
        <v>1402</v>
      </c>
      <c r="F16" s="185">
        <f>F14</f>
        <v>3360902.6189999999</v>
      </c>
    </row>
    <row r="17" spans="1:7">
      <c r="A17" s="124">
        <f t="shared" si="0"/>
        <v>8</v>
      </c>
      <c r="B17" t="s">
        <v>1403</v>
      </c>
      <c r="F17" s="177">
        <f>-F10-F11-F12</f>
        <v>-1342706.2349999999</v>
      </c>
    </row>
    <row r="18" spans="1:7" ht="15.75" thickBot="1">
      <c r="A18" s="124">
        <f t="shared" si="0"/>
        <v>9</v>
      </c>
      <c r="B18" s="53" t="s">
        <v>426</v>
      </c>
      <c r="F18" s="1021">
        <f>+F16+F17</f>
        <v>2018196.3840000001</v>
      </c>
    </row>
    <row r="19" spans="1:7" ht="15.75" thickTop="1">
      <c r="A19" s="124"/>
    </row>
    <row r="20" spans="1:7">
      <c r="A20" s="124"/>
      <c r="B20" s="1477"/>
      <c r="C20" s="1477"/>
      <c r="D20" s="1477"/>
      <c r="E20" s="1477"/>
      <c r="F20" s="1477"/>
      <c r="G20" s="1477"/>
    </row>
    <row r="22" spans="1:7">
      <c r="A22" s="124"/>
    </row>
    <row r="23" spans="1:7">
      <c r="D23" s="21"/>
      <c r="F23" s="135"/>
    </row>
    <row r="24" spans="1:7">
      <c r="D24" s="21"/>
      <c r="F24" s="135"/>
    </row>
  </sheetData>
  <mergeCells count="7">
    <mergeCell ref="B20:G20"/>
    <mergeCell ref="A1:G1"/>
    <mergeCell ref="A4:G4"/>
    <mergeCell ref="A5:G5"/>
    <mergeCell ref="A6:G6"/>
    <mergeCell ref="A3:G3"/>
    <mergeCell ref="A2:G2"/>
  </mergeCells>
  <printOptions horizontalCentered="1"/>
  <pageMargins left="0.31" right="0.3" top="1" bottom="1" header="0.5" footer="0.5"/>
  <pageSetup scale="76" fitToHeight="0" orientation="portrait" r:id="rId1"/>
  <headerFooter scaleWithDoc="0" alignWithMargins="0">
    <oddHeader>&amp;RPage &amp;P of &amp;N</oddHeader>
    <oddFooter>&amp;LElectronic Tab Name: &amp;A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7AE69-1085-4A18-885B-777724F6BAE2}">
  <sheetPr codeName="Sheet70"/>
  <dimension ref="A1:L20"/>
  <sheetViews>
    <sheetView topLeftCell="A4" zoomScaleNormal="100" workbookViewId="0">
      <selection activeCell="E11" sqref="E11"/>
    </sheetView>
  </sheetViews>
  <sheetFormatPr defaultRowHeight="15"/>
  <cols>
    <col min="2" max="2" width="39" customWidth="1"/>
    <col min="3" max="3" width="15.28515625" bestFit="1" customWidth="1"/>
    <col min="4" max="4" width="11.42578125" customWidth="1"/>
    <col min="5" max="5" width="16" bestFit="1" customWidth="1"/>
    <col min="6" max="6" width="11.7109375" customWidth="1"/>
    <col min="12" max="12" width="13.28515625" bestFit="1" customWidth="1"/>
  </cols>
  <sheetData>
    <row r="1" spans="1:12">
      <c r="A1" s="1402" t="str">
        <f>Company</f>
        <v>Cascade Natural Gas Corp.</v>
      </c>
      <c r="B1" s="1402"/>
      <c r="C1" s="1402"/>
      <c r="D1" s="1402"/>
    </row>
    <row r="2" spans="1:12">
      <c r="A2" s="1402" t="str">
        <f>Title1</f>
        <v>Washington Jurisdiction</v>
      </c>
      <c r="B2" s="1402"/>
      <c r="C2" s="1402"/>
      <c r="D2" s="1402"/>
    </row>
    <row r="3" spans="1:12">
      <c r="A3" s="1402" t="str">
        <f>Title2</f>
        <v>Twelve-Months ended December 31, 2023</v>
      </c>
      <c r="B3" s="1402"/>
      <c r="C3" s="1402"/>
      <c r="D3" s="1402"/>
    </row>
    <row r="4" spans="1:12">
      <c r="A4" s="1402" t="str">
        <f>Title8</f>
        <v>UG-240008</v>
      </c>
      <c r="B4" s="1402"/>
      <c r="C4" s="1402"/>
      <c r="D4" s="1402"/>
    </row>
    <row r="5" spans="1:12">
      <c r="A5" s="1402" t="s">
        <v>685</v>
      </c>
      <c r="B5" s="1402"/>
      <c r="C5" s="1402"/>
      <c r="D5" s="1402"/>
    </row>
    <row r="6" spans="1:12">
      <c r="A6" s="1402" t="s">
        <v>684</v>
      </c>
      <c r="B6" s="1402"/>
      <c r="C6" s="1402"/>
      <c r="D6" s="1402"/>
      <c r="E6" s="246"/>
      <c r="F6" s="839"/>
    </row>
    <row r="7" spans="1:12">
      <c r="A7" s="427"/>
      <c r="B7" s="427"/>
      <c r="C7" s="427"/>
      <c r="D7" s="427"/>
    </row>
    <row r="8" spans="1:12">
      <c r="A8" s="531" t="s">
        <v>504</v>
      </c>
      <c r="B8" s="531" t="s">
        <v>537</v>
      </c>
      <c r="C8" s="531" t="s">
        <v>369</v>
      </c>
    </row>
    <row r="9" spans="1:12">
      <c r="B9" s="449" t="s">
        <v>439</v>
      </c>
      <c r="C9" s="449" t="s">
        <v>208</v>
      </c>
    </row>
    <row r="10" spans="1:12">
      <c r="B10" s="520" t="s">
        <v>3742</v>
      </c>
    </row>
    <row r="11" spans="1:12">
      <c r="A11" s="449">
        <v>1</v>
      </c>
      <c r="B11" t="s">
        <v>1404</v>
      </c>
      <c r="C11" s="546">
        <v>400000</v>
      </c>
    </row>
    <row r="12" spans="1:12">
      <c r="A12" s="124">
        <f>MAX($A$11:A11)+1</f>
        <v>2</v>
      </c>
      <c r="B12" t="s">
        <v>1405</v>
      </c>
      <c r="C12" s="546">
        <v>40000</v>
      </c>
    </row>
    <row r="13" spans="1:12">
      <c r="A13" s="124">
        <f>MAX($A$11:A12)+1</f>
        <v>3</v>
      </c>
      <c r="B13" t="s">
        <v>1406</v>
      </c>
      <c r="C13" s="546">
        <v>225250</v>
      </c>
    </row>
    <row r="14" spans="1:12">
      <c r="A14" s="124">
        <f>MAX($A$11:A13)+1</f>
        <v>4</v>
      </c>
      <c r="B14" t="s">
        <v>1407</v>
      </c>
      <c r="C14" s="546">
        <v>2084750</v>
      </c>
      <c r="L14" s="549"/>
    </row>
    <row r="15" spans="1:12">
      <c r="A15" s="124">
        <f>MAX($A$11:A14)+1</f>
        <v>5</v>
      </c>
      <c r="B15" t="s">
        <v>1408</v>
      </c>
      <c r="C15" s="550">
        <v>150000</v>
      </c>
      <c r="L15" s="549"/>
    </row>
    <row r="16" spans="1:12">
      <c r="A16" s="124">
        <f>MAX($A$11:A15)+1</f>
        <v>6</v>
      </c>
      <c r="B16" t="s">
        <v>1409</v>
      </c>
      <c r="C16" s="546">
        <f>SUM(C11:C15)</f>
        <v>2900000</v>
      </c>
      <c r="L16" s="528"/>
    </row>
    <row r="17" spans="1:12">
      <c r="A17" s="124">
        <f>MAX($A$11:A16)+1</f>
        <v>7</v>
      </c>
      <c r="B17" t="s">
        <v>1410</v>
      </c>
      <c r="C17" s="838">
        <f>+C16/2</f>
        <v>1450000</v>
      </c>
      <c r="L17" s="549"/>
    </row>
    <row r="18" spans="1:12" ht="15.75" thickBot="1">
      <c r="A18" s="124">
        <f>MAX($A$11:A17)+1</f>
        <v>8</v>
      </c>
      <c r="B18" t="s">
        <v>1411</v>
      </c>
      <c r="C18" s="636">
        <v>-128188.95</v>
      </c>
      <c r="L18" s="549"/>
    </row>
    <row r="19" spans="1:12" ht="15.75" thickTop="1">
      <c r="A19" s="124">
        <f>MAX($A$11:A18)+1</f>
        <v>9</v>
      </c>
      <c r="B19" t="s">
        <v>684</v>
      </c>
      <c r="C19" s="549">
        <f>+C17+C18</f>
        <v>1321811.05</v>
      </c>
    </row>
    <row r="20" spans="1:12">
      <c r="C20" s="529"/>
    </row>
  </sheetData>
  <mergeCells count="6">
    <mergeCell ref="A6:D6"/>
    <mergeCell ref="A1:D1"/>
    <mergeCell ref="A2:D2"/>
    <mergeCell ref="A3:D3"/>
    <mergeCell ref="A4:D4"/>
    <mergeCell ref="A5:D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FAEE1-D2FE-4B4E-9341-590A402D8382}">
  <sheetPr codeName="Sheet71"/>
  <dimension ref="A1:F17"/>
  <sheetViews>
    <sheetView zoomScaleNormal="100" workbookViewId="0">
      <selection activeCell="A19" sqref="A19:A838"/>
    </sheetView>
  </sheetViews>
  <sheetFormatPr defaultRowHeight="15"/>
  <cols>
    <col min="1" max="1" width="7.28515625" bestFit="1" customWidth="1"/>
    <col min="2" max="2" width="56.5703125" customWidth="1"/>
    <col min="3" max="3" width="16.140625" customWidth="1"/>
    <col min="4" max="4" width="9.85546875" customWidth="1"/>
    <col min="5" max="5" width="16" bestFit="1" customWidth="1"/>
    <col min="6" max="6" width="9.7109375" bestFit="1" customWidth="1"/>
  </cols>
  <sheetData>
    <row r="1" spans="1:6">
      <c r="A1" s="1402" t="str">
        <f>Company</f>
        <v>Cascade Natural Gas Corp.</v>
      </c>
      <c r="B1" s="1402"/>
      <c r="C1" s="1402"/>
      <c r="D1" s="1402"/>
    </row>
    <row r="2" spans="1:6">
      <c r="A2" s="1402" t="str">
        <f>Title1</f>
        <v>Washington Jurisdiction</v>
      </c>
      <c r="B2" s="1402"/>
      <c r="C2" s="1402"/>
      <c r="D2" s="1402"/>
    </row>
    <row r="3" spans="1:6">
      <c r="A3" s="1402" t="str">
        <f>Title2</f>
        <v>Twelve-Months ended December 31, 2023</v>
      </c>
      <c r="B3" s="1402"/>
      <c r="C3" s="1402"/>
      <c r="D3" s="1402"/>
    </row>
    <row r="4" spans="1:6">
      <c r="A4" s="1402" t="str">
        <f>Title8</f>
        <v>UG-240008</v>
      </c>
      <c r="B4" s="1402"/>
      <c r="C4" s="1402"/>
      <c r="D4" s="1402"/>
    </row>
    <row r="5" spans="1:6">
      <c r="A5" s="1402" t="s">
        <v>687</v>
      </c>
      <c r="B5" s="1402"/>
      <c r="C5" s="1402"/>
      <c r="D5" s="1402"/>
    </row>
    <row r="6" spans="1:6">
      <c r="A6" s="1402" t="s">
        <v>686</v>
      </c>
      <c r="B6" s="1402"/>
      <c r="C6" s="1402"/>
      <c r="D6" s="1402"/>
    </row>
    <row r="8" spans="1:6">
      <c r="A8" s="531" t="s">
        <v>536</v>
      </c>
      <c r="B8" s="531" t="s">
        <v>537</v>
      </c>
      <c r="C8" s="531" t="s">
        <v>369</v>
      </c>
      <c r="E8" s="246"/>
      <c r="F8" s="839"/>
    </row>
    <row r="9" spans="1:6">
      <c r="B9" s="449" t="s">
        <v>439</v>
      </c>
      <c r="C9" s="449" t="s">
        <v>208</v>
      </c>
    </row>
    <row r="10" spans="1:6">
      <c r="A10" s="449">
        <v>1</v>
      </c>
      <c r="B10" s="520" t="s">
        <v>1412</v>
      </c>
      <c r="C10" s="362">
        <f>4437668.5</f>
        <v>4437668.5</v>
      </c>
    </row>
    <row r="11" spans="1:6">
      <c r="A11" s="124">
        <f>MAX($A$10:A10)+1</f>
        <v>2</v>
      </c>
      <c r="B11" s="520" t="s">
        <v>1413</v>
      </c>
      <c r="C11" s="547">
        <v>-3374443.88</v>
      </c>
    </row>
    <row r="12" spans="1:6">
      <c r="A12" s="124">
        <f>MAX($A$10:A11)+1</f>
        <v>3</v>
      </c>
      <c r="B12" t="s">
        <v>1414</v>
      </c>
      <c r="C12" s="522">
        <f>C10+C11</f>
        <v>1063224.6200000001</v>
      </c>
    </row>
    <row r="13" spans="1:6">
      <c r="A13" s="124"/>
    </row>
    <row r="14" spans="1:6">
      <c r="A14" s="124"/>
      <c r="D14" s="834"/>
    </row>
    <row r="15" spans="1:6">
      <c r="A15" s="124"/>
      <c r="C15" s="522"/>
      <c r="D15" s="834"/>
    </row>
    <row r="16" spans="1:6">
      <c r="C16" s="522"/>
    </row>
    <row r="17" spans="3:3">
      <c r="C17" s="911"/>
    </row>
  </sheetData>
  <mergeCells count="6">
    <mergeCell ref="A6:D6"/>
    <mergeCell ref="A1:D1"/>
    <mergeCell ref="A2:D2"/>
    <mergeCell ref="A3:D3"/>
    <mergeCell ref="A4:D4"/>
    <mergeCell ref="A5:D5"/>
  </mergeCells>
  <pageMargins left="0.7" right="0.7" top="0.75" bottom="0.75" header="0.3" footer="0.3"/>
  <pageSetup orientation="portrait" r:id="rId1"/>
  <headerFooter>
    <oddHeader>&amp;RPage &amp;P of &amp;N</oddHeader>
    <oddFooter>&amp;LElectronic Tab Name: &amp;A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5BFF-8D5F-4DA3-834D-793F640EDAEB}">
  <sheetPr codeName="Sheet29">
    <pageSetUpPr fitToPage="1"/>
  </sheetPr>
  <dimension ref="A1:F32"/>
  <sheetViews>
    <sheetView zoomScaleNormal="100" workbookViewId="0">
      <selection activeCell="A19" sqref="A19:A838"/>
    </sheetView>
  </sheetViews>
  <sheetFormatPr defaultColWidth="9.140625" defaultRowHeight="15"/>
  <cols>
    <col min="1" max="1" width="6.7109375" style="124" bestFit="1" customWidth="1"/>
    <col min="2" max="2" width="36.28515625" style="53" customWidth="1"/>
    <col min="3" max="3" width="17" style="53" bestFit="1" customWidth="1"/>
    <col min="4" max="4" width="15.85546875" style="53" customWidth="1"/>
    <col min="5" max="6" width="14.28515625" style="53" bestFit="1" customWidth="1"/>
    <col min="7" max="7" width="9.7109375" style="53" bestFit="1" customWidth="1"/>
    <col min="8" max="16384" width="9.140625" style="53"/>
  </cols>
  <sheetData>
    <row r="1" spans="1:6">
      <c r="A1" s="1402" t="str">
        <f>Company</f>
        <v>Cascade Natural Gas Corp.</v>
      </c>
      <c r="B1" s="1402"/>
      <c r="C1" s="1402"/>
      <c r="D1" s="91"/>
      <c r="E1" s="91"/>
      <c r="F1" s="91"/>
    </row>
    <row r="2" spans="1:6">
      <c r="A2" s="1402" t="str">
        <f>Title1</f>
        <v>Washington Jurisdiction</v>
      </c>
      <c r="B2" s="1402"/>
      <c r="C2" s="1402"/>
      <c r="D2" s="91"/>
      <c r="E2" s="91"/>
      <c r="F2" s="91"/>
    </row>
    <row r="3" spans="1:6">
      <c r="A3" s="1402" t="str">
        <f>Title2</f>
        <v>Twelve-Months ended December 31, 2023</v>
      </c>
      <c r="B3" s="1402"/>
      <c r="C3" s="1402"/>
      <c r="D3" s="91"/>
      <c r="E3" s="91"/>
      <c r="F3" s="91"/>
    </row>
    <row r="4" spans="1:6">
      <c r="A4" s="1402" t="str">
        <f>Title8</f>
        <v>UG-240008</v>
      </c>
      <c r="B4" s="1402"/>
      <c r="C4" s="1402"/>
      <c r="D4" s="91"/>
      <c r="E4" s="91"/>
      <c r="F4" s="91"/>
    </row>
    <row r="5" spans="1:6">
      <c r="A5" s="1405" t="s">
        <v>689</v>
      </c>
      <c r="B5" s="1405"/>
      <c r="C5" s="1405"/>
      <c r="D5" s="238"/>
      <c r="E5" s="91"/>
      <c r="F5" s="91"/>
    </row>
    <row r="6" spans="1:6">
      <c r="A6" s="1405" t="s">
        <v>688</v>
      </c>
      <c r="B6" s="1405"/>
      <c r="C6" s="1405"/>
      <c r="D6" s="238"/>
      <c r="E6" s="91"/>
      <c r="F6" s="91"/>
    </row>
    <row r="8" spans="1:6" s="124" customFormat="1" ht="30">
      <c r="A8" s="172" t="s">
        <v>536</v>
      </c>
      <c r="B8" s="172" t="s">
        <v>537</v>
      </c>
      <c r="C8" s="172" t="s">
        <v>369</v>
      </c>
      <c r="E8" s="644"/>
      <c r="F8" s="644"/>
    </row>
    <row r="9" spans="1:6">
      <c r="A9" s="60"/>
      <c r="B9" s="60" t="s">
        <v>439</v>
      </c>
      <c r="C9" s="60" t="s">
        <v>208</v>
      </c>
    </row>
    <row r="10" spans="1:6">
      <c r="A10" s="124">
        <v>1</v>
      </c>
      <c r="B10" t="s">
        <v>1415</v>
      </c>
      <c r="C10" s="804">
        <f>'Plt-Accum Depn'!E188</f>
        <v>1058571237.1200001</v>
      </c>
      <c r="D10" s="756"/>
    </row>
    <row r="11" spans="1:6">
      <c r="A11" s="124">
        <f>A10+1</f>
        <v>2</v>
      </c>
      <c r="B11" t="s">
        <v>1416</v>
      </c>
      <c r="C11" s="802">
        <f>(1966529.84+450132.16)+((173611.52+28798.08)*0.7507)</f>
        <v>2568610.8867199998</v>
      </c>
      <c r="D11" s="756"/>
    </row>
    <row r="12" spans="1:6">
      <c r="A12" s="124">
        <f t="shared" ref="A12:A17" si="0">A11+1</f>
        <v>3</v>
      </c>
      <c r="B12" t="s">
        <v>1417</v>
      </c>
      <c r="C12" s="803">
        <f>C11/C10</f>
        <v>2.4264884559949754E-3</v>
      </c>
      <c r="D12" s="270"/>
    </row>
    <row r="13" spans="1:6">
      <c r="A13" s="124">
        <f t="shared" si="0"/>
        <v>4</v>
      </c>
      <c r="B13"/>
      <c r="C13"/>
    </row>
    <row r="14" spans="1:6">
      <c r="A14" s="124">
        <f t="shared" si="0"/>
        <v>5</v>
      </c>
      <c r="B14" t="s">
        <v>1418</v>
      </c>
      <c r="C14" s="804">
        <f>'Plt-Accum Depn'!AC188</f>
        <v>1141765084.1700001</v>
      </c>
    </row>
    <row r="15" spans="1:6">
      <c r="A15" s="124">
        <f t="shared" si="0"/>
        <v>6</v>
      </c>
      <c r="B15" t="s">
        <v>1419</v>
      </c>
      <c r="C15" s="522">
        <f>C14-C10</f>
        <v>83193847.049999952</v>
      </c>
    </row>
    <row r="16" spans="1:6">
      <c r="A16" s="124">
        <f t="shared" si="0"/>
        <v>7</v>
      </c>
      <c r="B16"/>
      <c r="C16"/>
    </row>
    <row r="17" spans="1:6">
      <c r="A17" s="124">
        <f t="shared" si="0"/>
        <v>8</v>
      </c>
      <c r="B17" t="s">
        <v>688</v>
      </c>
      <c r="C17" s="804">
        <f>C15*C12</f>
        <v>201868.90947663653</v>
      </c>
    </row>
    <row r="18" spans="1:6">
      <c r="B18"/>
      <c r="C18"/>
    </row>
    <row r="19" spans="1:6">
      <c r="B19"/>
      <c r="C19" s="834"/>
    </row>
    <row r="20" spans="1:6">
      <c r="B20"/>
      <c r="C20" s="835"/>
    </row>
    <row r="21" spans="1:6">
      <c r="B21"/>
      <c r="C21" s="529"/>
      <c r="D21"/>
    </row>
    <row r="22" spans="1:6">
      <c r="B22"/>
      <c r="C22"/>
      <c r="D22"/>
    </row>
    <row r="23" spans="1:6">
      <c r="B23"/>
      <c r="C23"/>
      <c r="D23"/>
    </row>
    <row r="24" spans="1:6">
      <c r="B24" s="50"/>
      <c r="D24" s="566"/>
      <c r="E24" s="566"/>
      <c r="F24" s="566"/>
    </row>
    <row r="25" spans="1:6">
      <c r="A25"/>
      <c r="B25"/>
      <c r="C25"/>
      <c r="D25" s="216"/>
    </row>
    <row r="26" spans="1:6">
      <c r="A26"/>
      <c r="B26"/>
      <c r="C26"/>
      <c r="D26" s="216"/>
      <c r="E26" s="452"/>
    </row>
    <row r="27" spans="1:6">
      <c r="A27"/>
      <c r="B27"/>
      <c r="C27"/>
      <c r="D27" s="216"/>
    </row>
    <row r="28" spans="1:6">
      <c r="A28"/>
      <c r="B28"/>
      <c r="C28"/>
      <c r="D28" s="216"/>
    </row>
    <row r="29" spans="1:6">
      <c r="A29"/>
      <c r="B29"/>
      <c r="C29"/>
      <c r="D29" s="216"/>
    </row>
    <row r="30" spans="1:6">
      <c r="D30" s="216"/>
    </row>
    <row r="31" spans="1:6">
      <c r="D31" s="216"/>
    </row>
    <row r="32" spans="1:6">
      <c r="D32" s="216"/>
    </row>
  </sheetData>
  <mergeCells count="6">
    <mergeCell ref="A1:C1"/>
    <mergeCell ref="A2:C2"/>
    <mergeCell ref="A3:C3"/>
    <mergeCell ref="A4:C4"/>
    <mergeCell ref="A6:C6"/>
    <mergeCell ref="A5:C5"/>
  </mergeCells>
  <printOptions horizontalCentered="1"/>
  <pageMargins left="0.7" right="0.7" top="0.75" bottom="0.75" header="0.3" footer="0.3"/>
  <pageSetup fitToHeight="0" orientation="portrait" r:id="rId1"/>
  <headerFooter scaleWithDoc="0" alignWithMargins="0">
    <oddHeader>&amp;RPage &amp;P of &amp;N</oddHeader>
    <oddFooter>&amp;LElectronic Tab Name:&amp;A</oddFooter>
  </headerFooter>
  <colBreaks count="1" manualBreakCount="1">
    <brk id="3"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3627-0C95-4321-A702-44E7E2E3C53B}">
  <sheetPr codeName="Sheet72">
    <pageSetUpPr fitToPage="1"/>
  </sheetPr>
  <dimension ref="A1:Q37"/>
  <sheetViews>
    <sheetView view="pageBreakPreview" zoomScale="60" zoomScaleNormal="100" workbookViewId="0">
      <selection activeCell="Q11" sqref="Q11:Q12"/>
    </sheetView>
  </sheetViews>
  <sheetFormatPr defaultRowHeight="15"/>
  <cols>
    <col min="1" max="1" width="7.28515625" bestFit="1" customWidth="1"/>
    <col min="2" max="2" width="46.28515625" bestFit="1" customWidth="1"/>
    <col min="3" max="3" width="14.42578125" bestFit="1" customWidth="1"/>
    <col min="4" max="6" width="13.7109375" bestFit="1" customWidth="1"/>
    <col min="7" max="11" width="13" bestFit="1" customWidth="1"/>
    <col min="12" max="12" width="12.42578125" bestFit="1" customWidth="1"/>
    <col min="13" max="14" width="13" bestFit="1" customWidth="1"/>
    <col min="15" max="15" width="12.42578125" bestFit="1" customWidth="1"/>
    <col min="17" max="17" width="13.5703125" bestFit="1" customWidth="1"/>
  </cols>
  <sheetData>
    <row r="1" spans="1:17">
      <c r="A1" s="1402" t="str">
        <f>Company</f>
        <v>Cascade Natural Gas Corp.</v>
      </c>
      <c r="B1" s="1402"/>
      <c r="C1" s="1402"/>
      <c r="D1" s="1402"/>
      <c r="E1" s="1402"/>
      <c r="F1" s="1402"/>
      <c r="G1" s="1402"/>
      <c r="H1" s="1402"/>
      <c r="I1" s="1402"/>
      <c r="J1" s="1402"/>
      <c r="K1" s="1402"/>
      <c r="L1" s="1402"/>
      <c r="M1" s="1402"/>
      <c r="N1" s="1402"/>
      <c r="O1" s="1402"/>
    </row>
    <row r="2" spans="1:17">
      <c r="A2" s="1402" t="str">
        <f>Title1</f>
        <v>Washington Jurisdiction</v>
      </c>
      <c r="B2" s="1402"/>
      <c r="C2" s="1402"/>
      <c r="D2" s="1402"/>
      <c r="E2" s="1402"/>
      <c r="F2" s="1402"/>
      <c r="G2" s="1402"/>
      <c r="H2" s="1402"/>
      <c r="I2" s="1402"/>
      <c r="J2" s="1402"/>
      <c r="K2" s="1402"/>
      <c r="L2" s="1402"/>
      <c r="M2" s="1402"/>
      <c r="N2" s="1402"/>
      <c r="O2" s="1402"/>
    </row>
    <row r="3" spans="1:17">
      <c r="A3" s="1402" t="str">
        <f>Title2</f>
        <v>Twelve-Months ended December 31, 2023</v>
      </c>
      <c r="B3" s="1402"/>
      <c r="C3" s="1402"/>
      <c r="D3" s="1402"/>
      <c r="E3" s="1402"/>
      <c r="F3" s="1402"/>
      <c r="G3" s="1402"/>
      <c r="H3" s="1402"/>
      <c r="I3" s="1402"/>
      <c r="J3" s="1402"/>
      <c r="K3" s="1402"/>
      <c r="L3" s="1402"/>
      <c r="M3" s="1402"/>
      <c r="N3" s="1402"/>
      <c r="O3" s="1402"/>
    </row>
    <row r="4" spans="1:17">
      <c r="A4" s="1402" t="str">
        <f>Title8</f>
        <v>UG-240008</v>
      </c>
      <c r="B4" s="1402"/>
      <c r="C4" s="1402"/>
      <c r="D4" s="1402"/>
      <c r="E4" s="1402"/>
      <c r="F4" s="1402"/>
      <c r="G4" s="1402"/>
      <c r="H4" s="1402"/>
      <c r="I4" s="1402"/>
      <c r="J4" s="1402"/>
      <c r="K4" s="1402"/>
      <c r="L4" s="1402"/>
      <c r="M4" s="1402"/>
      <c r="N4" s="1402"/>
      <c r="O4" s="1402"/>
    </row>
    <row r="5" spans="1:17">
      <c r="A5" s="1402" t="s">
        <v>691</v>
      </c>
      <c r="B5" s="1402"/>
      <c r="C5" s="1402"/>
      <c r="D5" s="1402"/>
      <c r="E5" s="1402"/>
      <c r="F5" s="1402"/>
      <c r="G5" s="1402"/>
      <c r="H5" s="1402"/>
      <c r="I5" s="1402"/>
      <c r="J5" s="1402"/>
      <c r="K5" s="1402"/>
      <c r="L5" s="1402"/>
      <c r="M5" s="1402"/>
      <c r="N5" s="1402"/>
      <c r="O5" s="1402"/>
    </row>
    <row r="6" spans="1:17">
      <c r="A6" s="1402" t="s">
        <v>690</v>
      </c>
      <c r="B6" s="1402"/>
      <c r="C6" s="1402"/>
      <c r="D6" s="1402"/>
      <c r="E6" s="1402"/>
      <c r="F6" s="1402"/>
      <c r="G6" s="1402"/>
      <c r="H6" s="1402"/>
      <c r="I6" s="1402"/>
      <c r="J6" s="1402"/>
      <c r="K6" s="1402"/>
      <c r="L6" s="1402"/>
      <c r="M6" s="1402"/>
      <c r="N6" s="1402"/>
      <c r="O6" s="1402"/>
    </row>
    <row r="8" spans="1:17">
      <c r="A8" s="531" t="s">
        <v>536</v>
      </c>
      <c r="B8" s="531" t="s">
        <v>537</v>
      </c>
      <c r="C8" s="531" t="s">
        <v>369</v>
      </c>
      <c r="D8" s="531" t="s">
        <v>369</v>
      </c>
      <c r="E8" s="531" t="s">
        <v>369</v>
      </c>
      <c r="F8" s="531" t="s">
        <v>369</v>
      </c>
      <c r="G8" s="531" t="s">
        <v>369</v>
      </c>
      <c r="H8" s="531" t="s">
        <v>369</v>
      </c>
      <c r="I8" s="531" t="s">
        <v>369</v>
      </c>
      <c r="J8" s="531" t="s">
        <v>369</v>
      </c>
      <c r="K8" s="531" t="s">
        <v>369</v>
      </c>
      <c r="L8" s="531" t="s">
        <v>369</v>
      </c>
      <c r="M8" s="531" t="s">
        <v>369</v>
      </c>
      <c r="N8" s="531" t="s">
        <v>369</v>
      </c>
      <c r="O8" s="531" t="s">
        <v>369</v>
      </c>
    </row>
    <row r="9" spans="1:17">
      <c r="B9" s="449" t="s">
        <v>439</v>
      </c>
      <c r="C9" s="449" t="s">
        <v>208</v>
      </c>
      <c r="D9" s="449" t="s">
        <v>209</v>
      </c>
      <c r="E9" s="449" t="s">
        <v>440</v>
      </c>
      <c r="F9" s="449" t="s">
        <v>441</v>
      </c>
      <c r="G9" s="449" t="s">
        <v>442</v>
      </c>
      <c r="H9" s="449" t="s">
        <v>443</v>
      </c>
      <c r="I9" s="449" t="s">
        <v>444</v>
      </c>
      <c r="J9" s="449" t="s">
        <v>445</v>
      </c>
      <c r="K9" s="449" t="s">
        <v>446</v>
      </c>
      <c r="L9" s="449" t="s">
        <v>447</v>
      </c>
      <c r="M9" s="449" t="s">
        <v>448</v>
      </c>
      <c r="N9" s="449" t="s">
        <v>449</v>
      </c>
      <c r="O9" s="449" t="s">
        <v>450</v>
      </c>
    </row>
    <row r="10" spans="1:17" ht="15.75">
      <c r="A10" s="449">
        <v>1</v>
      </c>
      <c r="B10" t="s">
        <v>1420</v>
      </c>
      <c r="C10" s="546">
        <f>405915-(-694737)</f>
        <v>1100652</v>
      </c>
      <c r="Q10" s="1348">
        <v>673850</v>
      </c>
    </row>
    <row r="11" spans="1:17">
      <c r="A11" s="124">
        <f>MAX($A$10:A10)+1</f>
        <v>2</v>
      </c>
      <c r="B11" t="s">
        <v>1421</v>
      </c>
      <c r="C11" s="546">
        <f>1696000-405915</f>
        <v>1290085</v>
      </c>
      <c r="Q11" s="549">
        <f>+-Q10+C10</f>
        <v>426802</v>
      </c>
    </row>
    <row r="12" spans="1:17">
      <c r="A12" s="124">
        <f>MAX($A$10:A11)+1</f>
        <v>3</v>
      </c>
      <c r="Q12" s="549">
        <f>+C11+Q11</f>
        <v>1716887</v>
      </c>
    </row>
    <row r="13" spans="1:17">
      <c r="A13" s="124">
        <f>MAX($A$10:A12)+1</f>
        <v>4</v>
      </c>
      <c r="B13" t="s">
        <v>1422</v>
      </c>
    </row>
    <row r="14" spans="1:17">
      <c r="A14" s="124">
        <f>MAX($A$10:A13)+1</f>
        <v>5</v>
      </c>
      <c r="B14" t="s">
        <v>1423</v>
      </c>
      <c r="C14" s="752">
        <f>'Exh JAD-8, State Allocators'!H14</f>
        <v>0.75049999999999994</v>
      </c>
    </row>
    <row r="15" spans="1:17">
      <c r="A15" s="124">
        <f>MAX($A$10:A14)+1</f>
        <v>6</v>
      </c>
      <c r="B15" t="s">
        <v>1424</v>
      </c>
      <c r="C15" s="546">
        <f>C10*C14</f>
        <v>826039.32599999988</v>
      </c>
    </row>
    <row r="16" spans="1:17">
      <c r="A16" s="124">
        <f>MAX($A$10:A15)+1</f>
        <v>7</v>
      </c>
      <c r="B16" t="s">
        <v>1425</v>
      </c>
      <c r="C16" s="546">
        <f>C11*C14</f>
        <v>968208.79249999998</v>
      </c>
    </row>
    <row r="17" spans="1:15">
      <c r="A17" s="124">
        <f>MAX($A$10:A16)+1</f>
        <v>8</v>
      </c>
    </row>
    <row r="18" spans="1:15">
      <c r="A18" s="124">
        <f>MAX($A$10:A17)+1</f>
        <v>9</v>
      </c>
      <c r="B18" t="s">
        <v>1426</v>
      </c>
      <c r="C18" s="531" t="s">
        <v>1427</v>
      </c>
      <c r="D18" s="531" t="s">
        <v>1428</v>
      </c>
      <c r="E18" s="531" t="s">
        <v>1428</v>
      </c>
      <c r="F18" s="531" t="s">
        <v>1428</v>
      </c>
      <c r="G18" s="531" t="s">
        <v>1428</v>
      </c>
      <c r="H18" s="531" t="s">
        <v>1428</v>
      </c>
      <c r="I18" s="531" t="s">
        <v>1428</v>
      </c>
      <c r="J18" s="531" t="s">
        <v>1428</v>
      </c>
      <c r="K18" s="531" t="s">
        <v>1428</v>
      </c>
      <c r="L18" s="531" t="s">
        <v>1428</v>
      </c>
      <c r="M18" s="531" t="s">
        <v>1428</v>
      </c>
      <c r="N18" s="531" t="s">
        <v>1428</v>
      </c>
      <c r="O18" s="531" t="s">
        <v>1428</v>
      </c>
    </row>
    <row r="19" spans="1:15">
      <c r="A19" s="124">
        <f>MAX($A$10:A18)+1</f>
        <v>10</v>
      </c>
      <c r="C19" s="753">
        <v>45291</v>
      </c>
      <c r="D19" s="753">
        <v>45322</v>
      </c>
      <c r="E19" s="753">
        <v>45351</v>
      </c>
      <c r="F19" s="753">
        <v>45382</v>
      </c>
      <c r="G19" s="753">
        <v>45412</v>
      </c>
      <c r="H19" s="753">
        <v>45443</v>
      </c>
      <c r="I19" s="753">
        <v>45473</v>
      </c>
      <c r="J19" s="753">
        <v>45504</v>
      </c>
      <c r="K19" s="753">
        <v>45535</v>
      </c>
      <c r="L19" s="753">
        <v>45565</v>
      </c>
      <c r="M19" s="753">
        <v>45596</v>
      </c>
      <c r="N19" s="753">
        <v>45626</v>
      </c>
      <c r="O19" s="753">
        <v>45657</v>
      </c>
    </row>
    <row r="20" spans="1:15">
      <c r="A20" s="124">
        <f>MAX($A$10:A19)+1</f>
        <v>11</v>
      </c>
      <c r="B20" t="s">
        <v>1429</v>
      </c>
      <c r="C20" s="546">
        <f>'Working Capital (AMA)'!R678</f>
        <v>-1508363.69</v>
      </c>
      <c r="D20" s="616">
        <f>C20-(405915/12)</f>
        <v>-1542189.94</v>
      </c>
      <c r="E20" s="616">
        <f t="shared" ref="E20:O20" si="0">D20-(405915/12)</f>
        <v>-1576016.19</v>
      </c>
      <c r="F20" s="616">
        <f t="shared" si="0"/>
        <v>-1609842.44</v>
      </c>
      <c r="G20" s="616">
        <f t="shared" si="0"/>
        <v>-1643668.69</v>
      </c>
      <c r="H20" s="616">
        <f t="shared" si="0"/>
        <v>-1677494.94</v>
      </c>
      <c r="I20" s="616">
        <f t="shared" si="0"/>
        <v>-1711321.19</v>
      </c>
      <c r="J20" s="616">
        <f t="shared" si="0"/>
        <v>-1745147.44</v>
      </c>
      <c r="K20" s="616">
        <f t="shared" si="0"/>
        <v>-1778973.69</v>
      </c>
      <c r="L20" s="616">
        <f t="shared" si="0"/>
        <v>-1812799.94</v>
      </c>
      <c r="M20" s="616">
        <f t="shared" si="0"/>
        <v>-1846626.19</v>
      </c>
      <c r="N20" s="616">
        <f t="shared" si="0"/>
        <v>-1880452.44</v>
      </c>
      <c r="O20" s="616">
        <f t="shared" si="0"/>
        <v>-1914278.69</v>
      </c>
    </row>
    <row r="21" spans="1:15">
      <c r="A21" s="124">
        <f>MAX($A$10:A20)+1</f>
        <v>12</v>
      </c>
      <c r="B21" t="s">
        <v>1430</v>
      </c>
      <c r="C21" s="522"/>
      <c r="D21" s="522">
        <f t="shared" ref="D21:O21" si="1">(C20+D20)/2</f>
        <v>-1525276.8149999999</v>
      </c>
      <c r="E21" s="522">
        <f t="shared" si="1"/>
        <v>-1559103.0649999999</v>
      </c>
      <c r="F21" s="522">
        <f t="shared" si="1"/>
        <v>-1592929.3149999999</v>
      </c>
      <c r="G21" s="522">
        <f t="shared" si="1"/>
        <v>-1626755.5649999999</v>
      </c>
      <c r="H21" s="522">
        <f t="shared" si="1"/>
        <v>-1660581.8149999999</v>
      </c>
      <c r="I21" s="522">
        <f t="shared" si="1"/>
        <v>-1694408.0649999999</v>
      </c>
      <c r="J21" s="522">
        <f t="shared" si="1"/>
        <v>-1728234.3149999999</v>
      </c>
      <c r="K21" s="522">
        <f t="shared" si="1"/>
        <v>-1762060.5649999999</v>
      </c>
      <c r="L21" s="522">
        <f t="shared" si="1"/>
        <v>-1795886.8149999999</v>
      </c>
      <c r="M21" s="522">
        <f t="shared" si="1"/>
        <v>-1829713.0649999999</v>
      </c>
      <c r="N21" s="522">
        <f t="shared" si="1"/>
        <v>-1863539.3149999999</v>
      </c>
      <c r="O21" s="522">
        <f t="shared" si="1"/>
        <v>-1897365.5649999999</v>
      </c>
    </row>
    <row r="22" spans="1:15">
      <c r="A22" s="124">
        <f>MAX($A$10:A21)+1</f>
        <v>13</v>
      </c>
      <c r="C22" s="522"/>
      <c r="D22" s="522"/>
      <c r="E22" s="522"/>
      <c r="F22" s="522"/>
      <c r="G22" s="522"/>
      <c r="H22" s="522"/>
      <c r="I22" s="522"/>
      <c r="J22" s="522"/>
      <c r="K22" s="522"/>
      <c r="L22" s="522"/>
      <c r="M22" s="522"/>
      <c r="N22" s="522"/>
      <c r="O22" s="522"/>
    </row>
    <row r="23" spans="1:15">
      <c r="A23" s="124">
        <f>MAX($A$10:A22)+1</f>
        <v>14</v>
      </c>
      <c r="B23" s="520" t="s">
        <v>1431</v>
      </c>
      <c r="C23" s="546">
        <f>AVERAGE(D21:O21)</f>
        <v>-1711321.1899999997</v>
      </c>
      <c r="D23" s="522"/>
      <c r="E23" s="522"/>
      <c r="F23" s="522"/>
      <c r="G23" s="522"/>
      <c r="H23" s="522"/>
      <c r="I23" s="522"/>
      <c r="J23" s="522"/>
      <c r="K23" s="522"/>
      <c r="L23" s="522"/>
      <c r="M23" s="522"/>
      <c r="N23" s="522"/>
      <c r="O23" s="522"/>
    </row>
    <row r="24" spans="1:15">
      <c r="A24" s="124">
        <f>MAX($A$10:A23)+1</f>
        <v>15</v>
      </c>
      <c r="B24" s="520" t="s">
        <v>1432</v>
      </c>
      <c r="C24" s="616">
        <f>'Working Capital (AMA)'!AD678</f>
        <v>-2577281.3899999997</v>
      </c>
      <c r="D24" s="522"/>
      <c r="E24" s="522"/>
      <c r="F24" s="522"/>
      <c r="G24" s="522"/>
      <c r="H24" s="522"/>
      <c r="I24" s="522"/>
      <c r="J24" s="522"/>
      <c r="K24" s="522"/>
      <c r="L24" s="522"/>
      <c r="M24" s="522"/>
      <c r="N24" s="522"/>
      <c r="O24" s="522"/>
    </row>
    <row r="25" spans="1:15">
      <c r="A25" s="124">
        <f>MAX($A$10:A24)+1</f>
        <v>16</v>
      </c>
      <c r="B25" s="520" t="s">
        <v>1433</v>
      </c>
      <c r="C25" s="546">
        <f>C23-C24</f>
        <v>865960.2</v>
      </c>
      <c r="D25" s="522"/>
      <c r="E25" s="522"/>
      <c r="F25" s="522"/>
      <c r="G25" s="522"/>
      <c r="H25" s="522"/>
      <c r="I25" s="522"/>
      <c r="J25" s="522"/>
      <c r="K25" s="522"/>
      <c r="L25" s="522"/>
      <c r="M25" s="522"/>
      <c r="N25" s="522"/>
      <c r="O25" s="522"/>
    </row>
    <row r="26" spans="1:15">
      <c r="A26" s="124">
        <f>MAX($A$10:A25)+1</f>
        <v>17</v>
      </c>
      <c r="B26" t="s">
        <v>1434</v>
      </c>
      <c r="C26" s="755">
        <f>'Working Capital (AMA)'!Y836</f>
        <v>0.60433142015332386</v>
      </c>
      <c r="D26" s="522"/>
      <c r="E26" s="522"/>
      <c r="F26" s="522"/>
      <c r="G26" s="522"/>
      <c r="H26" s="522"/>
      <c r="I26" s="522"/>
      <c r="J26" s="522"/>
      <c r="K26" s="522"/>
      <c r="L26" s="522"/>
      <c r="M26" s="522"/>
      <c r="N26" s="522"/>
      <c r="O26" s="522"/>
    </row>
    <row r="27" spans="1:15">
      <c r="A27" s="124">
        <f>MAX($A$10:A26)+1</f>
        <v>18</v>
      </c>
      <c r="B27" t="s">
        <v>1435</v>
      </c>
      <c r="C27" s="546">
        <f>C25*C26</f>
        <v>523326.95746225631</v>
      </c>
      <c r="D27" s="522"/>
      <c r="E27" s="522"/>
      <c r="F27" s="522"/>
      <c r="G27" s="522"/>
      <c r="H27" s="522"/>
      <c r="I27" s="522"/>
      <c r="J27" s="522"/>
      <c r="K27" s="522"/>
      <c r="L27" s="522"/>
      <c r="M27" s="522"/>
      <c r="N27" s="522"/>
      <c r="O27" s="522"/>
    </row>
    <row r="28" spans="1:15">
      <c r="A28" s="124">
        <f>MAX($A$10:A27)+1</f>
        <v>19</v>
      </c>
      <c r="C28" s="522"/>
      <c r="D28" s="522"/>
      <c r="E28" s="522"/>
      <c r="F28" s="522"/>
      <c r="G28" s="522"/>
      <c r="H28" s="522"/>
      <c r="I28" s="522"/>
      <c r="J28" s="522"/>
      <c r="K28" s="522"/>
      <c r="L28" s="522"/>
      <c r="M28" s="522"/>
      <c r="N28" s="522"/>
      <c r="O28" s="522"/>
    </row>
    <row r="29" spans="1:15">
      <c r="A29" s="124">
        <f>MAX($A$10:A28)+1</f>
        <v>20</v>
      </c>
      <c r="C29" s="754" t="s">
        <v>1428</v>
      </c>
      <c r="D29" s="754" t="s">
        <v>1428</v>
      </c>
      <c r="E29" s="754" t="s">
        <v>1428</v>
      </c>
      <c r="F29" s="754" t="s">
        <v>1428</v>
      </c>
      <c r="G29" s="754" t="s">
        <v>1428</v>
      </c>
      <c r="H29" s="754" t="s">
        <v>1428</v>
      </c>
      <c r="I29" s="754" t="s">
        <v>1428</v>
      </c>
      <c r="J29" s="754" t="s">
        <v>1428</v>
      </c>
      <c r="K29" s="754" t="s">
        <v>1428</v>
      </c>
      <c r="L29" s="754" t="s">
        <v>1428</v>
      </c>
      <c r="M29" s="754" t="s">
        <v>1428</v>
      </c>
      <c r="N29" s="754" t="s">
        <v>1428</v>
      </c>
      <c r="O29" s="754" t="s">
        <v>1428</v>
      </c>
    </row>
    <row r="30" spans="1:15">
      <c r="A30" s="124">
        <f>MAX($A$10:A29)+1</f>
        <v>21</v>
      </c>
      <c r="B30" t="s">
        <v>1429</v>
      </c>
      <c r="C30" s="753">
        <f t="shared" ref="C30:O30" si="2">C19+365</f>
        <v>45656</v>
      </c>
      <c r="D30" s="753">
        <f t="shared" si="2"/>
        <v>45687</v>
      </c>
      <c r="E30" s="753">
        <f t="shared" si="2"/>
        <v>45716</v>
      </c>
      <c r="F30" s="753">
        <f t="shared" si="2"/>
        <v>45747</v>
      </c>
      <c r="G30" s="753">
        <f t="shared" si="2"/>
        <v>45777</v>
      </c>
      <c r="H30" s="753">
        <f t="shared" si="2"/>
        <v>45808</v>
      </c>
      <c r="I30" s="753">
        <f t="shared" si="2"/>
        <v>45838</v>
      </c>
      <c r="J30" s="753">
        <f t="shared" si="2"/>
        <v>45869</v>
      </c>
      <c r="K30" s="753">
        <f t="shared" si="2"/>
        <v>45900</v>
      </c>
      <c r="L30" s="753">
        <f t="shared" si="2"/>
        <v>45930</v>
      </c>
      <c r="M30" s="753">
        <f t="shared" si="2"/>
        <v>45961</v>
      </c>
      <c r="N30" s="753">
        <f t="shared" si="2"/>
        <v>45991</v>
      </c>
      <c r="O30" s="753">
        <f t="shared" si="2"/>
        <v>46022</v>
      </c>
    </row>
    <row r="31" spans="1:15">
      <c r="A31" s="124">
        <f>MAX($A$10:A30)+1</f>
        <v>22</v>
      </c>
      <c r="B31" t="s">
        <v>1430</v>
      </c>
      <c r="C31" s="546">
        <f>O20</f>
        <v>-1914278.69</v>
      </c>
      <c r="D31" s="616">
        <f>C31-(1696000/12)</f>
        <v>-2055612.0233333332</v>
      </c>
      <c r="E31" s="616">
        <f t="shared" ref="E31:O31" si="3">D31-(1696000/12)</f>
        <v>-2196945.3566666665</v>
      </c>
      <c r="F31" s="616">
        <f t="shared" si="3"/>
        <v>-2338278.69</v>
      </c>
      <c r="G31" s="616">
        <f t="shared" si="3"/>
        <v>-2479612.0233333334</v>
      </c>
      <c r="H31" s="616">
        <f t="shared" si="3"/>
        <v>-2620945.3566666669</v>
      </c>
      <c r="I31" s="616">
        <f t="shared" si="3"/>
        <v>-2762278.6900000004</v>
      </c>
      <c r="J31" s="616">
        <f t="shared" si="3"/>
        <v>-2903612.0233333339</v>
      </c>
      <c r="K31" s="616">
        <f t="shared" si="3"/>
        <v>-3044945.3566666674</v>
      </c>
      <c r="L31" s="616">
        <f t="shared" si="3"/>
        <v>-3186278.6900000009</v>
      </c>
      <c r="M31" s="616">
        <f t="shared" si="3"/>
        <v>-3327612.0233333344</v>
      </c>
      <c r="N31" s="616">
        <f t="shared" si="3"/>
        <v>-3468945.3566666679</v>
      </c>
      <c r="O31" s="616">
        <f t="shared" si="3"/>
        <v>-3610278.6900000013</v>
      </c>
    </row>
    <row r="32" spans="1:15">
      <c r="A32" s="124">
        <f>MAX($A$10:A31)+1</f>
        <v>23</v>
      </c>
      <c r="C32" s="522"/>
      <c r="D32" s="522">
        <f>(C31+D31)/2</f>
        <v>-1984945.3566666665</v>
      </c>
      <c r="E32" s="522">
        <f t="shared" ref="E32:O32" si="4">(D31+E31)/2</f>
        <v>-2126278.69</v>
      </c>
      <c r="F32" s="522">
        <f t="shared" si="4"/>
        <v>-2267612.0233333334</v>
      </c>
      <c r="G32" s="522">
        <f t="shared" si="4"/>
        <v>-2408945.3566666665</v>
      </c>
      <c r="H32" s="522">
        <f t="shared" si="4"/>
        <v>-2550278.6900000004</v>
      </c>
      <c r="I32" s="522">
        <f t="shared" si="4"/>
        <v>-2691612.0233333334</v>
      </c>
      <c r="J32" s="522">
        <f t="shared" si="4"/>
        <v>-2832945.3566666674</v>
      </c>
      <c r="K32" s="522">
        <f t="shared" si="4"/>
        <v>-2974278.6900000004</v>
      </c>
      <c r="L32" s="522">
        <f t="shared" si="4"/>
        <v>-3115612.0233333344</v>
      </c>
      <c r="M32" s="522">
        <f t="shared" si="4"/>
        <v>-3256945.3566666674</v>
      </c>
      <c r="N32" s="522">
        <f t="shared" si="4"/>
        <v>-3398278.6900000013</v>
      </c>
      <c r="O32" s="522">
        <f t="shared" si="4"/>
        <v>-3539612.0233333344</v>
      </c>
    </row>
    <row r="33" spans="1:15">
      <c r="A33" s="124">
        <f>MAX($A$10:A32)+1</f>
        <v>24</v>
      </c>
      <c r="B33" s="520" t="s">
        <v>1436</v>
      </c>
      <c r="C33" s="546">
        <f>AVERAGE(D32:O32)</f>
        <v>-2762278.6900000004</v>
      </c>
      <c r="D33" s="522"/>
      <c r="E33" s="522"/>
      <c r="F33" s="522"/>
      <c r="G33" s="522"/>
      <c r="H33" s="522"/>
      <c r="I33" s="522"/>
      <c r="J33" s="522"/>
      <c r="K33" s="522"/>
      <c r="L33" s="522"/>
      <c r="M33" s="522"/>
      <c r="N33" s="522"/>
      <c r="O33" s="522"/>
    </row>
    <row r="34" spans="1:15">
      <c r="A34" s="124">
        <f>MAX($A$10:A33)+1</f>
        <v>25</v>
      </c>
      <c r="B34" s="520" t="s">
        <v>1431</v>
      </c>
      <c r="C34" s="616">
        <f>C23</f>
        <v>-1711321.1899999997</v>
      </c>
      <c r="D34" s="522"/>
      <c r="E34" s="522"/>
      <c r="F34" s="522"/>
      <c r="G34" s="522"/>
      <c r="H34" s="522"/>
      <c r="I34" s="522"/>
      <c r="J34" s="522"/>
      <c r="K34" s="522"/>
      <c r="L34" s="522"/>
      <c r="M34" s="522"/>
      <c r="N34" s="522"/>
      <c r="O34" s="522"/>
    </row>
    <row r="35" spans="1:15">
      <c r="A35" s="124">
        <f>MAX($A$10:A34)+1</f>
        <v>26</v>
      </c>
      <c r="B35" s="520" t="s">
        <v>1433</v>
      </c>
      <c r="C35" s="546">
        <f>C33-C34</f>
        <v>-1050957.5000000007</v>
      </c>
      <c r="D35" s="522"/>
      <c r="E35" s="522"/>
      <c r="F35" s="522"/>
      <c r="G35" s="522"/>
      <c r="H35" s="522"/>
      <c r="I35" s="522"/>
      <c r="J35" s="522"/>
      <c r="K35" s="522"/>
      <c r="L35" s="522"/>
      <c r="M35" s="522"/>
      <c r="N35" s="522"/>
      <c r="O35" s="522"/>
    </row>
    <row r="36" spans="1:15">
      <c r="A36" s="124">
        <f>MAX($A$10:A35)+1</f>
        <v>27</v>
      </c>
      <c r="B36" t="s">
        <v>1434</v>
      </c>
      <c r="C36" s="755">
        <f>C26</f>
        <v>0.60433142015332386</v>
      </c>
    </row>
    <row r="37" spans="1:15">
      <c r="A37" s="124">
        <f>MAX($A$10:A36)+1</f>
        <v>28</v>
      </c>
      <c r="B37" t="s">
        <v>1437</v>
      </c>
      <c r="C37" s="546">
        <f>C35*C36</f>
        <v>-635126.63849578728</v>
      </c>
    </row>
  </sheetData>
  <mergeCells count="6">
    <mergeCell ref="A5:O5"/>
    <mergeCell ref="A3:O3"/>
    <mergeCell ref="A1:O1"/>
    <mergeCell ref="A6:O6"/>
    <mergeCell ref="A4:O4"/>
    <mergeCell ref="A2:O2"/>
  </mergeCells>
  <phoneticPr fontId="122" type="noConversion"/>
  <pageMargins left="0.7" right="0.7" top="0.75" bottom="0.75" header="0.3" footer="0.3"/>
  <pageSetup scale="54" orientation="landscape" r:id="rId1"/>
  <headerFooter>
    <oddHeader>&amp;RPage &amp;P of &amp;N</oddHeader>
    <oddFooter>&amp;LElectronic Tab Name: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2504F-8591-41FF-B79D-0F2724B55B55}">
  <sheetPr codeName="Sheet30">
    <tabColor rgb="FF57AAB5"/>
  </sheetPr>
  <dimension ref="A1:AS87"/>
  <sheetViews>
    <sheetView tabSelected="1" view="pageBreakPreview" zoomScale="55" zoomScaleNormal="100" zoomScaleSheetLayoutView="55" workbookViewId="0"/>
  </sheetViews>
  <sheetFormatPr defaultColWidth="9.140625" defaultRowHeight="12.75"/>
  <cols>
    <col min="1" max="1" width="1.42578125" style="1199" customWidth="1"/>
    <col min="2" max="2" width="3.28515625" style="1199" customWidth="1"/>
    <col min="3" max="3" width="1.42578125" style="1199" customWidth="1"/>
    <col min="4" max="4" width="6.28515625" style="1199" bestFit="1" customWidth="1"/>
    <col min="5" max="5" width="3.42578125" style="1325" customWidth="1"/>
    <col min="6" max="6" width="1.42578125" style="1199" customWidth="1"/>
    <col min="7" max="7" width="32.7109375" style="1199" customWidth="1"/>
    <col min="8" max="9" width="1.42578125" style="1200" customWidth="1"/>
    <col min="10" max="10" width="10" style="1199" customWidth="1"/>
    <col min="11" max="11" width="1.42578125" style="1199" customWidth="1"/>
    <col min="12" max="12" width="10" style="1199" customWidth="1"/>
    <col min="13" max="13" width="1.42578125" style="1199" customWidth="1"/>
    <col min="14" max="14" width="10" style="1199" customWidth="1"/>
    <col min="15" max="15" width="1.42578125" style="1200" customWidth="1"/>
    <col min="16" max="16" width="1.42578125" style="1199" customWidth="1"/>
    <col min="17" max="17" width="10" style="1199" customWidth="1"/>
    <col min="18" max="18" width="1.42578125" style="1199" customWidth="1"/>
    <col min="19" max="19" width="10" style="1199" customWidth="1"/>
    <col min="20" max="20" width="1.42578125" style="1199" customWidth="1"/>
    <col min="21" max="21" width="10" style="1199" customWidth="1"/>
    <col min="22" max="23" width="1.42578125" style="1199" customWidth="1"/>
    <col min="24" max="24" width="10" style="1200" customWidth="1"/>
    <col min="25" max="25" width="1.42578125" style="1200" customWidth="1"/>
    <col min="26" max="26" width="10" style="1200" customWidth="1"/>
    <col min="27" max="27" width="1.28515625" style="1200" customWidth="1"/>
    <col min="28" max="28" width="10" style="1200" customWidth="1"/>
    <col min="29" max="29" width="1.42578125" style="1200" customWidth="1"/>
    <col min="30" max="30" width="10" style="1200" customWidth="1"/>
    <col min="31" max="31" width="1.42578125" style="1200" customWidth="1"/>
    <col min="32" max="32" width="9.28515625" style="1200" customWidth="1"/>
    <col min="33" max="33" width="17.42578125" style="1200" customWidth="1"/>
    <col min="34" max="35" width="2.7109375" style="1200" customWidth="1"/>
    <col min="36" max="36" width="21.140625" style="1200" customWidth="1"/>
    <col min="37" max="39" width="11.85546875" style="1199" customWidth="1"/>
    <col min="40" max="41" width="9.140625" style="1199"/>
    <col min="42" max="42" width="11" style="1199" customWidth="1"/>
    <col min="43" max="43" width="9.140625" style="1199"/>
    <col min="44" max="44" width="12.28515625" style="1199" bestFit="1" customWidth="1"/>
    <col min="45" max="16384" width="9.140625" style="1199"/>
  </cols>
  <sheetData>
    <row r="1" spans="1:39">
      <c r="A1" s="1198" t="s">
        <v>4232</v>
      </c>
      <c r="B1" s="1198"/>
      <c r="C1" s="1198"/>
      <c r="F1" s="1198"/>
      <c r="G1" s="1198"/>
      <c r="J1" s="1200"/>
      <c r="K1" s="1198"/>
      <c r="L1" s="1198"/>
      <c r="M1" s="1198"/>
      <c r="N1" s="1198"/>
      <c r="P1" s="1198"/>
      <c r="Q1" s="1198"/>
      <c r="R1" s="1198"/>
      <c r="S1" s="1198"/>
      <c r="T1" s="1198"/>
      <c r="U1" s="1198"/>
      <c r="Y1" s="1207"/>
      <c r="AI1" s="1201"/>
      <c r="AK1" s="1200"/>
      <c r="AL1" s="1200"/>
      <c r="AM1" s="1200"/>
    </row>
    <row r="2" spans="1:39">
      <c r="B2" s="1198"/>
      <c r="C2" s="1198"/>
      <c r="D2" s="1198"/>
      <c r="E2" s="1323"/>
      <c r="F2" s="1198"/>
      <c r="G2" s="1198"/>
      <c r="I2" s="1202"/>
      <c r="J2" s="1203" t="s">
        <v>4139</v>
      </c>
      <c r="K2" s="1204"/>
      <c r="L2" s="1204"/>
      <c r="M2" s="1204"/>
      <c r="N2" s="1204"/>
      <c r="P2" s="1198"/>
      <c r="Q2" s="1203" t="s">
        <v>4101</v>
      </c>
      <c r="R2" s="1205"/>
      <c r="S2" s="1205"/>
      <c r="T2" s="1205"/>
      <c r="U2" s="1205"/>
      <c r="X2" s="1203" t="s">
        <v>4102</v>
      </c>
      <c r="Y2" s="1238"/>
      <c r="Z2" s="1206"/>
      <c r="AA2" s="1206"/>
      <c r="AB2" s="1206"/>
      <c r="AC2" s="1206"/>
      <c r="AD2" s="1206"/>
      <c r="AE2" s="1207"/>
      <c r="AF2" s="1207"/>
      <c r="AG2" s="1207"/>
      <c r="AI2" s="1201"/>
      <c r="AJ2" s="1208" t="s">
        <v>4103</v>
      </c>
      <c r="AK2" s="1208"/>
      <c r="AL2" s="1208"/>
      <c r="AM2" s="1208"/>
    </row>
    <row r="3" spans="1:39">
      <c r="B3" s="1198"/>
      <c r="C3" s="1198"/>
      <c r="D3" s="1198"/>
      <c r="E3" s="1323"/>
      <c r="F3" s="1198"/>
      <c r="G3" s="1198"/>
      <c r="J3" s="1207"/>
      <c r="K3" s="1207"/>
      <c r="L3" s="1207"/>
      <c r="M3" s="1207"/>
      <c r="N3" s="1207" t="s">
        <v>4104</v>
      </c>
      <c r="Q3" s="1207"/>
      <c r="R3" s="1207"/>
      <c r="S3" s="1207"/>
      <c r="T3" s="1207"/>
      <c r="U3" s="1207" t="s">
        <v>4104</v>
      </c>
      <c r="X3" s="1207" t="s">
        <v>4136</v>
      </c>
      <c r="Y3" s="1207"/>
      <c r="Z3" s="1207"/>
      <c r="AA3" s="1207"/>
      <c r="AB3" s="1207"/>
      <c r="AC3" s="1207"/>
      <c r="AD3" s="1207" t="s">
        <v>4104</v>
      </c>
      <c r="AE3" s="1207"/>
      <c r="AF3" s="1207"/>
      <c r="AG3" s="1207"/>
      <c r="AI3" s="1201"/>
      <c r="AJ3" s="1199"/>
    </row>
    <row r="4" spans="1:39">
      <c r="B4" s="1198"/>
      <c r="C4" s="1198"/>
      <c r="D4" s="1209" t="s">
        <v>4105</v>
      </c>
      <c r="E4" s="1323" t="s">
        <v>2449</v>
      </c>
      <c r="F4" s="1198"/>
      <c r="G4" s="1198"/>
      <c r="J4" s="1207" t="s">
        <v>4106</v>
      </c>
      <c r="K4" s="1207"/>
      <c r="L4" s="1207"/>
      <c r="M4" s="1207"/>
      <c r="N4" s="1207" t="s">
        <v>4107</v>
      </c>
      <c r="Q4" s="1207" t="s">
        <v>4106</v>
      </c>
      <c r="R4" s="1207"/>
      <c r="S4" s="1207"/>
      <c r="T4" s="1207"/>
      <c r="U4" s="1207" t="s">
        <v>4107</v>
      </c>
      <c r="X4" s="1207" t="s">
        <v>4106</v>
      </c>
      <c r="Y4" s="1207"/>
      <c r="Z4" s="1207" t="s">
        <v>4106</v>
      </c>
      <c r="AA4" s="1207"/>
      <c r="AB4" s="1207"/>
      <c r="AC4" s="1207"/>
      <c r="AD4" s="1207" t="s">
        <v>4107</v>
      </c>
      <c r="AE4" s="1207"/>
      <c r="AF4" s="1207" t="s">
        <v>4108</v>
      </c>
      <c r="AG4" s="1207"/>
      <c r="AI4" s="1201"/>
      <c r="AJ4" s="1199" t="s">
        <v>4109</v>
      </c>
      <c r="AK4" s="1210">
        <f>+'Exh JAD-6, Conversion Factor'!C26</f>
        <v>0.75110130289694599</v>
      </c>
    </row>
    <row r="5" spans="1:39">
      <c r="B5" s="1205" t="s">
        <v>4110</v>
      </c>
      <c r="C5" s="1198"/>
      <c r="D5" s="1211" t="s">
        <v>4111</v>
      </c>
      <c r="E5" s="1324" t="s">
        <v>4111</v>
      </c>
      <c r="F5" s="1198"/>
      <c r="G5" s="1205" t="s">
        <v>537</v>
      </c>
      <c r="J5" s="1212" t="s">
        <v>4112</v>
      </c>
      <c r="K5" s="1207"/>
      <c r="L5" s="1212" t="s">
        <v>568</v>
      </c>
      <c r="M5" s="1207"/>
      <c r="N5" s="1212" t="s">
        <v>4113</v>
      </c>
      <c r="Q5" s="1212" t="s">
        <v>4112</v>
      </c>
      <c r="R5" s="1207"/>
      <c r="S5" s="1212" t="s">
        <v>568</v>
      </c>
      <c r="T5" s="1207"/>
      <c r="U5" s="1212" t="s">
        <v>4113</v>
      </c>
      <c r="X5" s="1212" t="s">
        <v>4112</v>
      </c>
      <c r="Y5" s="1207"/>
      <c r="Z5" s="1212" t="s">
        <v>4112</v>
      </c>
      <c r="AA5" s="1207"/>
      <c r="AB5" s="1212" t="s">
        <v>568</v>
      </c>
      <c r="AC5" s="1207"/>
      <c r="AD5" s="1212" t="s">
        <v>4113</v>
      </c>
      <c r="AE5" s="1207"/>
      <c r="AF5" s="1212" t="s">
        <v>4114</v>
      </c>
      <c r="AG5" s="1207"/>
      <c r="AI5" s="1201"/>
      <c r="AJ5" s="1199" t="s">
        <v>4115</v>
      </c>
      <c r="AK5" s="1213">
        <v>0.21</v>
      </c>
    </row>
    <row r="6" spans="1:39">
      <c r="AF6" s="1207"/>
      <c r="AG6" s="1207"/>
      <c r="AI6" s="1201"/>
      <c r="AJ6" s="1199" t="s">
        <v>4116</v>
      </c>
    </row>
    <row r="7" spans="1:39">
      <c r="B7" s="1199">
        <v>1</v>
      </c>
      <c r="D7" s="1199" t="s">
        <v>4140</v>
      </c>
      <c r="F7" s="1198"/>
      <c r="G7" s="1214" t="s">
        <v>4138</v>
      </c>
      <c r="J7" s="1214">
        <f>+'Operating Report'!F154/1000</f>
        <v>32433.674810000004</v>
      </c>
      <c r="K7" s="1214"/>
      <c r="L7" s="1214">
        <f>+'Rate Base'!C16/1000</f>
        <v>583520.55953238544</v>
      </c>
      <c r="M7" s="1214"/>
      <c r="N7" s="1214">
        <f>+($L7*$AM$16-$J7)/$AK$4</f>
        <v>12039.609739303944</v>
      </c>
      <c r="P7" s="1198"/>
      <c r="Q7" s="1215">
        <f>+J7</f>
        <v>32433.674810000004</v>
      </c>
      <c r="R7" s="1214"/>
      <c r="S7" s="1214">
        <f>+L7</f>
        <v>583520.55953238544</v>
      </c>
      <c r="T7" s="1214"/>
      <c r="U7" s="1214">
        <f>+($S7*$AM$16-$Q7)/$AK$4</f>
        <v>12039.609739303944</v>
      </c>
      <c r="AF7" s="1207"/>
      <c r="AG7" s="1207"/>
      <c r="AI7" s="1201"/>
      <c r="AJ7" s="1199"/>
    </row>
    <row r="8" spans="1:39">
      <c r="D8" s="1216"/>
      <c r="E8" s="1326"/>
      <c r="J8" s="1217"/>
      <c r="K8" s="1217"/>
      <c r="L8" s="1217"/>
      <c r="M8" s="1217"/>
      <c r="N8" s="1217"/>
      <c r="Q8" s="1217"/>
      <c r="R8" s="1217"/>
      <c r="S8" s="1217"/>
      <c r="T8" s="1217"/>
      <c r="U8" s="1217"/>
      <c r="AF8" s="1207"/>
      <c r="AG8" s="1207"/>
      <c r="AI8" s="1201"/>
    </row>
    <row r="9" spans="1:39">
      <c r="B9" s="1202" t="s">
        <v>4117</v>
      </c>
      <c r="D9" s="1216"/>
      <c r="E9" s="1326"/>
      <c r="J9" s="1217"/>
      <c r="K9" s="1217"/>
      <c r="L9" s="1217"/>
      <c r="M9" s="1217"/>
      <c r="N9" s="1217"/>
      <c r="Q9" s="1217"/>
      <c r="R9" s="1217"/>
      <c r="S9" s="1217"/>
      <c r="T9" s="1217"/>
      <c r="U9" s="1217"/>
      <c r="AF9" s="1207"/>
      <c r="AG9" s="1207"/>
      <c r="AI9" s="1201"/>
    </row>
    <row r="10" spans="1:39">
      <c r="B10" s="1199">
        <f t="shared" ref="B10:B22" ca="1" si="0">+MAX(OFFSET($B$7,0,0,ROW($B10)-ROW($B$7),1))+1</f>
        <v>2</v>
      </c>
      <c r="D10" s="1216" t="s">
        <v>759</v>
      </c>
      <c r="E10" s="1326"/>
      <c r="G10" s="1217" t="str">
        <f>+INDEX('Exh JAD-7, Summary of Adj'!$C$5:$AN$5,1,MATCH($D10,'Exh JAD-7, Summary of Adj'!$C$4:$AN$4,0))</f>
        <v>Remove Supplemental Schedules Adjustment</v>
      </c>
      <c r="J10" s="1217">
        <v>252.2380234104395</v>
      </c>
      <c r="K10" s="1217"/>
      <c r="L10" s="1217">
        <v>0</v>
      </c>
      <c r="M10" s="1217"/>
      <c r="N10" s="1217">
        <f t="shared" ref="N10:N22" si="1">+($L10*$AM$16-$J10)/$AK$4</f>
        <v>-335.82423893764371</v>
      </c>
      <c r="Q10" s="1217">
        <f t="shared" ref="Q10:Q21" si="2">+J10+Z10</f>
        <v>252.2380234104395</v>
      </c>
      <c r="R10" s="1217"/>
      <c r="S10" s="1217">
        <f t="shared" ref="S10:S21" si="3">+L10+AB10</f>
        <v>0</v>
      </c>
      <c r="T10" s="1217"/>
      <c r="U10" s="1217">
        <f t="shared" ref="U10:U22" si="4">+($S10*$AM$16-$Q10)/$AK$4</f>
        <v>-335.82423893764371</v>
      </c>
      <c r="X10" s="1217">
        <v>0</v>
      </c>
      <c r="Y10" s="1217"/>
      <c r="Z10" s="1217">
        <f>+X10*(1-$AK$5)</f>
        <v>0</v>
      </c>
      <c r="AA10" s="1217"/>
      <c r="AB10" s="1217">
        <v>0</v>
      </c>
      <c r="AC10" s="1218"/>
      <c r="AD10" s="1217">
        <f t="shared" ref="AD10:AD21" si="5">+U10-N10</f>
        <v>0</v>
      </c>
      <c r="AF10" s="1207"/>
      <c r="AG10" s="1207"/>
      <c r="AI10" s="1201"/>
    </row>
    <row r="11" spans="1:39">
      <c r="B11" s="1199">
        <f t="shared" ca="1" si="0"/>
        <v>3</v>
      </c>
      <c r="D11" s="1216" t="s">
        <v>760</v>
      </c>
      <c r="E11" s="1326"/>
      <c r="G11" s="1217" t="str">
        <f>+INDEX('Exh JAD-7, Summary of Adj'!$C$5:$AN$5,1,MATCH($D11,'Exh JAD-7, Summary of Adj'!$C$4:$AN$4,0))</f>
        <v>Normalize Revenue Adjustment</v>
      </c>
      <c r="J11" s="1217">
        <v>-1332.817241649866</v>
      </c>
      <c r="K11" s="1217"/>
      <c r="L11" s="1217">
        <v>0</v>
      </c>
      <c r="M11" s="1217"/>
      <c r="N11" s="1217">
        <f t="shared" si="1"/>
        <v>1774.4839963787597</v>
      </c>
      <c r="Q11" s="1217">
        <f t="shared" si="2"/>
        <v>-1332.817241649866</v>
      </c>
      <c r="R11" s="1217"/>
      <c r="S11" s="1217">
        <f t="shared" si="3"/>
        <v>0</v>
      </c>
      <c r="T11" s="1217"/>
      <c r="U11" s="1217">
        <f t="shared" si="4"/>
        <v>1774.4839963787597</v>
      </c>
      <c r="X11" s="1217">
        <v>0</v>
      </c>
      <c r="Y11" s="1217"/>
      <c r="Z11" s="1217">
        <f>+X11*(1-$AK$5)</f>
        <v>0</v>
      </c>
      <c r="AA11" s="1217"/>
      <c r="AB11" s="1217">
        <v>0</v>
      </c>
      <c r="AC11" s="1218"/>
      <c r="AD11" s="1217">
        <f t="shared" si="5"/>
        <v>0</v>
      </c>
      <c r="AF11" s="1207"/>
      <c r="AG11" s="1207"/>
      <c r="AI11" s="1201"/>
      <c r="AJ11" s="1276" t="s">
        <v>4118</v>
      </c>
      <c r="AK11" s="1276" t="s">
        <v>2471</v>
      </c>
      <c r="AL11" s="1276"/>
      <c r="AM11" s="1276" t="s">
        <v>4119</v>
      </c>
    </row>
    <row r="12" spans="1:39">
      <c r="B12" s="1199">
        <f t="shared" ca="1" si="0"/>
        <v>4</v>
      </c>
      <c r="D12" s="1219" t="s">
        <v>761</v>
      </c>
      <c r="E12" s="1327"/>
      <c r="G12" s="1217" t="str">
        <f>+INDEX('Exh JAD-7, Summary of Adj'!$C$5:$AN$5,1,MATCH($D12,'Exh JAD-7, Summary of Adj'!$C$4:$AN$4,0))</f>
        <v>Restate End of Period Adjustment</v>
      </c>
      <c r="J12" s="1217">
        <v>-630.14628698055117</v>
      </c>
      <c r="K12" s="1217"/>
      <c r="L12" s="1217">
        <v>35820.359008750063</v>
      </c>
      <c r="M12" s="1217"/>
      <c r="N12" s="1217">
        <f t="shared" si="1"/>
        <v>4228.8002870876408</v>
      </c>
      <c r="Q12" s="1217">
        <f t="shared" si="2"/>
        <v>-630.14628698055117</v>
      </c>
      <c r="R12" s="1217"/>
      <c r="S12" s="1217">
        <f t="shared" si="3"/>
        <v>35820.359008750063</v>
      </c>
      <c r="T12" s="1217"/>
      <c r="U12" s="1217">
        <f t="shared" si="4"/>
        <v>4228.8002870876408</v>
      </c>
      <c r="X12" s="1217">
        <v>0</v>
      </c>
      <c r="Y12" s="1217"/>
      <c r="Z12" s="1217">
        <f>+X12*(1-$AK$5)</f>
        <v>0</v>
      </c>
      <c r="AA12" s="1217"/>
      <c r="AB12" s="1217">
        <v>0</v>
      </c>
      <c r="AC12" s="1218"/>
      <c r="AD12" s="1217">
        <f t="shared" si="5"/>
        <v>0</v>
      </c>
      <c r="AF12" s="1207"/>
      <c r="AG12" s="1207"/>
      <c r="AI12" s="1201"/>
      <c r="AJ12" s="1220" t="s">
        <v>4121</v>
      </c>
      <c r="AK12" s="1220" t="s">
        <v>4122</v>
      </c>
      <c r="AL12" s="1220" t="s">
        <v>1032</v>
      </c>
      <c r="AM12" s="1220" t="s">
        <v>1032</v>
      </c>
    </row>
    <row r="13" spans="1:39">
      <c r="B13" s="1199">
        <f t="shared" ca="1" si="0"/>
        <v>5</v>
      </c>
      <c r="D13" s="1219" t="s">
        <v>762</v>
      </c>
      <c r="E13" s="1327"/>
      <c r="G13" s="1217" t="str">
        <f>+INDEX('Exh JAD-7, Summary of Adj'!$C$5:$AN$5,1,MATCH($D13,'Exh JAD-7, Summary of Adj'!$C$4:$AN$4,0))</f>
        <v>Annualized CRM Adjustment</v>
      </c>
      <c r="J13" s="1217">
        <v>1375.9911771251268</v>
      </c>
      <c r="K13" s="1217"/>
      <c r="L13" s="1217">
        <v>0</v>
      </c>
      <c r="M13" s="1217"/>
      <c r="N13" s="1217">
        <f t="shared" si="1"/>
        <v>-1831.9648385883816</v>
      </c>
      <c r="Q13" s="1217">
        <f t="shared" si="2"/>
        <v>1375.9911771251268</v>
      </c>
      <c r="R13" s="1217"/>
      <c r="S13" s="1217">
        <f t="shared" si="3"/>
        <v>0</v>
      </c>
      <c r="T13" s="1217"/>
      <c r="U13" s="1217">
        <f t="shared" si="4"/>
        <v>-1831.9648385883816</v>
      </c>
      <c r="X13" s="1217">
        <v>0</v>
      </c>
      <c r="Y13" s="1217"/>
      <c r="Z13" s="1217">
        <v>0</v>
      </c>
      <c r="AA13" s="1217"/>
      <c r="AB13" s="1217">
        <v>0</v>
      </c>
      <c r="AC13" s="1218"/>
      <c r="AD13" s="1217">
        <f t="shared" si="5"/>
        <v>0</v>
      </c>
      <c r="AF13" s="1207"/>
      <c r="AG13" s="1207"/>
      <c r="AI13" s="1201"/>
      <c r="AJ13" s="1277" t="s">
        <v>4137</v>
      </c>
      <c r="AK13" s="1221">
        <v>0.5</v>
      </c>
      <c r="AL13" s="1221">
        <f>+AL21</f>
        <v>4.9155999999999998E-2</v>
      </c>
      <c r="AM13" s="1278">
        <f>+ROUND(AK13*AL13,5)</f>
        <v>2.4580000000000001E-2</v>
      </c>
    </row>
    <row r="14" spans="1:39">
      <c r="B14" s="1199">
        <f t="shared" ca="1" si="0"/>
        <v>6</v>
      </c>
      <c r="D14" s="1216" t="s">
        <v>763</v>
      </c>
      <c r="E14" s="1326"/>
      <c r="G14" s="1217" t="str">
        <f>+INDEX('Exh JAD-7, Summary of Adj'!$C$5:$AN$5,1,MATCH($D14,'Exh JAD-7, Summary of Adj'!$C$4:$AN$4,0))</f>
        <v>Promotional Advertising Adjustment</v>
      </c>
      <c r="J14" s="1217">
        <v>28.893373100000002</v>
      </c>
      <c r="K14" s="1217"/>
      <c r="L14" s="1217">
        <v>0</v>
      </c>
      <c r="M14" s="1217"/>
      <c r="N14" s="1217">
        <f t="shared" si="1"/>
        <v>-38.468010890888152</v>
      </c>
      <c r="Q14" s="1217">
        <f t="shared" si="2"/>
        <v>28.893373100000002</v>
      </c>
      <c r="R14" s="1217"/>
      <c r="S14" s="1217">
        <f t="shared" si="3"/>
        <v>0</v>
      </c>
      <c r="T14" s="1217"/>
      <c r="U14" s="1217">
        <f t="shared" si="4"/>
        <v>-38.468010890888152</v>
      </c>
      <c r="X14" s="1217">
        <v>0</v>
      </c>
      <c r="Y14" s="1217"/>
      <c r="Z14" s="1217">
        <f t="shared" ref="Z14:Z21" si="6">+X14*(1-$AK$5)</f>
        <v>0</v>
      </c>
      <c r="AA14" s="1217"/>
      <c r="AB14" s="1217">
        <v>0</v>
      </c>
      <c r="AC14" s="1218"/>
      <c r="AD14" s="1217">
        <f t="shared" si="5"/>
        <v>0</v>
      </c>
      <c r="AF14" s="1207"/>
      <c r="AG14" s="1207"/>
      <c r="AI14" s="1201"/>
      <c r="AJ14" s="1277" t="s">
        <v>1035</v>
      </c>
      <c r="AK14" s="1221">
        <v>0</v>
      </c>
      <c r="AL14" s="1221">
        <f>+AL22</f>
        <v>8.0140000000000003E-2</v>
      </c>
      <c r="AM14" s="1278">
        <f>+ROUND(AK14*AL14,5)</f>
        <v>0</v>
      </c>
    </row>
    <row r="15" spans="1:39">
      <c r="B15" s="1199">
        <f t="shared" ca="1" si="0"/>
        <v>7</v>
      </c>
      <c r="D15" s="1216" t="s">
        <v>764</v>
      </c>
      <c r="E15" s="1326"/>
      <c r="G15" s="1217" t="str">
        <f>+INDEX('Exh JAD-7, Summary of Adj'!$C$5:$AN$5,1,MATCH($D15,'Exh JAD-7, Summary of Adj'!$C$4:$AN$4,0))</f>
        <v>Restate Wages Adjustment</v>
      </c>
      <c r="J15" s="1217">
        <v>-76.023953755607977</v>
      </c>
      <c r="K15" s="1217"/>
      <c r="L15" s="1217">
        <v>0</v>
      </c>
      <c r="M15" s="1217"/>
      <c r="N15" s="1217">
        <f t="shared" si="1"/>
        <v>101.21664476201656</v>
      </c>
      <c r="Q15" s="1217">
        <f t="shared" si="2"/>
        <v>-76.023953755607977</v>
      </c>
      <c r="R15" s="1217"/>
      <c r="S15" s="1217">
        <f t="shared" si="3"/>
        <v>0</v>
      </c>
      <c r="T15" s="1217"/>
      <c r="U15" s="1217">
        <f t="shared" si="4"/>
        <v>101.21664476201656</v>
      </c>
      <c r="X15" s="1217">
        <v>0</v>
      </c>
      <c r="Y15" s="1217"/>
      <c r="Z15" s="1217">
        <f t="shared" si="6"/>
        <v>0</v>
      </c>
      <c r="AA15" s="1217"/>
      <c r="AB15" s="1217">
        <v>0</v>
      </c>
      <c r="AC15" s="1218"/>
      <c r="AD15" s="1217">
        <f t="shared" si="5"/>
        <v>0</v>
      </c>
      <c r="AF15" s="1207"/>
      <c r="AG15" s="1207"/>
      <c r="AI15" s="1201"/>
      <c r="AJ15" s="1277" t="s">
        <v>4154</v>
      </c>
      <c r="AK15" s="1222">
        <v>0.5</v>
      </c>
      <c r="AL15" s="1221">
        <v>9.2999999999999999E-2</v>
      </c>
      <c r="AM15" s="1278">
        <f>+ROUND(AK15*AL15,5)</f>
        <v>4.65E-2</v>
      </c>
    </row>
    <row r="16" spans="1:39">
      <c r="B16" s="1199">
        <f t="shared" ca="1" si="0"/>
        <v>8</v>
      </c>
      <c r="D16" s="1216" t="s">
        <v>765</v>
      </c>
      <c r="E16" s="1326"/>
      <c r="G16" s="1217" t="str">
        <f>+INDEX('Exh JAD-7, Summary of Adj'!$C$5:$AN$5,1,MATCH($D16,'Exh JAD-7, Summary of Adj'!$C$4:$AN$4,0))</f>
        <v>Restate Incentives Adjustment</v>
      </c>
      <c r="J16" s="1217">
        <v>2022.0773798000002</v>
      </c>
      <c r="K16" s="1217"/>
      <c r="L16" s="1217">
        <v>0</v>
      </c>
      <c r="M16" s="1217"/>
      <c r="N16" s="1217">
        <f t="shared" si="1"/>
        <v>-2692.150009593895</v>
      </c>
      <c r="Q16" s="1217">
        <f t="shared" si="2"/>
        <v>2022.0773798000002</v>
      </c>
      <c r="R16" s="1217"/>
      <c r="S16" s="1217">
        <f t="shared" si="3"/>
        <v>0</v>
      </c>
      <c r="T16" s="1217"/>
      <c r="U16" s="1217">
        <f t="shared" si="4"/>
        <v>-2692.150009593895</v>
      </c>
      <c r="X16" s="1217">
        <v>0</v>
      </c>
      <c r="Y16" s="1217"/>
      <c r="Z16" s="1217">
        <f t="shared" si="6"/>
        <v>0</v>
      </c>
      <c r="AA16" s="1217"/>
      <c r="AB16" s="1217">
        <v>0</v>
      </c>
      <c r="AC16" s="1218"/>
      <c r="AD16" s="1217">
        <f t="shared" si="5"/>
        <v>0</v>
      </c>
      <c r="AF16" s="1207"/>
      <c r="AG16" s="1207"/>
      <c r="AI16" s="1201"/>
      <c r="AJ16" s="1277" t="s">
        <v>200</v>
      </c>
      <c r="AK16" s="1221">
        <v>1</v>
      </c>
      <c r="AL16" s="1277"/>
      <c r="AM16" s="1280">
        <f>+SUM(AM13:AM15)</f>
        <v>7.1080000000000004E-2</v>
      </c>
    </row>
    <row r="17" spans="2:45">
      <c r="B17" s="1199">
        <f t="shared" ca="1" si="0"/>
        <v>9</v>
      </c>
      <c r="D17" s="1216" t="s">
        <v>766</v>
      </c>
      <c r="E17" s="1326"/>
      <c r="G17" s="1217" t="str">
        <f>+INDEX('Exh JAD-7, Summary of Adj'!$C$5:$AN$5,1,MATCH($D17,'Exh JAD-7, Summary of Adj'!$C$4:$AN$4,0))</f>
        <v>Director &amp; Officers Adjustment</v>
      </c>
      <c r="J17" s="1217">
        <v>126.77949624999999</v>
      </c>
      <c r="K17" s="1217"/>
      <c r="L17" s="1217">
        <v>0</v>
      </c>
      <c r="M17" s="1217"/>
      <c r="N17" s="1217">
        <f t="shared" si="1"/>
        <v>-168.79147428052676</v>
      </c>
      <c r="Q17" s="1217">
        <f t="shared" si="2"/>
        <v>126.77949624999999</v>
      </c>
      <c r="R17" s="1217"/>
      <c r="S17" s="1217">
        <f t="shared" si="3"/>
        <v>0</v>
      </c>
      <c r="T17" s="1217"/>
      <c r="U17" s="1217">
        <f t="shared" si="4"/>
        <v>-168.79147428052676</v>
      </c>
      <c r="X17" s="1217">
        <v>0</v>
      </c>
      <c r="Y17" s="1217"/>
      <c r="Z17" s="1217">
        <f t="shared" si="6"/>
        <v>0</v>
      </c>
      <c r="AA17" s="1217"/>
      <c r="AB17" s="1217">
        <v>0</v>
      </c>
      <c r="AC17" s="1218"/>
      <c r="AD17" s="1217">
        <f t="shared" si="5"/>
        <v>0</v>
      </c>
      <c r="AF17" s="1207" t="s">
        <v>4120</v>
      </c>
      <c r="AG17" s="1207"/>
      <c r="AI17" s="1201"/>
      <c r="AJ17" s="1199"/>
      <c r="AP17" s="1217">
        <f t="shared" ref="AP17:AP24" si="7">ABS(X18*1000)</f>
        <v>159098.16500000004</v>
      </c>
      <c r="AQ17" s="1217">
        <f t="shared" ref="AQ17:AQ24" si="8">ABS(Z18*1000)</f>
        <v>125687.55035000005</v>
      </c>
      <c r="AR17" s="1217">
        <f t="shared" ref="AR17:AR24" si="9">ABS(AB18*1000)</f>
        <v>0</v>
      </c>
      <c r="AS17" s="1217">
        <f t="shared" ref="AS17:AS24" si="10">ABS(AD18*1000)</f>
        <v>167337.68116928014</v>
      </c>
    </row>
    <row r="18" spans="2:45">
      <c r="B18" s="1199">
        <f t="shared" ca="1" si="0"/>
        <v>10</v>
      </c>
      <c r="D18" s="1329" t="s">
        <v>766</v>
      </c>
      <c r="E18" s="1330">
        <v>1</v>
      </c>
      <c r="F18" s="1331"/>
      <c r="G18" s="1332" t="str">
        <f>+INDEX('Exh JAD-7, Summary of Adj'!$C$5:$AN$5,1,MATCH($D18,'Exh JAD-7, Summary of Adj'!$C$4:$AN$4,0))</f>
        <v>Director &amp; Officers Adjustment</v>
      </c>
      <c r="H18" s="1333"/>
      <c r="I18" s="1333"/>
      <c r="J18" s="1332">
        <v>0</v>
      </c>
      <c r="K18" s="1332"/>
      <c r="L18" s="1332">
        <v>0</v>
      </c>
      <c r="M18" s="1332"/>
      <c r="N18" s="1332">
        <f t="shared" si="1"/>
        <v>0</v>
      </c>
      <c r="O18" s="1333"/>
      <c r="P18" s="1331"/>
      <c r="Q18" s="1332">
        <f>+J18+Z18</f>
        <v>125.68755035000005</v>
      </c>
      <c r="R18" s="1332"/>
      <c r="S18" s="1332">
        <f>+L18+AB18</f>
        <v>0</v>
      </c>
      <c r="T18" s="1332"/>
      <c r="U18" s="1332">
        <f t="shared" si="4"/>
        <v>-167.33768116928013</v>
      </c>
      <c r="V18" s="1331"/>
      <c r="W18" s="1331"/>
      <c r="X18" s="1332">
        <f>+'D&amp;O Adjustment (AWEC)'!C25/1000</f>
        <v>159.09816500000005</v>
      </c>
      <c r="Y18" s="1332"/>
      <c r="Z18" s="1332">
        <f>+X18*(1-$AK$5)</f>
        <v>125.68755035000005</v>
      </c>
      <c r="AA18" s="1332"/>
      <c r="AB18" s="1332">
        <v>0</v>
      </c>
      <c r="AC18" s="1334"/>
      <c r="AD18" s="1332">
        <f>+U18-N18</f>
        <v>-167.33768116928013</v>
      </c>
      <c r="AE18" s="1333"/>
      <c r="AF18" s="1335" t="s">
        <v>4126</v>
      </c>
      <c r="AG18" s="1207"/>
      <c r="AI18" s="1201"/>
      <c r="AJ18" s="1199"/>
      <c r="AP18" s="1217">
        <f t="shared" si="7"/>
        <v>0</v>
      </c>
      <c r="AQ18" s="1217">
        <f t="shared" si="8"/>
        <v>0</v>
      </c>
      <c r="AR18" s="1217">
        <f t="shared" si="9"/>
        <v>0</v>
      </c>
      <c r="AS18" s="1217">
        <f t="shared" si="10"/>
        <v>0</v>
      </c>
    </row>
    <row r="19" spans="2:45">
      <c r="B19" s="1199">
        <f t="shared" ca="1" si="0"/>
        <v>11</v>
      </c>
      <c r="D19" s="1216" t="s">
        <v>767</v>
      </c>
      <c r="E19" s="1326"/>
      <c r="G19" s="1217" t="str">
        <f>+INDEX('Exh JAD-7, Summary of Adj'!$C$5:$AN$5,1,MATCH($D19,'Exh JAD-7, Summary of Adj'!$C$4:$AN$4,0))</f>
        <v>Restate COVID-19 Deferral Offsets Adjustment</v>
      </c>
      <c r="J19" s="1217">
        <v>-1141.6207998</v>
      </c>
      <c r="K19" s="1217"/>
      <c r="L19" s="1217">
        <v>0</v>
      </c>
      <c r="M19" s="1217"/>
      <c r="N19" s="1217">
        <f t="shared" si="1"/>
        <v>1519.9291964969934</v>
      </c>
      <c r="Q19" s="1217">
        <f t="shared" si="2"/>
        <v>-1141.6207998</v>
      </c>
      <c r="R19" s="1217"/>
      <c r="S19" s="1217">
        <f t="shared" si="3"/>
        <v>0</v>
      </c>
      <c r="T19" s="1217"/>
      <c r="U19" s="1217">
        <f t="shared" si="4"/>
        <v>1519.9291964969934</v>
      </c>
      <c r="X19" s="1217">
        <v>0</v>
      </c>
      <c r="Y19" s="1217"/>
      <c r="Z19" s="1217">
        <f t="shared" si="6"/>
        <v>0</v>
      </c>
      <c r="AA19" s="1217"/>
      <c r="AB19" s="1217">
        <v>0</v>
      </c>
      <c r="AC19" s="1218"/>
      <c r="AD19" s="1217">
        <f t="shared" si="5"/>
        <v>0</v>
      </c>
      <c r="AF19" s="1207"/>
      <c r="AG19" s="1207"/>
      <c r="AI19" s="1201"/>
      <c r="AJ19" s="1276" t="s">
        <v>4123</v>
      </c>
      <c r="AK19" s="1276" t="s">
        <v>2471</v>
      </c>
      <c r="AL19" s="1276"/>
      <c r="AM19" s="1276" t="s">
        <v>4119</v>
      </c>
      <c r="AP19" s="1217">
        <f t="shared" si="7"/>
        <v>0</v>
      </c>
      <c r="AQ19" s="1217">
        <f t="shared" si="8"/>
        <v>0</v>
      </c>
      <c r="AR19" s="1217">
        <f t="shared" si="9"/>
        <v>0</v>
      </c>
      <c r="AS19" s="1217">
        <f t="shared" si="10"/>
        <v>0</v>
      </c>
    </row>
    <row r="20" spans="2:45">
      <c r="B20" s="1199">
        <f t="shared" ca="1" si="0"/>
        <v>12</v>
      </c>
      <c r="D20" s="1219" t="s">
        <v>768</v>
      </c>
      <c r="E20" s="1327"/>
      <c r="G20" s="1217" t="str">
        <f>+INDEX('Exh JAD-7, Summary of Adj'!$C$5:$AN$5,1,MATCH($D20,'Exh JAD-7, Summary of Adj'!$C$4:$AN$4,0))</f>
        <v>Restate CCA Labor Expense Adjustment</v>
      </c>
      <c r="J20" s="1217">
        <v>-53.762296599999992</v>
      </c>
      <c r="K20" s="1217"/>
      <c r="L20" s="1217">
        <v>0</v>
      </c>
      <c r="M20" s="1217"/>
      <c r="N20" s="1217">
        <f t="shared" si="1"/>
        <v>71.577956785113429</v>
      </c>
      <c r="Q20" s="1217">
        <f t="shared" si="2"/>
        <v>-53.762296599999992</v>
      </c>
      <c r="R20" s="1217"/>
      <c r="S20" s="1217">
        <f t="shared" si="3"/>
        <v>0</v>
      </c>
      <c r="T20" s="1217"/>
      <c r="U20" s="1217">
        <f t="shared" si="4"/>
        <v>71.577956785113429</v>
      </c>
      <c r="X20" s="1217">
        <v>0</v>
      </c>
      <c r="Y20" s="1217"/>
      <c r="Z20" s="1217">
        <f t="shared" si="6"/>
        <v>0</v>
      </c>
      <c r="AA20" s="1217"/>
      <c r="AB20" s="1217">
        <v>0</v>
      </c>
      <c r="AC20" s="1218"/>
      <c r="AD20" s="1217">
        <f t="shared" si="5"/>
        <v>0</v>
      </c>
      <c r="AF20" s="1207"/>
      <c r="AG20" s="1207"/>
      <c r="AI20" s="1201"/>
      <c r="AJ20" s="1220" t="s">
        <v>4121</v>
      </c>
      <c r="AK20" s="1220" t="s">
        <v>4122</v>
      </c>
      <c r="AL20" s="1220" t="s">
        <v>1032</v>
      </c>
      <c r="AM20" s="1220" t="s">
        <v>1032</v>
      </c>
      <c r="AP20" s="1217">
        <f t="shared" si="7"/>
        <v>0</v>
      </c>
      <c r="AQ20" s="1217">
        <f t="shared" si="8"/>
        <v>0</v>
      </c>
      <c r="AR20" s="1217">
        <f t="shared" si="9"/>
        <v>0</v>
      </c>
      <c r="AS20" s="1217">
        <f t="shared" si="10"/>
        <v>0</v>
      </c>
    </row>
    <row r="21" spans="2:45">
      <c r="B21" s="1199">
        <f t="shared" ca="1" si="0"/>
        <v>13</v>
      </c>
      <c r="D21" s="1216" t="s">
        <v>769</v>
      </c>
      <c r="E21" s="1326"/>
      <c r="G21" s="1217" t="str">
        <f>+INDEX('Exh JAD-7, Summary of Adj'!$C$5:$AN$5,1,MATCH($D21,'Exh JAD-7, Summary of Adj'!$C$4:$AN$4,0))</f>
        <v>Restate Commission Fees Adjustment</v>
      </c>
      <c r="J21" s="1217">
        <v>-288.20944174064255</v>
      </c>
      <c r="K21" s="1217"/>
      <c r="L21" s="1217">
        <v>0</v>
      </c>
      <c r="M21" s="1217"/>
      <c r="N21" s="1217">
        <f t="shared" si="1"/>
        <v>383.7158058826933</v>
      </c>
      <c r="Q21" s="1217">
        <f t="shared" si="2"/>
        <v>-288.20944174064255</v>
      </c>
      <c r="R21" s="1217"/>
      <c r="S21" s="1217">
        <f t="shared" si="3"/>
        <v>0</v>
      </c>
      <c r="T21" s="1217"/>
      <c r="U21" s="1217">
        <f t="shared" si="4"/>
        <v>383.7158058826933</v>
      </c>
      <c r="X21" s="1217">
        <v>0</v>
      </c>
      <c r="Y21" s="1217"/>
      <c r="Z21" s="1217">
        <f t="shared" si="6"/>
        <v>0</v>
      </c>
      <c r="AA21" s="1217"/>
      <c r="AB21" s="1217">
        <v>0</v>
      </c>
      <c r="AC21" s="1218"/>
      <c r="AD21" s="1217">
        <f t="shared" si="5"/>
        <v>0</v>
      </c>
      <c r="AF21" s="1207"/>
      <c r="AG21" s="1207"/>
      <c r="AI21" s="1201"/>
      <c r="AJ21" s="1277" t="s">
        <v>4137</v>
      </c>
      <c r="AK21" s="1221">
        <f>+'WACC Calculation'!C10</f>
        <v>0.44213999999999998</v>
      </c>
      <c r="AL21" s="1221">
        <f>+'WACC Calculation'!D10</f>
        <v>4.9155999999999998E-2</v>
      </c>
      <c r="AM21" s="1278">
        <f>+ROUND(AK21*AL21,5)</f>
        <v>2.1729999999999999E-2</v>
      </c>
      <c r="AP21" s="1217">
        <f t="shared" si="7"/>
        <v>384574.21</v>
      </c>
      <c r="AQ21" s="1217">
        <f t="shared" si="8"/>
        <v>303813.62590000004</v>
      </c>
      <c r="AR21" s="1217">
        <f t="shared" si="9"/>
        <v>0</v>
      </c>
      <c r="AS21" s="1217">
        <f t="shared" si="10"/>
        <v>404490.87856486446</v>
      </c>
    </row>
    <row r="22" spans="2:45">
      <c r="B22" s="1199">
        <f t="shared" ca="1" si="0"/>
        <v>14</v>
      </c>
      <c r="D22" s="1329" t="s">
        <v>4195</v>
      </c>
      <c r="E22" s="1349"/>
      <c r="F22" s="1331"/>
      <c r="G22" s="1332" t="s">
        <v>4153</v>
      </c>
      <c r="H22" s="1333"/>
      <c r="I22" s="1333"/>
      <c r="J22" s="1332">
        <v>0</v>
      </c>
      <c r="K22" s="1332"/>
      <c r="L22" s="1332">
        <v>0</v>
      </c>
      <c r="M22" s="1332"/>
      <c r="N22" s="1332">
        <f t="shared" si="1"/>
        <v>0</v>
      </c>
      <c r="O22" s="1333"/>
      <c r="P22" s="1331"/>
      <c r="Q22" s="1332">
        <f>+J22+Z22</f>
        <v>303.81362590000003</v>
      </c>
      <c r="R22" s="1332"/>
      <c r="S22" s="1332">
        <f>+L22+AB22</f>
        <v>0</v>
      </c>
      <c r="T22" s="1332"/>
      <c r="U22" s="1332">
        <f t="shared" si="4"/>
        <v>-404.49087856486443</v>
      </c>
      <c r="V22" s="1331"/>
      <c r="W22" s="1331"/>
      <c r="X22" s="1332">
        <v>384.57420999999999</v>
      </c>
      <c r="Y22" s="1332"/>
      <c r="Z22" s="1332">
        <f>+X22*(1-$AK$5)</f>
        <v>303.81362590000003</v>
      </c>
      <c r="AA22" s="1332"/>
      <c r="AB22" s="1332">
        <v>0</v>
      </c>
      <c r="AC22" s="1334"/>
      <c r="AD22" s="1332">
        <f>+U22-N22</f>
        <v>-404.49087856486443</v>
      </c>
      <c r="AE22" s="1333"/>
      <c r="AF22" s="1335" t="s">
        <v>4126</v>
      </c>
      <c r="AI22" s="1201"/>
      <c r="AJ22" s="1277" t="s">
        <v>1035</v>
      </c>
      <c r="AK22" s="1221">
        <f>+'WACC Calculation'!C11</f>
        <v>5.5010000000000003E-2</v>
      </c>
      <c r="AL22" s="1221">
        <f>+'WACC Calculation'!D11</f>
        <v>8.0140000000000003E-2</v>
      </c>
      <c r="AM22" s="1278">
        <f>+ROUND(AK22*AL22,5)</f>
        <v>4.4099999999999999E-3</v>
      </c>
      <c r="AP22" s="1217">
        <f t="shared" si="7"/>
        <v>0</v>
      </c>
      <c r="AQ22" s="1217">
        <f t="shared" si="8"/>
        <v>0</v>
      </c>
      <c r="AR22" s="1217">
        <f t="shared" si="9"/>
        <v>0</v>
      </c>
      <c r="AS22" s="1217">
        <f t="shared" si="10"/>
        <v>0</v>
      </c>
    </row>
    <row r="23" spans="2:45">
      <c r="D23" s="1216"/>
      <c r="E23" s="1326"/>
      <c r="G23" s="1214"/>
      <c r="J23" s="1217"/>
      <c r="K23" s="1217"/>
      <c r="L23" s="1217"/>
      <c r="M23" s="1217"/>
      <c r="N23" s="1217"/>
      <c r="Q23" s="1217"/>
      <c r="R23" s="1217"/>
      <c r="S23" s="1217"/>
      <c r="T23" s="1217"/>
      <c r="U23" s="1217"/>
      <c r="X23" s="1217"/>
      <c r="Y23" s="1217"/>
      <c r="Z23" s="1217"/>
      <c r="AA23" s="1217"/>
      <c r="AB23" s="1217"/>
      <c r="AC23" s="1218"/>
      <c r="AD23" s="1217"/>
      <c r="AF23" s="1207"/>
      <c r="AI23" s="1201"/>
      <c r="AJ23" s="1277" t="s">
        <v>4154</v>
      </c>
      <c r="AK23" s="1222">
        <f>+'WACC Calculation'!C13</f>
        <v>0.50285000000000002</v>
      </c>
      <c r="AL23" s="1221">
        <f>+'WACC Calculation'!D13</f>
        <v>0.105</v>
      </c>
      <c r="AM23" s="1278">
        <f>+ROUND(AK23*AL23,5)</f>
        <v>5.28E-2</v>
      </c>
      <c r="AP23" s="1217">
        <f t="shared" si="7"/>
        <v>543672.37500000012</v>
      </c>
      <c r="AQ23" s="1217">
        <f t="shared" si="8"/>
        <v>429501.17625000008</v>
      </c>
      <c r="AR23" s="1217">
        <f t="shared" si="9"/>
        <v>0</v>
      </c>
      <c r="AS23" s="1217">
        <f t="shared" si="10"/>
        <v>571828.5597341446</v>
      </c>
    </row>
    <row r="24" spans="2:45" ht="13.5">
      <c r="C24" s="1200"/>
      <c r="D24" s="1225"/>
      <c r="E24" s="1328"/>
      <c r="F24" s="1200"/>
      <c r="G24" s="1218" t="s">
        <v>4124</v>
      </c>
      <c r="J24" s="1226">
        <f>+SUBTOTAL(9,J$9:J$23)</f>
        <v>283.39942915889878</v>
      </c>
      <c r="K24" s="1218"/>
      <c r="L24" s="1226">
        <f>+SUBTOTAL(9,L$9:L$23)</f>
        <v>35820.359008750063</v>
      </c>
      <c r="M24" s="1218"/>
      <c r="N24" s="1226">
        <f>+SUBTOTAL(9,N$9:N$23)</f>
        <v>3012.5253151018824</v>
      </c>
      <c r="P24" s="1200"/>
      <c r="Q24" s="1226">
        <f>+SUBTOTAL(9,Q$9:Q$23)</f>
        <v>712.90060540889885</v>
      </c>
      <c r="R24" s="1218"/>
      <c r="S24" s="1226">
        <f>+SUBTOTAL(9,S$9:S$23)</f>
        <v>35820.359008750063</v>
      </c>
      <c r="T24" s="1218"/>
      <c r="U24" s="1226">
        <f>+SUBTOTAL(9,U$9:U$23)</f>
        <v>2440.6967553677373</v>
      </c>
      <c r="V24" s="1200"/>
      <c r="W24" s="1200"/>
      <c r="X24" s="1226">
        <f>+SUBTOTAL(9,X$9:X$23)</f>
        <v>543.6723750000001</v>
      </c>
      <c r="Y24" s="1218"/>
      <c r="Z24" s="1226">
        <f>+SUBTOTAL(9,Z$9:Z$23)</f>
        <v>429.50117625000007</v>
      </c>
      <c r="AA24" s="1218"/>
      <c r="AB24" s="1226">
        <f>+SUBTOTAL(9,AB$9:AB$23)</f>
        <v>0</v>
      </c>
      <c r="AC24" s="1227"/>
      <c r="AD24" s="1228">
        <f>+SUBTOTAL(9,AD$9:AD$23)</f>
        <v>-571.82855973414462</v>
      </c>
      <c r="AF24" s="1207"/>
      <c r="AI24" s="1201"/>
      <c r="AJ24" s="1277" t="s">
        <v>200</v>
      </c>
      <c r="AK24" s="1221">
        <v>1</v>
      </c>
      <c r="AL24" s="1277"/>
      <c r="AM24" s="1279">
        <f>+SUM(AM21:AM23)</f>
        <v>7.8939999999999996E-2</v>
      </c>
      <c r="AP24" s="1217">
        <f t="shared" si="7"/>
        <v>0</v>
      </c>
      <c r="AQ24" s="1217">
        <f t="shared" si="8"/>
        <v>0</v>
      </c>
      <c r="AR24" s="1217">
        <f t="shared" si="9"/>
        <v>0</v>
      </c>
      <c r="AS24" s="1217">
        <f t="shared" si="10"/>
        <v>0</v>
      </c>
    </row>
    <row r="25" spans="2:45">
      <c r="D25" s="1216"/>
      <c r="E25" s="1326"/>
      <c r="G25" s="1214"/>
      <c r="J25" s="1217"/>
      <c r="K25" s="1217"/>
      <c r="L25" s="1217"/>
      <c r="M25" s="1217"/>
      <c r="N25" s="1217"/>
      <c r="Q25" s="1217"/>
      <c r="R25" s="1217"/>
      <c r="S25" s="1217"/>
      <c r="T25" s="1217"/>
      <c r="U25" s="1217"/>
      <c r="X25" s="1217"/>
      <c r="Y25" s="1217"/>
      <c r="Z25" s="1217"/>
      <c r="AA25" s="1217"/>
      <c r="AB25" s="1217"/>
      <c r="AC25" s="1218"/>
      <c r="AD25" s="1217"/>
      <c r="AF25" s="1207"/>
      <c r="AI25" s="1201"/>
    </row>
    <row r="26" spans="2:45">
      <c r="B26" s="1202" t="s">
        <v>4125</v>
      </c>
      <c r="D26" s="1216"/>
      <c r="E26" s="1326"/>
      <c r="G26" s="1214"/>
      <c r="J26" s="1217"/>
      <c r="K26" s="1217"/>
      <c r="L26" s="1217"/>
      <c r="M26" s="1217"/>
      <c r="N26" s="1217"/>
      <c r="Q26" s="1217"/>
      <c r="R26" s="1217"/>
      <c r="S26" s="1217"/>
      <c r="T26" s="1217"/>
      <c r="U26" s="1217"/>
      <c r="X26" s="1217"/>
      <c r="Y26" s="1217"/>
      <c r="Z26" s="1217"/>
      <c r="AA26" s="1217"/>
      <c r="AB26" s="1217"/>
      <c r="AC26" s="1218"/>
      <c r="AD26" s="1217"/>
      <c r="AF26" s="1207"/>
      <c r="AI26" s="1201"/>
      <c r="AJ26" s="1199"/>
    </row>
    <row r="27" spans="2:45" ht="13.5">
      <c r="B27" s="1199">
        <f t="shared" ref="B27:B44" ca="1" si="11">+MAX(OFFSET($B$7,0,0,ROW($B27)-ROW($B$7),1))+1</f>
        <v>15</v>
      </c>
      <c r="D27" s="1216" t="s">
        <v>770</v>
      </c>
      <c r="E27" s="1326"/>
      <c r="G27" s="1217" t="str">
        <f>+INDEX('Exh JAD-7, Summary of Adj'!$C$5:$AN$5,1,MATCH($D27,'Exh JAD-7, Summary of Adj'!$C$4:$AN$4,0))</f>
        <v>Interest  Coordination Adjustment</v>
      </c>
      <c r="J27" s="1217">
        <v>-983.42172025999662</v>
      </c>
      <c r="K27" s="1217"/>
      <c r="L27" s="1217">
        <v>0</v>
      </c>
      <c r="M27" s="1217"/>
      <c r="N27" s="1217">
        <f t="shared" ref="N27:N44" si="12">+($L27*$AM$16-$J27)/$AK$4</f>
        <v>1309.3063698159046</v>
      </c>
      <c r="Q27" s="1217">
        <f t="shared" ref="Q27:Q44" si="13">+J27+Z27</f>
        <v>-983.42172025999662</v>
      </c>
      <c r="R27" s="1217"/>
      <c r="S27" s="1217">
        <f t="shared" ref="S27:S44" si="14">+L27+AB27</f>
        <v>0</v>
      </c>
      <c r="T27" s="1217"/>
      <c r="U27" s="1217">
        <f t="shared" ref="U27:U44" si="15">+($S27*$AM$16-$Q27)/$AK$4</f>
        <v>1309.3063698159046</v>
      </c>
      <c r="X27" s="1217">
        <v>0</v>
      </c>
      <c r="Y27" s="1217"/>
      <c r="Z27" s="1217">
        <f t="shared" ref="Z27:Z44" si="16">+X27*(1-$AK$5)</f>
        <v>0</v>
      </c>
      <c r="AA27" s="1217"/>
      <c r="AB27" s="1217">
        <v>0</v>
      </c>
      <c r="AC27" s="1218"/>
      <c r="AD27" s="1217">
        <f t="shared" ref="AD27:AD44" si="17">+U27-N27</f>
        <v>0</v>
      </c>
      <c r="AF27" s="1207"/>
      <c r="AI27" s="1201"/>
      <c r="AJ27" s="1223"/>
      <c r="AL27" s="1217"/>
      <c r="AN27" s="1217"/>
      <c r="AP27" s="1217">
        <f>ABS(X29*1000)</f>
        <v>1420028.6740847197</v>
      </c>
      <c r="AQ27" s="1217">
        <f>ABS(Z29*1000)</f>
        <v>1121822.6525269288</v>
      </c>
      <c r="AR27" s="1217">
        <f>ABS(AB29*1000)</f>
        <v>0</v>
      </c>
      <c r="AS27" s="1217">
        <f>ABS(AD29*1000)</f>
        <v>1493570.3721989777</v>
      </c>
    </row>
    <row r="28" spans="2:45" ht="13.5">
      <c r="B28" s="1199">
        <f t="shared" ca="1" si="11"/>
        <v>16</v>
      </c>
      <c r="D28" s="1216" t="s">
        <v>771</v>
      </c>
      <c r="E28" s="1326"/>
      <c r="F28" s="1239"/>
      <c r="G28" s="1217" t="str">
        <f>+INDEX('Exh JAD-7, Summary of Adj'!$C$5:$AN$5,1,MATCH($D28,'Exh JAD-7, Summary of Adj'!$C$4:$AN$4,0))</f>
        <v>2024 Pro Forma Wage Adjustment</v>
      </c>
      <c r="J28" s="1217">
        <v>-1206.5674593142048</v>
      </c>
      <c r="K28" s="1217"/>
      <c r="L28" s="1217">
        <v>0</v>
      </c>
      <c r="M28" s="1217"/>
      <c r="N28" s="1217">
        <f t="shared" si="12"/>
        <v>1606.3977717260739</v>
      </c>
      <c r="Q28" s="1217">
        <f t="shared" si="13"/>
        <v>-1206.5674593142048</v>
      </c>
      <c r="R28" s="1217"/>
      <c r="S28" s="1217">
        <f t="shared" si="14"/>
        <v>0</v>
      </c>
      <c r="T28" s="1217"/>
      <c r="U28" s="1217">
        <f t="shared" si="15"/>
        <v>1606.3977717260739</v>
      </c>
      <c r="X28" s="1217">
        <v>0</v>
      </c>
      <c r="Y28" s="1217"/>
      <c r="Z28" s="1217">
        <f t="shared" si="16"/>
        <v>0</v>
      </c>
      <c r="AA28" s="1217"/>
      <c r="AB28" s="1217">
        <v>0</v>
      </c>
      <c r="AC28" s="1218"/>
      <c r="AD28" s="1217">
        <f t="shared" si="17"/>
        <v>0</v>
      </c>
      <c r="AE28" s="1240"/>
      <c r="AF28" s="1207" t="s">
        <v>4120</v>
      </c>
      <c r="AI28" s="1201"/>
      <c r="AJ28" s="1223"/>
      <c r="AL28" s="1224"/>
      <c r="AM28" s="1217"/>
    </row>
    <row r="29" spans="2:45" ht="13.5">
      <c r="B29" s="1199">
        <f t="shared" ca="1" si="11"/>
        <v>17</v>
      </c>
      <c r="D29" s="1329" t="s">
        <v>771</v>
      </c>
      <c r="E29" s="1330">
        <v>1</v>
      </c>
      <c r="F29" s="1331"/>
      <c r="G29" s="1332" t="str">
        <f>+INDEX('Exh JAD-7, Summary of Adj'!$C$5:$AN$5,1,MATCH($D29,'Exh JAD-7, Summary of Adj'!$C$4:$AN$4,0))</f>
        <v>2024 Pro Forma Wage Adjustment</v>
      </c>
      <c r="H29" s="1333"/>
      <c r="I29" s="1333"/>
      <c r="J29" s="1332">
        <v>0</v>
      </c>
      <c r="K29" s="1332"/>
      <c r="L29" s="1332">
        <v>0</v>
      </c>
      <c r="M29" s="1332"/>
      <c r="N29" s="1332">
        <f t="shared" si="12"/>
        <v>0</v>
      </c>
      <c r="O29" s="1333"/>
      <c r="P29" s="1331"/>
      <c r="Q29" s="1332">
        <f>+J29+Z29</f>
        <v>1121.8226525269288</v>
      </c>
      <c r="R29" s="1332"/>
      <c r="S29" s="1332">
        <f>+L29+AB29</f>
        <v>0</v>
      </c>
      <c r="T29" s="1332"/>
      <c r="U29" s="1332">
        <f t="shared" si="15"/>
        <v>-1493.5703721989778</v>
      </c>
      <c r="V29" s="1331"/>
      <c r="W29" s="1331"/>
      <c r="X29" s="1332">
        <f>-('Wage Adjustments (AWEC)'!K16+'Wage Adjustments (AWEC)'!K20+'Wage Adjustments (AWEC)'!K92)/1000</f>
        <v>1420.0286740847198</v>
      </c>
      <c r="Y29" s="1332"/>
      <c r="Z29" s="1332">
        <f>+X29*(1-$AK$5)</f>
        <v>1121.8226525269288</v>
      </c>
      <c r="AA29" s="1332"/>
      <c r="AB29" s="1332">
        <v>0</v>
      </c>
      <c r="AC29" s="1334"/>
      <c r="AD29" s="1332">
        <f>+U29-N29</f>
        <v>-1493.5703721989778</v>
      </c>
      <c r="AE29" s="1333"/>
      <c r="AF29" s="1335" t="s">
        <v>4126</v>
      </c>
      <c r="AI29" s="1201"/>
      <c r="AJ29" s="1223"/>
      <c r="AL29" s="1224"/>
      <c r="AM29" s="1217"/>
    </row>
    <row r="30" spans="2:45" ht="13.5">
      <c r="B30" s="1199">
        <f t="shared" ca="1" si="11"/>
        <v>18</v>
      </c>
      <c r="D30" s="1216" t="s">
        <v>772</v>
      </c>
      <c r="E30" s="1326"/>
      <c r="F30" s="1239"/>
      <c r="G30" s="1217" t="str">
        <f>+INDEX('Exh JAD-7, Summary of Adj'!$C$5:$AN$5,1,MATCH($D30,'Exh JAD-7, Summary of Adj'!$C$4:$AN$4,0))</f>
        <v>MAOP Deferral Amortization</v>
      </c>
      <c r="J30" s="1217">
        <v>-1594.37514336</v>
      </c>
      <c r="K30" s="1217"/>
      <c r="L30" s="1217">
        <v>0</v>
      </c>
      <c r="M30" s="1217"/>
      <c r="N30" s="1217">
        <f t="shared" si="12"/>
        <v>2122.7165193438022</v>
      </c>
      <c r="Q30" s="1217">
        <f t="shared" si="13"/>
        <v>-1594.37514336</v>
      </c>
      <c r="R30" s="1217"/>
      <c r="S30" s="1217">
        <f t="shared" si="14"/>
        <v>0</v>
      </c>
      <c r="T30" s="1217"/>
      <c r="U30" s="1217">
        <f t="shared" si="15"/>
        <v>2122.7165193438022</v>
      </c>
      <c r="X30" s="1217">
        <v>0</v>
      </c>
      <c r="Y30" s="1217"/>
      <c r="Z30" s="1217">
        <f t="shared" si="16"/>
        <v>0</v>
      </c>
      <c r="AA30" s="1217"/>
      <c r="AB30" s="1217">
        <v>0</v>
      </c>
      <c r="AC30" s="1218"/>
      <c r="AD30" s="1217">
        <f t="shared" si="17"/>
        <v>0</v>
      </c>
      <c r="AE30" s="1240"/>
      <c r="AF30" s="1241"/>
      <c r="AI30" s="1201"/>
      <c r="AJ30" s="1223"/>
      <c r="AL30" s="1224"/>
      <c r="AM30" s="1217"/>
      <c r="AP30" s="1217">
        <f>ABS(X32*1000)</f>
        <v>1450000</v>
      </c>
      <c r="AQ30" s="1217">
        <f>ABS(Z32*1000)</f>
        <v>1145500</v>
      </c>
      <c r="AR30" s="1217">
        <f>ABS(AB32*1000)</f>
        <v>0</v>
      </c>
      <c r="AS30" s="1217">
        <f>ABS(AD32*1000)</f>
        <v>1525093.8795897244</v>
      </c>
    </row>
    <row r="31" spans="2:45">
      <c r="B31" s="1199">
        <f t="shared" ca="1" si="11"/>
        <v>19</v>
      </c>
      <c r="D31" s="1216" t="s">
        <v>773</v>
      </c>
      <c r="E31" s="1326"/>
      <c r="F31" s="1239"/>
      <c r="G31" s="1217" t="str">
        <f>+INDEX('Exh JAD-7, Summary of Adj'!$C$5:$AN$5,1,MATCH($D31,'Exh JAD-7, Summary of Adj'!$C$4:$AN$4,0))</f>
        <v>Pro Forma Rate Case Expense Adjustment</v>
      </c>
      <c r="J31" s="1217">
        <v>-1044.2307295000001</v>
      </c>
      <c r="K31" s="1217"/>
      <c r="L31" s="1217">
        <v>0</v>
      </c>
      <c r="M31" s="1217"/>
      <c r="N31" s="1217">
        <f t="shared" si="12"/>
        <v>1390.2661671234946</v>
      </c>
      <c r="Q31" s="1217">
        <f t="shared" si="13"/>
        <v>-1044.2307295000001</v>
      </c>
      <c r="R31" s="1217"/>
      <c r="S31" s="1217">
        <f t="shared" si="14"/>
        <v>0</v>
      </c>
      <c r="T31" s="1217"/>
      <c r="U31" s="1217">
        <f t="shared" si="15"/>
        <v>1390.2661671234946</v>
      </c>
      <c r="X31" s="1217">
        <v>0</v>
      </c>
      <c r="Y31" s="1217"/>
      <c r="Z31" s="1217">
        <f t="shared" si="16"/>
        <v>0</v>
      </c>
      <c r="AA31" s="1217"/>
      <c r="AB31" s="1217">
        <v>0</v>
      </c>
      <c r="AC31" s="1218"/>
      <c r="AD31" s="1217">
        <f t="shared" si="17"/>
        <v>0</v>
      </c>
      <c r="AE31" s="1240"/>
      <c r="AF31" s="1207" t="s">
        <v>4120</v>
      </c>
      <c r="AI31" s="1201"/>
      <c r="AP31" s="1217">
        <f>ABS(X33*1000)</f>
        <v>0</v>
      </c>
      <c r="AQ31" s="1217">
        <f>ABS(Z33*1000)</f>
        <v>0</v>
      </c>
      <c r="AR31" s="1217">
        <f>ABS(AB33*1000)</f>
        <v>0</v>
      </c>
      <c r="AS31" s="1217">
        <f>ABS(AD33*1000)</f>
        <v>0</v>
      </c>
    </row>
    <row r="32" spans="2:45">
      <c r="B32" s="1199">
        <f t="shared" ca="1" si="11"/>
        <v>20</v>
      </c>
      <c r="D32" s="1329" t="s">
        <v>773</v>
      </c>
      <c r="E32" s="1330">
        <v>1</v>
      </c>
      <c r="F32" s="1331"/>
      <c r="G32" s="1332" t="str">
        <f>+INDEX('Exh JAD-7, Summary of Adj'!$C$5:$AN$5,1,MATCH($D32,'Exh JAD-7, Summary of Adj'!$C$4:$AN$4,0))</f>
        <v>Pro Forma Rate Case Expense Adjustment</v>
      </c>
      <c r="H32" s="1333"/>
      <c r="I32" s="1333"/>
      <c r="J32" s="1332">
        <v>0</v>
      </c>
      <c r="K32" s="1332"/>
      <c r="L32" s="1332">
        <v>0</v>
      </c>
      <c r="M32" s="1332"/>
      <c r="N32" s="1332">
        <f t="shared" si="12"/>
        <v>0</v>
      </c>
      <c r="O32" s="1333"/>
      <c r="P32" s="1331"/>
      <c r="Q32" s="1332">
        <f>+J32+Z32</f>
        <v>1145.5</v>
      </c>
      <c r="R32" s="1332"/>
      <c r="S32" s="1332">
        <f>+L32+AB32</f>
        <v>0</v>
      </c>
      <c r="T32" s="1332"/>
      <c r="U32" s="1332">
        <f t="shared" si="15"/>
        <v>-1525.0938795897243</v>
      </c>
      <c r="V32" s="1331"/>
      <c r="W32" s="1331"/>
      <c r="X32" s="1332">
        <f>-'Rate Case Expense Adj (AWEC)'!C22/1000</f>
        <v>1450</v>
      </c>
      <c r="Y32" s="1332"/>
      <c r="Z32" s="1332">
        <f>+X32*(1-$AK$5)</f>
        <v>1145.5</v>
      </c>
      <c r="AA32" s="1332"/>
      <c r="AB32" s="1332">
        <v>0</v>
      </c>
      <c r="AC32" s="1334"/>
      <c r="AD32" s="1332">
        <f>+U32-N32</f>
        <v>-1525.0938795897243</v>
      </c>
      <c r="AE32" s="1333"/>
      <c r="AF32" s="1335" t="s">
        <v>4126</v>
      </c>
      <c r="AI32" s="1201"/>
      <c r="AJ32" s="1199"/>
    </row>
    <row r="33" spans="1:45">
      <c r="B33" s="1199">
        <f t="shared" ca="1" si="11"/>
        <v>21</v>
      </c>
      <c r="D33" s="1216" t="s">
        <v>774</v>
      </c>
      <c r="E33" s="1326"/>
      <c r="G33" s="1217" t="str">
        <f>+INDEX('Exh JAD-7, Summary of Adj'!$C$5:$AN$5,1,MATCH($D33,'Exh JAD-7, Summary of Adj'!$C$4:$AN$4,0))</f>
        <v>Pro Forma Medical, Dental, &amp; Life Insurance Expense Adjustment</v>
      </c>
      <c r="J33" s="1217">
        <v>-839.94744980000007</v>
      </c>
      <c r="K33" s="1217"/>
      <c r="L33" s="1217">
        <v>0</v>
      </c>
      <c r="M33" s="1217"/>
      <c r="N33" s="1217">
        <f t="shared" si="12"/>
        <v>1118.287834890421</v>
      </c>
      <c r="Q33" s="1217">
        <f t="shared" si="13"/>
        <v>-839.94744980000007</v>
      </c>
      <c r="R33" s="1217"/>
      <c r="S33" s="1217">
        <f t="shared" si="14"/>
        <v>0</v>
      </c>
      <c r="T33" s="1217"/>
      <c r="U33" s="1217">
        <f t="shared" si="15"/>
        <v>1118.287834890421</v>
      </c>
      <c r="X33" s="1217">
        <v>0</v>
      </c>
      <c r="Y33" s="1217"/>
      <c r="Z33" s="1217">
        <f t="shared" si="16"/>
        <v>0</v>
      </c>
      <c r="AA33" s="1217"/>
      <c r="AB33" s="1217">
        <v>0</v>
      </c>
      <c r="AC33" s="1218"/>
      <c r="AD33" s="1217">
        <f t="shared" si="17"/>
        <v>0</v>
      </c>
      <c r="AF33" s="1207"/>
      <c r="AI33" s="1201"/>
      <c r="AJ33" s="1199"/>
    </row>
    <row r="34" spans="1:45">
      <c r="B34" s="1199">
        <f t="shared" ca="1" si="11"/>
        <v>22</v>
      </c>
      <c r="D34" s="1216" t="s">
        <v>775</v>
      </c>
      <c r="E34" s="1326"/>
      <c r="G34" s="1217" t="str">
        <f>+INDEX('Exh JAD-7, Summary of Adj'!$C$5:$AN$5,1,MATCH($D34,'Exh JAD-7, Summary of Adj'!$C$4:$AN$4,0))</f>
        <v>Pro Forma Property Tax Adjustment</v>
      </c>
      <c r="J34" s="1217">
        <v>-159.47643848654283</v>
      </c>
      <c r="K34" s="1217"/>
      <c r="L34" s="1217">
        <v>0</v>
      </c>
      <c r="M34" s="1217"/>
      <c r="N34" s="1217">
        <f t="shared" si="12"/>
        <v>212.32347470501409</v>
      </c>
      <c r="Q34" s="1217">
        <f t="shared" si="13"/>
        <v>-159.47643848654283</v>
      </c>
      <c r="R34" s="1217"/>
      <c r="S34" s="1217">
        <f t="shared" si="14"/>
        <v>0</v>
      </c>
      <c r="T34" s="1217"/>
      <c r="U34" s="1217">
        <f t="shared" si="15"/>
        <v>212.32347470501409</v>
      </c>
      <c r="X34" s="1217">
        <v>0</v>
      </c>
      <c r="Y34" s="1217"/>
      <c r="Z34" s="1217">
        <f t="shared" si="16"/>
        <v>0</v>
      </c>
      <c r="AA34" s="1217"/>
      <c r="AB34" s="1217">
        <v>0</v>
      </c>
      <c r="AC34" s="1218"/>
      <c r="AD34" s="1217">
        <f t="shared" si="17"/>
        <v>0</v>
      </c>
      <c r="AF34" s="1207"/>
      <c r="AI34" s="1201"/>
      <c r="AJ34" s="1199"/>
    </row>
    <row r="35" spans="1:45">
      <c r="B35" s="1199">
        <f t="shared" ca="1" si="11"/>
        <v>23</v>
      </c>
      <c r="D35" s="1329" t="s">
        <v>776</v>
      </c>
      <c r="E35" s="1349"/>
      <c r="F35" s="1331"/>
      <c r="G35" s="1332" t="str">
        <f>+INDEX('Exh JAD-7, Summary of Adj'!$C$5:$AN$5,1,MATCH($D35,'Exh JAD-7, Summary of Adj'!$C$4:$AN$4,0))</f>
        <v>2024 Pro Forma Pension Expense Adjustment</v>
      </c>
      <c r="H35" s="1333"/>
      <c r="I35" s="1333"/>
      <c r="J35" s="1332">
        <v>-652.57106753999994</v>
      </c>
      <c r="K35" s="1332"/>
      <c r="L35" s="1332">
        <v>523.32695746225636</v>
      </c>
      <c r="M35" s="1332"/>
      <c r="N35" s="1332">
        <f t="shared" si="12"/>
        <v>918.34369746933601</v>
      </c>
      <c r="O35" s="1333"/>
      <c r="P35" s="1331"/>
      <c r="Q35" s="1332">
        <f t="shared" si="13"/>
        <v>-137.03992418339999</v>
      </c>
      <c r="R35" s="1332"/>
      <c r="S35" s="1332">
        <f t="shared" si="14"/>
        <v>523.32695746225636</v>
      </c>
      <c r="T35" s="1332"/>
      <c r="U35" s="1332">
        <f t="shared" si="15"/>
        <v>231.97670360548329</v>
      </c>
      <c r="V35" s="1331"/>
      <c r="W35" s="1331"/>
      <c r="X35" s="1332">
        <f>-J35</f>
        <v>652.57106753999994</v>
      </c>
      <c r="Y35" s="1332"/>
      <c r="Z35" s="1332">
        <f t="shared" si="16"/>
        <v>515.53114335659996</v>
      </c>
      <c r="AA35" s="1332"/>
      <c r="AB35" s="1332">
        <v>0</v>
      </c>
      <c r="AC35" s="1334"/>
      <c r="AD35" s="1332">
        <f t="shared" si="17"/>
        <v>-686.36699386385271</v>
      </c>
      <c r="AE35" s="1333"/>
      <c r="AF35" s="1335" t="s">
        <v>4120</v>
      </c>
      <c r="AI35" s="1201"/>
      <c r="AJ35" s="1199"/>
      <c r="AP35" s="1217">
        <f>ABS(X38*1000)</f>
        <v>192878.34580740714</v>
      </c>
      <c r="AQ35" s="1217">
        <f>ABS(Z38*1000)</f>
        <v>152373.89318785165</v>
      </c>
      <c r="AS35" s="1217">
        <f>ABS(AD38*1000)</f>
        <v>202867.29979052895</v>
      </c>
    </row>
    <row r="36" spans="1:45">
      <c r="B36" s="1199">
        <f t="shared" ca="1" si="11"/>
        <v>24</v>
      </c>
      <c r="D36" s="1216" t="s">
        <v>777</v>
      </c>
      <c r="E36" s="1326"/>
      <c r="G36" s="1217" t="str">
        <f>+INDEX('Exh JAD-7, Summary of Adj'!$C$5:$AN$5,1,MATCH($D36,'Exh JAD-7, Summary of Adj'!$C$4:$AN$4,0))</f>
        <v>2024 Pro Forma Tax Flow-Through Adjustment</v>
      </c>
      <c r="J36" s="1217">
        <v>-9.1758372300000008</v>
      </c>
      <c r="K36" s="1217"/>
      <c r="L36" s="1217">
        <v>0</v>
      </c>
      <c r="M36" s="1217"/>
      <c r="N36" s="1217">
        <f t="shared" si="12"/>
        <v>12.216510868253629</v>
      </c>
      <c r="Q36" s="1217">
        <f t="shared" si="13"/>
        <v>-9.1758372300000008</v>
      </c>
      <c r="R36" s="1217"/>
      <c r="S36" s="1217">
        <f t="shared" si="14"/>
        <v>0</v>
      </c>
      <c r="T36" s="1217"/>
      <c r="U36" s="1217">
        <f t="shared" si="15"/>
        <v>12.216510868253629</v>
      </c>
      <c r="X36" s="1217">
        <v>0</v>
      </c>
      <c r="Y36" s="1217"/>
      <c r="Z36" s="1217">
        <f t="shared" si="16"/>
        <v>0</v>
      </c>
      <c r="AA36" s="1217"/>
      <c r="AB36" s="1217">
        <v>0</v>
      </c>
      <c r="AC36" s="1218"/>
      <c r="AD36" s="1217">
        <f t="shared" si="17"/>
        <v>0</v>
      </c>
      <c r="AF36" s="1207"/>
      <c r="AI36" s="1201"/>
    </row>
    <row r="37" spans="1:45">
      <c r="B37" s="1199">
        <f t="shared" ca="1" si="11"/>
        <v>25</v>
      </c>
      <c r="D37" s="1216" t="s">
        <v>778</v>
      </c>
      <c r="E37" s="1326"/>
      <c r="G37" s="1217" t="str">
        <f>+INDEX('Exh JAD-7, Summary of Adj'!$C$5:$AN$5,1,MATCH($D37,'Exh JAD-7, Summary of Adj'!$C$4:$AN$4,0))</f>
        <v>2024 Pro Forma Misc. O&amp;M Expense Adjustment</v>
      </c>
      <c r="J37" s="1217">
        <v>-172.53112085552812</v>
      </c>
      <c r="K37" s="1217"/>
      <c r="L37" s="1217">
        <v>0</v>
      </c>
      <c r="M37" s="1217"/>
      <c r="N37" s="1217">
        <f t="shared" si="12"/>
        <v>229.70419594545697</v>
      </c>
      <c r="Q37" s="1217">
        <f t="shared" si="13"/>
        <v>-172.53112085552812</v>
      </c>
      <c r="R37" s="1217"/>
      <c r="S37" s="1217">
        <f t="shared" si="14"/>
        <v>0</v>
      </c>
      <c r="T37" s="1217"/>
      <c r="U37" s="1217">
        <f t="shared" si="15"/>
        <v>229.70419594545697</v>
      </c>
      <c r="X37" s="1217">
        <v>0</v>
      </c>
      <c r="Y37" s="1217"/>
      <c r="Z37" s="1217">
        <f t="shared" si="16"/>
        <v>0</v>
      </c>
      <c r="AA37" s="1217"/>
      <c r="AB37" s="1217">
        <v>0</v>
      </c>
      <c r="AC37" s="1218"/>
      <c r="AD37" s="1217">
        <f t="shared" si="17"/>
        <v>0</v>
      </c>
      <c r="AF37" s="1207" t="s">
        <v>4120</v>
      </c>
      <c r="AI37" s="1201"/>
    </row>
    <row r="38" spans="1:45" s="1200" customFormat="1">
      <c r="A38" s="1199"/>
      <c r="B38" s="1199">
        <f t="shared" ca="1" si="11"/>
        <v>26</v>
      </c>
      <c r="C38" s="1199"/>
      <c r="D38" s="1329" t="s">
        <v>778</v>
      </c>
      <c r="E38" s="1330">
        <v>1</v>
      </c>
      <c r="F38" s="1331"/>
      <c r="G38" s="1332" t="str">
        <f>+INDEX('Exh JAD-7, Summary of Adj'!$C$5:$AN$5,1,MATCH($D38,'Exh JAD-7, Summary of Adj'!$C$4:$AN$4,0))</f>
        <v>2024 Pro Forma Misc. O&amp;M Expense Adjustment</v>
      </c>
      <c r="H38" s="1333"/>
      <c r="I38" s="1333"/>
      <c r="J38" s="1332">
        <v>0</v>
      </c>
      <c r="K38" s="1332"/>
      <c r="L38" s="1332">
        <v>0</v>
      </c>
      <c r="M38" s="1332"/>
      <c r="N38" s="1332">
        <f t="shared" si="12"/>
        <v>0</v>
      </c>
      <c r="O38" s="1333"/>
      <c r="P38" s="1331"/>
      <c r="Q38" s="1332">
        <f>+J38+Z38</f>
        <v>152.37389318785165</v>
      </c>
      <c r="R38" s="1332"/>
      <c r="S38" s="1332">
        <f>+L38+AB38</f>
        <v>0</v>
      </c>
      <c r="T38" s="1332"/>
      <c r="U38" s="1332">
        <f t="shared" si="15"/>
        <v>-202.86729979052896</v>
      </c>
      <c r="V38" s="1331"/>
      <c r="W38" s="1331"/>
      <c r="X38" s="1332">
        <f>-'O&amp;M Adj (AWEC)'!M102/1000</f>
        <v>192.87834580740713</v>
      </c>
      <c r="Y38" s="1332"/>
      <c r="Z38" s="1332">
        <f>+X38*(1-$AK$5)</f>
        <v>152.37389318785165</v>
      </c>
      <c r="AA38" s="1332"/>
      <c r="AB38" s="1332">
        <v>0</v>
      </c>
      <c r="AC38" s="1334"/>
      <c r="AD38" s="1332">
        <f>+U38-N38</f>
        <v>-202.86729979052896</v>
      </c>
      <c r="AE38" s="1333"/>
      <c r="AF38" s="1335" t="s">
        <v>4126</v>
      </c>
      <c r="AI38" s="1201"/>
      <c r="AK38" s="1199"/>
      <c r="AL38" s="1199"/>
      <c r="AM38" s="1199"/>
    </row>
    <row r="39" spans="1:45" s="1200" customFormat="1">
      <c r="A39" s="1199"/>
      <c r="B39" s="1199">
        <f t="shared" ca="1" si="11"/>
        <v>27</v>
      </c>
      <c r="C39" s="1199"/>
      <c r="D39" s="1216" t="s">
        <v>781</v>
      </c>
      <c r="E39" s="1326"/>
      <c r="F39" s="1199"/>
      <c r="G39" s="1217" t="str">
        <f>+INDEX('Exh JAD-7, Summary of Adj'!$C$5:$AN$5,1,MATCH($D39,'Exh JAD-7, Summary of Adj'!$C$4:$AN$4,0))</f>
        <v>2024 Provisonal Plant Additions</v>
      </c>
      <c r="J39" s="1217">
        <v>-3201.4139038194976</v>
      </c>
      <c r="K39" s="1217"/>
      <c r="L39" s="1217">
        <v>104550.51838203738</v>
      </c>
      <c r="M39" s="1217"/>
      <c r="N39" s="1217">
        <f t="shared" si="12"/>
        <v>14156.365738422352</v>
      </c>
      <c r="P39" s="1199"/>
      <c r="Q39" s="1217">
        <f t="shared" si="13"/>
        <v>-3201.4139038194976</v>
      </c>
      <c r="R39" s="1217"/>
      <c r="S39" s="1217">
        <f t="shared" si="14"/>
        <v>104550.51838203738</v>
      </c>
      <c r="T39" s="1217"/>
      <c r="U39" s="1217">
        <f t="shared" si="15"/>
        <v>14156.365738422352</v>
      </c>
      <c r="V39" s="1199"/>
      <c r="W39" s="1199"/>
      <c r="X39" s="1217">
        <v>0</v>
      </c>
      <c r="Y39" s="1217"/>
      <c r="Z39" s="1217">
        <f t="shared" si="16"/>
        <v>0</v>
      </c>
      <c r="AA39" s="1217"/>
      <c r="AB39" s="1217">
        <v>0</v>
      </c>
      <c r="AC39" s="1218"/>
      <c r="AD39" s="1217">
        <f t="shared" si="17"/>
        <v>0</v>
      </c>
      <c r="AF39" s="1207" t="s">
        <v>4120</v>
      </c>
      <c r="AI39" s="1201"/>
      <c r="AK39" s="1199"/>
      <c r="AL39" s="1199"/>
      <c r="AM39" s="1199"/>
    </row>
    <row r="40" spans="1:45" s="1200" customFormat="1">
      <c r="A40" s="1199"/>
      <c r="B40" s="1199">
        <f t="shared" ca="1" si="11"/>
        <v>28</v>
      </c>
      <c r="C40" s="1199"/>
      <c r="D40" s="1329" t="s">
        <v>781</v>
      </c>
      <c r="E40" s="1330">
        <v>1</v>
      </c>
      <c r="F40" s="1331"/>
      <c r="G40" s="1332" t="s">
        <v>4184</v>
      </c>
      <c r="H40" s="1333"/>
      <c r="I40" s="1333"/>
      <c r="J40" s="1332">
        <v>0</v>
      </c>
      <c r="K40" s="1332"/>
      <c r="L40" s="1332">
        <v>0</v>
      </c>
      <c r="M40" s="1332"/>
      <c r="N40" s="1332">
        <f t="shared" si="12"/>
        <v>0</v>
      </c>
      <c r="O40" s="1333"/>
      <c r="P40" s="1331"/>
      <c r="Q40" s="1332">
        <f t="shared" si="13"/>
        <v>129.61853775179978</v>
      </c>
      <c r="R40" s="1332"/>
      <c r="S40" s="1332">
        <f t="shared" si="14"/>
        <v>-8190.8556757899969</v>
      </c>
      <c r="T40" s="1332"/>
      <c r="U40" s="1332">
        <f t="shared" si="15"/>
        <v>-947.70779446326947</v>
      </c>
      <c r="V40" s="1331"/>
      <c r="W40" s="1331"/>
      <c r="X40" s="1332">
        <f>-'Provisional Plant Add (RNG)'!G24/1000</f>
        <v>164.0740984199997</v>
      </c>
      <c r="Y40" s="1332"/>
      <c r="Z40" s="1332">
        <f t="shared" si="16"/>
        <v>129.61853775179978</v>
      </c>
      <c r="AA40" s="1332"/>
      <c r="AB40" s="1332">
        <f>+'Provisional Plant Add (RNG)'!G23/1000</f>
        <v>-8190.8556757899969</v>
      </c>
      <c r="AC40" s="1334"/>
      <c r="AD40" s="1332">
        <f t="shared" si="17"/>
        <v>-947.70779446326947</v>
      </c>
      <c r="AE40" s="1333"/>
      <c r="AF40" s="1335" t="s">
        <v>4126</v>
      </c>
      <c r="AI40" s="1201"/>
      <c r="AK40" s="1199"/>
      <c r="AL40" s="1199"/>
      <c r="AM40" s="1199"/>
    </row>
    <row r="41" spans="1:45" s="1200" customFormat="1">
      <c r="A41" s="1199"/>
      <c r="B41" s="1199">
        <f t="shared" ca="1" si="11"/>
        <v>29</v>
      </c>
      <c r="C41" s="1199"/>
      <c r="D41" s="1329" t="s">
        <v>781</v>
      </c>
      <c r="E41" s="1330">
        <v>2</v>
      </c>
      <c r="F41" s="1331"/>
      <c r="G41" s="1332" t="s">
        <v>4230</v>
      </c>
      <c r="H41" s="1333"/>
      <c r="I41" s="1333"/>
      <c r="J41" s="1332">
        <v>0</v>
      </c>
      <c r="K41" s="1332"/>
      <c r="L41" s="1332">
        <v>0</v>
      </c>
      <c r="M41" s="1332"/>
      <c r="N41" s="1332">
        <f t="shared" si="12"/>
        <v>0</v>
      </c>
      <c r="O41" s="1333"/>
      <c r="P41" s="1331"/>
      <c r="Q41" s="1332">
        <f t="shared" si="13"/>
        <v>643.54064065862963</v>
      </c>
      <c r="R41" s="1332"/>
      <c r="S41" s="1332">
        <f t="shared" si="14"/>
        <v>-44488.297212051431</v>
      </c>
      <c r="T41" s="1332"/>
      <c r="U41" s="1332">
        <f t="shared" si="15"/>
        <v>-5066.9181265065808</v>
      </c>
      <c r="V41" s="1331"/>
      <c r="W41" s="1331"/>
      <c r="X41" s="1332">
        <f>-'Provisional Plant Add (Discr.)'!G24/1000</f>
        <v>814.60840589699944</v>
      </c>
      <c r="Y41" s="1332"/>
      <c r="Z41" s="1332">
        <f t="shared" si="16"/>
        <v>643.54064065862963</v>
      </c>
      <c r="AA41" s="1332"/>
      <c r="AB41" s="1332">
        <f>+'Provisional Plant Add (Discr.)'!G23/1000</f>
        <v>-44488.297212051431</v>
      </c>
      <c r="AC41" s="1334"/>
      <c r="AD41" s="1332">
        <f t="shared" si="17"/>
        <v>-5066.9181265065808</v>
      </c>
      <c r="AE41" s="1333"/>
      <c r="AF41" s="1335" t="s">
        <v>4126</v>
      </c>
      <c r="AI41" s="1201"/>
      <c r="AK41" s="1199"/>
      <c r="AL41" s="1199"/>
      <c r="AM41" s="1199"/>
    </row>
    <row r="42" spans="1:45" s="1200" customFormat="1">
      <c r="A42" s="1199"/>
      <c r="B42" s="1199">
        <f t="shared" ca="1" si="11"/>
        <v>30</v>
      </c>
      <c r="C42" s="1199"/>
      <c r="D42" s="1329" t="s">
        <v>781</v>
      </c>
      <c r="E42" s="1330">
        <v>3</v>
      </c>
      <c r="F42" s="1331"/>
      <c r="G42" s="1332" t="s">
        <v>4185</v>
      </c>
      <c r="H42" s="1333"/>
      <c r="I42" s="1333"/>
      <c r="J42" s="1332">
        <v>0</v>
      </c>
      <c r="K42" s="1332"/>
      <c r="L42" s="1332">
        <v>0</v>
      </c>
      <c r="M42" s="1332"/>
      <c r="N42" s="1332">
        <f t="shared" si="12"/>
        <v>0</v>
      </c>
      <c r="O42" s="1333"/>
      <c r="P42" s="1331"/>
      <c r="Q42" s="1332">
        <f t="shared" si="13"/>
        <v>510.03502219895273</v>
      </c>
      <c r="R42" s="1332"/>
      <c r="S42" s="1332">
        <f t="shared" si="14"/>
        <v>-16546.27143194048</v>
      </c>
      <c r="T42" s="1332"/>
      <c r="U42" s="1332">
        <f t="shared" si="15"/>
        <v>-2244.895580766457</v>
      </c>
      <c r="V42" s="1331"/>
      <c r="W42" s="1331"/>
      <c r="X42" s="1332">
        <f>-'Provisional Plant Add (RunRate)'!G24/1000</f>
        <v>645.61395215057303</v>
      </c>
      <c r="Y42" s="1332"/>
      <c r="Z42" s="1332">
        <f t="shared" si="16"/>
        <v>510.03502219895273</v>
      </c>
      <c r="AA42" s="1332"/>
      <c r="AB42" s="1332">
        <f>+'Provisional Plant Add (RunRate)'!G23/1000</f>
        <v>-16546.27143194048</v>
      </c>
      <c r="AC42" s="1334"/>
      <c r="AD42" s="1332">
        <f t="shared" si="17"/>
        <v>-2244.895580766457</v>
      </c>
      <c r="AE42" s="1333"/>
      <c r="AF42" s="1335" t="s">
        <v>4126</v>
      </c>
      <c r="AI42" s="1201"/>
      <c r="AK42" s="1199"/>
      <c r="AL42" s="1199"/>
      <c r="AM42" s="1199"/>
    </row>
    <row r="43" spans="1:45" s="1200" customFormat="1">
      <c r="A43" s="1199"/>
      <c r="B43" s="1199">
        <f t="shared" ca="1" si="11"/>
        <v>31</v>
      </c>
      <c r="C43" s="1199"/>
      <c r="D43" s="1329" t="s">
        <v>781</v>
      </c>
      <c r="E43" s="1330">
        <v>4</v>
      </c>
      <c r="F43" s="1331"/>
      <c r="G43" s="1332" t="s">
        <v>4186</v>
      </c>
      <c r="H43" s="1333"/>
      <c r="I43" s="1333"/>
      <c r="J43" s="1332">
        <v>0</v>
      </c>
      <c r="K43" s="1332"/>
      <c r="L43" s="1332">
        <v>0</v>
      </c>
      <c r="M43" s="1332"/>
      <c r="N43" s="1332">
        <f t="shared" si="12"/>
        <v>0</v>
      </c>
      <c r="O43" s="1333"/>
      <c r="P43" s="1331"/>
      <c r="Q43" s="1332">
        <f t="shared" si="13"/>
        <v>0</v>
      </c>
      <c r="R43" s="1332"/>
      <c r="S43" s="1332">
        <f t="shared" si="14"/>
        <v>-17308.718522573105</v>
      </c>
      <c r="T43" s="1332"/>
      <c r="U43" s="1332">
        <f t="shared" si="15"/>
        <v>-1637.9997050188833</v>
      </c>
      <c r="V43" s="1331"/>
      <c r="W43" s="1331"/>
      <c r="X43" s="1332">
        <v>0</v>
      </c>
      <c r="Y43" s="1332"/>
      <c r="Z43" s="1332">
        <f t="shared" si="16"/>
        <v>0</v>
      </c>
      <c r="AA43" s="1332"/>
      <c r="AB43" s="1332">
        <f>+'Provisional Plant Add (AccDepr)'!G23/1000</f>
        <v>-17308.718522573105</v>
      </c>
      <c r="AC43" s="1334"/>
      <c r="AD43" s="1332">
        <f t="shared" si="17"/>
        <v>-1637.9997050188833</v>
      </c>
      <c r="AE43" s="1333"/>
      <c r="AF43" s="1335" t="s">
        <v>4126</v>
      </c>
      <c r="AI43" s="1201"/>
      <c r="AK43" s="1199"/>
      <c r="AL43" s="1199"/>
      <c r="AM43" s="1199"/>
    </row>
    <row r="44" spans="1:45" s="1200" customFormat="1">
      <c r="A44" s="1199"/>
      <c r="B44" s="1199">
        <f t="shared" ca="1" si="11"/>
        <v>32</v>
      </c>
      <c r="C44" s="1199"/>
      <c r="D44" s="1216" t="s">
        <v>782</v>
      </c>
      <c r="E44" s="1326"/>
      <c r="F44" s="1239"/>
      <c r="G44" s="1217" t="str">
        <f>+INDEX('Exh JAD-7, Summary of Adj'!$C$5:$AN$5,1,MATCH($D44,'Exh JAD-7, Summary of Adj'!$C$4:$AN$4,0))</f>
        <v>2024 Offsets to Provisional Plant Additions</v>
      </c>
      <c r="J44" s="1217">
        <v>1411.4134546489108</v>
      </c>
      <c r="K44" s="1217"/>
      <c r="L44" s="1217">
        <v>0</v>
      </c>
      <c r="M44" s="1217"/>
      <c r="N44" s="1217">
        <f t="shared" si="12"/>
        <v>-1879.1252913624119</v>
      </c>
      <c r="P44" s="1199"/>
      <c r="Q44" s="1217">
        <f t="shared" si="13"/>
        <v>1411.4134546489108</v>
      </c>
      <c r="R44" s="1217"/>
      <c r="S44" s="1217">
        <f t="shared" si="14"/>
        <v>0</v>
      </c>
      <c r="T44" s="1217"/>
      <c r="U44" s="1217">
        <f t="shared" si="15"/>
        <v>-1879.1252913624119</v>
      </c>
      <c r="V44" s="1199"/>
      <c r="W44" s="1199"/>
      <c r="X44" s="1217">
        <v>0</v>
      </c>
      <c r="Y44" s="1217"/>
      <c r="Z44" s="1217">
        <f t="shared" si="16"/>
        <v>0</v>
      </c>
      <c r="AA44" s="1217"/>
      <c r="AB44" s="1217">
        <v>0</v>
      </c>
      <c r="AC44" s="1218"/>
      <c r="AD44" s="1217">
        <f t="shared" si="17"/>
        <v>0</v>
      </c>
      <c r="AE44" s="1240"/>
      <c r="AF44" s="1241"/>
      <c r="AI44" s="1201"/>
      <c r="AK44" s="1199"/>
      <c r="AL44" s="1199"/>
      <c r="AM44" s="1199"/>
    </row>
    <row r="45" spans="1:45" s="1200" customFormat="1">
      <c r="A45" s="1199"/>
      <c r="B45" s="1199"/>
      <c r="C45" s="1199"/>
      <c r="D45" s="1216"/>
      <c r="E45" s="1326"/>
      <c r="F45" s="1199"/>
      <c r="G45" s="1214"/>
      <c r="J45" s="1217"/>
      <c r="K45" s="1217"/>
      <c r="L45" s="1217"/>
      <c r="M45" s="1217"/>
      <c r="N45" s="1217"/>
      <c r="P45" s="1199"/>
      <c r="Q45" s="1217"/>
      <c r="R45" s="1217"/>
      <c r="S45" s="1217"/>
      <c r="T45" s="1217"/>
      <c r="U45" s="1217"/>
      <c r="V45" s="1199"/>
      <c r="W45" s="1199"/>
      <c r="X45" s="1217"/>
      <c r="Y45" s="1217"/>
      <c r="Z45" s="1217"/>
      <c r="AA45" s="1217"/>
      <c r="AB45" s="1217"/>
      <c r="AC45" s="1218"/>
      <c r="AD45" s="1217"/>
      <c r="AF45" s="1207"/>
      <c r="AI45" s="1201"/>
      <c r="AK45" s="1199"/>
      <c r="AL45" s="1199"/>
      <c r="AM45" s="1199"/>
    </row>
    <row r="46" spans="1:45" s="1200" customFormat="1">
      <c r="A46" s="1199"/>
      <c r="B46" s="1199"/>
      <c r="C46" s="1199"/>
      <c r="D46" s="1216"/>
      <c r="E46" s="1326"/>
      <c r="F46" s="1199"/>
      <c r="G46" s="1218" t="s">
        <v>4127</v>
      </c>
      <c r="J46" s="1226">
        <f>+SUBTOTAL(9,J$26:J$45)</f>
        <v>-8452.2974155168577</v>
      </c>
      <c r="K46" s="1218"/>
      <c r="L46" s="1226">
        <f>+SUBTOTAL(9,L$26:L$45)</f>
        <v>105073.84533949963</v>
      </c>
      <c r="M46" s="1218"/>
      <c r="N46" s="1226">
        <f>+SUBTOTAL(9,N$26:N$45)</f>
        <v>21196.802988947697</v>
      </c>
      <c r="Q46" s="1226">
        <f>+SUBTOTAL(9,Q$26:Q$45)</f>
        <v>-4233.8755258360961</v>
      </c>
      <c r="R46" s="1218"/>
      <c r="S46" s="1226">
        <f>+SUBTOTAL(9,S$26:S$45)</f>
        <v>18539.702497144626</v>
      </c>
      <c r="T46" s="1218"/>
      <c r="U46" s="1226">
        <f>+SUBTOTAL(9,U$26:U$45)</f>
        <v>7391.3832367494215</v>
      </c>
      <c r="X46" s="1226">
        <f>+SUBTOTAL(9,X$26:X$45)</f>
        <v>5339.774543899699</v>
      </c>
      <c r="Y46" s="1218"/>
      <c r="Z46" s="1226">
        <f>+SUBTOTAL(9,Z$26:Z$45)</f>
        <v>4218.4218896807624</v>
      </c>
      <c r="AA46" s="1218"/>
      <c r="AB46" s="1226">
        <f>+SUBTOTAL(9,AB$26:AB$45)</f>
        <v>-86534.14284235501</v>
      </c>
      <c r="AC46" s="1218"/>
      <c r="AD46" s="1226">
        <f>+SUBTOTAL(9,AD$26:AD$45)</f>
        <v>-13805.419752198275</v>
      </c>
      <c r="AF46" s="1207"/>
      <c r="AI46" s="1201"/>
      <c r="AK46" s="1199"/>
      <c r="AL46" s="1199"/>
      <c r="AM46" s="1199"/>
    </row>
    <row r="47" spans="1:45" s="1200" customFormat="1">
      <c r="A47" s="1199"/>
      <c r="B47" s="1199"/>
      <c r="C47" s="1199"/>
      <c r="D47" s="1216"/>
      <c r="E47" s="1326"/>
      <c r="F47" s="1199"/>
      <c r="G47" s="1214"/>
      <c r="J47" s="1217"/>
      <c r="K47" s="1217"/>
      <c r="L47" s="1217"/>
      <c r="M47" s="1217"/>
      <c r="N47" s="1217"/>
      <c r="P47" s="1199"/>
      <c r="Q47" s="1217"/>
      <c r="R47" s="1217"/>
      <c r="S47" s="1217"/>
      <c r="T47" s="1217"/>
      <c r="U47" s="1217"/>
      <c r="V47" s="1199"/>
      <c r="W47" s="1199"/>
      <c r="X47" s="1217"/>
      <c r="Y47" s="1217"/>
      <c r="Z47" s="1217"/>
      <c r="AA47" s="1217"/>
      <c r="AB47" s="1217"/>
      <c r="AC47" s="1218"/>
      <c r="AD47" s="1217"/>
      <c r="AF47" s="1207"/>
      <c r="AI47" s="1201"/>
      <c r="AK47" s="1199"/>
      <c r="AL47" s="1199"/>
      <c r="AM47" s="1199"/>
    </row>
    <row r="48" spans="1:45" s="1200" customFormat="1" ht="14.25" thickBot="1">
      <c r="A48" s="1199"/>
      <c r="B48" s="1199"/>
      <c r="C48" s="1199"/>
      <c r="D48" s="1216"/>
      <c r="E48" s="1326"/>
      <c r="F48" s="1199"/>
      <c r="G48" s="1214" t="s">
        <v>4128</v>
      </c>
      <c r="J48" s="1229">
        <f>+SUBTOTAL(9,J$6:J$47)</f>
        <v>24264.776823642034</v>
      </c>
      <c r="K48" s="1217"/>
      <c r="L48" s="1229">
        <f>+SUBTOTAL(9,L$6:L$47)</f>
        <v>724414.76388063515</v>
      </c>
      <c r="M48" s="1217"/>
      <c r="N48" s="1229">
        <f>+SUBTOTAL(9,N$6:N$47)</f>
        <v>36248.938043353519</v>
      </c>
      <c r="P48" s="1199"/>
      <c r="Q48" s="1229">
        <f>+SUBTOTAL(9,Q$6:Q$47)</f>
        <v>28912.699889572807</v>
      </c>
      <c r="R48" s="1217"/>
      <c r="S48" s="1229">
        <f>+SUBTOTAL(9,S$6:S$47)</f>
        <v>637880.62103828008</v>
      </c>
      <c r="T48" s="1217"/>
      <c r="U48" s="1229">
        <f>+SUBTOTAL(9,U$6:U$47)</f>
        <v>21871.689731421102</v>
      </c>
      <c r="V48" s="1199"/>
      <c r="W48" s="1199"/>
      <c r="X48" s="1229">
        <f>+SUBTOTAL(9,X$6:X$47)</f>
        <v>5883.4469188996982</v>
      </c>
      <c r="Y48" s="1217"/>
      <c r="Z48" s="1229">
        <f>+SUBTOTAL(9,Z$6:Z$47)</f>
        <v>4647.9230659307632</v>
      </c>
      <c r="AA48" s="1217"/>
      <c r="AB48" s="1229">
        <f>+SUBTOTAL(9,AB$6:AB$47)</f>
        <v>-86534.14284235501</v>
      </c>
      <c r="AC48" s="1218"/>
      <c r="AD48" s="1229">
        <f>+SUBTOTAL(9,AD$6:AD$47)</f>
        <v>-14377.248311932417</v>
      </c>
      <c r="AF48" s="1207"/>
      <c r="AI48" s="1201"/>
      <c r="AK48" s="1199"/>
      <c r="AL48" s="1199"/>
      <c r="AM48" s="1199"/>
      <c r="AP48" s="1217">
        <f>ABS(X51*1000)</f>
        <v>5883446.9188996982</v>
      </c>
      <c r="AQ48" s="1217">
        <f>ABS(Z51*1000)</f>
        <v>4647923.0659307633</v>
      </c>
      <c r="AR48" s="1217">
        <f>ABS(AB51*1000)</f>
        <v>86534142.842355013</v>
      </c>
      <c r="AS48" s="1217">
        <f>ABS(AD51*1000)</f>
        <v>14377248.311932409</v>
      </c>
    </row>
    <row r="49" spans="1:45" s="1200" customFormat="1" ht="13.5" thickTop="1">
      <c r="A49" s="1199"/>
      <c r="B49" s="1199"/>
      <c r="C49" s="1199"/>
      <c r="D49" s="1216"/>
      <c r="E49" s="1326"/>
      <c r="F49" s="1199"/>
      <c r="G49" s="1214"/>
      <c r="J49" s="1217"/>
      <c r="K49" s="1217"/>
      <c r="L49" s="1217"/>
      <c r="M49" s="1217"/>
      <c r="N49" s="1217"/>
      <c r="P49" s="1199"/>
      <c r="Q49" s="1217"/>
      <c r="R49" s="1217"/>
      <c r="S49" s="1217"/>
      <c r="T49" s="1217"/>
      <c r="U49" s="1217"/>
      <c r="V49" s="1199"/>
      <c r="W49" s="1199"/>
      <c r="X49" s="1217"/>
      <c r="Y49" s="1217"/>
      <c r="Z49" s="1217"/>
      <c r="AA49" s="1217"/>
      <c r="AB49" s="1217"/>
      <c r="AC49" s="1218"/>
      <c r="AD49" s="1217"/>
      <c r="AF49" s="1207"/>
      <c r="AI49" s="1201"/>
      <c r="AK49" s="1199"/>
      <c r="AL49" s="1199"/>
      <c r="AM49" s="1199"/>
    </row>
    <row r="50" spans="1:45" s="1200" customFormat="1">
      <c r="A50" s="1199"/>
      <c r="B50" s="1202" t="s">
        <v>4129</v>
      </c>
      <c r="C50" s="1199"/>
      <c r="D50" s="1216"/>
      <c r="E50" s="1326"/>
      <c r="F50" s="1199"/>
      <c r="G50" s="1214"/>
      <c r="J50" s="1217"/>
      <c r="K50" s="1217"/>
      <c r="L50" s="1217"/>
      <c r="M50" s="1217"/>
      <c r="N50" s="1217"/>
      <c r="P50" s="1199"/>
      <c r="Q50" s="1217"/>
      <c r="R50" s="1217"/>
      <c r="S50" s="1217"/>
      <c r="T50" s="1217"/>
      <c r="U50" s="1217"/>
      <c r="V50" s="1199"/>
      <c r="W50" s="1199"/>
      <c r="X50" s="1217"/>
      <c r="Y50" s="1217"/>
      <c r="Z50" s="1217"/>
      <c r="AA50" s="1217"/>
      <c r="AB50" s="1217"/>
      <c r="AC50" s="1218"/>
      <c r="AD50" s="1217"/>
      <c r="AF50" s="1207"/>
      <c r="AI50" s="1201"/>
      <c r="AK50" s="1199"/>
      <c r="AL50" s="1199"/>
      <c r="AM50" s="1199"/>
    </row>
    <row r="51" spans="1:45" s="1200" customFormat="1">
      <c r="A51" s="1199"/>
      <c r="B51" s="1199">
        <f t="shared" ref="B51:B65" ca="1" si="18">+MAX(OFFSET($B$7,0,0,ROW($B51)-ROW($B$7),1))+1</f>
        <v>33</v>
      </c>
      <c r="C51" s="1199"/>
      <c r="D51" s="1216" t="s">
        <v>4196</v>
      </c>
      <c r="E51" s="1326"/>
      <c r="F51" s="1199"/>
      <c r="G51" s="1218" t="s">
        <v>4130</v>
      </c>
      <c r="J51" s="1217">
        <v>-24264.776823642034</v>
      </c>
      <c r="K51" s="1217"/>
      <c r="L51" s="1217">
        <v>-724414.76388063515</v>
      </c>
      <c r="M51" s="1217"/>
      <c r="N51" s="1217">
        <f t="shared" ref="N51:N65" si="19">+($L51*$AM$16-$J51)/$AK$4</f>
        <v>-36248.938043353541</v>
      </c>
      <c r="P51" s="1199"/>
      <c r="Q51" s="1217">
        <f t="shared" ref="Q51:Q64" si="20">+J51+Z51</f>
        <v>-28912.699889572796</v>
      </c>
      <c r="R51" s="1217"/>
      <c r="S51" s="1217">
        <f>+L51+AB51</f>
        <v>-637880.62103828019</v>
      </c>
      <c r="T51" s="1217"/>
      <c r="U51" s="1217">
        <f t="shared" ref="U51:U65" si="21">+($S51*$AM$16-$Q51)/$AK$4</f>
        <v>-21871.689731421131</v>
      </c>
      <c r="V51" s="1199"/>
      <c r="W51" s="1199"/>
      <c r="X51" s="1217">
        <f>-X48</f>
        <v>-5883.4469188996982</v>
      </c>
      <c r="Y51" s="1217"/>
      <c r="Z51" s="1217">
        <f>-Z48</f>
        <v>-4647.9230659307632</v>
      </c>
      <c r="AA51" s="1217"/>
      <c r="AB51" s="1217">
        <f>-AB48</f>
        <v>86534.14284235501</v>
      </c>
      <c r="AC51" s="1218"/>
      <c r="AD51" s="1217">
        <f t="shared" ref="AD51:AD64" si="22">+U51-N51</f>
        <v>14377.24831193241</v>
      </c>
      <c r="AF51" s="1207"/>
      <c r="AI51" s="1201"/>
      <c r="AK51" s="1199"/>
      <c r="AL51" s="1199"/>
      <c r="AM51" s="1199"/>
    </row>
    <row r="52" spans="1:45" s="1200" customFormat="1">
      <c r="A52" s="1199"/>
      <c r="B52" s="1199">
        <f t="shared" ca="1" si="18"/>
        <v>34</v>
      </c>
      <c r="C52" s="1199"/>
      <c r="D52" s="1216" t="s">
        <v>783</v>
      </c>
      <c r="E52" s="1326"/>
      <c r="F52" s="1199"/>
      <c r="G52" s="1217" t="str">
        <f>+INDEX('Exh JAD-7, Summary of Adj'!$C$5:$AN$5,1,MATCH($D52,'Exh JAD-7, Summary of Adj'!$C$4:$AN$4,0))</f>
        <v>2025 Provisional Plant Additions</v>
      </c>
      <c r="J52" s="1217">
        <v>-3216.9089847831428</v>
      </c>
      <c r="K52" s="1217"/>
      <c r="L52" s="1217">
        <v>68184.934662988249</v>
      </c>
      <c r="M52" s="1217"/>
      <c r="N52" s="1217">
        <f t="shared" si="19"/>
        <v>10735.561381038759</v>
      </c>
      <c r="P52" s="1199"/>
      <c r="Q52" s="1217">
        <f t="shared" si="20"/>
        <v>-3216.9089847831428</v>
      </c>
      <c r="R52" s="1217"/>
      <c r="S52" s="1217">
        <f t="shared" ref="S52:S64" si="23">+L52+AB52</f>
        <v>68184.934662988249</v>
      </c>
      <c r="T52" s="1217"/>
      <c r="U52" s="1217">
        <f t="shared" si="21"/>
        <v>10735.561381038759</v>
      </c>
      <c r="V52" s="1199"/>
      <c r="W52" s="1199"/>
      <c r="X52" s="1217">
        <v>0</v>
      </c>
      <c r="Y52" s="1217"/>
      <c r="Z52" s="1217">
        <f t="shared" ref="Z52:Z64" si="24">+X52*(1-$AK$5)</f>
        <v>0</v>
      </c>
      <c r="AA52" s="1217"/>
      <c r="AB52" s="1217">
        <v>0</v>
      </c>
      <c r="AC52" s="1218"/>
      <c r="AD52" s="1217">
        <f t="shared" si="22"/>
        <v>0</v>
      </c>
      <c r="AF52" s="1207"/>
      <c r="AI52" s="1201"/>
      <c r="AK52" s="1199"/>
      <c r="AL52" s="1199"/>
      <c r="AM52" s="1199"/>
      <c r="AP52" s="1217">
        <f>ABS(X59*1000)</f>
        <v>568856.20192678203</v>
      </c>
      <c r="AQ52" s="1217">
        <f>ABS(Z59*1000)</f>
        <v>449396.39952215779</v>
      </c>
      <c r="AR52" s="1217">
        <f>ABS(AB59*1000)</f>
        <v>0</v>
      </c>
      <c r="AS52" s="1217">
        <f>ABS(AD59*1000)</f>
        <v>598316.62891392526</v>
      </c>
    </row>
    <row r="53" spans="1:45" s="1200" customFormat="1">
      <c r="A53" s="1199"/>
      <c r="B53" s="1199">
        <f t="shared" ca="1" si="18"/>
        <v>35</v>
      </c>
      <c r="C53" s="1199"/>
      <c r="D53" s="1216" t="s">
        <v>784</v>
      </c>
      <c r="E53" s="1326"/>
      <c r="F53" s="1199"/>
      <c r="G53" s="1217" t="str">
        <f>+INDEX('Exh JAD-7, Summary of Adj'!$C$5:$AN$5,1,MATCH($D53,'Exh JAD-7, Summary of Adj'!$C$4:$AN$4,0))</f>
        <v>2025 Offsets to Provisional Plant Additions</v>
      </c>
      <c r="J53" s="1217">
        <v>1897.0128810161518</v>
      </c>
      <c r="K53" s="1217"/>
      <c r="L53" s="1217">
        <v>0</v>
      </c>
      <c r="M53" s="1217"/>
      <c r="N53" s="1217">
        <f t="shared" si="19"/>
        <v>-2525.6418457796622</v>
      </c>
      <c r="P53" s="1199"/>
      <c r="Q53" s="1217">
        <f t="shared" si="20"/>
        <v>1897.0128810161518</v>
      </c>
      <c r="R53" s="1217"/>
      <c r="S53" s="1217">
        <f t="shared" si="23"/>
        <v>0</v>
      </c>
      <c r="T53" s="1217"/>
      <c r="U53" s="1217">
        <f t="shared" si="21"/>
        <v>-2525.6418457796622</v>
      </c>
      <c r="V53" s="1199"/>
      <c r="W53" s="1199"/>
      <c r="X53" s="1217">
        <v>0</v>
      </c>
      <c r="Y53" s="1217"/>
      <c r="Z53" s="1217">
        <f t="shared" si="24"/>
        <v>0</v>
      </c>
      <c r="AA53" s="1217"/>
      <c r="AB53" s="1217">
        <v>0</v>
      </c>
      <c r="AC53" s="1218"/>
      <c r="AD53" s="1217">
        <f t="shared" si="22"/>
        <v>0</v>
      </c>
      <c r="AF53" s="1207" t="s">
        <v>4120</v>
      </c>
      <c r="AI53" s="1201"/>
      <c r="AK53" s="1199"/>
      <c r="AL53" s="1199"/>
      <c r="AM53" s="1199"/>
    </row>
    <row r="54" spans="1:45" s="1200" customFormat="1">
      <c r="A54" s="1199"/>
      <c r="B54" s="1199">
        <f t="shared" ca="1" si="18"/>
        <v>36</v>
      </c>
      <c r="C54" s="1199"/>
      <c r="D54" s="1329" t="s">
        <v>784</v>
      </c>
      <c r="E54" s="1330">
        <v>1</v>
      </c>
      <c r="F54" s="1331"/>
      <c r="G54" s="1332" t="s">
        <v>4184</v>
      </c>
      <c r="H54" s="1333"/>
      <c r="I54" s="1333"/>
      <c r="J54" s="1332">
        <v>0</v>
      </c>
      <c r="K54" s="1332"/>
      <c r="L54" s="1332">
        <v>0</v>
      </c>
      <c r="M54" s="1332"/>
      <c r="N54" s="1332">
        <f t="shared" si="19"/>
        <v>0</v>
      </c>
      <c r="O54" s="1333"/>
      <c r="P54" s="1331"/>
      <c r="Q54" s="1332">
        <f t="shared" ref="Q54:Q57" si="25">+J54+Z54</f>
        <v>724.52504726763061</v>
      </c>
      <c r="R54" s="1332"/>
      <c r="S54" s="1332">
        <f t="shared" ref="S54:S57" si="26">+L54+AB54</f>
        <v>-17759.569955081508</v>
      </c>
      <c r="T54" s="1332"/>
      <c r="U54" s="1332">
        <f t="shared" si="21"/>
        <v>-2645.2826962376225</v>
      </c>
      <c r="V54" s="1331"/>
      <c r="W54" s="1331"/>
      <c r="X54" s="1332">
        <f>-'Provisional Plant Add (RNG)'!H24/1000</f>
        <v>917.12031299700072</v>
      </c>
      <c r="Y54" s="1332"/>
      <c r="Z54" s="1332">
        <f t="shared" ref="Z54:Z57" si="27">+X54*(1-$AK$5)</f>
        <v>724.52504726763061</v>
      </c>
      <c r="AA54" s="1332"/>
      <c r="AB54" s="1332">
        <f>+'Provisional Plant Add (RNG)'!H23/1000</f>
        <v>-17759.569955081508</v>
      </c>
      <c r="AC54" s="1334"/>
      <c r="AD54" s="1332">
        <f t="shared" ref="AD54:AD57" si="28">+U54-N54</f>
        <v>-2645.2826962376225</v>
      </c>
      <c r="AE54" s="1333"/>
      <c r="AF54" s="1335" t="s">
        <v>4126</v>
      </c>
      <c r="AI54" s="1201"/>
      <c r="AK54" s="1199"/>
      <c r="AL54" s="1199"/>
      <c r="AM54" s="1199"/>
    </row>
    <row r="55" spans="1:45" s="1200" customFormat="1">
      <c r="A55" s="1199"/>
      <c r="B55" s="1199">
        <f t="shared" ca="1" si="18"/>
        <v>37</v>
      </c>
      <c r="C55" s="1199"/>
      <c r="D55" s="1329" t="s">
        <v>784</v>
      </c>
      <c r="E55" s="1330">
        <v>2</v>
      </c>
      <c r="F55" s="1331"/>
      <c r="G55" s="1332" t="s">
        <v>4230</v>
      </c>
      <c r="H55" s="1333"/>
      <c r="I55" s="1333"/>
      <c r="J55" s="1332">
        <v>0</v>
      </c>
      <c r="K55" s="1332"/>
      <c r="L55" s="1332">
        <v>0</v>
      </c>
      <c r="M55" s="1332"/>
      <c r="N55" s="1332">
        <f t="shared" si="19"/>
        <v>0</v>
      </c>
      <c r="O55" s="1333"/>
      <c r="P55" s="1331"/>
      <c r="Q55" s="1332">
        <f t="shared" si="25"/>
        <v>405.06813226917183</v>
      </c>
      <c r="R55" s="1332"/>
      <c r="S55" s="1332">
        <f t="shared" si="26"/>
        <v>-26208.251386489577</v>
      </c>
      <c r="T55" s="1332"/>
      <c r="U55" s="1332">
        <f t="shared" si="21"/>
        <v>-3019.5003417961352</v>
      </c>
      <c r="V55" s="1331"/>
      <c r="W55" s="1331"/>
      <c r="X55" s="1332">
        <f>-'Provisional Plant Add (Discr.)'!H24/1000</f>
        <v>512.74447122679976</v>
      </c>
      <c r="Y55" s="1332"/>
      <c r="Z55" s="1332">
        <f t="shared" si="27"/>
        <v>405.06813226917183</v>
      </c>
      <c r="AA55" s="1332"/>
      <c r="AB55" s="1332">
        <f>+'Provisional Plant Add (Discr.)'!H23/1000</f>
        <v>-26208.251386489577</v>
      </c>
      <c r="AC55" s="1334"/>
      <c r="AD55" s="1332">
        <f t="shared" si="28"/>
        <v>-3019.5003417961352</v>
      </c>
      <c r="AE55" s="1333"/>
      <c r="AF55" s="1335" t="s">
        <v>4126</v>
      </c>
      <c r="AI55" s="1201"/>
      <c r="AK55" s="1199"/>
      <c r="AL55" s="1199"/>
      <c r="AM55" s="1199"/>
    </row>
    <row r="56" spans="1:45" s="1200" customFormat="1">
      <c r="A56" s="1199"/>
      <c r="B56" s="1199">
        <f t="shared" ca="1" si="18"/>
        <v>38</v>
      </c>
      <c r="C56" s="1199"/>
      <c r="D56" s="1329" t="s">
        <v>784</v>
      </c>
      <c r="E56" s="1330">
        <v>3</v>
      </c>
      <c r="F56" s="1331"/>
      <c r="G56" s="1332" t="s">
        <v>4185</v>
      </c>
      <c r="H56" s="1333"/>
      <c r="I56" s="1333"/>
      <c r="J56" s="1332">
        <v>0</v>
      </c>
      <c r="K56" s="1332"/>
      <c r="L56" s="1332">
        <v>0</v>
      </c>
      <c r="M56" s="1332"/>
      <c r="N56" s="1332">
        <f t="shared" si="19"/>
        <v>0</v>
      </c>
      <c r="O56" s="1333"/>
      <c r="P56" s="1331"/>
      <c r="Q56" s="1332">
        <f t="shared" si="25"/>
        <v>546.72091016450645</v>
      </c>
      <c r="R56" s="1332"/>
      <c r="S56" s="1332">
        <f t="shared" si="26"/>
        <v>-18226.069529036173</v>
      </c>
      <c r="T56" s="1332"/>
      <c r="U56" s="1332">
        <f t="shared" si="21"/>
        <v>-2452.7050148668945</v>
      </c>
      <c r="V56" s="1331"/>
      <c r="W56" s="1331"/>
      <c r="X56" s="1332">
        <f>-'Provisional Plant Add (RunRate)'!H24/1000</f>
        <v>692.05178501836258</v>
      </c>
      <c r="Y56" s="1332"/>
      <c r="Z56" s="1332">
        <f t="shared" si="27"/>
        <v>546.72091016450645</v>
      </c>
      <c r="AA56" s="1332"/>
      <c r="AB56" s="1332">
        <f>'Provisional Plant Add (RunRate)'!H23/1000</f>
        <v>-18226.069529036173</v>
      </c>
      <c r="AC56" s="1334"/>
      <c r="AD56" s="1332">
        <f t="shared" si="28"/>
        <v>-2452.7050148668945</v>
      </c>
      <c r="AE56" s="1333"/>
      <c r="AF56" s="1335" t="s">
        <v>4126</v>
      </c>
      <c r="AI56" s="1201"/>
      <c r="AK56" s="1199"/>
      <c r="AL56" s="1199"/>
      <c r="AM56" s="1199"/>
    </row>
    <row r="57" spans="1:45" s="1200" customFormat="1">
      <c r="A57" s="1199"/>
      <c r="B57" s="1199">
        <f t="shared" ca="1" si="18"/>
        <v>39</v>
      </c>
      <c r="C57" s="1199"/>
      <c r="D57" s="1329" t="s">
        <v>784</v>
      </c>
      <c r="E57" s="1330">
        <v>4</v>
      </c>
      <c r="F57" s="1331"/>
      <c r="G57" s="1332" t="s">
        <v>4186</v>
      </c>
      <c r="H57" s="1333"/>
      <c r="I57" s="1333"/>
      <c r="J57" s="1332">
        <v>0</v>
      </c>
      <c r="K57" s="1332"/>
      <c r="L57" s="1332">
        <v>0</v>
      </c>
      <c r="M57" s="1332"/>
      <c r="N57" s="1332">
        <f t="shared" si="19"/>
        <v>0</v>
      </c>
      <c r="O57" s="1333"/>
      <c r="P57" s="1331"/>
      <c r="Q57" s="1332">
        <f t="shared" si="25"/>
        <v>0</v>
      </c>
      <c r="R57" s="1332"/>
      <c r="S57" s="1332">
        <f t="shared" si="26"/>
        <v>-835.18703796318175</v>
      </c>
      <c r="T57" s="1332"/>
      <c r="U57" s="1332">
        <f t="shared" si="21"/>
        <v>-79.037400720057178</v>
      </c>
      <c r="V57" s="1331"/>
      <c r="W57" s="1331"/>
      <c r="X57" s="1332">
        <v>0</v>
      </c>
      <c r="Y57" s="1332"/>
      <c r="Z57" s="1332">
        <f t="shared" si="27"/>
        <v>0</v>
      </c>
      <c r="AA57" s="1332"/>
      <c r="AB57" s="1332">
        <f>+'Provisional Plant Add (AccDepr)'!H23/1000</f>
        <v>-835.18703796318175</v>
      </c>
      <c r="AC57" s="1334"/>
      <c r="AD57" s="1332">
        <f t="shared" si="28"/>
        <v>-79.037400720057178</v>
      </c>
      <c r="AE57" s="1333"/>
      <c r="AF57" s="1335" t="s">
        <v>4126</v>
      </c>
      <c r="AI57" s="1201"/>
      <c r="AK57" s="1199"/>
      <c r="AL57" s="1199"/>
      <c r="AM57" s="1199"/>
    </row>
    <row r="58" spans="1:45" s="1200" customFormat="1">
      <c r="A58" s="1199"/>
      <c r="B58" s="1199">
        <f t="shared" ca="1" si="18"/>
        <v>40</v>
      </c>
      <c r="C58" s="1199"/>
      <c r="D58" s="1216" t="s">
        <v>785</v>
      </c>
      <c r="E58" s="1326"/>
      <c r="F58" s="1199"/>
      <c r="G58" s="1217" t="str">
        <f>+INDEX('Exh JAD-7, Summary of Adj'!$C$5:$AN$5,1,MATCH($D58,'Exh JAD-7, Summary of Adj'!$C$4:$AN$4,0))</f>
        <v>2025 Pro Forma Wage Adjustment</v>
      </c>
      <c r="J58" s="1217">
        <v>-802.14907272127004</v>
      </c>
      <c r="K58" s="1217"/>
      <c r="L58" s="1217">
        <v>0</v>
      </c>
      <c r="M58" s="1217"/>
      <c r="N58" s="1217">
        <f t="shared" si="19"/>
        <v>1067.9638946536722</v>
      </c>
      <c r="P58" s="1199"/>
      <c r="Q58" s="1217">
        <f t="shared" si="20"/>
        <v>-802.14907272127004</v>
      </c>
      <c r="R58" s="1217"/>
      <c r="S58" s="1217">
        <f t="shared" si="23"/>
        <v>0</v>
      </c>
      <c r="T58" s="1217"/>
      <c r="U58" s="1217">
        <f t="shared" si="21"/>
        <v>1067.9638946536722</v>
      </c>
      <c r="V58" s="1199"/>
      <c r="W58" s="1199"/>
      <c r="X58" s="1217">
        <v>0</v>
      </c>
      <c r="Y58" s="1217"/>
      <c r="Z58" s="1217">
        <f t="shared" si="24"/>
        <v>0</v>
      </c>
      <c r="AA58" s="1217"/>
      <c r="AB58" s="1217">
        <v>0</v>
      </c>
      <c r="AC58" s="1218"/>
      <c r="AD58" s="1217">
        <f t="shared" si="22"/>
        <v>0</v>
      </c>
      <c r="AF58" s="1207" t="s">
        <v>4120</v>
      </c>
      <c r="AI58" s="1201"/>
      <c r="AK58" s="1199"/>
      <c r="AL58" s="1199"/>
      <c r="AM58" s="1199"/>
    </row>
    <row r="59" spans="1:45" s="1200" customFormat="1">
      <c r="A59" s="1199"/>
      <c r="B59" s="1199">
        <f t="shared" ca="1" si="18"/>
        <v>41</v>
      </c>
      <c r="C59" s="1199"/>
      <c r="D59" s="1329" t="s">
        <v>785</v>
      </c>
      <c r="E59" s="1330">
        <v>1</v>
      </c>
      <c r="F59" s="1331"/>
      <c r="G59" s="1332" t="str">
        <f>+INDEX('Exh JAD-7, Summary of Adj'!$C$5:$AN$5,1,MATCH($D59,'Exh JAD-7, Summary of Adj'!$C$4:$AN$4,0))</f>
        <v>2025 Pro Forma Wage Adjustment</v>
      </c>
      <c r="H59" s="1333"/>
      <c r="I59" s="1333"/>
      <c r="J59" s="1332">
        <v>0</v>
      </c>
      <c r="K59" s="1332"/>
      <c r="L59" s="1332">
        <v>0</v>
      </c>
      <c r="M59" s="1332"/>
      <c r="N59" s="1332">
        <f t="shared" si="19"/>
        <v>0</v>
      </c>
      <c r="O59" s="1333"/>
      <c r="P59" s="1331"/>
      <c r="Q59" s="1332">
        <f>+J59+Z59</f>
        <v>449.39639952215776</v>
      </c>
      <c r="R59" s="1332"/>
      <c r="S59" s="1332">
        <f>+L59+AB59</f>
        <v>0</v>
      </c>
      <c r="T59" s="1332"/>
      <c r="U59" s="1332">
        <f t="shared" si="21"/>
        <v>-598.31662891392523</v>
      </c>
      <c r="V59" s="1331"/>
      <c r="W59" s="1331"/>
      <c r="X59" s="1332">
        <f>-('Wage Adjustments (AWEC)'!N16+'Wage Adjustments (AWEC)'!N20+'Wage Adjustments (AWEC)'!N92)/1000</f>
        <v>568.85620192678198</v>
      </c>
      <c r="Y59" s="1332"/>
      <c r="Z59" s="1332">
        <f>+X59*(1-$AK$5)</f>
        <v>449.39639952215776</v>
      </c>
      <c r="AA59" s="1332"/>
      <c r="AB59" s="1332">
        <v>0</v>
      </c>
      <c r="AC59" s="1334"/>
      <c r="AD59" s="1332">
        <f>+U59-N59</f>
        <v>-598.31662891392523</v>
      </c>
      <c r="AE59" s="1333"/>
      <c r="AF59" s="1335" t="s">
        <v>4126</v>
      </c>
      <c r="AI59" s="1201"/>
      <c r="AK59" s="1199"/>
      <c r="AL59" s="1199"/>
      <c r="AM59" s="1199"/>
    </row>
    <row r="60" spans="1:45" s="1200" customFormat="1">
      <c r="A60" s="1199"/>
      <c r="B60" s="1199">
        <f t="shared" ca="1" si="18"/>
        <v>42</v>
      </c>
      <c r="C60" s="1199"/>
      <c r="D60" s="1329" t="s">
        <v>786</v>
      </c>
      <c r="E60" s="1349"/>
      <c r="F60" s="1331"/>
      <c r="G60" s="1332" t="str">
        <f>+INDEX('Exh JAD-7, Summary of Adj'!$C$5:$AN$5,1,MATCH($D60,'Exh JAD-7, Summary of Adj'!$C$4:$AN$4,0))</f>
        <v>2025 Pro Forma Pension Expense Adjustment</v>
      </c>
      <c r="H60" s="1333"/>
      <c r="I60" s="1333"/>
      <c r="J60" s="1332">
        <v>-764.88494607500002</v>
      </c>
      <c r="K60" s="1332"/>
      <c r="L60" s="1332">
        <v>-635.12663849578723</v>
      </c>
      <c r="M60" s="1332"/>
      <c r="N60" s="1332">
        <f t="shared" si="19"/>
        <v>958.24643338352803</v>
      </c>
      <c r="O60" s="1333"/>
      <c r="P60" s="1331"/>
      <c r="Q60" s="1332">
        <f t="shared" si="20"/>
        <v>-160.62583867574995</v>
      </c>
      <c r="R60" s="1332"/>
      <c r="S60" s="1332">
        <f t="shared" si="23"/>
        <v>-635.12663849578723</v>
      </c>
      <c r="T60" s="1332"/>
      <c r="U60" s="1332">
        <f t="shared" si="21"/>
        <v>153.74895072883908</v>
      </c>
      <c r="V60" s="1331"/>
      <c r="W60" s="1331"/>
      <c r="X60" s="1332">
        <f>-J60</f>
        <v>764.88494607500002</v>
      </c>
      <c r="Y60" s="1332"/>
      <c r="Z60" s="1332">
        <f t="shared" si="24"/>
        <v>604.25910739925007</v>
      </c>
      <c r="AA60" s="1332"/>
      <c r="AB60" s="1332">
        <v>0</v>
      </c>
      <c r="AC60" s="1334"/>
      <c r="AD60" s="1332">
        <f t="shared" si="22"/>
        <v>-804.49748265468895</v>
      </c>
      <c r="AE60" s="1333"/>
      <c r="AF60" s="1335" t="s">
        <v>4120</v>
      </c>
      <c r="AI60" s="1201"/>
      <c r="AK60" s="1199"/>
      <c r="AL60" s="1199"/>
      <c r="AM60" s="1199"/>
    </row>
    <row r="61" spans="1:45" s="1200" customFormat="1">
      <c r="A61" s="1199"/>
      <c r="B61" s="1199">
        <f t="shared" ca="1" si="18"/>
        <v>43</v>
      </c>
      <c r="C61" s="1199"/>
      <c r="D61" s="1216" t="s">
        <v>787</v>
      </c>
      <c r="E61" s="1326"/>
      <c r="F61" s="1199"/>
      <c r="G61" s="1217" t="str">
        <f>+INDEX('Exh JAD-7, Summary of Adj'!$C$5:$AN$5,1,MATCH($D61,'Exh JAD-7, Summary of Adj'!$C$4:$AN$4,0))</f>
        <v>2025 Pro Forma 401K Expense Adjustment</v>
      </c>
      <c r="J61" s="1217">
        <v>-95.547560911649981</v>
      </c>
      <c r="K61" s="1217"/>
      <c r="L61" s="1217">
        <v>0</v>
      </c>
      <c r="M61" s="1217"/>
      <c r="N61" s="1217">
        <f t="shared" si="19"/>
        <v>127.20995229688674</v>
      </c>
      <c r="P61" s="1199"/>
      <c r="Q61" s="1217">
        <f t="shared" si="20"/>
        <v>-95.547560911649981</v>
      </c>
      <c r="R61" s="1217"/>
      <c r="S61" s="1217">
        <f t="shared" si="23"/>
        <v>0</v>
      </c>
      <c r="T61" s="1217"/>
      <c r="U61" s="1217">
        <f t="shared" si="21"/>
        <v>127.20995229688674</v>
      </c>
      <c r="V61" s="1199"/>
      <c r="W61" s="1199"/>
      <c r="X61" s="1217">
        <v>0</v>
      </c>
      <c r="Y61" s="1217"/>
      <c r="Z61" s="1217">
        <f t="shared" si="24"/>
        <v>0</v>
      </c>
      <c r="AA61" s="1217"/>
      <c r="AB61" s="1217">
        <v>0</v>
      </c>
      <c r="AC61" s="1218"/>
      <c r="AD61" s="1217">
        <f t="shared" si="22"/>
        <v>0</v>
      </c>
      <c r="AF61" s="1207"/>
      <c r="AI61" s="1201"/>
      <c r="AK61" s="1199"/>
      <c r="AL61" s="1199"/>
      <c r="AM61" s="1199"/>
    </row>
    <row r="62" spans="1:45" s="1200" customFormat="1">
      <c r="A62" s="1199"/>
      <c r="B62" s="1199">
        <f t="shared" ca="1" si="18"/>
        <v>44</v>
      </c>
      <c r="C62" s="1230"/>
      <c r="D62" s="1216" t="s">
        <v>788</v>
      </c>
      <c r="E62" s="1326"/>
      <c r="F62" s="1239"/>
      <c r="G62" s="1217" t="str">
        <f>+INDEX('Exh JAD-7, Summary of Adj'!$C$5:$AN$5,1,MATCH($D62,'Exh JAD-7, Summary of Adj'!$C$4:$AN$4,0))</f>
        <v>2025 Pro Forma Tax Flow-Through Adjustment</v>
      </c>
      <c r="J62" s="1217">
        <v>1.7320762080000027</v>
      </c>
      <c r="K62" s="1217"/>
      <c r="L62" s="1217">
        <v>0</v>
      </c>
      <c r="M62" s="1217"/>
      <c r="N62" s="1217">
        <f t="shared" si="19"/>
        <v>-2.3060487331329398</v>
      </c>
      <c r="P62" s="1199"/>
      <c r="Q62" s="1217">
        <f t="shared" si="20"/>
        <v>1.7320762080000027</v>
      </c>
      <c r="R62" s="1217"/>
      <c r="S62" s="1217">
        <f t="shared" si="23"/>
        <v>0</v>
      </c>
      <c r="T62" s="1217"/>
      <c r="U62" s="1217">
        <f t="shared" si="21"/>
        <v>-2.3060487331329398</v>
      </c>
      <c r="V62" s="1199"/>
      <c r="W62" s="1199"/>
      <c r="X62" s="1217">
        <v>0</v>
      </c>
      <c r="Y62" s="1217"/>
      <c r="Z62" s="1217">
        <f t="shared" si="24"/>
        <v>0</v>
      </c>
      <c r="AA62" s="1217"/>
      <c r="AB62" s="1217">
        <v>0</v>
      </c>
      <c r="AC62" s="1218"/>
      <c r="AD62" s="1217">
        <f t="shared" si="22"/>
        <v>0</v>
      </c>
      <c r="AE62" s="1240"/>
      <c r="AF62" s="1241"/>
      <c r="AI62" s="1201"/>
      <c r="AK62" s="1199"/>
      <c r="AL62" s="1199"/>
      <c r="AM62" s="1199"/>
      <c r="AP62" s="1217">
        <f>ABS(X65*1000)</f>
        <v>196154.52022961955</v>
      </c>
      <c r="AQ62" s="1217">
        <f>ABS(Z65*1000)</f>
        <v>154962.07098139945</v>
      </c>
      <c r="AS62" s="1217">
        <f>ABS(AD65*1000)</f>
        <v>206313.14362486312</v>
      </c>
    </row>
    <row r="63" spans="1:45" s="1200" customFormat="1">
      <c r="A63" s="1230"/>
      <c r="B63" s="1199">
        <f t="shared" ca="1" si="18"/>
        <v>45</v>
      </c>
      <c r="C63" s="1199"/>
      <c r="D63" s="1216" t="s">
        <v>789</v>
      </c>
      <c r="E63" s="1326"/>
      <c r="F63" s="1199"/>
      <c r="G63" s="1217" t="str">
        <f>+INDEX('Exh JAD-7, Summary of Adj'!$C$5:$AN$5,1,MATCH($D63,'Exh JAD-7, Summary of Adj'!$C$4:$AN$4,0))</f>
        <v>2025 Pro Forma Decarbonization Testing &amp; Demonstration Expense Adjustment</v>
      </c>
      <c r="J63" s="1217">
        <v>-276.5</v>
      </c>
      <c r="K63" s="1217"/>
      <c r="L63" s="1217">
        <v>0</v>
      </c>
      <c r="M63" s="1217"/>
      <c r="N63" s="1217">
        <f t="shared" si="19"/>
        <v>368.1261088664852</v>
      </c>
      <c r="P63" s="1199"/>
      <c r="Q63" s="1217">
        <f t="shared" si="20"/>
        <v>-276.5</v>
      </c>
      <c r="R63" s="1217"/>
      <c r="S63" s="1217">
        <f t="shared" si="23"/>
        <v>0</v>
      </c>
      <c r="T63" s="1217"/>
      <c r="U63" s="1217">
        <f t="shared" si="21"/>
        <v>368.1261088664852</v>
      </c>
      <c r="V63" s="1199"/>
      <c r="W63" s="1199"/>
      <c r="X63" s="1217">
        <v>0</v>
      </c>
      <c r="Y63" s="1217"/>
      <c r="Z63" s="1217">
        <f t="shared" si="24"/>
        <v>0</v>
      </c>
      <c r="AA63" s="1217"/>
      <c r="AB63" s="1217">
        <v>0</v>
      </c>
      <c r="AC63" s="1218"/>
      <c r="AD63" s="1217">
        <f t="shared" si="22"/>
        <v>0</v>
      </c>
      <c r="AF63" s="1207"/>
      <c r="AI63" s="1201"/>
      <c r="AK63" s="1199"/>
      <c r="AL63" s="1199"/>
      <c r="AM63" s="1199"/>
    </row>
    <row r="64" spans="1:45" s="1200" customFormat="1">
      <c r="A64" s="1199"/>
      <c r="B64" s="1199">
        <f t="shared" ca="1" si="18"/>
        <v>46</v>
      </c>
      <c r="C64" s="1199"/>
      <c r="D64" s="1216" t="s">
        <v>790</v>
      </c>
      <c r="E64" s="1326"/>
      <c r="F64" s="1239"/>
      <c r="G64" s="1217" t="str">
        <f>+INDEX('Exh JAD-7, Summary of Adj'!$C$5:$AN$5,1,MATCH($D64,'Exh JAD-7, Summary of Adj'!$C$4:$AN$4,0))</f>
        <v>2025 Pro Forma Misc. O&amp;M Expense Adjustment</v>
      </c>
      <c r="J64" s="1217">
        <v>-175.15511568892825</v>
      </c>
      <c r="K64" s="1217"/>
      <c r="L64" s="1217">
        <v>0</v>
      </c>
      <c r="M64" s="1217"/>
      <c r="N64" s="1217">
        <f t="shared" si="19"/>
        <v>233.1977258105758</v>
      </c>
      <c r="P64" s="1199"/>
      <c r="Q64" s="1217">
        <f t="shared" si="20"/>
        <v>-175.15511568892825</v>
      </c>
      <c r="R64" s="1217"/>
      <c r="S64" s="1217">
        <f t="shared" si="23"/>
        <v>0</v>
      </c>
      <c r="T64" s="1217"/>
      <c r="U64" s="1217">
        <f t="shared" si="21"/>
        <v>233.1977258105758</v>
      </c>
      <c r="V64" s="1199"/>
      <c r="W64" s="1199"/>
      <c r="X64" s="1217">
        <v>0</v>
      </c>
      <c r="Y64" s="1217"/>
      <c r="Z64" s="1217">
        <f t="shared" si="24"/>
        <v>0</v>
      </c>
      <c r="AA64" s="1217"/>
      <c r="AB64" s="1217">
        <v>0</v>
      </c>
      <c r="AC64" s="1218"/>
      <c r="AD64" s="1217">
        <f t="shared" si="22"/>
        <v>0</v>
      </c>
      <c r="AE64" s="1240"/>
      <c r="AF64" s="1207" t="s">
        <v>4120</v>
      </c>
      <c r="AI64" s="1201"/>
      <c r="AK64" s="1199"/>
      <c r="AL64" s="1199"/>
      <c r="AM64" s="1199"/>
    </row>
    <row r="65" spans="1:39" s="1200" customFormat="1">
      <c r="A65" s="1199"/>
      <c r="B65" s="1199">
        <f t="shared" ca="1" si="18"/>
        <v>47</v>
      </c>
      <c r="C65" s="1199"/>
      <c r="D65" s="1329" t="s">
        <v>790</v>
      </c>
      <c r="E65" s="1330">
        <v>1</v>
      </c>
      <c r="F65" s="1331"/>
      <c r="G65" s="1332" t="str">
        <f>+INDEX('Exh JAD-7, Summary of Adj'!$C$5:$AN$5,1,MATCH($D65,'Exh JAD-7, Summary of Adj'!$C$4:$AN$4,0))</f>
        <v>2025 Pro Forma Misc. O&amp;M Expense Adjustment</v>
      </c>
      <c r="H65" s="1333"/>
      <c r="I65" s="1333"/>
      <c r="J65" s="1332">
        <v>0</v>
      </c>
      <c r="K65" s="1332"/>
      <c r="L65" s="1332">
        <v>0</v>
      </c>
      <c r="M65" s="1332"/>
      <c r="N65" s="1332">
        <f t="shared" si="19"/>
        <v>0</v>
      </c>
      <c r="O65" s="1333"/>
      <c r="P65" s="1331"/>
      <c r="Q65" s="1332">
        <f>+J65+Z65</f>
        <v>154.96207098139945</v>
      </c>
      <c r="R65" s="1332"/>
      <c r="S65" s="1332">
        <f>+L65+AB65</f>
        <v>0</v>
      </c>
      <c r="T65" s="1332"/>
      <c r="U65" s="1332">
        <f t="shared" si="21"/>
        <v>-206.31314362486313</v>
      </c>
      <c r="V65" s="1331"/>
      <c r="W65" s="1331"/>
      <c r="X65" s="1332">
        <f>-'O&amp;M Adj (AWEC)'!N102/1000</f>
        <v>196.15452022961955</v>
      </c>
      <c r="Y65" s="1332"/>
      <c r="Z65" s="1332">
        <f>+X65*(1-$AK$5)</f>
        <v>154.96207098139945</v>
      </c>
      <c r="AA65" s="1332"/>
      <c r="AB65" s="1332">
        <v>0</v>
      </c>
      <c r="AC65" s="1334"/>
      <c r="AD65" s="1332">
        <f>+U65-N65</f>
        <v>-206.31314362486313</v>
      </c>
      <c r="AE65" s="1333"/>
      <c r="AF65" s="1335" t="s">
        <v>4126</v>
      </c>
      <c r="AI65" s="1201"/>
      <c r="AK65" s="1199"/>
      <c r="AL65" s="1199"/>
      <c r="AM65" s="1199"/>
    </row>
    <row r="66" spans="1:39" s="1200" customFormat="1">
      <c r="A66" s="1199"/>
      <c r="B66" s="1199"/>
      <c r="C66" s="1199"/>
      <c r="D66" s="1199"/>
      <c r="E66" s="1325"/>
      <c r="F66" s="1199"/>
      <c r="G66" s="1199"/>
      <c r="J66" s="1199"/>
      <c r="K66" s="1199"/>
      <c r="L66" s="1199"/>
      <c r="M66" s="1199"/>
      <c r="N66" s="1199"/>
      <c r="P66" s="1199"/>
      <c r="Q66" s="1199"/>
      <c r="R66" s="1199"/>
      <c r="S66" s="1199"/>
      <c r="T66" s="1199"/>
      <c r="U66" s="1199"/>
      <c r="V66" s="1199"/>
      <c r="W66" s="1199"/>
      <c r="AI66" s="1201"/>
      <c r="AK66" s="1199"/>
      <c r="AL66" s="1199"/>
      <c r="AM66" s="1199"/>
    </row>
    <row r="67" spans="1:39" s="1200" customFormat="1">
      <c r="A67" s="1199"/>
      <c r="B67" s="1199"/>
      <c r="C67" s="1198"/>
      <c r="D67" s="1216"/>
      <c r="E67" s="1326"/>
      <c r="F67" s="1198"/>
      <c r="G67" s="1199"/>
      <c r="J67" s="1231"/>
      <c r="K67" s="1214"/>
      <c r="L67" s="1231"/>
      <c r="M67" s="1214"/>
      <c r="N67" s="1231"/>
      <c r="P67" s="1198"/>
      <c r="Q67" s="1231"/>
      <c r="R67" s="1214"/>
      <c r="S67" s="1231"/>
      <c r="T67" s="1214"/>
      <c r="U67" s="1231"/>
      <c r="V67" s="1199"/>
      <c r="W67" s="1199"/>
      <c r="X67" s="1231"/>
      <c r="Y67" s="1199"/>
      <c r="Z67" s="1231"/>
      <c r="AA67" s="1214"/>
      <c r="AB67" s="1231"/>
      <c r="AC67" s="1214"/>
      <c r="AD67" s="1232"/>
      <c r="AF67" s="1207"/>
      <c r="AI67" s="1201"/>
      <c r="AK67" s="1199"/>
      <c r="AL67" s="1199"/>
      <c r="AM67" s="1199"/>
    </row>
    <row r="68" spans="1:39" s="1200" customFormat="1" ht="13.5" thickBot="1">
      <c r="A68" s="1199"/>
      <c r="B68" s="1199">
        <f ca="1">+MAX(OFFSET($B$7,0,0,ROW($B68)-ROW($B$7),1))+1</f>
        <v>48</v>
      </c>
      <c r="C68" s="1199"/>
      <c r="D68" s="1216"/>
      <c r="E68" s="1326"/>
      <c r="F68" s="1199"/>
      <c r="G68" s="1198" t="s">
        <v>4131</v>
      </c>
      <c r="J68" s="1233">
        <f>+SUBTOTAL(9,J6:J67)</f>
        <v>-3432.4007229558392</v>
      </c>
      <c r="K68" s="1217"/>
      <c r="L68" s="1233">
        <f>+SUBTOTAL(9,L6:L67)</f>
        <v>67549.808024492464</v>
      </c>
      <c r="M68" s="1217"/>
      <c r="N68" s="1233">
        <f>+SUBTOTAL(9,N6:N67)</f>
        <v>10962.357601537091</v>
      </c>
      <c r="P68" s="1199"/>
      <c r="Q68" s="1233">
        <f>+SUBTOTAL(9,Q6:Q67)</f>
        <v>-547.46905535171231</v>
      </c>
      <c r="R68" s="1217"/>
      <c r="S68" s="1233">
        <f>+SUBTOTAL(9,S6:S67)</f>
        <v>4520.7301159219096</v>
      </c>
      <c r="T68" s="1217"/>
      <c r="U68" s="1233">
        <f>+($S68*$AM$16-$Q68)/$AK$4</f>
        <v>1156.7048927228991</v>
      </c>
      <c r="W68" s="1199"/>
      <c r="X68" s="1233">
        <f>+SUBTOTAL(9,X6:X67)</f>
        <v>3651.8122374735644</v>
      </c>
      <c r="Y68" s="1218"/>
      <c r="Z68" s="1233">
        <f>+SUBTOTAL(9,Z6:Z67)</f>
        <v>2884.9316676041158</v>
      </c>
      <c r="AA68" s="1217"/>
      <c r="AB68" s="1233">
        <f>+SUBTOTAL(9,AB6:AB67)</f>
        <v>-63029.077908570434</v>
      </c>
      <c r="AC68" s="1217"/>
      <c r="AD68" s="1233">
        <f>+SUBTOTAL(9,AD6:AD67)</f>
        <v>-9805.6527088141938</v>
      </c>
      <c r="AF68" s="1207"/>
      <c r="AI68" s="1201"/>
      <c r="AK68" s="1199"/>
      <c r="AL68" s="1199"/>
      <c r="AM68" s="1199"/>
    </row>
    <row r="69" spans="1:39" s="1200" customFormat="1" ht="13.5" thickTop="1">
      <c r="A69" s="1199"/>
      <c r="B69" s="1199"/>
      <c r="C69" s="1199"/>
      <c r="D69" s="1216"/>
      <c r="E69" s="1326"/>
      <c r="F69" s="1199"/>
      <c r="G69" s="1198"/>
      <c r="J69" s="1214"/>
      <c r="K69" s="1217"/>
      <c r="L69" s="1214"/>
      <c r="M69" s="1217"/>
      <c r="N69" s="1214"/>
      <c r="P69" s="1199"/>
      <c r="Q69" s="1214"/>
      <c r="R69" s="1217"/>
      <c r="S69" s="1214"/>
      <c r="T69" s="1234"/>
      <c r="U69" s="1214"/>
      <c r="V69" s="1199"/>
      <c r="W69" s="1199"/>
      <c r="X69" s="1214"/>
      <c r="Y69" s="1218"/>
      <c r="Z69" s="1214"/>
      <c r="AA69" s="1217"/>
      <c r="AB69" s="1214"/>
      <c r="AC69" s="1217"/>
      <c r="AD69" s="1214"/>
      <c r="AF69" s="1207"/>
      <c r="AI69" s="1201"/>
      <c r="AK69" s="1199"/>
      <c r="AL69" s="1199"/>
      <c r="AM69" s="1199"/>
    </row>
    <row r="70" spans="1:39" s="1200" customFormat="1">
      <c r="A70" s="1199"/>
      <c r="B70" s="1199"/>
      <c r="C70" s="1199"/>
      <c r="D70" s="1199"/>
      <c r="E70" s="1325"/>
      <c r="F70" s="1199"/>
      <c r="G70" s="1198"/>
      <c r="J70" s="1214"/>
      <c r="K70" s="1199"/>
      <c r="L70" s="1214"/>
      <c r="M70" s="1199"/>
      <c r="N70" s="1214"/>
      <c r="P70" s="1199"/>
      <c r="Q70" s="1214"/>
      <c r="R70" s="1199"/>
      <c r="S70" s="1214"/>
      <c r="T70" s="1199"/>
      <c r="U70" s="1214"/>
      <c r="V70" s="1199"/>
      <c r="W70" s="1199"/>
      <c r="AI70" s="1201"/>
      <c r="AK70" s="1199"/>
      <c r="AL70" s="1199"/>
      <c r="AM70" s="1199"/>
    </row>
    <row r="71" spans="1:39" s="1200" customFormat="1">
      <c r="A71" s="1199"/>
      <c r="B71" s="1199"/>
      <c r="C71" s="1199"/>
      <c r="D71" s="1199"/>
      <c r="E71" s="1325"/>
      <c r="F71" s="1199"/>
      <c r="G71" s="1199"/>
      <c r="J71" s="1209" t="s">
        <v>4132</v>
      </c>
      <c r="K71" s="1209"/>
      <c r="L71" s="1209" t="s">
        <v>4133</v>
      </c>
      <c r="M71" s="1209"/>
      <c r="N71" s="1209" t="s">
        <v>4064</v>
      </c>
      <c r="P71" s="1199"/>
      <c r="Q71" s="1199"/>
      <c r="R71" s="1199"/>
      <c r="S71" s="1199"/>
      <c r="T71" s="1199"/>
      <c r="U71" s="1199"/>
      <c r="V71" s="1199"/>
      <c r="W71" s="1199"/>
      <c r="AD71" s="1218"/>
      <c r="AI71" s="1201"/>
      <c r="AK71" s="1199"/>
      <c r="AL71" s="1199"/>
      <c r="AM71" s="1199"/>
    </row>
    <row r="72" spans="1:39" s="1200" customFormat="1">
      <c r="A72" s="1199"/>
      <c r="B72" s="1199"/>
      <c r="C72" s="1199"/>
      <c r="D72" s="1199"/>
      <c r="E72" s="1325"/>
      <c r="F72" s="1199"/>
      <c r="G72" s="1199"/>
      <c r="H72" s="1199"/>
      <c r="I72" s="1199"/>
      <c r="J72" s="1209" t="s">
        <v>4134</v>
      </c>
      <c r="K72" s="1209"/>
      <c r="L72" s="1235" t="s">
        <v>4064</v>
      </c>
      <c r="M72" s="1209"/>
      <c r="N72" s="1209" t="s">
        <v>4135</v>
      </c>
      <c r="P72" s="1199"/>
      <c r="Q72" s="1199"/>
      <c r="R72" s="1199"/>
      <c r="S72" s="1199"/>
      <c r="T72" s="1199"/>
      <c r="U72" s="1199"/>
      <c r="V72" s="1199"/>
      <c r="W72" s="1199"/>
      <c r="AI72" s="1201"/>
      <c r="AK72" s="1199"/>
      <c r="AL72" s="1199"/>
      <c r="AM72" s="1199"/>
    </row>
    <row r="73" spans="1:39" s="1200" customFormat="1">
      <c r="A73" s="1199"/>
      <c r="B73" s="1199"/>
      <c r="C73" s="1199"/>
      <c r="D73" s="1199"/>
      <c r="E73" s="1325"/>
      <c r="F73" s="1199"/>
      <c r="G73" s="1198"/>
      <c r="H73" s="1236" t="s">
        <v>2436</v>
      </c>
      <c r="I73" s="1199"/>
      <c r="J73" s="1217">
        <f>+'Exh JAD-5, Rev Req Calc'!E15/1000</f>
        <v>43829.673000000003</v>
      </c>
      <c r="K73" s="1199"/>
      <c r="L73" s="1217">
        <f>+N48</f>
        <v>36248.938043353519</v>
      </c>
      <c r="M73" s="1199"/>
      <c r="N73" s="1217">
        <f>+L73-J73</f>
        <v>-7580.7349566464836</v>
      </c>
      <c r="P73" s="1199"/>
      <c r="Q73" s="1199"/>
      <c r="R73" s="1199"/>
      <c r="S73" s="1199"/>
      <c r="T73" s="1199"/>
      <c r="U73" s="1217"/>
      <c r="V73" s="1199"/>
      <c r="W73" s="1199"/>
      <c r="AI73" s="1201"/>
      <c r="AK73" s="1199"/>
      <c r="AL73" s="1199"/>
      <c r="AM73" s="1199"/>
    </row>
    <row r="74" spans="1:39" s="1200" customFormat="1">
      <c r="A74" s="1199"/>
      <c r="B74" s="1199"/>
      <c r="C74" s="1199"/>
      <c r="D74" s="1199"/>
      <c r="E74" s="1325"/>
      <c r="F74" s="1199"/>
      <c r="G74" s="1198"/>
      <c r="H74" s="1236" t="s">
        <v>2437</v>
      </c>
      <c r="I74" s="1199"/>
      <c r="J74" s="1217">
        <f>+'Exh JAD-5, Rev Req Calc'!F15/1000</f>
        <v>11669.242</v>
      </c>
      <c r="K74" s="1199"/>
      <c r="L74" s="1217">
        <f>+N68</f>
        <v>10962.357601537091</v>
      </c>
      <c r="M74" s="1199"/>
      <c r="N74" s="1217">
        <f>+L74-J74</f>
        <v>-706.8843984629093</v>
      </c>
      <c r="P74" s="1199"/>
      <c r="Q74" s="1199"/>
      <c r="R74" s="1199"/>
      <c r="S74" s="1199"/>
      <c r="T74" s="1199"/>
      <c r="U74" s="1237"/>
      <c r="V74" s="1199"/>
      <c r="W74" s="1199"/>
      <c r="AI74" s="1201"/>
      <c r="AK74" s="1199"/>
      <c r="AL74" s="1199"/>
      <c r="AM74" s="1199"/>
    </row>
    <row r="75" spans="1:39" s="1200" customFormat="1">
      <c r="A75" s="1199"/>
      <c r="B75" s="1199"/>
      <c r="C75" s="1199"/>
      <c r="D75" s="1199"/>
      <c r="E75" s="1325"/>
      <c r="F75" s="1199"/>
      <c r="G75" s="1199"/>
      <c r="J75" s="1199"/>
      <c r="K75" s="1199"/>
      <c r="L75" s="1199"/>
      <c r="M75" s="1199"/>
      <c r="N75" s="1199"/>
      <c r="P75" s="1199"/>
      <c r="Q75" s="1199"/>
      <c r="R75" s="1199"/>
      <c r="S75" s="1199"/>
      <c r="T75" s="1199"/>
      <c r="U75" s="1199"/>
      <c r="V75" s="1199"/>
      <c r="W75" s="1199"/>
      <c r="AI75" s="1201"/>
      <c r="AK75" s="1199"/>
      <c r="AL75" s="1199"/>
      <c r="AM75" s="1199"/>
    </row>
    <row r="76" spans="1:39" s="1200" customFormat="1">
      <c r="A76" s="1199"/>
      <c r="B76" s="1199"/>
      <c r="C76" s="1199"/>
      <c r="D76" s="1199"/>
      <c r="E76" s="1325"/>
      <c r="F76" s="1199"/>
      <c r="G76" s="1199"/>
      <c r="J76" s="1199"/>
      <c r="K76" s="1199"/>
      <c r="L76" s="1199"/>
      <c r="M76" s="1199"/>
      <c r="N76" s="1199"/>
      <c r="P76" s="1199"/>
      <c r="Q76" s="1199"/>
      <c r="R76" s="1199"/>
      <c r="S76" s="1199"/>
      <c r="T76" s="1199"/>
      <c r="U76" s="1199"/>
      <c r="V76" s="1199"/>
      <c r="W76" s="1199"/>
      <c r="AI76" s="1201"/>
      <c r="AK76" s="1199"/>
      <c r="AL76" s="1199"/>
      <c r="AM76" s="1199"/>
    </row>
    <row r="77" spans="1:39" s="1200" customFormat="1">
      <c r="A77" s="1199"/>
      <c r="B77" s="1199"/>
      <c r="C77" s="1199"/>
      <c r="D77" s="1199"/>
      <c r="E77" s="1325"/>
      <c r="F77" s="1199"/>
      <c r="G77" s="1217"/>
      <c r="J77" s="1199"/>
      <c r="K77" s="1199"/>
      <c r="L77" s="1199"/>
      <c r="M77" s="1199"/>
      <c r="P77" s="1199"/>
      <c r="Q77" s="1199"/>
      <c r="R77" s="1199"/>
      <c r="S77" s="1199"/>
      <c r="T77" s="1199"/>
      <c r="U77" s="1199"/>
      <c r="V77" s="1199"/>
      <c r="W77" s="1199"/>
      <c r="AI77" s="1201"/>
      <c r="AK77" s="1199"/>
      <c r="AL77" s="1199"/>
      <c r="AM77" s="1199"/>
    </row>
    <row r="78" spans="1:39" s="1200" customFormat="1">
      <c r="A78" s="1199"/>
      <c r="B78" s="1199"/>
      <c r="C78" s="1199"/>
      <c r="D78" s="1199"/>
      <c r="E78" s="1325"/>
      <c r="F78" s="1199"/>
      <c r="G78" s="1217"/>
      <c r="J78" s="1199"/>
      <c r="K78" s="1199"/>
      <c r="L78" s="1199"/>
      <c r="M78" s="1199"/>
      <c r="N78" s="1199"/>
      <c r="P78" s="1199"/>
      <c r="Q78" s="1199"/>
      <c r="R78" s="1199"/>
      <c r="S78" s="1199"/>
      <c r="T78" s="1199"/>
      <c r="U78" s="1199"/>
      <c r="V78" s="1199"/>
      <c r="W78" s="1199"/>
      <c r="AI78" s="1201"/>
      <c r="AK78" s="1199"/>
      <c r="AL78" s="1199"/>
      <c r="AM78" s="1199"/>
    </row>
    <row r="79" spans="1:39" s="1200" customFormat="1">
      <c r="A79" s="1199"/>
      <c r="B79" s="1199"/>
      <c r="C79" s="1199"/>
      <c r="D79" s="1199"/>
      <c r="E79" s="1325"/>
      <c r="F79" s="1199"/>
      <c r="G79" s="1217"/>
      <c r="J79" s="1199"/>
      <c r="K79" s="1199"/>
      <c r="L79" s="1199"/>
      <c r="M79" s="1199"/>
      <c r="N79" s="1199"/>
      <c r="P79" s="1199"/>
      <c r="Q79" s="1199"/>
      <c r="R79" s="1199"/>
      <c r="S79" s="1199"/>
      <c r="T79" s="1199"/>
      <c r="U79" s="1199"/>
      <c r="V79" s="1199"/>
      <c r="W79" s="1199"/>
      <c r="AI79" s="1201"/>
      <c r="AK79" s="1199"/>
      <c r="AL79" s="1199"/>
      <c r="AM79" s="1199"/>
    </row>
    <row r="80" spans="1:39" s="1200" customFormat="1">
      <c r="A80" s="1199"/>
      <c r="B80" s="1199"/>
      <c r="C80" s="1199"/>
      <c r="D80" s="1199"/>
      <c r="E80" s="1325"/>
      <c r="F80" s="1199"/>
      <c r="G80" s="1199"/>
      <c r="J80" s="1199"/>
      <c r="K80" s="1199"/>
      <c r="L80" s="1199"/>
      <c r="M80" s="1199"/>
      <c r="N80" s="1199"/>
      <c r="P80" s="1199"/>
      <c r="Q80" s="1199"/>
      <c r="R80" s="1199"/>
      <c r="S80" s="1199"/>
      <c r="T80" s="1199"/>
      <c r="U80" s="1199"/>
      <c r="V80" s="1199"/>
      <c r="W80" s="1199"/>
      <c r="AI80" s="1201"/>
      <c r="AK80" s="1199"/>
      <c r="AL80" s="1199"/>
      <c r="AM80" s="1199"/>
    </row>
    <row r="81" spans="1:39" s="1200" customFormat="1">
      <c r="A81" s="1199"/>
      <c r="B81" s="1199"/>
      <c r="C81" s="1199"/>
      <c r="D81" s="1199"/>
      <c r="E81" s="1325"/>
      <c r="F81" s="1199"/>
      <c r="G81" s="1199"/>
      <c r="J81" s="1199"/>
      <c r="K81" s="1199"/>
      <c r="L81" s="1199"/>
      <c r="M81" s="1199"/>
      <c r="N81" s="1199"/>
      <c r="P81" s="1199"/>
      <c r="Q81" s="1199"/>
      <c r="R81" s="1199"/>
      <c r="S81" s="1199"/>
      <c r="T81" s="1199"/>
      <c r="U81" s="1199"/>
      <c r="V81" s="1199"/>
      <c r="W81" s="1199"/>
      <c r="AI81" s="1201"/>
      <c r="AK81" s="1199"/>
      <c r="AL81" s="1199"/>
      <c r="AM81" s="1199"/>
    </row>
    <row r="82" spans="1:39" s="1200" customFormat="1">
      <c r="A82" s="1199"/>
      <c r="B82" s="1199"/>
      <c r="C82" s="1199"/>
      <c r="D82" s="1199"/>
      <c r="E82" s="1325"/>
      <c r="F82" s="1199"/>
      <c r="G82" s="1199"/>
      <c r="J82" s="1199"/>
      <c r="K82" s="1199"/>
      <c r="L82" s="1199"/>
      <c r="M82" s="1199"/>
      <c r="N82" s="1199"/>
      <c r="P82" s="1199"/>
      <c r="Q82" s="1199"/>
      <c r="R82" s="1199"/>
      <c r="S82" s="1199"/>
      <c r="T82" s="1199"/>
      <c r="U82" s="1199"/>
      <c r="V82" s="1199"/>
      <c r="W82" s="1199"/>
      <c r="AI82" s="1201"/>
      <c r="AK82" s="1199"/>
      <c r="AL82" s="1199"/>
      <c r="AM82" s="1199"/>
    </row>
    <row r="83" spans="1:39" s="1200" customFormat="1">
      <c r="A83" s="1199"/>
      <c r="B83" s="1199"/>
      <c r="C83" s="1199"/>
      <c r="D83" s="1199"/>
      <c r="E83" s="1325"/>
      <c r="F83" s="1199"/>
      <c r="G83" s="1199"/>
      <c r="J83" s="1199"/>
      <c r="K83" s="1199"/>
      <c r="L83" s="1199"/>
      <c r="M83" s="1199"/>
      <c r="N83" s="1199"/>
      <c r="P83" s="1199"/>
      <c r="Q83" s="1199"/>
      <c r="R83" s="1199"/>
      <c r="S83" s="1199"/>
      <c r="T83" s="1199"/>
      <c r="U83" s="1199"/>
      <c r="V83" s="1199"/>
      <c r="W83" s="1199"/>
      <c r="AI83" s="1201"/>
      <c r="AK83" s="1199"/>
      <c r="AL83" s="1199"/>
      <c r="AM83" s="1199"/>
    </row>
    <row r="84" spans="1:39" s="1200" customFormat="1">
      <c r="A84" s="1199"/>
      <c r="B84" s="1199"/>
      <c r="C84" s="1199"/>
      <c r="D84" s="1199"/>
      <c r="E84" s="1325"/>
      <c r="F84" s="1199"/>
      <c r="G84" s="1199"/>
      <c r="J84" s="1199"/>
      <c r="K84" s="1199"/>
      <c r="L84" s="1199"/>
      <c r="M84" s="1199"/>
      <c r="N84" s="1199"/>
      <c r="P84" s="1199"/>
      <c r="Q84" s="1199"/>
      <c r="R84" s="1199"/>
      <c r="S84" s="1199"/>
      <c r="T84" s="1199"/>
      <c r="U84" s="1199"/>
      <c r="V84" s="1199"/>
      <c r="W84" s="1199"/>
      <c r="AI84" s="1201"/>
      <c r="AK84" s="1199"/>
      <c r="AL84" s="1199"/>
      <c r="AM84" s="1199"/>
    </row>
    <row r="85" spans="1:39" s="1200" customFormat="1">
      <c r="A85" s="1199"/>
      <c r="B85" s="1199"/>
      <c r="C85" s="1199"/>
      <c r="D85" s="1199"/>
      <c r="E85" s="1325"/>
      <c r="F85" s="1199"/>
      <c r="G85" s="1199"/>
      <c r="J85" s="1199"/>
      <c r="K85" s="1199"/>
      <c r="L85" s="1199"/>
      <c r="M85" s="1199"/>
      <c r="N85" s="1199"/>
      <c r="P85" s="1199"/>
      <c r="Q85" s="1199"/>
      <c r="R85" s="1199"/>
      <c r="S85" s="1199"/>
      <c r="T85" s="1199"/>
      <c r="U85" s="1199"/>
      <c r="V85" s="1199"/>
      <c r="W85" s="1199"/>
      <c r="AI85" s="1201"/>
      <c r="AK85" s="1199"/>
      <c r="AL85" s="1199"/>
      <c r="AM85" s="1199"/>
    </row>
    <row r="86" spans="1:39" s="1200" customFormat="1">
      <c r="A86" s="1199"/>
      <c r="B86" s="1199"/>
      <c r="C86" s="1199"/>
      <c r="D86" s="1199"/>
      <c r="E86" s="1325"/>
      <c r="F86" s="1199"/>
      <c r="G86" s="1199"/>
      <c r="J86" s="1199"/>
      <c r="K86" s="1199"/>
      <c r="L86" s="1199"/>
      <c r="M86" s="1199"/>
      <c r="N86" s="1199"/>
      <c r="P86" s="1199"/>
      <c r="Q86" s="1199"/>
      <c r="R86" s="1199"/>
      <c r="S86" s="1199"/>
      <c r="T86" s="1199"/>
      <c r="U86" s="1199"/>
      <c r="V86" s="1199"/>
      <c r="W86" s="1199"/>
      <c r="AI86" s="1201"/>
      <c r="AK86" s="1199"/>
      <c r="AL86" s="1199"/>
      <c r="AM86" s="1199"/>
    </row>
    <row r="87" spans="1:39" s="1200" customFormat="1">
      <c r="A87" s="1199"/>
      <c r="B87" s="1199"/>
      <c r="C87" s="1199"/>
      <c r="D87" s="1199"/>
      <c r="E87" s="1325"/>
      <c r="F87" s="1199"/>
      <c r="G87" s="1199"/>
      <c r="J87" s="1199"/>
      <c r="K87" s="1199"/>
      <c r="L87" s="1199"/>
      <c r="M87" s="1199"/>
      <c r="N87" s="1199"/>
      <c r="P87" s="1199"/>
      <c r="Q87" s="1199"/>
      <c r="R87" s="1199"/>
      <c r="S87" s="1199"/>
      <c r="T87" s="1199"/>
      <c r="U87" s="1199"/>
      <c r="V87" s="1199"/>
      <c r="W87" s="1199"/>
      <c r="AI87" s="1201"/>
      <c r="AK87" s="1199"/>
      <c r="AL87" s="1199"/>
      <c r="AM87" s="1199"/>
    </row>
  </sheetData>
  <pageMargins left="0.15" right="0.15" top="1" bottom="0.25" header="0" footer="0.25"/>
  <pageSetup scale="71" pageOrder="overThenDown" orientation="portrait" r:id="rId1"/>
  <colBreaks count="1" manualBreakCount="1">
    <brk id="22" max="74"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6B623-0A88-44BD-A69C-A861843C56BB}">
  <sheetPr codeName="Sheet73"/>
  <dimension ref="A1:C20"/>
  <sheetViews>
    <sheetView workbookViewId="0">
      <selection activeCell="A19" sqref="A19:A838"/>
    </sheetView>
  </sheetViews>
  <sheetFormatPr defaultRowHeight="15"/>
  <cols>
    <col min="1" max="1" width="9.28515625" customWidth="1"/>
    <col min="2" max="2" width="43.5703125" customWidth="1"/>
    <col min="3" max="3" width="14.85546875" bestFit="1" customWidth="1"/>
    <col min="5" max="5" width="14.7109375" bestFit="1" customWidth="1"/>
  </cols>
  <sheetData>
    <row r="1" spans="1:3">
      <c r="A1" s="1402" t="str">
        <f>Company</f>
        <v>Cascade Natural Gas Corp.</v>
      </c>
      <c r="B1" s="1402"/>
      <c r="C1" s="1402"/>
    </row>
    <row r="2" spans="1:3">
      <c r="A2" s="1402" t="str">
        <f>Title1</f>
        <v>Washington Jurisdiction</v>
      </c>
      <c r="B2" s="1402"/>
      <c r="C2" s="1402"/>
    </row>
    <row r="3" spans="1:3">
      <c r="A3" s="1402" t="str">
        <f>Title2</f>
        <v>Twelve-Months ended December 31, 2023</v>
      </c>
      <c r="B3" s="1402"/>
      <c r="C3" s="1402"/>
    </row>
    <row r="4" spans="1:3">
      <c r="A4" s="1402" t="str">
        <f>Title8</f>
        <v>UG-240008</v>
      </c>
      <c r="B4" s="1402"/>
      <c r="C4" s="1402"/>
    </row>
    <row r="5" spans="1:3">
      <c r="A5" s="1405" t="s">
        <v>693</v>
      </c>
      <c r="B5" s="1405"/>
      <c r="C5" s="1405"/>
    </row>
    <row r="6" spans="1:3">
      <c r="A6" s="1405" t="s">
        <v>692</v>
      </c>
      <c r="B6" s="1405"/>
      <c r="C6" s="1405"/>
    </row>
    <row r="7" spans="1:3">
      <c r="A7" s="124"/>
      <c r="B7" s="53"/>
      <c r="C7" s="53"/>
    </row>
    <row r="8" spans="1:3">
      <c r="A8" s="172" t="s">
        <v>536</v>
      </c>
      <c r="B8" s="172" t="s">
        <v>537</v>
      </c>
      <c r="C8" s="172" t="s">
        <v>369</v>
      </c>
    </row>
    <row r="9" spans="1:3">
      <c r="A9" s="60"/>
      <c r="B9" s="60" t="s">
        <v>439</v>
      </c>
      <c r="C9" s="60" t="s">
        <v>208</v>
      </c>
    </row>
    <row r="10" spans="1:3">
      <c r="A10" s="124">
        <v>1</v>
      </c>
      <c r="B10" t="s">
        <v>1438</v>
      </c>
      <c r="C10" s="804">
        <v>19695.580000000002</v>
      </c>
    </row>
    <row r="11" spans="1:3">
      <c r="A11" s="124">
        <f>MAX($A$10:A10)+1</f>
        <v>2</v>
      </c>
      <c r="B11" t="s">
        <v>1439</v>
      </c>
      <c r="C11" s="802">
        <v>-7922.63</v>
      </c>
    </row>
    <row r="12" spans="1:3">
      <c r="A12" s="124">
        <f>MAX($A$10:A11)+1</f>
        <v>3</v>
      </c>
      <c r="B12" t="s">
        <v>1440</v>
      </c>
      <c r="C12" s="549">
        <f>C10+C11</f>
        <v>11772.95</v>
      </c>
    </row>
    <row r="13" spans="1:3">
      <c r="A13" s="124">
        <f>MAX($A$10:A12)+1</f>
        <v>4</v>
      </c>
      <c r="B13" t="s">
        <v>1423</v>
      </c>
      <c r="C13" s="752">
        <f>'Exh JAD-8, State Allocators'!H12</f>
        <v>0.77939999999999998</v>
      </c>
    </row>
    <row r="14" spans="1:3">
      <c r="A14" s="124">
        <f>MAX($A$10:A13)+1</f>
        <v>5</v>
      </c>
      <c r="B14" t="s">
        <v>1441</v>
      </c>
      <c r="C14" s="549">
        <f>C12*C13</f>
        <v>9175.837230000001</v>
      </c>
    </row>
    <row r="15" spans="1:3">
      <c r="A15" s="124">
        <f>MAX($A$10:A14)+1</f>
        <v>6</v>
      </c>
    </row>
    <row r="16" spans="1:3">
      <c r="A16" s="124">
        <f>MAX($A$10:A15)+1</f>
        <v>7</v>
      </c>
      <c r="B16" t="s">
        <v>1442</v>
      </c>
      <c r="C16" s="804">
        <v>17473.259999999998</v>
      </c>
    </row>
    <row r="17" spans="1:3">
      <c r="A17" s="124">
        <f>MAX($A$10:A16)+1</f>
        <v>8</v>
      </c>
      <c r="B17" t="s">
        <v>1443</v>
      </c>
      <c r="C17" s="802">
        <f>-C10</f>
        <v>-19695.580000000002</v>
      </c>
    </row>
    <row r="18" spans="1:3">
      <c r="A18" s="124">
        <f>MAX($A$10:A17)+1</f>
        <v>9</v>
      </c>
      <c r="B18" t="s">
        <v>1444</v>
      </c>
      <c r="C18" s="549">
        <f>C16+C17</f>
        <v>-2222.3200000000033</v>
      </c>
    </row>
    <row r="19" spans="1:3">
      <c r="A19" s="124">
        <f>MAX($A$10:A18)+1</f>
        <v>10</v>
      </c>
      <c r="B19" t="s">
        <v>1423</v>
      </c>
      <c r="C19" s="752">
        <f>'Exh JAD-8, State Allocators'!H12</f>
        <v>0.77939999999999998</v>
      </c>
    </row>
    <row r="20" spans="1:3">
      <c r="A20" s="124">
        <f>MAX($A$10:A19)+1</f>
        <v>11</v>
      </c>
      <c r="B20" t="s">
        <v>1445</v>
      </c>
      <c r="C20" s="549">
        <f>C18*C19</f>
        <v>-1732.0762080000027</v>
      </c>
    </row>
  </sheetData>
  <mergeCells count="6">
    <mergeCell ref="A6:C6"/>
    <mergeCell ref="A1:C1"/>
    <mergeCell ref="A2:C2"/>
    <mergeCell ref="A3:C3"/>
    <mergeCell ref="A4:C4"/>
    <mergeCell ref="A5:C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3CFD-0D59-4A3E-967C-93B637303902}">
  <sheetPr codeName="Sheet7"/>
  <dimension ref="A1:N99"/>
  <sheetViews>
    <sheetView view="pageBreakPreview" topLeftCell="B81" zoomScaleNormal="100" zoomScaleSheetLayoutView="100" workbookViewId="0">
      <selection activeCell="M98" sqref="M98:N98"/>
    </sheetView>
  </sheetViews>
  <sheetFormatPr defaultColWidth="8.85546875" defaultRowHeight="15" outlineLevelRow="1"/>
  <cols>
    <col min="1" max="1" width="5.42578125" style="53" bestFit="1" customWidth="1"/>
    <col min="2" max="2" width="62.140625" style="53" bestFit="1" customWidth="1"/>
    <col min="3" max="3" width="30.5703125" style="53" bestFit="1" customWidth="1"/>
    <col min="4" max="4" width="19" style="53" customWidth="1"/>
    <col min="5" max="5" width="16.140625" style="53" customWidth="1"/>
    <col min="6" max="7" width="15.5703125" style="53" bestFit="1" customWidth="1"/>
    <col min="8" max="9" width="17.140625" style="53" customWidth="1"/>
    <col min="10" max="10" width="14" style="53" bestFit="1" customWidth="1"/>
    <col min="11" max="11" width="14.28515625" style="53" bestFit="1" customWidth="1"/>
    <col min="12" max="12" width="11.5703125" style="53" bestFit="1" customWidth="1"/>
    <col min="13" max="13" width="11.28515625" style="53" customWidth="1"/>
    <col min="14" max="14" width="12.7109375" style="53" customWidth="1"/>
    <col min="15" max="16384" width="8.85546875" style="53"/>
  </cols>
  <sheetData>
    <row r="1" spans="1:14">
      <c r="A1" s="115" t="str">
        <f>Company</f>
        <v>Cascade Natural Gas Corp.</v>
      </c>
      <c r="B1" s="115"/>
      <c r="C1" s="115"/>
      <c r="D1" s="115"/>
      <c r="E1" s="115"/>
      <c r="F1" s="115"/>
      <c r="G1" s="115"/>
      <c r="H1" s="115"/>
    </row>
    <row r="2" spans="1:14">
      <c r="A2" s="115" t="str">
        <f>Title1</f>
        <v>Washington Jurisdiction</v>
      </c>
      <c r="B2" s="115"/>
      <c r="C2" s="115"/>
      <c r="D2" s="115"/>
      <c r="E2" s="115"/>
      <c r="F2" s="115"/>
      <c r="G2" s="115"/>
      <c r="H2" s="115"/>
    </row>
    <row r="3" spans="1:14">
      <c r="A3" s="941" t="str">
        <f>Title2</f>
        <v>Twelve-Months ended December 31, 2023</v>
      </c>
      <c r="B3" s="941"/>
      <c r="C3" s="941"/>
      <c r="D3" s="941"/>
      <c r="E3" s="941"/>
      <c r="F3" s="941"/>
      <c r="G3" s="941"/>
      <c r="H3" s="941"/>
    </row>
    <row r="4" spans="1:14">
      <c r="A4" s="941" t="str">
        <f>Title8</f>
        <v>UG-240008</v>
      </c>
      <c r="B4" s="941"/>
      <c r="C4" s="941"/>
      <c r="D4" s="941"/>
      <c r="E4" s="941"/>
      <c r="F4" s="941"/>
      <c r="G4" s="941"/>
      <c r="H4" s="941"/>
    </row>
    <row r="5" spans="1:14">
      <c r="A5" s="91" t="s">
        <v>695</v>
      </c>
      <c r="B5" s="91"/>
      <c r="C5" s="91"/>
      <c r="D5" s="91"/>
      <c r="E5" s="91"/>
      <c r="F5" s="91"/>
      <c r="G5" s="91"/>
      <c r="H5" s="91"/>
    </row>
    <row r="6" spans="1:14">
      <c r="A6" s="941" t="s">
        <v>694</v>
      </c>
      <c r="B6" s="941"/>
      <c r="C6" s="941"/>
      <c r="D6" s="941"/>
      <c r="E6" s="941"/>
      <c r="F6" s="941"/>
      <c r="G6" s="941"/>
      <c r="H6" s="941"/>
    </row>
    <row r="8" spans="1:14" ht="30" outlineLevel="1">
      <c r="A8" s="763" t="s">
        <v>504</v>
      </c>
      <c r="B8" s="763" t="s">
        <v>537</v>
      </c>
      <c r="C8" s="476">
        <v>2019</v>
      </c>
      <c r="D8" s="531">
        <v>2020</v>
      </c>
      <c r="E8" s="531">
        <v>2021</v>
      </c>
      <c r="F8" s="476">
        <v>2022</v>
      </c>
      <c r="G8" s="476">
        <v>2023</v>
      </c>
      <c r="H8" s="172" t="s">
        <v>1446</v>
      </c>
      <c r="I8" s="54"/>
    </row>
    <row r="9" spans="1:14" outlineLevel="1">
      <c r="A9" s="60"/>
      <c r="B9" s="60" t="s">
        <v>439</v>
      </c>
      <c r="C9" s="60" t="s">
        <v>208</v>
      </c>
      <c r="D9" s="531" t="s">
        <v>209</v>
      </c>
      <c r="E9" s="531" t="s">
        <v>440</v>
      </c>
      <c r="F9" s="531" t="s">
        <v>441</v>
      </c>
      <c r="G9" s="531" t="s">
        <v>442</v>
      </c>
      <c r="H9" s="531" t="s">
        <v>443</v>
      </c>
      <c r="I9" s="706" t="s">
        <v>444</v>
      </c>
      <c r="J9" s="706" t="s">
        <v>445</v>
      </c>
      <c r="K9" s="706" t="s">
        <v>446</v>
      </c>
      <c r="L9" s="706" t="s">
        <v>447</v>
      </c>
      <c r="M9" s="706" t="s">
        <v>448</v>
      </c>
      <c r="N9" s="706" t="s">
        <v>449</v>
      </c>
    </row>
    <row r="10" spans="1:14" outlineLevel="1">
      <c r="A10" s="124"/>
      <c r="B10" s="58"/>
    </row>
    <row r="11" spans="1:14" outlineLevel="1">
      <c r="A11" s="124">
        <v>1</v>
      </c>
      <c r="B11" t="s">
        <v>1447</v>
      </c>
      <c r="C11" s="254">
        <v>52855549.829999961</v>
      </c>
      <c r="D11" s="254">
        <v>52275005.790000007</v>
      </c>
      <c r="E11" s="254">
        <v>53497971.150000036</v>
      </c>
      <c r="F11" s="254">
        <v>58413005.410000004</v>
      </c>
      <c r="G11" s="254">
        <f>'Operating Report'!F128</f>
        <v>62893666.960000008</v>
      </c>
    </row>
    <row r="12" spans="1:14" outlineLevel="1">
      <c r="A12" s="124">
        <f>MAX($A$11:A11)+1</f>
        <v>2</v>
      </c>
      <c r="B12" s="53" t="s">
        <v>1448</v>
      </c>
      <c r="C12" s="764"/>
    </row>
    <row r="13" spans="1:14" outlineLevel="1">
      <c r="A13" s="124">
        <f>MAX($A$11:A12)+1</f>
        <v>3</v>
      </c>
      <c r="B13" s="577" t="s">
        <v>1449</v>
      </c>
      <c r="C13" s="227">
        <v>-30011897.869999968</v>
      </c>
      <c r="D13" s="227">
        <v>-30424971.98999998</v>
      </c>
      <c r="E13" s="227">
        <v>-31523709.280000042</v>
      </c>
      <c r="F13" s="227">
        <v>-31447408.429999977</v>
      </c>
      <c r="G13" s="227">
        <v>-35064959.869999997</v>
      </c>
    </row>
    <row r="14" spans="1:14" outlineLevel="1">
      <c r="A14" s="124">
        <f>MAX($A$11:A13)+1</f>
        <v>4</v>
      </c>
      <c r="B14" s="577" t="s">
        <v>1450</v>
      </c>
      <c r="C14" s="227">
        <v>-175185.215</v>
      </c>
      <c r="D14" s="227">
        <v>-184098</v>
      </c>
      <c r="E14" s="227">
        <v>-178323.95499999996</v>
      </c>
      <c r="F14" s="227">
        <v>-229424.67499999999</v>
      </c>
      <c r="G14" s="227">
        <v>-160480.38</v>
      </c>
    </row>
    <row r="15" spans="1:14" outlineLevel="1">
      <c r="A15" s="124">
        <f>MAX($A$11:A14)+1</f>
        <v>5</v>
      </c>
      <c r="B15" s="577" t="s">
        <v>904</v>
      </c>
      <c r="C15" s="227">
        <v>-27691.7</v>
      </c>
      <c r="D15" s="227">
        <v>-136536.23000000001</v>
      </c>
      <c r="E15" s="227">
        <v>-33264.53</v>
      </c>
      <c r="F15" s="227">
        <v>-66373.64</v>
      </c>
      <c r="G15" s="227">
        <v>-36573.93</v>
      </c>
    </row>
    <row r="16" spans="1:14" outlineLevel="1">
      <c r="A16" s="124">
        <f>MAX($A$11:A15)+1</f>
        <v>6</v>
      </c>
      <c r="B16" s="577" t="s">
        <v>613</v>
      </c>
      <c r="C16" s="227">
        <v>-994217.6100000001</v>
      </c>
      <c r="D16" s="227">
        <v>-984088.58000000007</v>
      </c>
      <c r="E16" s="227">
        <v>-603162.84</v>
      </c>
      <c r="F16" s="227">
        <v>-1067884.7200000002</v>
      </c>
      <c r="G16" s="227">
        <v>-2527969.0400000005</v>
      </c>
    </row>
    <row r="17" spans="1:14" outlineLevel="1">
      <c r="A17" s="124">
        <f>MAX($A$11:A16)+1</f>
        <v>7</v>
      </c>
      <c r="B17" s="577" t="s">
        <v>1451</v>
      </c>
      <c r="C17" s="227">
        <v>-595624.99999999988</v>
      </c>
      <c r="D17" s="227">
        <v>-702006.09</v>
      </c>
      <c r="E17" s="227">
        <v>-705344.59000000055</v>
      </c>
      <c r="F17" s="227">
        <v>-1783180.05</v>
      </c>
      <c r="G17" s="227">
        <v>-1250376.3800000001</v>
      </c>
    </row>
    <row r="18" spans="1:14" outlineLevel="1">
      <c r="A18" s="124">
        <f>MAX($A$11:A17)+1</f>
        <v>8</v>
      </c>
      <c r="B18" s="577" t="s">
        <v>1452</v>
      </c>
      <c r="C18" s="132">
        <v>-542301.72</v>
      </c>
      <c r="D18" s="132">
        <v>-994975.02</v>
      </c>
      <c r="E18" s="132">
        <v>-1214107.92</v>
      </c>
      <c r="F18" s="132">
        <v>-1342706.16</v>
      </c>
      <c r="G18" s="132">
        <v>-1342706.16</v>
      </c>
    </row>
    <row r="19" spans="1:14" outlineLevel="1">
      <c r="A19" s="124">
        <f>MAX($A$11:A18)+1</f>
        <v>9</v>
      </c>
      <c r="B19" s="577" t="s">
        <v>1453</v>
      </c>
      <c r="C19" s="256">
        <v>-6805941.3899999997</v>
      </c>
      <c r="D19" s="256">
        <v>-6148576.0199999996</v>
      </c>
      <c r="E19" s="256">
        <v>-6453175.8600000003</v>
      </c>
      <c r="F19" s="256">
        <v>-7717566.1699999999</v>
      </c>
      <c r="G19" s="256">
        <v>-8150919.2300000004</v>
      </c>
    </row>
    <row r="20" spans="1:14" outlineLevel="1">
      <c r="A20" s="124">
        <f>MAX($A$11:A19)+1</f>
        <v>10</v>
      </c>
      <c r="B20" t="s">
        <v>1454</v>
      </c>
      <c r="C20" s="254">
        <f>SUM(C13:C19)</f>
        <v>-39152860.504999965</v>
      </c>
      <c r="D20" s="254">
        <f>SUM(D13:D19)</f>
        <v>-39575251.929999977</v>
      </c>
      <c r="E20" s="254">
        <f>SUM(E13:E19)</f>
        <v>-40711088.975000039</v>
      </c>
      <c r="F20" s="254">
        <f>SUM(F13:F19)</f>
        <v>-43654543.844999976</v>
      </c>
      <c r="G20" s="254">
        <f>SUM(G13:G19)</f>
        <v>-48533984.989999995</v>
      </c>
      <c r="H20" s="53">
        <v>337269</v>
      </c>
      <c r="I20" s="112"/>
    </row>
    <row r="21" spans="1:14" outlineLevel="1">
      <c r="A21" s="124">
        <f>MAX($A$11:A20)+1</f>
        <v>11</v>
      </c>
      <c r="B21"/>
      <c r="C21" s="202"/>
    </row>
    <row r="22" spans="1:14" outlineLevel="1">
      <c r="A22" s="124">
        <f>MAX($A$11:A21)+1</f>
        <v>12</v>
      </c>
      <c r="B22" t="s">
        <v>1455</v>
      </c>
      <c r="C22" s="254">
        <f>C11+C20</f>
        <v>13702689.324999996</v>
      </c>
      <c r="D22" s="254">
        <f>D11+D20</f>
        <v>12699753.860000029</v>
      </c>
      <c r="E22" s="254">
        <f>E11+E20</f>
        <v>12786882.174999997</v>
      </c>
      <c r="F22" s="254">
        <f>F11+F20</f>
        <v>14758461.565000027</v>
      </c>
      <c r="G22" s="254">
        <f>G11+G20</f>
        <v>14359681.970000014</v>
      </c>
      <c r="H22" s="452">
        <f>+(G22/C22)^(1/4)-1</f>
        <v>1.1776883232300195E-2</v>
      </c>
      <c r="I22" s="752"/>
    </row>
    <row r="23" spans="1:14" outlineLevel="1">
      <c r="A23" s="124">
        <f>MAX($A$11:A22)+1</f>
        <v>13</v>
      </c>
      <c r="B23" s="35"/>
      <c r="C23" s="112"/>
      <c r="D23" s="452">
        <f>+LN(D22/C22)</f>
        <v>-7.6009502490060818E-2</v>
      </c>
      <c r="E23" s="452">
        <f>+LN(E22/D22)</f>
        <v>6.8372031756710827E-3</v>
      </c>
      <c r="F23" s="452">
        <f>+LN(F22/E22)</f>
        <v>0.14339676837641208</v>
      </c>
      <c r="G23" s="452">
        <f>+LN(G22/F22)</f>
        <v>-2.7392167287553885E-2</v>
      </c>
    </row>
    <row r="24" spans="1:14" outlineLevel="1">
      <c r="A24" s="124">
        <f>MAX($A$11:A23)+1</f>
        <v>14</v>
      </c>
      <c r="B24" t="s">
        <v>1456</v>
      </c>
      <c r="D24" s="452">
        <f>(D22-C22)/C22</f>
        <v>-7.3192600460564458E-2</v>
      </c>
      <c r="E24" s="452">
        <f>(E22-D22)/D22</f>
        <v>6.86063021066832E-3</v>
      </c>
      <c r="F24" s="452">
        <f>(F22-E22)/E22</f>
        <v>0.15418765599128786</v>
      </c>
      <c r="G24" s="452">
        <f>(G22-F22)/F22</f>
        <v>-2.7020404074211034E-2</v>
      </c>
      <c r="H24" s="765">
        <f>AVERAGE(D24:G24)</f>
        <v>1.5208820416795173E-2</v>
      </c>
      <c r="I24" s="765"/>
    </row>
    <row r="25" spans="1:14">
      <c r="A25" s="124">
        <f>MAX($A$11:A24)+1</f>
        <v>15</v>
      </c>
    </row>
    <row r="26" spans="1:14" ht="60">
      <c r="A26" s="124">
        <f>MAX($A$11:A25)+1</f>
        <v>16</v>
      </c>
      <c r="B26" s="172" t="s">
        <v>1457</v>
      </c>
      <c r="C26" s="60" t="s">
        <v>1458</v>
      </c>
      <c r="D26" s="172" t="s">
        <v>1459</v>
      </c>
      <c r="E26" s="172" t="s">
        <v>1460</v>
      </c>
      <c r="F26" s="172" t="s">
        <v>1461</v>
      </c>
      <c r="G26" s="172" t="s">
        <v>1462</v>
      </c>
      <c r="H26" s="172" t="s">
        <v>1463</v>
      </c>
      <c r="I26" s="172" t="s">
        <v>1451</v>
      </c>
      <c r="J26" s="172" t="s">
        <v>1464</v>
      </c>
      <c r="K26" s="172" t="s">
        <v>1465</v>
      </c>
      <c r="L26" s="172" t="s">
        <v>1466</v>
      </c>
      <c r="M26" s="172" t="s">
        <v>1467</v>
      </c>
      <c r="N26" s="172" t="s">
        <v>1468</v>
      </c>
    </row>
    <row r="27" spans="1:14">
      <c r="A27" s="124">
        <f>MAX($A$11:A26)+1</f>
        <v>17</v>
      </c>
      <c r="B27" s="766" t="s">
        <v>831</v>
      </c>
      <c r="C27" s="767"/>
    </row>
    <row r="28" spans="1:14">
      <c r="A28" s="124">
        <f>MAX($A$11:A27)+1</f>
        <v>18</v>
      </c>
      <c r="B28" s="768">
        <v>813</v>
      </c>
      <c r="C28" s="769" t="s">
        <v>832</v>
      </c>
      <c r="D28" s="135">
        <f>'Operating Report'!F58</f>
        <v>585410.31000000006</v>
      </c>
      <c r="E28" s="135">
        <v>-319852.77999999991</v>
      </c>
      <c r="F28" s="135"/>
      <c r="G28" s="135"/>
      <c r="H28" s="135"/>
      <c r="I28" s="135"/>
      <c r="J28" s="135"/>
      <c r="K28" s="135"/>
      <c r="L28" s="135">
        <f>SUM(D28:K28)</f>
        <v>265557.53000000014</v>
      </c>
      <c r="M28" s="135">
        <f>L28*$H$24</f>
        <v>4038.8167840976989</v>
      </c>
      <c r="N28" s="135">
        <f>SUM(L28:M28)*$H$24</f>
        <v>4100.2424232633784</v>
      </c>
    </row>
    <row r="29" spans="1:14">
      <c r="A29" s="124">
        <f>MAX($A$11:A28)+1</f>
        <v>19</v>
      </c>
      <c r="B29" s="768"/>
      <c r="C29" s="769"/>
      <c r="D29" s="135"/>
      <c r="E29" s="135"/>
      <c r="F29" s="135"/>
      <c r="G29" s="135"/>
      <c r="H29" s="135"/>
      <c r="I29" s="135"/>
      <c r="J29" s="135"/>
      <c r="K29" s="135"/>
      <c r="L29" s="135"/>
      <c r="M29" s="135"/>
      <c r="N29" s="135"/>
    </row>
    <row r="30" spans="1:14">
      <c r="A30" s="124">
        <f>MAX($A$11:A29)+1</f>
        <v>20</v>
      </c>
      <c r="B30" s="766" t="s">
        <v>833</v>
      </c>
      <c r="C30" s="767"/>
      <c r="D30" s="135"/>
      <c r="E30" s="135"/>
      <c r="F30" s="135"/>
      <c r="G30" s="135"/>
      <c r="H30" s="135"/>
      <c r="I30" s="135"/>
      <c r="J30" s="135"/>
      <c r="K30" s="135"/>
      <c r="L30" s="135"/>
      <c r="M30" s="135"/>
      <c r="N30" s="135"/>
    </row>
    <row r="31" spans="1:14">
      <c r="A31" s="124">
        <f>MAX($A$11:A30)+1</f>
        <v>21</v>
      </c>
      <c r="B31" s="766" t="s">
        <v>834</v>
      </c>
      <c r="C31" s="767"/>
      <c r="D31" s="135"/>
      <c r="E31" s="135"/>
      <c r="F31" s="135"/>
      <c r="G31" s="135"/>
      <c r="H31" s="135"/>
      <c r="I31" s="135"/>
      <c r="J31" s="135"/>
      <c r="K31" s="135"/>
      <c r="L31" s="135"/>
      <c r="M31" s="135"/>
      <c r="N31" s="135"/>
    </row>
    <row r="32" spans="1:14">
      <c r="A32" s="449">
        <f>MAX($A$11:A31)+1</f>
        <v>22</v>
      </c>
      <c r="B32" s="770" t="s">
        <v>835</v>
      </c>
      <c r="C32" s="769" t="s">
        <v>836</v>
      </c>
      <c r="D32" s="135">
        <f>'Operating Report'!F62</f>
        <v>2880277.23</v>
      </c>
      <c r="E32" s="135">
        <v>-2657303.9599999995</v>
      </c>
      <c r="F32" s="135"/>
      <c r="G32" s="135"/>
      <c r="H32" s="135"/>
      <c r="I32" s="135"/>
      <c r="J32" s="135"/>
      <c r="K32" s="135"/>
      <c r="L32" s="135">
        <f t="shared" ref="L32:L43" si="0">SUM(D32:K32)</f>
        <v>222973.27000000048</v>
      </c>
      <c r="M32" s="135">
        <f t="shared" ref="M32:M43" si="1">L32*$H$24</f>
        <v>3391.1604211755898</v>
      </c>
      <c r="N32" s="135">
        <f>SUM(L32:M32)*$H$24</f>
        <v>3442.7359710257929</v>
      </c>
    </row>
    <row r="33" spans="1:14">
      <c r="A33" s="449">
        <f>MAX($A$11:A32)+1</f>
        <v>23</v>
      </c>
      <c r="B33" s="770" t="s">
        <v>837</v>
      </c>
      <c r="C33" s="769" t="s">
        <v>838</v>
      </c>
      <c r="D33" s="135">
        <f>'Operating Report'!F63</f>
        <v>229323.69999999998</v>
      </c>
      <c r="E33" s="135">
        <v>-224695.97999999998</v>
      </c>
      <c r="F33" s="135"/>
      <c r="G33" s="135"/>
      <c r="H33" s="135"/>
      <c r="I33" s="135"/>
      <c r="J33" s="135"/>
      <c r="K33" s="135"/>
      <c r="L33" s="135">
        <f t="shared" si="0"/>
        <v>4627.7200000000012</v>
      </c>
      <c r="M33" s="135">
        <f t="shared" si="1"/>
        <v>70.382162419211369</v>
      </c>
      <c r="N33" s="135">
        <f t="shared" ref="N33:N43" si="2">SUM(L33:M33)*$H$24</f>
        <v>71.452592087990865</v>
      </c>
    </row>
    <row r="34" spans="1:14">
      <c r="A34" s="449">
        <f>MAX($A$11:A33)+1</f>
        <v>24</v>
      </c>
      <c r="B34" s="771" t="s">
        <v>839</v>
      </c>
      <c r="C34" s="769" t="s">
        <v>840</v>
      </c>
      <c r="D34" s="135">
        <f>'Operating Report'!F64</f>
        <v>74444.14</v>
      </c>
      <c r="E34" s="135">
        <v>-45660.57</v>
      </c>
      <c r="F34" s="135"/>
      <c r="G34" s="135"/>
      <c r="H34" s="135"/>
      <c r="I34" s="135"/>
      <c r="J34" s="135"/>
      <c r="K34" s="135"/>
      <c r="L34" s="135">
        <f t="shared" si="0"/>
        <v>28783.57</v>
      </c>
      <c r="M34" s="135">
        <f t="shared" si="1"/>
        <v>437.76414708425301</v>
      </c>
      <c r="N34" s="135">
        <f t="shared" si="2"/>
        <v>444.42202338216896</v>
      </c>
    </row>
    <row r="35" spans="1:14">
      <c r="A35" s="449">
        <f>MAX($A$11:A34)+1</f>
        <v>25</v>
      </c>
      <c r="B35" s="771" t="s">
        <v>841</v>
      </c>
      <c r="C35" s="769" t="s">
        <v>842</v>
      </c>
      <c r="D35" s="135">
        <f>'Operating Report'!F65</f>
        <v>3251427.07</v>
      </c>
      <c r="E35" s="135">
        <v>-2296147.9600000009</v>
      </c>
      <c r="F35" s="135"/>
      <c r="G35" s="135"/>
      <c r="H35" s="135"/>
      <c r="I35" s="135"/>
      <c r="J35" s="135"/>
      <c r="K35" s="135"/>
      <c r="L35" s="135">
        <f t="shared" si="0"/>
        <v>955279.10999999894</v>
      </c>
      <c r="M35" s="135">
        <f t="shared" si="1"/>
        <v>14528.668431905906</v>
      </c>
      <c r="N35" s="135">
        <f t="shared" si="2"/>
        <v>14749.632340981923</v>
      </c>
    </row>
    <row r="36" spans="1:14">
      <c r="A36" s="449">
        <f>MAX($A$11:A35)+1</f>
        <v>26</v>
      </c>
      <c r="B36" s="770" t="s">
        <v>843</v>
      </c>
      <c r="C36" s="769" t="s">
        <v>844</v>
      </c>
      <c r="D36" s="135">
        <f>'Operating Report'!F66</f>
        <v>593850.21</v>
      </c>
      <c r="E36" s="135">
        <v>-181330.74</v>
      </c>
      <c r="F36" s="135"/>
      <c r="G36" s="135"/>
      <c r="H36" s="135"/>
      <c r="I36" s="135"/>
      <c r="J36" s="135"/>
      <c r="K36" s="135"/>
      <c r="L36" s="135">
        <f t="shared" si="0"/>
        <v>412519.47</v>
      </c>
      <c r="M36" s="135">
        <f t="shared" si="1"/>
        <v>6273.9345376615229</v>
      </c>
      <c r="N36" s="135">
        <f t="shared" si="2"/>
        <v>6369.3536813515457</v>
      </c>
    </row>
    <row r="37" spans="1:14">
      <c r="A37" s="449">
        <f>MAX($A$11:A36)+1</f>
        <v>27</v>
      </c>
      <c r="B37" s="770" t="s">
        <v>845</v>
      </c>
      <c r="C37" s="769" t="s">
        <v>846</v>
      </c>
      <c r="D37" s="135">
        <f>'Operating Report'!F67</f>
        <v>601354.73999999987</v>
      </c>
      <c r="E37" s="135">
        <v>-379622.23000000051</v>
      </c>
      <c r="F37" s="135"/>
      <c r="G37" s="135"/>
      <c r="H37" s="135"/>
      <c r="I37" s="135"/>
      <c r="J37" s="135"/>
      <c r="K37" s="135"/>
      <c r="L37" s="135">
        <f t="shared" si="0"/>
        <v>221732.50999999937</v>
      </c>
      <c r="M37" s="135">
        <f t="shared" si="1"/>
        <v>3372.2899251552303</v>
      </c>
      <c r="N37" s="135">
        <f t="shared" si="2"/>
        <v>3423.5784770202836</v>
      </c>
    </row>
    <row r="38" spans="1:14">
      <c r="A38" s="449">
        <f>MAX($A$11:A37)+1</f>
        <v>28</v>
      </c>
      <c r="B38" s="772">
        <v>877</v>
      </c>
      <c r="C38" s="769" t="s">
        <v>847</v>
      </c>
      <c r="D38" s="135">
        <f>'Operating Report'!F68</f>
        <v>85000.01</v>
      </c>
      <c r="E38" s="135">
        <v>-41071.64</v>
      </c>
      <c r="F38" s="135"/>
      <c r="G38" s="135"/>
      <c r="H38" s="135"/>
      <c r="I38" s="135"/>
      <c r="J38" s="135"/>
      <c r="K38" s="135"/>
      <c r="L38" s="135">
        <f t="shared" si="0"/>
        <v>43928.369999999995</v>
      </c>
      <c r="M38" s="135">
        <f t="shared" si="1"/>
        <v>668.09869053253249</v>
      </c>
      <c r="N38" s="135">
        <f t="shared" si="2"/>
        <v>678.25968353753785</v>
      </c>
    </row>
    <row r="39" spans="1:14">
      <c r="A39" s="449">
        <f>MAX($A$11:A38)+1</f>
        <v>29</v>
      </c>
      <c r="B39" s="770" t="s">
        <v>848</v>
      </c>
      <c r="C39" s="769" t="s">
        <v>849</v>
      </c>
      <c r="D39" s="135">
        <f>'Operating Report'!F69</f>
        <v>-218316.13</v>
      </c>
      <c r="E39" s="135">
        <v>-804084.70000000019</v>
      </c>
      <c r="F39" s="135"/>
      <c r="G39" s="135"/>
      <c r="H39" s="135"/>
      <c r="I39" s="135"/>
      <c r="J39" s="135"/>
      <c r="K39" s="135"/>
      <c r="L39" s="135">
        <f t="shared" si="0"/>
        <v>-1022400.8300000002</v>
      </c>
      <c r="M39" s="135">
        <f t="shared" si="1"/>
        <v>-15549.510617452333</v>
      </c>
      <c r="N39" s="135">
        <f t="shared" si="2"/>
        <v>-15786.000332002215</v>
      </c>
    </row>
    <row r="40" spans="1:14">
      <c r="A40" s="449">
        <f>MAX($A$11:A39)+1</f>
        <v>30</v>
      </c>
      <c r="B40" s="770" t="s">
        <v>850</v>
      </c>
      <c r="C40" s="769" t="s">
        <v>851</v>
      </c>
      <c r="D40" s="135">
        <f>'Operating Report'!F70</f>
        <v>392583.16</v>
      </c>
      <c r="E40" s="135">
        <v>-358404.42999999982</v>
      </c>
      <c r="F40" s="135"/>
      <c r="G40" s="135"/>
      <c r="H40" s="135"/>
      <c r="I40" s="135"/>
      <c r="J40" s="135"/>
      <c r="K40" s="135"/>
      <c r="L40" s="135">
        <f t="shared" si="0"/>
        <v>34178.730000000156</v>
      </c>
      <c r="M40" s="135">
        <f t="shared" si="1"/>
        <v>519.81816664413202</v>
      </c>
      <c r="N40" s="135">
        <f t="shared" si="2"/>
        <v>527.72398779001037</v>
      </c>
    </row>
    <row r="41" spans="1:14">
      <c r="A41" s="449">
        <f>MAX($A$11:A40)+1</f>
        <v>31</v>
      </c>
      <c r="B41" s="770" t="s">
        <v>852</v>
      </c>
      <c r="C41" s="769" t="s">
        <v>853</v>
      </c>
      <c r="D41" s="135">
        <f>'Operating Report'!F71</f>
        <v>5459121.4300000006</v>
      </c>
      <c r="E41" s="135">
        <v>-3664448.6899999972</v>
      </c>
      <c r="F41" s="135"/>
      <c r="G41" s="135"/>
      <c r="H41" s="135"/>
      <c r="I41" s="135"/>
      <c r="J41" s="135"/>
      <c r="K41" s="135"/>
      <c r="L41" s="135">
        <f t="shared" si="0"/>
        <v>1794672.7400000035</v>
      </c>
      <c r="M41" s="135">
        <f t="shared" si="1"/>
        <v>27294.855409577787</v>
      </c>
      <c r="N41" s="135">
        <f t="shared" si="2"/>
        <v>27709.977963804446</v>
      </c>
    </row>
    <row r="42" spans="1:14">
      <c r="A42" s="449">
        <f>MAX($A$11:A41)+1</f>
        <v>32</v>
      </c>
      <c r="B42" s="770" t="s">
        <v>854</v>
      </c>
      <c r="C42" s="769" t="s">
        <v>855</v>
      </c>
      <c r="D42" s="135">
        <f>'Operating Report'!F72</f>
        <v>216918.48</v>
      </c>
      <c r="E42" s="135"/>
      <c r="F42" s="135"/>
      <c r="G42" s="135"/>
      <c r="H42" s="135"/>
      <c r="I42" s="135"/>
      <c r="J42" s="135"/>
      <c r="K42" s="135"/>
      <c r="L42" s="135">
        <f t="shared" si="0"/>
        <v>216918.48</v>
      </c>
      <c r="M42" s="135">
        <f t="shared" si="1"/>
        <v>3299.0742074041755</v>
      </c>
      <c r="N42" s="135">
        <f t="shared" si="2"/>
        <v>3349.2492345662663</v>
      </c>
    </row>
    <row r="43" spans="1:14">
      <c r="A43" s="449">
        <f>MAX($A$11:A42)+1</f>
        <v>33</v>
      </c>
      <c r="B43" s="770" t="s">
        <v>856</v>
      </c>
      <c r="C43" s="769" t="s">
        <v>857</v>
      </c>
      <c r="D43" s="655">
        <f>'Operating Report'!F73</f>
        <v>0</v>
      </c>
      <c r="E43" s="655"/>
      <c r="F43" s="655"/>
      <c r="G43" s="655"/>
      <c r="H43" s="655"/>
      <c r="I43" s="655"/>
      <c r="J43" s="655"/>
      <c r="K43" s="655"/>
      <c r="L43" s="655">
        <f t="shared" si="0"/>
        <v>0</v>
      </c>
      <c r="M43" s="655">
        <f t="shared" si="1"/>
        <v>0</v>
      </c>
      <c r="N43" s="655">
        <f t="shared" si="2"/>
        <v>0</v>
      </c>
    </row>
    <row r="44" spans="1:14">
      <c r="A44" s="449">
        <f>MAX($A$11:A43)+1</f>
        <v>34</v>
      </c>
      <c r="B44" s="767"/>
      <c r="C44" s="773" t="s">
        <v>858</v>
      </c>
      <c r="D44" s="135">
        <f>SUM(D32:D43)</f>
        <v>13565984.040000003</v>
      </c>
      <c r="E44" s="135">
        <f>SUM(E32:E43)</f>
        <v>-10652770.899999999</v>
      </c>
      <c r="F44" s="135">
        <f>SUM(F32:F43)</f>
        <v>0</v>
      </c>
      <c r="G44" s="135">
        <f t="shared" ref="G44:N44" si="3">SUM(G32:G43)</f>
        <v>0</v>
      </c>
      <c r="H44" s="135">
        <f t="shared" si="3"/>
        <v>0</v>
      </c>
      <c r="I44" s="135">
        <f t="shared" si="3"/>
        <v>0</v>
      </c>
      <c r="J44" s="135">
        <f t="shared" si="3"/>
        <v>0</v>
      </c>
      <c r="K44" s="135">
        <f t="shared" si="3"/>
        <v>0</v>
      </c>
      <c r="L44" s="135">
        <f t="shared" si="3"/>
        <v>2913213.140000002</v>
      </c>
      <c r="M44" s="135">
        <f t="shared" si="3"/>
        <v>44306.535482108011</v>
      </c>
      <c r="N44" s="135">
        <f t="shared" si="3"/>
        <v>44980.385623545757</v>
      </c>
    </row>
    <row r="45" spans="1:14">
      <c r="A45" s="449">
        <f>MAX($A$11:A44)+1</f>
        <v>35</v>
      </c>
      <c r="B45" s="767"/>
      <c r="C45" s="767"/>
      <c r="D45" s="135"/>
      <c r="E45" s="135"/>
      <c r="F45" s="135"/>
      <c r="G45" s="135"/>
      <c r="H45" s="135"/>
      <c r="I45" s="135"/>
      <c r="J45" s="135"/>
      <c r="K45" s="135"/>
      <c r="L45" s="135"/>
      <c r="M45" s="135"/>
      <c r="N45" s="135"/>
    </row>
    <row r="46" spans="1:14">
      <c r="A46" s="449">
        <f>MAX($A$11:A45)+1</f>
        <v>36</v>
      </c>
      <c r="B46" s="766" t="s">
        <v>859</v>
      </c>
      <c r="C46" s="767"/>
      <c r="D46" s="135"/>
      <c r="E46" s="135"/>
      <c r="F46" s="135"/>
      <c r="G46" s="135"/>
      <c r="H46" s="135"/>
      <c r="I46" s="135"/>
      <c r="J46" s="135"/>
      <c r="K46" s="135"/>
      <c r="L46" s="135"/>
      <c r="M46" s="135"/>
      <c r="N46" s="135"/>
    </row>
    <row r="47" spans="1:14">
      <c r="A47" s="449">
        <f>MAX($A$11:A46)+1</f>
        <v>37</v>
      </c>
      <c r="B47" s="770" t="s">
        <v>860</v>
      </c>
      <c r="C47" s="769" t="s">
        <v>861</v>
      </c>
      <c r="D47" s="135">
        <f>'Operating Report'!F77</f>
        <v>1154263.98</v>
      </c>
      <c r="E47" s="135">
        <v>-1098247.9999999995</v>
      </c>
      <c r="F47" s="135"/>
      <c r="G47" s="135"/>
      <c r="H47" s="135"/>
      <c r="I47" s="135"/>
      <c r="J47" s="135"/>
      <c r="K47" s="135"/>
      <c r="L47" s="135">
        <f t="shared" ref="L47:L56" si="4">SUM(D47:K47)</f>
        <v>56015.980000000447</v>
      </c>
      <c r="M47" s="135">
        <f t="shared" ref="M47:M56" si="5">L47*$H$24</f>
        <v>851.9369802907969</v>
      </c>
      <c r="N47" s="135">
        <f t="shared" ref="N47:N56" si="6">SUM(L47:M47)*$H$24</f>
        <v>864.89393683046637</v>
      </c>
    </row>
    <row r="48" spans="1:14">
      <c r="A48" s="449">
        <f>MAX($A$11:A47)+1</f>
        <v>38</v>
      </c>
      <c r="B48" s="770" t="s">
        <v>862</v>
      </c>
      <c r="C48" s="769" t="s">
        <v>863</v>
      </c>
      <c r="D48" s="135">
        <f>'Operating Report'!F78</f>
        <v>5181.9700000000012</v>
      </c>
      <c r="E48" s="135"/>
      <c r="F48" s="135"/>
      <c r="G48" s="135"/>
      <c r="H48" s="135"/>
      <c r="I48" s="135"/>
      <c r="J48" s="135"/>
      <c r="K48" s="135"/>
      <c r="L48" s="135">
        <f t="shared" si="4"/>
        <v>5181.9700000000012</v>
      </c>
      <c r="M48" s="135">
        <f t="shared" si="5"/>
        <v>78.811651135220103</v>
      </c>
      <c r="N48" s="135">
        <f t="shared" si="6"/>
        <v>80.010283384086776</v>
      </c>
    </row>
    <row r="49" spans="1:14">
      <c r="A49" s="449">
        <f>MAX($A$11:A48)+1</f>
        <v>39</v>
      </c>
      <c r="B49" s="770" t="s">
        <v>864</v>
      </c>
      <c r="C49" s="769" t="s">
        <v>865</v>
      </c>
      <c r="D49" s="135">
        <f>'Operating Report'!F79</f>
        <v>2746004.21</v>
      </c>
      <c r="E49" s="135">
        <v>-510618.23000000027</v>
      </c>
      <c r="F49" s="135"/>
      <c r="G49" s="135"/>
      <c r="H49" s="135"/>
      <c r="I49" s="135"/>
      <c r="J49" s="135">
        <f>'MAOP Deferral'!F17</f>
        <v>-1342706.2349999999</v>
      </c>
      <c r="K49" s="135"/>
      <c r="L49" s="135">
        <f t="shared" si="4"/>
        <v>892679.74499999965</v>
      </c>
      <c r="M49" s="135">
        <f t="shared" si="5"/>
        <v>13576.605931415503</v>
      </c>
      <c r="N49" s="135">
        <f t="shared" si="6"/>
        <v>13783.090092895996</v>
      </c>
    </row>
    <row r="50" spans="1:14">
      <c r="A50" s="449">
        <f>MAX($A$11:A49)+1</f>
        <v>40</v>
      </c>
      <c r="B50" s="771" t="s">
        <v>866</v>
      </c>
      <c r="C50" s="769" t="s">
        <v>840</v>
      </c>
      <c r="D50" s="135">
        <f>'Operating Report'!F80</f>
        <v>474768.2</v>
      </c>
      <c r="E50" s="135">
        <v>-60563.239999999991</v>
      </c>
      <c r="F50" s="135"/>
      <c r="G50" s="135"/>
      <c r="H50" s="135"/>
      <c r="I50" s="135"/>
      <c r="J50" s="135"/>
      <c r="K50" s="135"/>
      <c r="L50" s="135">
        <f t="shared" si="4"/>
        <v>414204.96</v>
      </c>
      <c r="M50" s="135">
        <f t="shared" si="5"/>
        <v>6299.568852385828</v>
      </c>
      <c r="N50" s="135">
        <f t="shared" si="6"/>
        <v>6395.3778637650012</v>
      </c>
    </row>
    <row r="51" spans="1:14">
      <c r="A51" s="449">
        <f>MAX($A$11:A50)+1</f>
        <v>41</v>
      </c>
      <c r="B51" s="770" t="s">
        <v>867</v>
      </c>
      <c r="C51" s="769" t="s">
        <v>868</v>
      </c>
      <c r="D51" s="135">
        <f>'Operating Report'!F81</f>
        <v>288648.95</v>
      </c>
      <c r="E51" s="135">
        <v>-163546.12000000008</v>
      </c>
      <c r="F51" s="135"/>
      <c r="G51" s="135"/>
      <c r="H51" s="135"/>
      <c r="I51" s="135"/>
      <c r="J51" s="135"/>
      <c r="K51" s="135"/>
      <c r="L51" s="135">
        <f t="shared" si="4"/>
        <v>125102.82999999993</v>
      </c>
      <c r="M51" s="135">
        <f t="shared" si="5"/>
        <v>1902.6664751028545</v>
      </c>
      <c r="N51" s="135">
        <f t="shared" si="6"/>
        <v>1931.6037878357506</v>
      </c>
    </row>
    <row r="52" spans="1:14">
      <c r="A52" s="449">
        <f>MAX($A$11:A51)+1</f>
        <v>42</v>
      </c>
      <c r="B52" s="770" t="s">
        <v>869</v>
      </c>
      <c r="C52" s="769" t="s">
        <v>870</v>
      </c>
      <c r="D52" s="135">
        <f>'Operating Report'!F82</f>
        <v>356838.82</v>
      </c>
      <c r="E52" s="135">
        <v>-226949.74000000005</v>
      </c>
      <c r="F52" s="135"/>
      <c r="G52" s="135"/>
      <c r="H52" s="135"/>
      <c r="I52" s="135"/>
      <c r="J52" s="135"/>
      <c r="K52" s="135"/>
      <c r="L52" s="135">
        <f t="shared" si="4"/>
        <v>129889.07999999996</v>
      </c>
      <c r="M52" s="135">
        <f t="shared" si="5"/>
        <v>1975.459691822741</v>
      </c>
      <c r="N52" s="135">
        <f t="shared" si="6"/>
        <v>2005.5041035162903</v>
      </c>
    </row>
    <row r="53" spans="1:14">
      <c r="A53" s="449">
        <f>MAX($A$11:A52)+1</f>
        <v>43</v>
      </c>
      <c r="B53" s="772">
        <v>891</v>
      </c>
      <c r="C53" s="769" t="s">
        <v>870</v>
      </c>
      <c r="D53" s="135">
        <f>'Operating Report'!F83</f>
        <v>115218.98999999999</v>
      </c>
      <c r="E53" s="135">
        <v>-62263.819999999992</v>
      </c>
      <c r="F53" s="135"/>
      <c r="G53" s="135"/>
      <c r="H53" s="135"/>
      <c r="I53" s="135"/>
      <c r="J53" s="135"/>
      <c r="K53" s="135"/>
      <c r="L53" s="135">
        <f t="shared" si="4"/>
        <v>52955.17</v>
      </c>
      <c r="M53" s="135">
        <f t="shared" si="5"/>
        <v>805.38567067085921</v>
      </c>
      <c r="N53" s="135">
        <f t="shared" si="6"/>
        <v>817.63463670235251</v>
      </c>
    </row>
    <row r="54" spans="1:14">
      <c r="A54" s="449">
        <f>MAX($A$11:A53)+1</f>
        <v>44</v>
      </c>
      <c r="B54" s="770" t="s">
        <v>871</v>
      </c>
      <c r="C54" s="769" t="s">
        <v>872</v>
      </c>
      <c r="D54" s="135">
        <f>'Operating Report'!F84</f>
        <v>1064198.2100000002</v>
      </c>
      <c r="E54" s="135">
        <v>-656675.96999999904</v>
      </c>
      <c r="F54" s="135"/>
      <c r="G54" s="135"/>
      <c r="H54" s="135"/>
      <c r="I54" s="135"/>
      <c r="J54" s="135"/>
      <c r="K54" s="135"/>
      <c r="L54" s="135">
        <f t="shared" si="4"/>
        <v>407522.24000000115</v>
      </c>
      <c r="M54" s="135">
        <f t="shared" si="5"/>
        <v>6197.9325640101197</v>
      </c>
      <c r="N54" s="135">
        <f t="shared" si="6"/>
        <v>6292.1958073315573</v>
      </c>
    </row>
    <row r="55" spans="1:14">
      <c r="A55" s="449">
        <f>MAX($A$11:A54)+1</f>
        <v>45</v>
      </c>
      <c r="B55" s="770" t="s">
        <v>873</v>
      </c>
      <c r="C55" s="769" t="s">
        <v>874</v>
      </c>
      <c r="D55" s="135">
        <f>'Operating Report'!F85</f>
        <v>1417725.8</v>
      </c>
      <c r="E55" s="135">
        <v>-1048688.8899999994</v>
      </c>
      <c r="F55" s="135"/>
      <c r="G55" s="135"/>
      <c r="H55" s="135"/>
      <c r="I55" s="135"/>
      <c r="J55" s="135"/>
      <c r="K55" s="135"/>
      <c r="L55" s="135">
        <f t="shared" si="4"/>
        <v>369036.91000000061</v>
      </c>
      <c r="M55" s="135">
        <f t="shared" si="5"/>
        <v>5612.616091359012</v>
      </c>
      <c r="N55" s="135">
        <f t="shared" si="6"/>
        <v>5697.9773615609056</v>
      </c>
    </row>
    <row r="56" spans="1:14">
      <c r="A56" s="449">
        <f>MAX($A$11:A55)+1</f>
        <v>46</v>
      </c>
      <c r="B56" s="770" t="s">
        <v>875</v>
      </c>
      <c r="C56" s="769" t="s">
        <v>876</v>
      </c>
      <c r="D56" s="655">
        <f>'Operating Report'!F86</f>
        <v>1367764.3599999999</v>
      </c>
      <c r="E56" s="655">
        <v>-1136204.5600000005</v>
      </c>
      <c r="F56" s="655"/>
      <c r="G56" s="655"/>
      <c r="H56" s="655"/>
      <c r="I56" s="655"/>
      <c r="J56" s="655"/>
      <c r="K56" s="655"/>
      <c r="L56" s="655">
        <f t="shared" si="4"/>
        <v>231559.79999999935</v>
      </c>
      <c r="M56" s="655">
        <f t="shared" si="5"/>
        <v>3521.7514139489967</v>
      </c>
      <c r="N56" s="655">
        <f t="shared" si="6"/>
        <v>3575.3130987563418</v>
      </c>
    </row>
    <row r="57" spans="1:14">
      <c r="A57" s="449">
        <f>MAX($A$11:A56)+1</f>
        <v>47</v>
      </c>
      <c r="B57" s="767"/>
      <c r="C57" s="773" t="s">
        <v>877</v>
      </c>
      <c r="D57" s="135">
        <f>SUM(D47:D56)</f>
        <v>8990613.4900000002</v>
      </c>
      <c r="E57" s="135">
        <f>SUM(E47:E56)</f>
        <v>-4963758.5699999994</v>
      </c>
      <c r="F57" s="135">
        <f>SUM(F47:F56)</f>
        <v>0</v>
      </c>
      <c r="G57" s="135">
        <f t="shared" ref="G57:N57" si="7">SUM(G47:G56)</f>
        <v>0</v>
      </c>
      <c r="H57" s="135">
        <f t="shared" si="7"/>
        <v>0</v>
      </c>
      <c r="I57" s="135">
        <f t="shared" si="7"/>
        <v>0</v>
      </c>
      <c r="J57" s="135">
        <f t="shared" si="7"/>
        <v>-1342706.2349999999</v>
      </c>
      <c r="K57" s="135">
        <f t="shared" si="7"/>
        <v>0</v>
      </c>
      <c r="L57" s="135">
        <f t="shared" si="7"/>
        <v>2684148.685000001</v>
      </c>
      <c r="M57" s="135">
        <f t="shared" si="7"/>
        <v>40822.735322141925</v>
      </c>
      <c r="N57" s="135">
        <f t="shared" si="7"/>
        <v>41443.600972578744</v>
      </c>
    </row>
    <row r="58" spans="1:14">
      <c r="A58" s="449">
        <f>MAX($A$11:A57)+1</f>
        <v>48</v>
      </c>
      <c r="B58" s="766" t="s">
        <v>878</v>
      </c>
      <c r="C58" s="767"/>
      <c r="D58" s="488">
        <f>D44+D57</f>
        <v>22556597.530000001</v>
      </c>
      <c r="E58" s="488">
        <f>E44+E57</f>
        <v>-15616529.469999999</v>
      </c>
      <c r="F58" s="488">
        <f>F44+F57</f>
        <v>0</v>
      </c>
      <c r="G58" s="488">
        <f t="shared" ref="G58:N58" si="8">G44+G57</f>
        <v>0</v>
      </c>
      <c r="H58" s="488">
        <f t="shared" si="8"/>
        <v>0</v>
      </c>
      <c r="I58" s="488">
        <f t="shared" si="8"/>
        <v>0</v>
      </c>
      <c r="J58" s="488">
        <f t="shared" si="8"/>
        <v>-1342706.2349999999</v>
      </c>
      <c r="K58" s="488">
        <f t="shared" si="8"/>
        <v>0</v>
      </c>
      <c r="L58" s="488">
        <f t="shared" si="8"/>
        <v>5597361.825000003</v>
      </c>
      <c r="M58" s="488">
        <f t="shared" si="8"/>
        <v>85129.270804249943</v>
      </c>
      <c r="N58" s="488">
        <f t="shared" si="8"/>
        <v>86423.986596124509</v>
      </c>
    </row>
    <row r="59" spans="1:14">
      <c r="A59" s="449">
        <f>MAX($A$11:A58)+1</f>
        <v>49</v>
      </c>
      <c r="B59" s="767"/>
      <c r="C59" s="767"/>
      <c r="D59" s="135"/>
      <c r="E59" s="135"/>
      <c r="F59" s="135"/>
      <c r="G59" s="135"/>
      <c r="H59" s="135"/>
      <c r="I59" s="135"/>
      <c r="J59" s="135"/>
      <c r="K59" s="135"/>
      <c r="L59" s="135"/>
      <c r="M59" s="135"/>
      <c r="N59" s="135"/>
    </row>
    <row r="60" spans="1:14">
      <c r="A60" s="449">
        <f>MAX($A$11:A59)+1</f>
        <v>50</v>
      </c>
      <c r="B60" s="766" t="s">
        <v>879</v>
      </c>
      <c r="C60" s="767"/>
      <c r="D60" s="135"/>
      <c r="E60" s="135"/>
      <c r="F60" s="135"/>
      <c r="G60" s="135"/>
      <c r="H60" s="135"/>
      <c r="I60" s="135"/>
      <c r="J60" s="135"/>
      <c r="K60" s="135"/>
      <c r="L60" s="135"/>
      <c r="M60" s="135"/>
      <c r="N60" s="135"/>
    </row>
    <row r="61" spans="1:14">
      <c r="A61" s="449">
        <f>MAX($A$11:A60)+1</f>
        <v>51</v>
      </c>
      <c r="B61" s="770" t="s">
        <v>880</v>
      </c>
      <c r="C61" s="769" t="s">
        <v>881</v>
      </c>
      <c r="D61" s="135">
        <f>'Operating Report'!F91</f>
        <v>121992.08</v>
      </c>
      <c r="E61" s="135">
        <v>-121945.29000000004</v>
      </c>
      <c r="F61" s="135"/>
      <c r="G61" s="135"/>
      <c r="H61" s="135"/>
      <c r="I61" s="135"/>
      <c r="J61" s="135"/>
      <c r="K61" s="135"/>
      <c r="L61" s="135">
        <f>SUM(D61:K61)</f>
        <v>46.789999999964493</v>
      </c>
      <c r="M61" s="135">
        <f>L61*$H$24</f>
        <v>0.71162070730130611</v>
      </c>
      <c r="N61" s="135">
        <f>SUM(L61:M61)*$H$24</f>
        <v>0.72244361884352448</v>
      </c>
    </row>
    <row r="62" spans="1:14">
      <c r="A62" s="449">
        <f>MAX($A$11:A61)+1</f>
        <v>52</v>
      </c>
      <c r="B62" s="770" t="s">
        <v>882</v>
      </c>
      <c r="C62" s="769" t="s">
        <v>883</v>
      </c>
      <c r="D62" s="135">
        <f>'Operating Report'!F92</f>
        <v>520745.67</v>
      </c>
      <c r="E62" s="135">
        <v>-424460.71000000008</v>
      </c>
      <c r="F62" s="135"/>
      <c r="G62" s="135"/>
      <c r="H62" s="135"/>
      <c r="I62" s="135"/>
      <c r="J62" s="135"/>
      <c r="K62" s="135"/>
      <c r="L62" s="135">
        <f>SUM(D62:K62)</f>
        <v>96284.959999999905</v>
      </c>
      <c r="M62" s="135">
        <f>L62*$H$24</f>
        <v>1464.380665478305</v>
      </c>
      <c r="N62" s="135">
        <f>SUM(L62:M62)*$H$24</f>
        <v>1486.6521680413916</v>
      </c>
    </row>
    <row r="63" spans="1:14">
      <c r="A63" s="449">
        <f>MAX($A$11:A62)+1</f>
        <v>53</v>
      </c>
      <c r="B63" s="770" t="s">
        <v>884</v>
      </c>
      <c r="C63" s="769" t="s">
        <v>885</v>
      </c>
      <c r="D63" s="135">
        <f>'Operating Report'!F93</f>
        <v>4747284.0699999994</v>
      </c>
      <c r="E63" s="135">
        <v>-2895363.2000000039</v>
      </c>
      <c r="F63" s="135"/>
      <c r="G63" s="135"/>
      <c r="H63" s="135"/>
      <c r="I63" s="135"/>
      <c r="J63" s="135"/>
      <c r="K63" s="135"/>
      <c r="L63" s="135">
        <f>SUM(D63:K63)</f>
        <v>1851920.8699999955</v>
      </c>
      <c r="M63" s="135">
        <f>L63*$H$24</f>
        <v>28165.531937945008</v>
      </c>
      <c r="N63" s="135">
        <f>SUM(L63:M63)*$H$24</f>
        <v>28593.896455132723</v>
      </c>
    </row>
    <row r="64" spans="1:14">
      <c r="A64" s="449">
        <f>MAX($A$11:A63)+1</f>
        <v>54</v>
      </c>
      <c r="B64" s="770" t="s">
        <v>886</v>
      </c>
      <c r="C64" s="769" t="s">
        <v>613</v>
      </c>
      <c r="D64" s="135">
        <f>'Operating Report'!F94</f>
        <v>2527969.04</v>
      </c>
      <c r="E64" s="135"/>
      <c r="F64" s="135"/>
      <c r="G64" s="135"/>
      <c r="H64" s="135">
        <f>-D64</f>
        <v>-2527969.04</v>
      </c>
      <c r="I64" s="135"/>
      <c r="J64" s="135"/>
      <c r="K64" s="135"/>
      <c r="L64" s="135">
        <f>SUM(D64:K64)</f>
        <v>0</v>
      </c>
      <c r="M64" s="135">
        <f>L64*$H$24</f>
        <v>0</v>
      </c>
      <c r="N64" s="135">
        <f>SUM(L64:M64)*$H$24</f>
        <v>0</v>
      </c>
    </row>
    <row r="65" spans="1:14">
      <c r="A65" s="449">
        <f>MAX($A$11:A64)+1</f>
        <v>55</v>
      </c>
      <c r="B65" s="770" t="s">
        <v>887</v>
      </c>
      <c r="C65" s="769" t="s">
        <v>888</v>
      </c>
      <c r="D65" s="135">
        <f>'Operating Report'!F95</f>
        <v>422.05000000000018</v>
      </c>
      <c r="E65" s="655"/>
      <c r="F65" s="655"/>
      <c r="G65" s="655"/>
      <c r="H65" s="655"/>
      <c r="I65" s="655"/>
      <c r="J65" s="655"/>
      <c r="K65" s="655"/>
      <c r="L65" s="655">
        <f>SUM(D65:K65)</f>
        <v>422.05000000000018</v>
      </c>
      <c r="M65" s="655">
        <f>L65*$H$24</f>
        <v>6.418882656908405</v>
      </c>
      <c r="N65" s="655">
        <f>SUM(L65:M65)*$H$24</f>
        <v>6.5165062905138065</v>
      </c>
    </row>
    <row r="66" spans="1:14">
      <c r="A66" s="449">
        <f>MAX($A$11:A65)+1</f>
        <v>56</v>
      </c>
      <c r="B66" s="766" t="s">
        <v>889</v>
      </c>
      <c r="C66" s="767"/>
      <c r="D66" s="774">
        <f>SUM(D61:D65)</f>
        <v>7918412.9099999992</v>
      </c>
      <c r="E66" s="774">
        <f>SUM(E61:E65)</f>
        <v>-3441769.2000000039</v>
      </c>
      <c r="F66" s="774">
        <f>SUM(F61:F65)</f>
        <v>0</v>
      </c>
      <c r="G66" s="774">
        <f t="shared" ref="G66:N66" si="9">SUM(G61:G65)</f>
        <v>0</v>
      </c>
      <c r="H66" s="774">
        <f t="shared" si="9"/>
        <v>-2527969.04</v>
      </c>
      <c r="I66" s="774">
        <f t="shared" si="9"/>
        <v>0</v>
      </c>
      <c r="J66" s="774">
        <f t="shared" si="9"/>
        <v>0</v>
      </c>
      <c r="K66" s="774">
        <f t="shared" si="9"/>
        <v>0</v>
      </c>
      <c r="L66" s="774">
        <f t="shared" si="9"/>
        <v>1948674.6699999953</v>
      </c>
      <c r="M66" s="774">
        <f t="shared" si="9"/>
        <v>29637.043106787522</v>
      </c>
      <c r="N66" s="774">
        <f t="shared" si="9"/>
        <v>30087.787573083471</v>
      </c>
    </row>
    <row r="67" spans="1:14">
      <c r="A67" s="449">
        <f>MAX($A$11:A66)+1</f>
        <v>57</v>
      </c>
      <c r="B67" s="767"/>
      <c r="C67" s="767"/>
      <c r="D67" s="135"/>
      <c r="E67" s="135"/>
      <c r="F67" s="135"/>
      <c r="G67" s="135"/>
      <c r="H67" s="135"/>
      <c r="I67" s="135"/>
      <c r="J67" s="135"/>
      <c r="K67" s="135"/>
      <c r="L67" s="135"/>
      <c r="M67" s="135"/>
      <c r="N67" s="135"/>
    </row>
    <row r="68" spans="1:14">
      <c r="A68" s="449">
        <f>MAX($A$11:A67)+1</f>
        <v>58</v>
      </c>
      <c r="B68" s="766" t="s">
        <v>890</v>
      </c>
      <c r="C68" s="767"/>
      <c r="D68" s="135"/>
      <c r="E68" s="135"/>
      <c r="F68" s="135"/>
      <c r="G68" s="135"/>
      <c r="H68" s="135"/>
      <c r="I68" s="135"/>
      <c r="J68" s="135"/>
      <c r="K68" s="135"/>
      <c r="L68" s="135"/>
      <c r="M68" s="135"/>
      <c r="N68" s="135"/>
    </row>
    <row r="69" spans="1:14">
      <c r="A69" s="449">
        <f>MAX($A$11:A68)+1</f>
        <v>59</v>
      </c>
      <c r="B69" s="770" t="s">
        <v>891</v>
      </c>
      <c r="C69" s="769" t="s">
        <v>881</v>
      </c>
      <c r="D69" s="135">
        <f>'Operating Report'!F99</f>
        <v>0</v>
      </c>
      <c r="E69" s="135"/>
      <c r="F69" s="135"/>
      <c r="G69" s="135"/>
      <c r="H69" s="135"/>
      <c r="I69" s="135"/>
      <c r="J69" s="135"/>
      <c r="K69" s="135"/>
      <c r="L69" s="135">
        <f>SUM(D69:K69)</f>
        <v>0</v>
      </c>
      <c r="M69" s="135">
        <f>L69*$H$24</f>
        <v>0</v>
      </c>
      <c r="N69" s="135">
        <f>SUM(L69:M69)*$H$24</f>
        <v>0</v>
      </c>
    </row>
    <row r="70" spans="1:14">
      <c r="A70" s="449">
        <f>MAX($A$11:A69)+1</f>
        <v>60</v>
      </c>
      <c r="B70" s="770" t="s">
        <v>892</v>
      </c>
      <c r="C70" s="769" t="s">
        <v>893</v>
      </c>
      <c r="D70" s="135">
        <f>'Operating Report'!F100</f>
        <v>8055449.5399999991</v>
      </c>
      <c r="E70" s="135">
        <v>-642651.57999999984</v>
      </c>
      <c r="F70" s="135"/>
      <c r="G70" s="135"/>
      <c r="H70" s="135"/>
      <c r="I70" s="135"/>
      <c r="J70" s="135"/>
      <c r="K70" s="135">
        <f>'Operating Report'!H100</f>
        <v>-8150919.2300000004</v>
      </c>
      <c r="L70" s="135">
        <f>SUM(D70:K70)</f>
        <v>-738121.27000000142</v>
      </c>
      <c r="M70" s="135">
        <f>L70*$H$24</f>
        <v>-11225.953841246805</v>
      </c>
      <c r="N70" s="135">
        <f>SUM(L70:M70)*$H$24</f>
        <v>-11396.687357225557</v>
      </c>
    </row>
    <row r="71" spans="1:14">
      <c r="A71" s="449">
        <f>MAX($A$11:A70)+1</f>
        <v>61</v>
      </c>
      <c r="B71" s="770" t="s">
        <v>894</v>
      </c>
      <c r="C71" s="769" t="s">
        <v>895</v>
      </c>
      <c r="D71" s="135">
        <f>'Operating Report'!F101</f>
        <v>66640.58</v>
      </c>
      <c r="E71" s="135"/>
      <c r="F71" s="135"/>
      <c r="G71" s="135"/>
      <c r="H71" s="135"/>
      <c r="I71" s="135"/>
      <c r="J71" s="135"/>
      <c r="K71" s="135"/>
      <c r="L71" s="135">
        <f>SUM(D71:K71)</f>
        <v>66640.58</v>
      </c>
      <c r="M71" s="135">
        <f>L71*$H$24</f>
        <v>1013.5246136910721</v>
      </c>
      <c r="N71" s="135">
        <f>SUM(L71:M71)*$H$24</f>
        <v>1028.9391275287012</v>
      </c>
    </row>
    <row r="72" spans="1:14">
      <c r="A72" s="449">
        <f>MAX($A$11:A71)+1</f>
        <v>62</v>
      </c>
      <c r="B72" s="770" t="s">
        <v>896</v>
      </c>
      <c r="C72" s="769" t="s">
        <v>897</v>
      </c>
      <c r="D72" s="135">
        <f>'Operating Report'!F102</f>
        <v>162309.67000000001</v>
      </c>
      <c r="E72" s="655">
        <v>-158149.53999999998</v>
      </c>
      <c r="F72" s="655"/>
      <c r="G72" s="655"/>
      <c r="H72" s="655"/>
      <c r="I72" s="655"/>
      <c r="J72" s="655"/>
      <c r="K72" s="655"/>
      <c r="L72" s="655">
        <f>SUM(D72:K72)</f>
        <v>4160.1300000000338</v>
      </c>
      <c r="M72" s="655">
        <f>L72*$H$24</f>
        <v>63.270670080522613</v>
      </c>
      <c r="N72" s="655">
        <f>SUM(L72:M72)*$H$24</f>
        <v>64.232942339427581</v>
      </c>
    </row>
    <row r="73" spans="1:14">
      <c r="A73" s="449">
        <f>MAX($A$11:A72)+1</f>
        <v>63</v>
      </c>
      <c r="B73" s="766" t="s">
        <v>898</v>
      </c>
      <c r="C73" s="767"/>
      <c r="D73" s="774">
        <f>SUM(D69:D72)</f>
        <v>8284399.7899999991</v>
      </c>
      <c r="E73" s="774">
        <f>SUM(E69:E72)</f>
        <v>-800801.11999999988</v>
      </c>
      <c r="F73" s="774">
        <f>SUM(F69:F72)</f>
        <v>0</v>
      </c>
      <c r="G73" s="774">
        <f t="shared" ref="G73:N73" si="10">SUM(G69:G72)</f>
        <v>0</v>
      </c>
      <c r="H73" s="774">
        <f t="shared" si="10"/>
        <v>0</v>
      </c>
      <c r="I73" s="774">
        <f t="shared" si="10"/>
        <v>0</v>
      </c>
      <c r="J73" s="774">
        <f t="shared" si="10"/>
        <v>0</v>
      </c>
      <c r="K73" s="774">
        <f t="shared" si="10"/>
        <v>-8150919.2300000004</v>
      </c>
      <c r="L73" s="774">
        <f t="shared" si="10"/>
        <v>-667320.56000000145</v>
      </c>
      <c r="M73" s="774">
        <f t="shared" si="10"/>
        <v>-10149.15855747521</v>
      </c>
      <c r="N73" s="774">
        <f t="shared" si="10"/>
        <v>-10303.515287357428</v>
      </c>
    </row>
    <row r="74" spans="1:14">
      <c r="A74" s="449">
        <f>MAX($A$11:A73)+1</f>
        <v>64</v>
      </c>
      <c r="B74" s="767"/>
      <c r="C74" s="767"/>
      <c r="D74" s="135"/>
      <c r="E74" s="135"/>
      <c r="F74" s="135"/>
      <c r="G74" s="135"/>
      <c r="H74" s="135"/>
      <c r="I74" s="135"/>
      <c r="J74" s="135"/>
      <c r="K74" s="135"/>
      <c r="L74" s="135"/>
      <c r="M74" s="135"/>
      <c r="N74" s="135"/>
    </row>
    <row r="75" spans="1:14">
      <c r="A75" s="449">
        <f>MAX($A$11:A74)+1</f>
        <v>65</v>
      </c>
      <c r="B75" s="766" t="s">
        <v>899</v>
      </c>
      <c r="C75" s="767"/>
      <c r="D75" s="135"/>
      <c r="E75" s="135"/>
      <c r="F75" s="135"/>
      <c r="G75" s="135"/>
      <c r="H75" s="135"/>
      <c r="I75" s="135"/>
      <c r="J75" s="135"/>
      <c r="K75" s="135"/>
      <c r="L75" s="135"/>
      <c r="M75" s="135"/>
      <c r="N75" s="135"/>
    </row>
    <row r="76" spans="1:14">
      <c r="A76" s="449">
        <f>MAX($A$11:A75)+1</f>
        <v>66</v>
      </c>
      <c r="B76" s="770" t="s">
        <v>900</v>
      </c>
      <c r="C76" s="769" t="s">
        <v>881</v>
      </c>
      <c r="D76" s="135">
        <f>'Operating Report'!F106</f>
        <v>0</v>
      </c>
      <c r="E76" s="135"/>
      <c r="F76" s="135"/>
      <c r="G76" s="135"/>
      <c r="H76" s="135"/>
      <c r="I76" s="135"/>
      <c r="J76" s="135"/>
      <c r="K76" s="135"/>
      <c r="L76" s="135">
        <f>SUM(D76:K76)</f>
        <v>0</v>
      </c>
      <c r="M76" s="135">
        <f>L76*$H$24</f>
        <v>0</v>
      </c>
      <c r="N76" s="135">
        <f>SUM(L76:M76)*$H$24</f>
        <v>0</v>
      </c>
    </row>
    <row r="77" spans="1:14">
      <c r="A77" s="449">
        <f>MAX($A$11:A76)+1</f>
        <v>67</v>
      </c>
      <c r="B77" s="770" t="s">
        <v>901</v>
      </c>
      <c r="C77" s="769" t="s">
        <v>902</v>
      </c>
      <c r="D77" s="135">
        <f>'Operating Report'!F107</f>
        <v>18968.669999999998</v>
      </c>
      <c r="E77" s="135">
        <v>-18876.719999999998</v>
      </c>
      <c r="F77" s="135"/>
      <c r="G77" s="135"/>
      <c r="H77" s="135"/>
      <c r="I77" s="135"/>
      <c r="J77" s="135"/>
      <c r="K77" s="135"/>
      <c r="L77" s="135">
        <f>SUM(D77:K77)</f>
        <v>91.950000000000728</v>
      </c>
      <c r="M77" s="135">
        <f>L77*$H$24</f>
        <v>1.3984510373243273</v>
      </c>
      <c r="N77" s="135">
        <f>SUM(L77:M77)*$H$24</f>
        <v>1.4197198280126737</v>
      </c>
    </row>
    <row r="78" spans="1:14">
      <c r="A78" s="449">
        <f>MAX($A$11:A77)+1</f>
        <v>68</v>
      </c>
      <c r="B78" s="770" t="s">
        <v>903</v>
      </c>
      <c r="C78" s="769" t="s">
        <v>904</v>
      </c>
      <c r="D78" s="135">
        <f>'Operating Report'!F108</f>
        <v>0</v>
      </c>
      <c r="E78" s="135"/>
      <c r="F78" s="135"/>
      <c r="G78" s="135"/>
      <c r="H78" s="135"/>
      <c r="I78" s="135"/>
      <c r="J78" s="135"/>
      <c r="K78" s="135"/>
      <c r="L78" s="135">
        <f>SUM(D78:K78)</f>
        <v>0</v>
      </c>
      <c r="M78" s="135">
        <f>L78*$H$24</f>
        <v>0</v>
      </c>
      <c r="N78" s="135">
        <f>SUM(L78:M78)*$H$24</f>
        <v>0</v>
      </c>
    </row>
    <row r="79" spans="1:14">
      <c r="A79" s="449">
        <f>MAX($A$11:A78)+1</f>
        <v>69</v>
      </c>
      <c r="B79" s="770" t="s">
        <v>905</v>
      </c>
      <c r="C79" s="769" t="s">
        <v>906</v>
      </c>
      <c r="D79" s="135">
        <f>'Operating Report'!F109</f>
        <v>0</v>
      </c>
      <c r="E79" s="655"/>
      <c r="F79" s="655"/>
      <c r="G79" s="655"/>
      <c r="H79" s="655"/>
      <c r="I79" s="655"/>
      <c r="J79" s="655"/>
      <c r="K79" s="655"/>
      <c r="L79" s="655">
        <f>SUM(D79:K79)</f>
        <v>0</v>
      </c>
      <c r="M79" s="655">
        <f>L79*$H$24</f>
        <v>0</v>
      </c>
      <c r="N79" s="655">
        <f>SUM(L79:M79)*$H$24</f>
        <v>0</v>
      </c>
    </row>
    <row r="80" spans="1:14">
      <c r="A80" s="449">
        <f>MAX($A$11:A79)+1</f>
        <v>70</v>
      </c>
      <c r="B80" s="766" t="s">
        <v>907</v>
      </c>
      <c r="C80" s="767"/>
      <c r="D80" s="774">
        <f>SUM(D76:D79)</f>
        <v>18968.669999999998</v>
      </c>
      <c r="E80" s="774">
        <f>SUM(E76:E79)</f>
        <v>-18876.719999999998</v>
      </c>
      <c r="F80" s="774">
        <f>SUM(F76:F79)</f>
        <v>0</v>
      </c>
      <c r="G80" s="774">
        <f t="shared" ref="G80:N80" si="11">SUM(G76:G79)</f>
        <v>0</v>
      </c>
      <c r="H80" s="774">
        <f t="shared" si="11"/>
        <v>0</v>
      </c>
      <c r="I80" s="774">
        <f t="shared" si="11"/>
        <v>0</v>
      </c>
      <c r="J80" s="774">
        <f t="shared" si="11"/>
        <v>0</v>
      </c>
      <c r="K80" s="774">
        <f t="shared" si="11"/>
        <v>0</v>
      </c>
      <c r="L80" s="774">
        <f t="shared" si="11"/>
        <v>91.950000000000728</v>
      </c>
      <c r="M80" s="774">
        <f t="shared" si="11"/>
        <v>1.3984510373243273</v>
      </c>
      <c r="N80" s="774">
        <f t="shared" si="11"/>
        <v>1.4197198280126737</v>
      </c>
    </row>
    <row r="81" spans="1:14">
      <c r="A81" s="449">
        <f>MAX($A$11:A80)+1</f>
        <v>71</v>
      </c>
      <c r="B81" s="767"/>
      <c r="C81" s="767"/>
      <c r="D81" s="135"/>
      <c r="E81" s="135"/>
      <c r="F81" s="135"/>
      <c r="G81" s="135"/>
      <c r="H81" s="135"/>
      <c r="I81" s="135"/>
      <c r="J81" s="135"/>
      <c r="K81" s="135"/>
      <c r="L81" s="135"/>
      <c r="M81" s="135"/>
      <c r="N81" s="135"/>
    </row>
    <row r="82" spans="1:14">
      <c r="A82" s="449">
        <f>MAX($A$11:A81)+1</f>
        <v>72</v>
      </c>
      <c r="B82" s="766" t="s">
        <v>908</v>
      </c>
      <c r="C82" s="767"/>
      <c r="D82" s="135"/>
      <c r="E82" s="135"/>
      <c r="F82" s="135"/>
      <c r="G82" s="135"/>
      <c r="H82" s="135"/>
      <c r="I82" s="135"/>
      <c r="J82" s="135"/>
      <c r="K82" s="135"/>
      <c r="L82" s="135"/>
      <c r="M82" s="135"/>
      <c r="N82" s="135"/>
    </row>
    <row r="83" spans="1:14">
      <c r="A83" s="449">
        <f>MAX($A$11:A82)+1</f>
        <v>73</v>
      </c>
      <c r="B83" s="770" t="s">
        <v>909</v>
      </c>
      <c r="C83" s="769" t="s">
        <v>910</v>
      </c>
      <c r="D83" s="135">
        <f>'Operating Report'!F113</f>
        <v>9401904.8599999994</v>
      </c>
      <c r="E83" s="135">
        <v>-9401904.8599999975</v>
      </c>
      <c r="F83" s="135"/>
      <c r="G83" s="135"/>
      <c r="H83" s="135"/>
      <c r="I83" s="135"/>
      <c r="J83" s="135"/>
      <c r="K83" s="135"/>
      <c r="L83" s="135">
        <f t="shared" ref="L83:L93" si="12">SUM(D83:K83)</f>
        <v>0</v>
      </c>
      <c r="M83" s="135">
        <f t="shared" ref="M83:M93" si="13">L83*$H$24</f>
        <v>0</v>
      </c>
      <c r="N83" s="135">
        <f t="shared" ref="N83:N93" si="14">SUM(L83:M83)*$H$24</f>
        <v>0</v>
      </c>
    </row>
    <row r="84" spans="1:14">
      <c r="A84" s="449">
        <f>MAX($A$11:A83)+1</f>
        <v>74</v>
      </c>
      <c r="B84" s="770" t="s">
        <v>911</v>
      </c>
      <c r="C84" s="769" t="s">
        <v>912</v>
      </c>
      <c r="D84" s="135">
        <f>'Operating Report'!F114</f>
        <v>3175378.32</v>
      </c>
      <c r="E84" s="135"/>
      <c r="F84" s="135"/>
      <c r="G84" s="135"/>
      <c r="H84" s="135"/>
      <c r="I84" s="135"/>
      <c r="J84" s="135"/>
      <c r="K84" s="135"/>
      <c r="L84" s="135">
        <f t="shared" si="12"/>
        <v>3175378.32</v>
      </c>
      <c r="M84" s="135">
        <f t="shared" si="13"/>
        <v>48293.758624264752</v>
      </c>
      <c r="N84" s="135">
        <f t="shared" si="14"/>
        <v>49028.249726433249</v>
      </c>
    </row>
    <row r="85" spans="1:14">
      <c r="A85" s="449">
        <f>MAX($A$11:A84)+1</f>
        <v>75</v>
      </c>
      <c r="B85" s="770" t="s">
        <v>913</v>
      </c>
      <c r="C85" s="769" t="s">
        <v>914</v>
      </c>
      <c r="D85" s="135">
        <f>'Operating Report'!F115</f>
        <v>1250376.3799999999</v>
      </c>
      <c r="E85" s="135"/>
      <c r="F85" s="135"/>
      <c r="G85" s="135"/>
      <c r="H85" s="135"/>
      <c r="I85" s="135">
        <f>-D85</f>
        <v>-1250376.3799999999</v>
      </c>
      <c r="J85" s="135"/>
      <c r="K85" s="135"/>
      <c r="L85" s="135">
        <f t="shared" si="12"/>
        <v>0</v>
      </c>
      <c r="M85" s="135">
        <f t="shared" si="13"/>
        <v>0</v>
      </c>
      <c r="N85" s="135">
        <f t="shared" si="14"/>
        <v>0</v>
      </c>
    </row>
    <row r="86" spans="1:14">
      <c r="A86" s="449">
        <f>MAX($A$11:A85)+1</f>
        <v>76</v>
      </c>
      <c r="B86" s="770" t="s">
        <v>915</v>
      </c>
      <c r="C86" s="769" t="s">
        <v>916</v>
      </c>
      <c r="D86" s="135">
        <f>'Operating Report'!F116</f>
        <v>97331.09</v>
      </c>
      <c r="E86" s="135"/>
      <c r="F86" s="135"/>
      <c r="G86" s="135"/>
      <c r="H86" s="135"/>
      <c r="I86" s="135"/>
      <c r="J86" s="135"/>
      <c r="K86" s="135"/>
      <c r="L86" s="135">
        <f t="shared" si="12"/>
        <v>97331.09</v>
      </c>
      <c r="M86" s="135">
        <f t="shared" si="13"/>
        <v>1480.2910687809283</v>
      </c>
      <c r="N86" s="135">
        <f t="shared" si="14"/>
        <v>1502.8045498106035</v>
      </c>
    </row>
    <row r="87" spans="1:14">
      <c r="A87" s="449">
        <f>MAX($A$11:A86)+1</f>
        <v>77</v>
      </c>
      <c r="B87" s="770" t="s">
        <v>917</v>
      </c>
      <c r="C87" s="769" t="s">
        <v>918</v>
      </c>
      <c r="D87" s="135">
        <f>'Operating Report'!F117</f>
        <v>1998980.68</v>
      </c>
      <c r="E87" s="135">
        <v>-237259.13000000053</v>
      </c>
      <c r="F87" s="135"/>
      <c r="G87" s="135"/>
      <c r="H87" s="135"/>
      <c r="I87" s="135"/>
      <c r="J87" s="135"/>
      <c r="K87" s="135"/>
      <c r="L87" s="135">
        <f t="shared" si="12"/>
        <v>1761721.5499999993</v>
      </c>
      <c r="M87" s="135">
        <f t="shared" si="13"/>
        <v>26793.706678348026</v>
      </c>
      <c r="N87" s="135">
        <f t="shared" si="14"/>
        <v>27201.207351519311</v>
      </c>
    </row>
    <row r="88" spans="1:14">
      <c r="A88" s="449">
        <f>MAX($A$11:A87)+1</f>
        <v>78</v>
      </c>
      <c r="B88" s="770" t="s">
        <v>919</v>
      </c>
      <c r="C88" s="769" t="s">
        <v>920</v>
      </c>
      <c r="D88" s="135">
        <f>'Operating Report'!F118</f>
        <v>5353322.57</v>
      </c>
      <c r="E88" s="135">
        <v>-5227469.0799999824</v>
      </c>
      <c r="F88" s="135"/>
      <c r="G88" s="135"/>
      <c r="H88" s="135"/>
      <c r="I88" s="135"/>
      <c r="J88" s="135"/>
      <c r="K88" s="135"/>
      <c r="L88" s="135">
        <f t="shared" si="12"/>
        <v>125853.49000001792</v>
      </c>
      <c r="M88" s="135">
        <f t="shared" si="13"/>
        <v>1914.0831282371996</v>
      </c>
      <c r="N88" s="135">
        <f t="shared" si="14"/>
        <v>1943.1940747973767</v>
      </c>
    </row>
    <row r="89" spans="1:14">
      <c r="A89" s="449">
        <f>MAX($A$11:A88)+1</f>
        <v>79</v>
      </c>
      <c r="B89" s="770" t="s">
        <v>921</v>
      </c>
      <c r="C89" s="769" t="s">
        <v>922</v>
      </c>
      <c r="D89" s="135">
        <f>'Operating Report'!F119</f>
        <v>0</v>
      </c>
      <c r="E89" s="135"/>
      <c r="F89" s="135"/>
      <c r="G89" s="135"/>
      <c r="H89" s="135"/>
      <c r="I89" s="135"/>
      <c r="J89" s="135"/>
      <c r="K89" s="135"/>
      <c r="L89" s="135">
        <f t="shared" si="12"/>
        <v>0</v>
      </c>
      <c r="M89" s="135">
        <f t="shared" si="13"/>
        <v>0</v>
      </c>
      <c r="N89" s="135">
        <f t="shared" si="14"/>
        <v>0</v>
      </c>
    </row>
    <row r="90" spans="1:14">
      <c r="A90" s="449">
        <f>MAX($A$11:A89)+1</f>
        <v>80</v>
      </c>
      <c r="B90" s="770" t="s">
        <v>923</v>
      </c>
      <c r="C90" s="769" t="s">
        <v>924</v>
      </c>
      <c r="D90" s="135">
        <f>'Operating Report'!F120</f>
        <v>36573.93</v>
      </c>
      <c r="E90" s="135"/>
      <c r="F90" s="135"/>
      <c r="G90" s="135">
        <f>'Operating Report'!L120</f>
        <v>-36573.89</v>
      </c>
      <c r="H90" s="135"/>
      <c r="I90" s="135"/>
      <c r="J90" s="135"/>
      <c r="K90" s="135"/>
      <c r="L90" s="135">
        <f t="shared" si="12"/>
        <v>4.0000000000873115E-2</v>
      </c>
      <c r="M90" s="135">
        <f t="shared" si="13"/>
        <v>6.0835281668508592E-4</v>
      </c>
      <c r="N90" s="135">
        <f t="shared" si="14"/>
        <v>6.1760514542410095E-4</v>
      </c>
    </row>
    <row r="91" spans="1:14">
      <c r="A91" s="449">
        <f>MAX($A$11:A90)+1</f>
        <v>81</v>
      </c>
      <c r="B91" s="770" t="s">
        <v>925</v>
      </c>
      <c r="C91" s="769" t="s">
        <v>926</v>
      </c>
      <c r="D91" s="135">
        <f>'Operating Report'!F121</f>
        <v>512871.74</v>
      </c>
      <c r="E91" s="135"/>
      <c r="F91" s="135">
        <f>'Operating Report'!O121</f>
        <v>-160480.375</v>
      </c>
      <c r="G91" s="135"/>
      <c r="H91" s="135"/>
      <c r="I91" s="135"/>
      <c r="J91" s="135"/>
      <c r="K91" s="135"/>
      <c r="L91" s="135">
        <f t="shared" si="12"/>
        <v>352391.36499999999</v>
      </c>
      <c r="M91" s="135">
        <f t="shared" si="13"/>
        <v>5359.45698671432</v>
      </c>
      <c r="N91" s="135">
        <f t="shared" si="14"/>
        <v>5440.968005556796</v>
      </c>
    </row>
    <row r="92" spans="1:14">
      <c r="A92" s="449">
        <f>MAX($A$11:A91)+1</f>
        <v>82</v>
      </c>
      <c r="B92" s="770" t="s">
        <v>927</v>
      </c>
      <c r="C92" s="769" t="s">
        <v>855</v>
      </c>
      <c r="D92" s="135">
        <f>'Operating Report'!F122</f>
        <v>1611424.68</v>
      </c>
      <c r="E92" s="135"/>
      <c r="F92" s="135"/>
      <c r="G92" s="135"/>
      <c r="H92" s="135"/>
      <c r="I92" s="135"/>
      <c r="J92" s="135"/>
      <c r="K92" s="135"/>
      <c r="L92" s="135">
        <f t="shared" si="12"/>
        <v>1611424.68</v>
      </c>
      <c r="M92" s="135">
        <f t="shared" si="13"/>
        <v>24507.868573311625</v>
      </c>
      <c r="N92" s="135">
        <f t="shared" si="14"/>
        <v>24880.604345241543</v>
      </c>
    </row>
    <row r="93" spans="1:14">
      <c r="A93" s="449">
        <f>MAX($A$11:A92)+1</f>
        <v>83</v>
      </c>
      <c r="B93" s="772">
        <v>935</v>
      </c>
      <c r="C93" s="769" t="s">
        <v>928</v>
      </c>
      <c r="D93" s="135">
        <f>'Operating Report'!F123</f>
        <v>91713.5</v>
      </c>
      <c r="E93" s="655">
        <v>-497.51</v>
      </c>
      <c r="F93" s="655"/>
      <c r="G93" s="655"/>
      <c r="H93" s="655"/>
      <c r="I93" s="655"/>
      <c r="J93" s="655"/>
      <c r="K93" s="655"/>
      <c r="L93" s="655">
        <f t="shared" si="12"/>
        <v>91215.99</v>
      </c>
      <c r="M93" s="655">
        <f t="shared" si="13"/>
        <v>1387.2876110501843</v>
      </c>
      <c r="N93" s="655">
        <f t="shared" si="14"/>
        <v>1408.3866191930913</v>
      </c>
    </row>
    <row r="94" spans="1:14">
      <c r="A94" s="449">
        <f>MAX($A$11:A93)+1</f>
        <v>84</v>
      </c>
      <c r="B94" s="767"/>
      <c r="C94" s="767"/>
      <c r="D94" s="774">
        <f>SUM(D83:D93)</f>
        <v>23529877.749999996</v>
      </c>
      <c r="E94" s="774">
        <f>SUM(E83:E93)</f>
        <v>-14867130.579999981</v>
      </c>
      <c r="F94" s="774">
        <f>SUM(F83:F93)</f>
        <v>-160480.375</v>
      </c>
      <c r="G94" s="774">
        <f t="shared" ref="G94:N94" si="15">SUM(G83:G93)</f>
        <v>-36573.89</v>
      </c>
      <c r="H94" s="774">
        <f t="shared" si="15"/>
        <v>0</v>
      </c>
      <c r="I94" s="774">
        <f t="shared" si="15"/>
        <v>-1250376.3799999999</v>
      </c>
      <c r="J94" s="774">
        <f t="shared" si="15"/>
        <v>0</v>
      </c>
      <c r="K94" s="774">
        <f t="shared" si="15"/>
        <v>0</v>
      </c>
      <c r="L94" s="774">
        <f t="shared" si="15"/>
        <v>7215316.5250000171</v>
      </c>
      <c r="M94" s="774">
        <f t="shared" si="15"/>
        <v>109736.45327905985</v>
      </c>
      <c r="N94" s="774">
        <f t="shared" si="15"/>
        <v>111405.41529015711</v>
      </c>
    </row>
    <row r="95" spans="1:14">
      <c r="A95" s="449">
        <f>MAX($A$11:A94)+1</f>
        <v>85</v>
      </c>
      <c r="B95" s="770" t="s">
        <v>929</v>
      </c>
      <c r="C95" s="769" t="s">
        <v>930</v>
      </c>
      <c r="D95" s="135">
        <f>'Operating Report'!F125</f>
        <v>0</v>
      </c>
      <c r="E95" s="655"/>
      <c r="F95" s="135"/>
      <c r="G95" s="135"/>
      <c r="H95" s="135"/>
      <c r="I95" s="135"/>
      <c r="J95" s="135"/>
      <c r="K95" s="135"/>
      <c r="L95" s="135"/>
      <c r="M95" s="135"/>
      <c r="N95" s="135"/>
    </row>
    <row r="96" spans="1:14">
      <c r="A96" s="449">
        <f>MAX($A$11:A95)+1</f>
        <v>86</v>
      </c>
      <c r="B96" s="766" t="s">
        <v>931</v>
      </c>
      <c r="C96" s="767"/>
      <c r="D96" s="518">
        <f>D94+D95</f>
        <v>23529877.749999996</v>
      </c>
      <c r="E96" s="518">
        <f>E94+E95</f>
        <v>-14867130.579999981</v>
      </c>
      <c r="F96" s="518">
        <f>F94+F95</f>
        <v>-160480.375</v>
      </c>
      <c r="G96" s="518">
        <f t="shared" ref="G96:N96" si="16">G94+G95</f>
        <v>-36573.89</v>
      </c>
      <c r="H96" s="518">
        <f t="shared" si="16"/>
        <v>0</v>
      </c>
      <c r="I96" s="518">
        <f t="shared" si="16"/>
        <v>-1250376.3799999999</v>
      </c>
      <c r="J96" s="518">
        <f t="shared" si="16"/>
        <v>0</v>
      </c>
      <c r="K96" s="518">
        <f t="shared" si="16"/>
        <v>0</v>
      </c>
      <c r="L96" s="518">
        <f t="shared" si="16"/>
        <v>7215316.5250000171</v>
      </c>
      <c r="M96" s="518">
        <f t="shared" si="16"/>
        <v>109736.45327905985</v>
      </c>
      <c r="N96" s="518">
        <f t="shared" si="16"/>
        <v>111405.41529015711</v>
      </c>
    </row>
    <row r="97" spans="1:14">
      <c r="A97" s="449">
        <f>MAX($A$11:A96)+1</f>
        <v>87</v>
      </c>
      <c r="B97" s="767"/>
      <c r="C97" s="767"/>
      <c r="D97" s="135"/>
      <c r="E97" s="135"/>
      <c r="F97" s="135"/>
      <c r="G97" s="135"/>
      <c r="H97" s="135"/>
      <c r="I97" s="135"/>
      <c r="J97" s="135"/>
      <c r="K97" s="135"/>
      <c r="L97" s="135"/>
      <c r="M97" s="135"/>
      <c r="N97" s="135"/>
    </row>
    <row r="98" spans="1:14" ht="15.75" thickBot="1">
      <c r="A98" s="449">
        <f>MAX($A$11:A97)+1</f>
        <v>88</v>
      </c>
      <c r="B98" s="1400" t="s">
        <v>932</v>
      </c>
      <c r="C98" s="1400"/>
      <c r="D98" s="775">
        <f>D58+D66+D73+D80+D96+D28</f>
        <v>62893666.960000008</v>
      </c>
      <c r="E98" s="775">
        <f>E58+E66+E73+E80+E96+E28</f>
        <v>-35064959.869999982</v>
      </c>
      <c r="F98" s="775">
        <f>F58+F66+F73+F80+F96+F28</f>
        <v>-160480.375</v>
      </c>
      <c r="G98" s="775">
        <f t="shared" ref="G98:M98" si="17">G58+G66+G73+G80+G96+G28</f>
        <v>-36573.89</v>
      </c>
      <c r="H98" s="775">
        <f t="shared" si="17"/>
        <v>-2527969.04</v>
      </c>
      <c r="I98" s="775">
        <f>I58+I66+I73+I80+I96+I28</f>
        <v>-1250376.3799999999</v>
      </c>
      <c r="J98" s="775">
        <f t="shared" si="17"/>
        <v>-1342706.2349999999</v>
      </c>
      <c r="K98" s="775">
        <f t="shared" si="17"/>
        <v>-8150919.2300000004</v>
      </c>
      <c r="L98" s="775">
        <f t="shared" si="17"/>
        <v>14359681.940000014</v>
      </c>
      <c r="M98" s="775">
        <f t="shared" si="17"/>
        <v>218393.82386775711</v>
      </c>
      <c r="N98" s="775">
        <f>N58+N66+N73+N80+N96+N28</f>
        <v>221715.33631509906</v>
      </c>
    </row>
    <row r="99" spans="1:14" ht="15.75" thickTop="1"/>
  </sheetData>
  <mergeCells count="1">
    <mergeCell ref="B98:C98"/>
  </mergeCells>
  <pageMargins left="0.7" right="0.7" top="0.75" bottom="0.75" header="0.3" footer="0.3"/>
  <pageSetup scale="45" orientation="landscape" r:id="rId1"/>
  <headerFooter>
    <oddHeader>&amp;RPage  &amp;P of &amp;N</oddHeader>
    <oddFooter>&amp;LElectronic Tab Name: &amp;A</oddFooter>
  </headerFooter>
  <rowBreaks count="1" manualBreakCount="1">
    <brk id="44" max="1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9EBE-CEB6-41C2-9CF8-B95D4096B1C6}">
  <sheetPr codeName="Sheet74"/>
  <dimension ref="A1:D15"/>
  <sheetViews>
    <sheetView zoomScaleNormal="100" workbookViewId="0">
      <selection activeCell="C10" sqref="C10"/>
    </sheetView>
  </sheetViews>
  <sheetFormatPr defaultRowHeight="15"/>
  <cols>
    <col min="1" max="1" width="7.28515625" bestFit="1" customWidth="1"/>
    <col min="2" max="2" width="52.140625" customWidth="1"/>
    <col min="3" max="3" width="12.85546875" bestFit="1" customWidth="1"/>
    <col min="5" max="5" width="16.28515625" bestFit="1" customWidth="1"/>
  </cols>
  <sheetData>
    <row r="1" spans="1:4">
      <c r="A1" s="1402" t="str">
        <f>Company</f>
        <v>Cascade Natural Gas Corp.</v>
      </c>
      <c r="B1" s="1402"/>
      <c r="C1" s="1402"/>
      <c r="D1" s="1402"/>
    </row>
    <row r="2" spans="1:4">
      <c r="A2" s="1402" t="str">
        <f>Title1</f>
        <v>Washington Jurisdiction</v>
      </c>
      <c r="B2" s="1402"/>
      <c r="C2" s="1402"/>
      <c r="D2" s="1402"/>
    </row>
    <row r="3" spans="1:4">
      <c r="A3" s="1402" t="str">
        <f>Title2</f>
        <v>Twelve-Months ended December 31, 2023</v>
      </c>
      <c r="B3" s="1402"/>
      <c r="C3" s="1402"/>
      <c r="D3" s="1402"/>
    </row>
    <row r="4" spans="1:4">
      <c r="A4" s="1402" t="str">
        <f>Title8</f>
        <v>UG-240008</v>
      </c>
      <c r="B4" s="1402"/>
      <c r="C4" s="1402"/>
      <c r="D4" s="1402"/>
    </row>
    <row r="5" spans="1:4">
      <c r="A5" s="1402" t="s">
        <v>698</v>
      </c>
      <c r="B5" s="1402"/>
      <c r="C5" s="1402"/>
      <c r="D5" s="1402"/>
    </row>
    <row r="6" spans="1:4">
      <c r="A6" s="1402" t="s">
        <v>697</v>
      </c>
      <c r="B6" s="1402"/>
      <c r="C6" s="1402"/>
      <c r="D6" s="1402"/>
    </row>
    <row r="8" spans="1:4">
      <c r="A8" s="531" t="s">
        <v>536</v>
      </c>
      <c r="B8" s="531" t="s">
        <v>537</v>
      </c>
      <c r="C8" s="531" t="s">
        <v>369</v>
      </c>
    </row>
    <row r="9" spans="1:4">
      <c r="B9" s="449" t="s">
        <v>439</v>
      </c>
      <c r="C9" s="449" t="s">
        <v>208</v>
      </c>
    </row>
    <row r="10" spans="1:4">
      <c r="A10" s="449">
        <v>1</v>
      </c>
      <c r="B10" t="s">
        <v>1469</v>
      </c>
      <c r="C10" s="546">
        <v>161154.26999999999</v>
      </c>
    </row>
    <row r="11" spans="1:4">
      <c r="A11" s="124">
        <v>2</v>
      </c>
      <c r="B11" t="s">
        <v>1423</v>
      </c>
      <c r="C11" s="755">
        <f>'Exh JAD-8, State Allocators'!H14</f>
        <v>0.75049999999999994</v>
      </c>
    </row>
    <row r="12" spans="1:4">
      <c r="A12" s="449">
        <v>3</v>
      </c>
      <c r="B12" s="520" t="s">
        <v>1470</v>
      </c>
      <c r="C12" s="546">
        <f>C10*C11</f>
        <v>120946.27963499998</v>
      </c>
    </row>
    <row r="13" spans="1:4">
      <c r="A13" s="124"/>
      <c r="C13" s="762"/>
    </row>
    <row r="14" spans="1:4">
      <c r="A14" s="124"/>
      <c r="C14" s="522"/>
    </row>
    <row r="15" spans="1:4">
      <c r="A15" s="124"/>
    </row>
  </sheetData>
  <mergeCells count="6">
    <mergeCell ref="A6:D6"/>
    <mergeCell ref="A1:D1"/>
    <mergeCell ref="A2:D2"/>
    <mergeCell ref="A3:D3"/>
    <mergeCell ref="A4:D4"/>
    <mergeCell ref="A5:D5"/>
  </mergeCells>
  <pageMargins left="0.7" right="0.7" top="0.75" bottom="0.75" header="0.3" footer="0.3"/>
  <pageSetup orientation="portrait" r:id="rId1"/>
  <headerFooter>
    <oddHeader>&amp;RPage &amp;P of &amp;N</oddHeader>
    <oddFooter>&amp;LElectronic Tab Name: &amp;A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E918-E8A4-457C-B7AF-04C612A67CEF}">
  <sheetPr codeName="Sheet75"/>
  <dimension ref="A1:D11"/>
  <sheetViews>
    <sheetView topLeftCell="A7" workbookViewId="0">
      <selection activeCell="A19" sqref="A19:A838"/>
    </sheetView>
  </sheetViews>
  <sheetFormatPr defaultRowHeight="15"/>
  <cols>
    <col min="1" max="1" width="7.28515625" bestFit="1" customWidth="1"/>
    <col min="2" max="2" width="43.42578125" bestFit="1" customWidth="1"/>
    <col min="3" max="3" width="12.28515625" bestFit="1" customWidth="1"/>
  </cols>
  <sheetData>
    <row r="1" spans="1:4">
      <c r="A1" s="1402" t="str">
        <f>Company</f>
        <v>Cascade Natural Gas Corp.</v>
      </c>
      <c r="B1" s="1402"/>
      <c r="C1" s="1402"/>
      <c r="D1" s="1402"/>
    </row>
    <row r="2" spans="1:4">
      <c r="A2" s="1402" t="str">
        <f>Title1</f>
        <v>Washington Jurisdiction</v>
      </c>
      <c r="B2" s="1402"/>
      <c r="C2" s="1402"/>
      <c r="D2" s="1402"/>
    </row>
    <row r="3" spans="1:4">
      <c r="A3" s="1402" t="str">
        <f>Title2</f>
        <v>Twelve-Months ended December 31, 2023</v>
      </c>
      <c r="B3" s="1402"/>
      <c r="C3" s="1402"/>
      <c r="D3" s="1402"/>
    </row>
    <row r="4" spans="1:4">
      <c r="A4" s="1402" t="str">
        <f>Title8</f>
        <v>UG-240008</v>
      </c>
      <c r="B4" s="1402"/>
      <c r="C4" s="1402"/>
      <c r="D4" s="1402"/>
    </row>
    <row r="5" spans="1:4">
      <c r="A5" s="1402" t="s">
        <v>700</v>
      </c>
      <c r="B5" s="1402"/>
      <c r="C5" s="1402"/>
      <c r="D5" s="1402"/>
    </row>
    <row r="6" spans="1:4">
      <c r="A6" s="1402" t="s">
        <v>699</v>
      </c>
      <c r="B6" s="1402"/>
      <c r="C6" s="1402"/>
      <c r="D6" s="1402"/>
    </row>
    <row r="8" spans="1:4">
      <c r="A8" s="531" t="s">
        <v>536</v>
      </c>
      <c r="B8" s="531" t="s">
        <v>537</v>
      </c>
      <c r="C8" s="531" t="s">
        <v>369</v>
      </c>
    </row>
    <row r="9" spans="1:4">
      <c r="B9" s="449" t="s">
        <v>439</v>
      </c>
      <c r="C9" s="449" t="s">
        <v>208</v>
      </c>
    </row>
    <row r="11" spans="1:4" ht="30">
      <c r="A11" s="449">
        <v>1</v>
      </c>
      <c r="B11" s="553" t="s">
        <v>1471</v>
      </c>
      <c r="C11" s="546">
        <v>350000</v>
      </c>
    </row>
  </sheetData>
  <mergeCells count="6">
    <mergeCell ref="A6:D6"/>
    <mergeCell ref="A1:D1"/>
    <mergeCell ref="A2:D2"/>
    <mergeCell ref="A3:D3"/>
    <mergeCell ref="A4:D4"/>
    <mergeCell ref="A5:D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P214"/>
  <sheetViews>
    <sheetView topLeftCell="W1" workbookViewId="0">
      <selection activeCell="B133" sqref="B133"/>
    </sheetView>
  </sheetViews>
  <sheetFormatPr defaultColWidth="9.140625" defaultRowHeight="15"/>
  <cols>
    <col min="1" max="1" width="6.28515625" style="323" customWidth="1"/>
    <col min="2" max="2" width="49.5703125" style="53" customWidth="1"/>
    <col min="3" max="3" width="10" style="53" customWidth="1"/>
    <col min="4" max="4" width="16.7109375" style="53" customWidth="1"/>
    <col min="5" max="5" width="14.28515625" style="53" bestFit="1" customWidth="1"/>
    <col min="6" max="6" width="15.85546875" style="53" customWidth="1"/>
    <col min="7" max="7" width="16.28515625" style="53" customWidth="1"/>
    <col min="8" max="8" width="15.85546875" style="53" customWidth="1"/>
    <col min="9" max="9" width="15.140625" style="53" customWidth="1"/>
    <col min="10" max="10" width="15.85546875" style="53" customWidth="1"/>
    <col min="11" max="11" width="14.28515625" style="53" customWidth="1"/>
    <col min="12" max="12" width="15.85546875" style="53" customWidth="1"/>
    <col min="13" max="13" width="14.28515625" style="53" customWidth="1"/>
    <col min="14" max="14" width="15.85546875" style="53" customWidth="1"/>
    <col min="15" max="15" width="14.28515625" style="53" customWidth="1"/>
    <col min="16" max="16" width="15.85546875" style="53" customWidth="1"/>
    <col min="17" max="17" width="16.42578125" style="53" customWidth="1"/>
    <col min="18" max="20" width="15.85546875" style="53" customWidth="1"/>
    <col min="21" max="21" width="15.140625" style="53" customWidth="1"/>
    <col min="22" max="22" width="16.28515625" style="53" customWidth="1"/>
    <col min="23" max="23" width="16" style="53" customWidth="1"/>
    <col min="24" max="24" width="15.85546875" style="53" customWidth="1"/>
    <col min="25" max="25" width="16.42578125" style="53" customWidth="1"/>
    <col min="26" max="26" width="15.85546875" style="53" bestFit="1" customWidth="1"/>
    <col min="27" max="27" width="14.28515625" style="53" bestFit="1" customWidth="1"/>
    <col min="28" max="28" width="15.85546875" style="53" bestFit="1" customWidth="1"/>
    <col min="29" max="29" width="14.28515625" style="53" bestFit="1" customWidth="1"/>
    <col min="30" max="30" width="18.7109375" style="53" customWidth="1"/>
    <col min="31" max="32" width="20.85546875" style="53" customWidth="1"/>
    <col min="33" max="33" width="35.42578125" style="53" customWidth="1"/>
    <col min="34" max="35" width="13.42578125" style="53" customWidth="1"/>
    <col min="36" max="36" width="16" style="53" customWidth="1"/>
    <col min="37" max="37" width="12.5703125" style="53" customWidth="1"/>
    <col min="38" max="38" width="38.140625" style="53" bestFit="1" customWidth="1"/>
    <col min="39" max="39" width="16" style="555" bestFit="1" customWidth="1"/>
    <col min="40" max="40" width="15" style="53" bestFit="1" customWidth="1"/>
    <col min="41" max="41" width="13.7109375" style="555" bestFit="1" customWidth="1"/>
    <col min="42" max="42" width="14.28515625" style="53" bestFit="1" customWidth="1"/>
    <col min="43" max="16384" width="9.140625" style="53"/>
  </cols>
  <sheetData>
    <row r="1" spans="1:36">
      <c r="A1" s="1402" t="str">
        <f>Company</f>
        <v>Cascade Natural Gas Corp.</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H1" s="91"/>
      <c r="AI1" s="91"/>
      <c r="AJ1" s="91"/>
    </row>
    <row r="2" spans="1:36">
      <c r="A2" s="1402" t="str">
        <f>Title1</f>
        <v>Washington Jurisdiction</v>
      </c>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427"/>
      <c r="AG2" s="91"/>
      <c r="AH2" s="91"/>
      <c r="AI2" s="91"/>
      <c r="AJ2" s="91"/>
    </row>
    <row r="3" spans="1:36">
      <c r="A3" s="1402" t="str">
        <f>Title2</f>
        <v>Twelve-Months ended December 31, 2023</v>
      </c>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427"/>
      <c r="AG3" s="91"/>
      <c r="AH3" s="91"/>
      <c r="AI3" s="91"/>
      <c r="AJ3" s="91"/>
    </row>
    <row r="4" spans="1:36">
      <c r="A4" s="1402" t="str">
        <f>Title8</f>
        <v>UG-240008</v>
      </c>
      <c r="B4" s="1402"/>
      <c r="C4" s="1402"/>
      <c r="D4" s="1402"/>
      <c r="E4" s="1402"/>
      <c r="F4" s="1402"/>
      <c r="G4" s="1402"/>
      <c r="H4" s="1402"/>
      <c r="I4" s="1402"/>
      <c r="J4" s="1402"/>
      <c r="K4" s="1402"/>
      <c r="L4" s="1402"/>
      <c r="M4" s="1402"/>
      <c r="N4" s="1402"/>
      <c r="O4" s="1402"/>
      <c r="P4" s="1402"/>
      <c r="Q4" s="1402"/>
      <c r="R4" s="1402"/>
      <c r="S4" s="1402"/>
      <c r="T4" s="1402"/>
      <c r="U4" s="1402"/>
      <c r="V4" s="1402"/>
      <c r="W4" s="1402"/>
      <c r="X4" s="1402"/>
      <c r="Y4" s="1402"/>
      <c r="Z4" s="1402"/>
      <c r="AA4" s="1402"/>
      <c r="AB4" s="1402"/>
      <c r="AC4" s="1402"/>
      <c r="AD4" s="1402"/>
      <c r="AE4" s="1402"/>
      <c r="AF4" s="427"/>
      <c r="AG4" s="91"/>
      <c r="AH4" s="91"/>
      <c r="AI4" s="91"/>
      <c r="AJ4" s="91"/>
    </row>
    <row r="5" spans="1:36">
      <c r="A5" s="1402" t="s">
        <v>702</v>
      </c>
      <c r="B5" s="1402"/>
      <c r="C5" s="1402"/>
      <c r="D5" s="1402"/>
      <c r="E5" s="1402"/>
      <c r="F5" s="1402"/>
      <c r="G5" s="1402"/>
      <c r="H5" s="1402"/>
      <c r="I5" s="1402"/>
      <c r="J5" s="1402"/>
      <c r="K5" s="1402"/>
      <c r="L5" s="1402"/>
      <c r="M5" s="1402"/>
      <c r="N5" s="1402"/>
      <c r="O5" s="1402"/>
      <c r="P5" s="1402"/>
      <c r="Q5" s="1402"/>
      <c r="R5" s="1402"/>
      <c r="S5" s="1402"/>
      <c r="T5" s="1402"/>
      <c r="U5" s="1402"/>
      <c r="V5" s="1402"/>
      <c r="W5" s="1402"/>
      <c r="X5" s="1402"/>
      <c r="Y5" s="1402"/>
      <c r="Z5" s="1402"/>
      <c r="AA5" s="1402"/>
      <c r="AB5" s="1402"/>
      <c r="AC5" s="1402"/>
      <c r="AD5" s="1402"/>
      <c r="AE5" s="1402"/>
      <c r="AF5" s="427"/>
      <c r="AG5" s="91"/>
      <c r="AH5" s="91"/>
      <c r="AI5" s="91"/>
      <c r="AJ5" s="91"/>
    </row>
    <row r="6" spans="1:36">
      <c r="A6" s="1402" t="s">
        <v>701</v>
      </c>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2"/>
      <c r="Z6" s="1402"/>
      <c r="AA6" s="1402"/>
      <c r="AB6" s="1402"/>
      <c r="AC6" s="1402"/>
      <c r="AD6" s="1402"/>
      <c r="AE6" s="1402"/>
      <c r="AF6" s="427"/>
      <c r="AG6" s="91"/>
      <c r="AH6" s="91"/>
      <c r="AI6" s="91"/>
      <c r="AJ6" s="91"/>
    </row>
    <row r="7" spans="1:36">
      <c r="A7" s="427"/>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91"/>
      <c r="AH7" s="91"/>
      <c r="AI7" s="91"/>
      <c r="AJ7" s="91"/>
    </row>
    <row r="8" spans="1:36" ht="30">
      <c r="A8" s="172" t="s">
        <v>536</v>
      </c>
      <c r="B8" s="67" t="s">
        <v>1472</v>
      </c>
      <c r="C8" s="67" t="s">
        <v>1473</v>
      </c>
      <c r="D8" s="67" t="s">
        <v>1474</v>
      </c>
      <c r="E8" s="67" t="s">
        <v>1475</v>
      </c>
      <c r="F8" s="67" t="s">
        <v>1476</v>
      </c>
      <c r="G8" s="67" t="s">
        <v>1477</v>
      </c>
      <c r="H8" s="67" t="s">
        <v>1478</v>
      </c>
      <c r="I8" s="67" t="s">
        <v>1479</v>
      </c>
      <c r="J8" s="67" t="s">
        <v>1480</v>
      </c>
      <c r="K8" s="67" t="s">
        <v>1481</v>
      </c>
      <c r="L8" s="67" t="s">
        <v>1482</v>
      </c>
      <c r="M8" s="67" t="s">
        <v>1483</v>
      </c>
      <c r="N8" s="67" t="s">
        <v>1484</v>
      </c>
      <c r="O8" s="67" t="s">
        <v>1485</v>
      </c>
      <c r="P8" s="67" t="s">
        <v>1486</v>
      </c>
      <c r="Q8" s="67" t="s">
        <v>1487</v>
      </c>
      <c r="R8" s="67" t="s">
        <v>1488</v>
      </c>
      <c r="S8" s="67" t="s">
        <v>1489</v>
      </c>
      <c r="T8" s="67" t="s">
        <v>1490</v>
      </c>
      <c r="U8" s="67" t="s">
        <v>1491</v>
      </c>
      <c r="V8" s="67" t="s">
        <v>1492</v>
      </c>
      <c r="W8" s="67" t="s">
        <v>1493</v>
      </c>
      <c r="X8" s="67" t="s">
        <v>1494</v>
      </c>
      <c r="Y8" s="67" t="s">
        <v>1495</v>
      </c>
      <c r="Z8" s="67" t="s">
        <v>1496</v>
      </c>
      <c r="AA8" s="67" t="s">
        <v>1497</v>
      </c>
      <c r="AB8" s="67" t="s">
        <v>1498</v>
      </c>
      <c r="AC8" s="67" t="s">
        <v>1499</v>
      </c>
      <c r="AD8" s="67" t="s">
        <v>1500</v>
      </c>
      <c r="AE8" s="67" t="s">
        <v>1501</v>
      </c>
      <c r="AF8" s="545"/>
    </row>
    <row r="9" spans="1:36">
      <c r="A9" s="60"/>
      <c r="B9" s="60" t="s">
        <v>439</v>
      </c>
      <c r="C9" s="60" t="s">
        <v>208</v>
      </c>
      <c r="D9" s="60" t="s">
        <v>209</v>
      </c>
      <c r="E9" s="60" t="s">
        <v>440</v>
      </c>
      <c r="F9" s="60" t="s">
        <v>441</v>
      </c>
      <c r="G9" s="60" t="s">
        <v>442</v>
      </c>
      <c r="H9" s="60" t="s">
        <v>443</v>
      </c>
      <c r="I9" s="60" t="s">
        <v>444</v>
      </c>
      <c r="J9" s="60" t="s">
        <v>445</v>
      </c>
      <c r="K9" s="60" t="s">
        <v>446</v>
      </c>
      <c r="L9" s="60" t="s">
        <v>447</v>
      </c>
      <c r="M9" s="60" t="s">
        <v>448</v>
      </c>
      <c r="N9" s="60" t="s">
        <v>449</v>
      </c>
      <c r="O9" s="60" t="s">
        <v>450</v>
      </c>
      <c r="P9" s="60" t="s">
        <v>451</v>
      </c>
      <c r="Q9" s="60" t="s">
        <v>452</v>
      </c>
      <c r="R9" s="60" t="s">
        <v>1502</v>
      </c>
      <c r="S9" s="60" t="s">
        <v>1503</v>
      </c>
      <c r="T9" s="60" t="s">
        <v>1504</v>
      </c>
      <c r="U9" s="60" t="s">
        <v>1505</v>
      </c>
      <c r="V9" s="60" t="s">
        <v>1506</v>
      </c>
      <c r="W9" s="60" t="s">
        <v>1507</v>
      </c>
      <c r="X9" s="60" t="s">
        <v>1508</v>
      </c>
      <c r="Y9" s="60" t="s">
        <v>1509</v>
      </c>
      <c r="Z9" s="60" t="s">
        <v>1510</v>
      </c>
      <c r="AA9" s="60" t="s">
        <v>1511</v>
      </c>
      <c r="AB9" s="60" t="s">
        <v>1512</v>
      </c>
      <c r="AC9" s="60" t="s">
        <v>1513</v>
      </c>
      <c r="AD9" s="60" t="s">
        <v>1514</v>
      </c>
      <c r="AE9" s="60" t="s">
        <v>1515</v>
      </c>
      <c r="AF9" s="124"/>
    </row>
    <row r="10" spans="1:36">
      <c r="A10" s="124">
        <v>1</v>
      </c>
      <c r="B10" s="10" t="s">
        <v>1516</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6">
      <c r="A11" s="124">
        <v>2</v>
      </c>
      <c r="B11" t="s">
        <v>1517</v>
      </c>
      <c r="C11" s="781" t="s">
        <v>1518</v>
      </c>
      <c r="D11" s="782">
        <v>73666.720000000001</v>
      </c>
      <c r="E11" s="782">
        <v>73666.720000000001</v>
      </c>
      <c r="F11" s="782">
        <v>73666.720000000001</v>
      </c>
      <c r="G11" s="782">
        <v>73666.720000000001</v>
      </c>
      <c r="H11" s="782">
        <v>73666.720000000001</v>
      </c>
      <c r="I11" s="782">
        <v>73666.720000000001</v>
      </c>
      <c r="J11" s="782">
        <v>73666.720000000001</v>
      </c>
      <c r="K11" s="782">
        <v>73666.720000000001</v>
      </c>
      <c r="L11" s="782">
        <v>73666.720000000001</v>
      </c>
      <c r="M11" s="782">
        <v>73666.720000000001</v>
      </c>
      <c r="N11" s="782">
        <v>73666.720000000001</v>
      </c>
      <c r="O11" s="782">
        <v>73666.720000000001</v>
      </c>
      <c r="P11" s="782">
        <v>73666.720000000001</v>
      </c>
      <c r="Q11" s="782">
        <v>73666.720000000001</v>
      </c>
      <c r="R11" s="782">
        <v>73666.720000000001</v>
      </c>
      <c r="S11" s="782">
        <v>73666.720000000001</v>
      </c>
      <c r="T11" s="782">
        <v>73666.720000000001</v>
      </c>
      <c r="U11" s="782">
        <v>73666.720000000001</v>
      </c>
      <c r="V11" s="782">
        <v>73666.720000000001</v>
      </c>
      <c r="W11" s="782">
        <v>73666.720000000001</v>
      </c>
      <c r="X11" s="782">
        <v>73666.720000000001</v>
      </c>
      <c r="Y11" s="782">
        <v>73666.720000000001</v>
      </c>
      <c r="Z11" s="782">
        <v>73666.720000000001</v>
      </c>
      <c r="AA11" s="782">
        <v>73666.720000000001</v>
      </c>
      <c r="AB11" s="782">
        <v>73666.720000000001</v>
      </c>
      <c r="AC11" s="782">
        <v>73666.720000000001</v>
      </c>
      <c r="AD11" s="782">
        <f t="shared" ref="AD11:AE49" si="0">+(D11+AB11+(+F11+H11+J11+L11+N11+P11+R11+T11+V11+X11+Z11)*2)/24</f>
        <v>73666.719999999987</v>
      </c>
      <c r="AE11" s="782">
        <f t="shared" si="0"/>
        <v>73666.719999999987</v>
      </c>
      <c r="AF11" s="177"/>
    </row>
    <row r="12" spans="1:36">
      <c r="A12" s="124">
        <v>3</v>
      </c>
      <c r="B12" t="s">
        <v>1519</v>
      </c>
      <c r="C12" s="781" t="s">
        <v>1518</v>
      </c>
      <c r="D12" s="782">
        <v>113374.44</v>
      </c>
      <c r="E12" s="782">
        <v>24195.31</v>
      </c>
      <c r="F12" s="782">
        <v>113374.44</v>
      </c>
      <c r="G12" s="782">
        <v>24431.510000000002</v>
      </c>
      <c r="H12" s="782">
        <v>113374.44</v>
      </c>
      <c r="I12" s="782">
        <v>24667.71</v>
      </c>
      <c r="J12" s="782">
        <v>113374.44</v>
      </c>
      <c r="K12" s="782">
        <v>24903.91</v>
      </c>
      <c r="L12" s="782">
        <v>113374.44</v>
      </c>
      <c r="M12" s="782">
        <v>25140.11</v>
      </c>
      <c r="N12" s="782">
        <v>113374.44</v>
      </c>
      <c r="O12" s="782">
        <v>25376.31</v>
      </c>
      <c r="P12" s="782">
        <v>113374.44</v>
      </c>
      <c r="Q12" s="782">
        <v>25612.510000000002</v>
      </c>
      <c r="R12" s="782">
        <v>113374.44</v>
      </c>
      <c r="S12" s="782">
        <v>25848.71</v>
      </c>
      <c r="T12" s="782">
        <v>113374.44</v>
      </c>
      <c r="U12" s="782">
        <v>26084.91</v>
      </c>
      <c r="V12" s="782">
        <v>113374.44</v>
      </c>
      <c r="W12" s="782">
        <v>26321.11</v>
      </c>
      <c r="X12" s="782">
        <v>113374.44</v>
      </c>
      <c r="Y12" s="782">
        <v>26557.31</v>
      </c>
      <c r="Z12" s="782">
        <v>113374.44</v>
      </c>
      <c r="AA12" s="782">
        <v>26793.510000000002</v>
      </c>
      <c r="AB12" s="782">
        <v>113374.44</v>
      </c>
      <c r="AC12" s="782">
        <v>27029.71</v>
      </c>
      <c r="AD12" s="782">
        <f t="shared" si="0"/>
        <v>113374.43999999996</v>
      </c>
      <c r="AE12" s="782">
        <f t="shared" si="0"/>
        <v>25612.51</v>
      </c>
      <c r="AF12" s="177"/>
    </row>
    <row r="13" spans="1:36">
      <c r="A13" s="124">
        <v>4</v>
      </c>
      <c r="B13" t="s">
        <v>1520</v>
      </c>
      <c r="C13" s="781" t="s">
        <v>1518</v>
      </c>
      <c r="D13" s="782">
        <v>1016861.1</v>
      </c>
      <c r="E13" s="782">
        <v>135583.04000000001</v>
      </c>
      <c r="F13" s="782">
        <v>1016861.1</v>
      </c>
      <c r="G13" s="782">
        <v>137701.5</v>
      </c>
      <c r="H13" s="782">
        <v>1016861.1</v>
      </c>
      <c r="I13" s="782">
        <v>139819.96</v>
      </c>
      <c r="J13" s="782">
        <v>1016861.1</v>
      </c>
      <c r="K13" s="782">
        <v>141938.42000000001</v>
      </c>
      <c r="L13" s="782">
        <v>1016861.1</v>
      </c>
      <c r="M13" s="782">
        <v>144056.88</v>
      </c>
      <c r="N13" s="782">
        <v>1016861.1</v>
      </c>
      <c r="O13" s="782">
        <v>146175.34</v>
      </c>
      <c r="P13" s="782">
        <v>1016861.1</v>
      </c>
      <c r="Q13" s="782">
        <v>148293.80000000002</v>
      </c>
      <c r="R13" s="782">
        <v>1016861.1</v>
      </c>
      <c r="S13" s="782">
        <v>150412.26</v>
      </c>
      <c r="T13" s="782">
        <v>1016861.1</v>
      </c>
      <c r="U13" s="782">
        <v>152530.72</v>
      </c>
      <c r="V13" s="782">
        <v>1016861.1</v>
      </c>
      <c r="W13" s="782">
        <v>154649.18</v>
      </c>
      <c r="X13" s="782">
        <v>1016861.1</v>
      </c>
      <c r="Y13" s="782">
        <v>156767.64000000001</v>
      </c>
      <c r="Z13" s="782">
        <v>1016861.1</v>
      </c>
      <c r="AA13" s="782">
        <v>158886.1</v>
      </c>
      <c r="AB13" s="782">
        <v>1016861.1</v>
      </c>
      <c r="AC13" s="782">
        <v>161004.56</v>
      </c>
      <c r="AD13" s="782">
        <f t="shared" si="0"/>
        <v>1016861.0999999997</v>
      </c>
      <c r="AE13" s="782">
        <f t="shared" si="0"/>
        <v>148293.80000000002</v>
      </c>
      <c r="AF13" s="177"/>
    </row>
    <row r="14" spans="1:36">
      <c r="A14" s="124">
        <v>5</v>
      </c>
      <c r="B14" t="s">
        <v>1521</v>
      </c>
      <c r="C14" s="781" t="s">
        <v>1518</v>
      </c>
      <c r="D14" s="782">
        <v>1817585.2000000002</v>
      </c>
      <c r="E14" s="782">
        <v>227198.4</v>
      </c>
      <c r="F14" s="782">
        <v>1817585.2000000002</v>
      </c>
      <c r="G14" s="782">
        <v>230985.04</v>
      </c>
      <c r="H14" s="782">
        <v>1817585.2000000002</v>
      </c>
      <c r="I14" s="782">
        <v>234771.68</v>
      </c>
      <c r="J14" s="782">
        <v>1817585.2000000002</v>
      </c>
      <c r="K14" s="782">
        <v>238558.32</v>
      </c>
      <c r="L14" s="782">
        <v>1817585.2000000002</v>
      </c>
      <c r="M14" s="782">
        <v>242344.95999999999</v>
      </c>
      <c r="N14" s="782">
        <v>1817585.2000000002</v>
      </c>
      <c r="O14" s="782">
        <v>246131.6</v>
      </c>
      <c r="P14" s="782">
        <v>1817585.2000000002</v>
      </c>
      <c r="Q14" s="782">
        <v>249918.24</v>
      </c>
      <c r="R14" s="782">
        <v>1817585.2000000002</v>
      </c>
      <c r="S14" s="782">
        <v>253704.88</v>
      </c>
      <c r="T14" s="782">
        <v>1817585.2000000002</v>
      </c>
      <c r="U14" s="782">
        <v>257491.52000000002</v>
      </c>
      <c r="V14" s="782">
        <v>1817585.2000000002</v>
      </c>
      <c r="W14" s="782">
        <v>261278.16</v>
      </c>
      <c r="X14" s="782">
        <v>1817585.2000000002</v>
      </c>
      <c r="Y14" s="782">
        <v>265064.8</v>
      </c>
      <c r="Z14" s="782">
        <v>1817585.2000000002</v>
      </c>
      <c r="AA14" s="782">
        <v>268851.44</v>
      </c>
      <c r="AB14" s="782">
        <v>1817585.2000000002</v>
      </c>
      <c r="AC14" s="782">
        <v>272638.08000000002</v>
      </c>
      <c r="AD14" s="782">
        <f t="shared" si="0"/>
        <v>1817585.1999999995</v>
      </c>
      <c r="AE14" s="782">
        <f t="shared" si="0"/>
        <v>249918.24</v>
      </c>
      <c r="AF14" s="177"/>
    </row>
    <row r="15" spans="1:36">
      <c r="A15" s="124">
        <v>6</v>
      </c>
      <c r="B15" t="s">
        <v>1522</v>
      </c>
      <c r="C15" s="781" t="s">
        <v>1518</v>
      </c>
      <c r="D15" s="782">
        <v>13130.54</v>
      </c>
      <c r="E15" s="782">
        <v>0</v>
      </c>
      <c r="F15" s="782">
        <v>13130.54</v>
      </c>
      <c r="G15" s="782">
        <v>0</v>
      </c>
      <c r="H15" s="782">
        <v>13130.54</v>
      </c>
      <c r="I15" s="782">
        <v>0</v>
      </c>
      <c r="J15" s="782">
        <v>13130.54</v>
      </c>
      <c r="K15" s="782">
        <v>0</v>
      </c>
      <c r="L15" s="782">
        <v>13130.54</v>
      </c>
      <c r="M15" s="782">
        <v>0</v>
      </c>
      <c r="N15" s="782">
        <v>13130.54</v>
      </c>
      <c r="O15" s="782">
        <v>0</v>
      </c>
      <c r="P15" s="782">
        <v>13130.54</v>
      </c>
      <c r="Q15" s="782">
        <v>0</v>
      </c>
      <c r="R15" s="782">
        <v>13130.54</v>
      </c>
      <c r="S15" s="782">
        <v>0</v>
      </c>
      <c r="T15" s="782">
        <v>13130.54</v>
      </c>
      <c r="U15" s="782">
        <v>0</v>
      </c>
      <c r="V15" s="782">
        <v>13130.54</v>
      </c>
      <c r="W15" s="782">
        <v>0</v>
      </c>
      <c r="X15" s="782">
        <v>13130.54</v>
      </c>
      <c r="Y15" s="782">
        <v>0</v>
      </c>
      <c r="Z15" s="782">
        <v>13130.54</v>
      </c>
      <c r="AA15" s="782">
        <v>0</v>
      </c>
      <c r="AB15" s="782">
        <v>13130.54</v>
      </c>
      <c r="AC15" s="782">
        <v>0</v>
      </c>
      <c r="AD15" s="782">
        <f t="shared" si="0"/>
        <v>13130.540000000006</v>
      </c>
      <c r="AE15" s="782">
        <f t="shared" si="0"/>
        <v>0</v>
      </c>
      <c r="AF15" s="177"/>
    </row>
    <row r="16" spans="1:36">
      <c r="A16" s="124">
        <v>7</v>
      </c>
      <c r="B16" t="s">
        <v>1523</v>
      </c>
      <c r="C16" s="781" t="s">
        <v>1518</v>
      </c>
      <c r="D16" s="782">
        <v>7692.66</v>
      </c>
      <c r="E16" s="782">
        <v>6913.56</v>
      </c>
      <c r="F16" s="782">
        <v>7692.66</v>
      </c>
      <c r="G16" s="782">
        <v>6917.7300000000005</v>
      </c>
      <c r="H16" s="782">
        <v>7692.66</v>
      </c>
      <c r="I16" s="782">
        <v>6921.9000000000005</v>
      </c>
      <c r="J16" s="782">
        <v>7692.66</v>
      </c>
      <c r="K16" s="782">
        <v>6926.07</v>
      </c>
      <c r="L16" s="782">
        <v>7692.66</v>
      </c>
      <c r="M16" s="782">
        <v>6930.24</v>
      </c>
      <c r="N16" s="782">
        <v>7692.66</v>
      </c>
      <c r="O16" s="782">
        <v>6934.41</v>
      </c>
      <c r="P16" s="782">
        <v>7692.66</v>
      </c>
      <c r="Q16" s="782">
        <v>6938.58</v>
      </c>
      <c r="R16" s="782">
        <v>7692.66</v>
      </c>
      <c r="S16" s="782">
        <v>6942.75</v>
      </c>
      <c r="T16" s="782">
        <v>7692.66</v>
      </c>
      <c r="U16" s="782">
        <v>6946.92</v>
      </c>
      <c r="V16" s="782">
        <v>7692.66</v>
      </c>
      <c r="W16" s="782">
        <v>6951.09</v>
      </c>
      <c r="X16" s="782">
        <v>7692.66</v>
      </c>
      <c r="Y16" s="782">
        <v>6955.26</v>
      </c>
      <c r="Z16" s="782">
        <v>7692.66</v>
      </c>
      <c r="AA16" s="782">
        <v>6959.43</v>
      </c>
      <c r="AB16" s="782">
        <v>7692.66</v>
      </c>
      <c r="AC16" s="782">
        <v>6963.6</v>
      </c>
      <c r="AD16" s="782">
        <f t="shared" si="0"/>
        <v>7692.6600000000026</v>
      </c>
      <c r="AE16" s="782">
        <f t="shared" si="0"/>
        <v>6938.5800000000008</v>
      </c>
      <c r="AF16" s="177"/>
    </row>
    <row r="17" spans="1:32">
      <c r="A17" s="124">
        <v>8</v>
      </c>
      <c r="B17" t="s">
        <v>1524</v>
      </c>
      <c r="C17" s="781" t="s">
        <v>1518</v>
      </c>
      <c r="D17" s="782">
        <v>5818920.9000000004</v>
      </c>
      <c r="E17" s="782">
        <v>3606772.98</v>
      </c>
      <c r="F17" s="782">
        <v>5818920.9000000004</v>
      </c>
      <c r="G17" s="782">
        <v>3614046.63</v>
      </c>
      <c r="H17" s="782">
        <v>5818920.9000000004</v>
      </c>
      <c r="I17" s="782">
        <v>3621320.2800000003</v>
      </c>
      <c r="J17" s="782">
        <v>5818920.9000000004</v>
      </c>
      <c r="K17" s="782">
        <v>3628593.93</v>
      </c>
      <c r="L17" s="782">
        <v>5841629.2699999996</v>
      </c>
      <c r="M17" s="782">
        <v>3635867.58</v>
      </c>
      <c r="N17" s="782">
        <v>5841445.0300000003</v>
      </c>
      <c r="O17" s="782">
        <v>3643169.62</v>
      </c>
      <c r="P17" s="782">
        <v>5841445.0300000003</v>
      </c>
      <c r="Q17" s="782">
        <v>3650471.43</v>
      </c>
      <c r="R17" s="782">
        <v>5841445.0300000003</v>
      </c>
      <c r="S17" s="782">
        <v>3657773.24</v>
      </c>
      <c r="T17" s="782">
        <v>5841479.6900000004</v>
      </c>
      <c r="U17" s="782">
        <v>3665075.05</v>
      </c>
      <c r="V17" s="782">
        <v>5843244.8200000003</v>
      </c>
      <c r="W17" s="782">
        <v>3672376.9</v>
      </c>
      <c r="X17" s="782">
        <v>5843244.8200000003</v>
      </c>
      <c r="Y17" s="782">
        <v>3679680.95</v>
      </c>
      <c r="Z17" s="782">
        <v>5843244.8200000003</v>
      </c>
      <c r="AA17" s="782">
        <v>3686985</v>
      </c>
      <c r="AB17" s="782">
        <v>5843091.75</v>
      </c>
      <c r="AC17" s="782">
        <v>3694289.05</v>
      </c>
      <c r="AD17" s="782">
        <f t="shared" si="0"/>
        <v>5835412.2945833327</v>
      </c>
      <c r="AE17" s="782">
        <f t="shared" si="0"/>
        <v>3650490.96875</v>
      </c>
      <c r="AF17" s="177"/>
    </row>
    <row r="18" spans="1:32">
      <c r="A18" s="124">
        <v>9</v>
      </c>
      <c r="B18" t="s">
        <v>1525</v>
      </c>
      <c r="C18" s="781" t="s">
        <v>1518</v>
      </c>
      <c r="D18" s="782">
        <v>36161.700000000004</v>
      </c>
      <c r="E18" s="782">
        <v>-496.52000000000004</v>
      </c>
      <c r="F18" s="782">
        <v>36161.700000000004</v>
      </c>
      <c r="G18" s="782">
        <v>-357.90000000000003</v>
      </c>
      <c r="H18" s="782">
        <v>36161.700000000004</v>
      </c>
      <c r="I18" s="782">
        <v>-219.28</v>
      </c>
      <c r="J18" s="782">
        <v>36161.700000000004</v>
      </c>
      <c r="K18" s="782">
        <v>-80.66</v>
      </c>
      <c r="L18" s="782">
        <v>36161.700000000004</v>
      </c>
      <c r="M18" s="782">
        <v>57.96</v>
      </c>
      <c r="N18" s="782">
        <v>36161.700000000004</v>
      </c>
      <c r="O18" s="782">
        <v>196.58</v>
      </c>
      <c r="P18" s="782">
        <v>36161.700000000004</v>
      </c>
      <c r="Q18" s="782">
        <v>335.2</v>
      </c>
      <c r="R18" s="782">
        <v>36161.700000000004</v>
      </c>
      <c r="S18" s="782">
        <v>473.82</v>
      </c>
      <c r="T18" s="782">
        <v>36161.700000000004</v>
      </c>
      <c r="U18" s="782">
        <v>612.44000000000005</v>
      </c>
      <c r="V18" s="782">
        <v>36161.700000000004</v>
      </c>
      <c r="W18" s="782">
        <v>751.06000000000006</v>
      </c>
      <c r="X18" s="782">
        <v>36161.700000000004</v>
      </c>
      <c r="Y18" s="782">
        <v>889.68000000000006</v>
      </c>
      <c r="Z18" s="782">
        <v>36161.700000000004</v>
      </c>
      <c r="AA18" s="782">
        <v>1028.3</v>
      </c>
      <c r="AB18" s="782">
        <v>36161.700000000004</v>
      </c>
      <c r="AC18" s="782">
        <v>1166.92</v>
      </c>
      <c r="AD18" s="782">
        <f t="shared" si="0"/>
        <v>36161.700000000004</v>
      </c>
      <c r="AE18" s="782">
        <f t="shared" si="0"/>
        <v>335.20000000000005</v>
      </c>
      <c r="AF18" s="177"/>
    </row>
    <row r="19" spans="1:32">
      <c r="A19" s="124">
        <v>10</v>
      </c>
      <c r="B19" t="s">
        <v>1526</v>
      </c>
      <c r="C19" s="781" t="s">
        <v>1518</v>
      </c>
      <c r="D19" s="782">
        <v>235020</v>
      </c>
      <c r="E19" s="782">
        <v>23279.97</v>
      </c>
      <c r="F19" s="782">
        <v>235020</v>
      </c>
      <c r="G19" s="782">
        <v>23601.16</v>
      </c>
      <c r="H19" s="782">
        <v>235020</v>
      </c>
      <c r="I19" s="782">
        <v>23922.350000000002</v>
      </c>
      <c r="J19" s="782">
        <v>235020</v>
      </c>
      <c r="K19" s="782">
        <v>24243.54</v>
      </c>
      <c r="L19" s="782">
        <v>235020</v>
      </c>
      <c r="M19" s="782">
        <v>24564.73</v>
      </c>
      <c r="N19" s="782">
        <v>235020</v>
      </c>
      <c r="O19" s="782">
        <v>24885.920000000002</v>
      </c>
      <c r="P19" s="782">
        <v>235020</v>
      </c>
      <c r="Q19" s="782">
        <v>25207.11</v>
      </c>
      <c r="R19" s="782">
        <v>235020</v>
      </c>
      <c r="S19" s="782">
        <v>25528.3</v>
      </c>
      <c r="T19" s="782">
        <v>235020</v>
      </c>
      <c r="U19" s="782">
        <v>25849.49</v>
      </c>
      <c r="V19" s="782">
        <v>235020</v>
      </c>
      <c r="W19" s="782">
        <v>26170.68</v>
      </c>
      <c r="X19" s="782">
        <v>235020</v>
      </c>
      <c r="Y19" s="782">
        <v>26491.87</v>
      </c>
      <c r="Z19" s="782">
        <v>235020</v>
      </c>
      <c r="AA19" s="782">
        <v>26813.06</v>
      </c>
      <c r="AB19" s="782">
        <v>235020</v>
      </c>
      <c r="AC19" s="782">
        <v>27134.25</v>
      </c>
      <c r="AD19" s="782">
        <f t="shared" si="0"/>
        <v>235020</v>
      </c>
      <c r="AE19" s="782">
        <f t="shared" si="0"/>
        <v>25207.109999999997</v>
      </c>
      <c r="AF19" s="177"/>
    </row>
    <row r="20" spans="1:32">
      <c r="A20" s="124">
        <v>11</v>
      </c>
      <c r="B20" t="s">
        <v>1527</v>
      </c>
      <c r="C20" s="781" t="s">
        <v>1518</v>
      </c>
      <c r="D20" s="782">
        <v>141860.15</v>
      </c>
      <c r="E20" s="782">
        <v>0</v>
      </c>
      <c r="F20" s="782">
        <v>141860.15</v>
      </c>
      <c r="G20" s="782">
        <v>0</v>
      </c>
      <c r="H20" s="782">
        <v>141860.15</v>
      </c>
      <c r="I20" s="782">
        <v>0</v>
      </c>
      <c r="J20" s="782">
        <v>141860.15</v>
      </c>
      <c r="K20" s="782">
        <v>0</v>
      </c>
      <c r="L20" s="782">
        <v>141860.15</v>
      </c>
      <c r="M20" s="782">
        <v>0</v>
      </c>
      <c r="N20" s="782">
        <v>141860.15</v>
      </c>
      <c r="O20" s="782">
        <v>0</v>
      </c>
      <c r="P20" s="782">
        <v>141860.15</v>
      </c>
      <c r="Q20" s="782">
        <v>0</v>
      </c>
      <c r="R20" s="782">
        <v>141860.15</v>
      </c>
      <c r="S20" s="782">
        <v>0</v>
      </c>
      <c r="T20" s="782">
        <v>141860.15</v>
      </c>
      <c r="U20" s="782">
        <v>0</v>
      </c>
      <c r="V20" s="782">
        <v>141860.15</v>
      </c>
      <c r="W20" s="782">
        <v>0</v>
      </c>
      <c r="X20" s="782">
        <v>141860.15</v>
      </c>
      <c r="Y20" s="782">
        <v>0</v>
      </c>
      <c r="Z20" s="782">
        <v>141860.15</v>
      </c>
      <c r="AA20" s="782">
        <v>0</v>
      </c>
      <c r="AB20" s="782">
        <v>141860.15</v>
      </c>
      <c r="AC20" s="782">
        <v>0</v>
      </c>
      <c r="AD20" s="782">
        <f t="shared" si="0"/>
        <v>141860.14999999997</v>
      </c>
      <c r="AE20" s="782">
        <f t="shared" si="0"/>
        <v>0</v>
      </c>
      <c r="AF20" s="177"/>
    </row>
    <row r="21" spans="1:32">
      <c r="A21" s="124">
        <v>12</v>
      </c>
      <c r="B21" t="s">
        <v>1528</v>
      </c>
      <c r="C21" s="781" t="s">
        <v>1518</v>
      </c>
      <c r="D21" s="782">
        <v>401672.47000000003</v>
      </c>
      <c r="E21" s="782">
        <v>274372.21000000002</v>
      </c>
      <c r="F21" s="782">
        <v>401672.47000000003</v>
      </c>
      <c r="G21" s="782">
        <v>274653.38</v>
      </c>
      <c r="H21" s="782">
        <v>401672.47000000003</v>
      </c>
      <c r="I21" s="782">
        <v>274934.55</v>
      </c>
      <c r="J21" s="782">
        <v>401672.47000000003</v>
      </c>
      <c r="K21" s="782">
        <v>275215.72000000003</v>
      </c>
      <c r="L21" s="782">
        <v>401672.47000000003</v>
      </c>
      <c r="M21" s="782">
        <v>275496.89</v>
      </c>
      <c r="N21" s="782">
        <v>401672.47000000003</v>
      </c>
      <c r="O21" s="782">
        <v>275778.06</v>
      </c>
      <c r="P21" s="782">
        <v>401672.47000000003</v>
      </c>
      <c r="Q21" s="782">
        <v>276059.23</v>
      </c>
      <c r="R21" s="782">
        <v>401672.47000000003</v>
      </c>
      <c r="S21" s="782">
        <v>276340.40000000002</v>
      </c>
      <c r="T21" s="782">
        <v>401672.47000000003</v>
      </c>
      <c r="U21" s="782">
        <v>276621.57</v>
      </c>
      <c r="V21" s="782">
        <v>402785.16000000003</v>
      </c>
      <c r="W21" s="782">
        <v>276902.74</v>
      </c>
      <c r="X21" s="782">
        <v>402792.78</v>
      </c>
      <c r="Y21" s="782">
        <v>277184.69</v>
      </c>
      <c r="Z21" s="782">
        <v>402792.78</v>
      </c>
      <c r="AA21" s="782">
        <v>277466.64</v>
      </c>
      <c r="AB21" s="782">
        <v>403178.66000000003</v>
      </c>
      <c r="AC21" s="782">
        <v>277748.59000000003</v>
      </c>
      <c r="AD21" s="782">
        <f t="shared" si="0"/>
        <v>402014.67041666684</v>
      </c>
      <c r="AE21" s="782">
        <f t="shared" si="0"/>
        <v>276059.52250000002</v>
      </c>
      <c r="AF21" s="177"/>
    </row>
    <row r="22" spans="1:32">
      <c r="A22" s="124">
        <v>13</v>
      </c>
      <c r="B22" t="s">
        <v>1529</v>
      </c>
      <c r="C22" s="781" t="s">
        <v>1518</v>
      </c>
      <c r="D22" s="782">
        <v>29001303.23</v>
      </c>
      <c r="E22" s="782">
        <v>6428406.0300000003</v>
      </c>
      <c r="F22" s="782">
        <v>29001303.23</v>
      </c>
      <c r="G22" s="782">
        <v>6465141.0099999998</v>
      </c>
      <c r="H22" s="782">
        <v>29001303.23</v>
      </c>
      <c r="I22" s="782">
        <v>6501875.9900000002</v>
      </c>
      <c r="J22" s="782">
        <v>28998946.190000001</v>
      </c>
      <c r="K22" s="782">
        <v>6536253.9299999997</v>
      </c>
      <c r="L22" s="782">
        <v>28998946.190000001</v>
      </c>
      <c r="M22" s="782">
        <v>6561046.1100000003</v>
      </c>
      <c r="N22" s="782">
        <v>29000678.09</v>
      </c>
      <c r="O22" s="782">
        <v>6597350.4900000002</v>
      </c>
      <c r="P22" s="782">
        <v>29000678.09</v>
      </c>
      <c r="Q22" s="782">
        <v>6634084.6799999997</v>
      </c>
      <c r="R22" s="782">
        <v>29000678.09</v>
      </c>
      <c r="S22" s="782">
        <v>6670818.8700000001</v>
      </c>
      <c r="T22" s="782">
        <v>29000678.09</v>
      </c>
      <c r="U22" s="782">
        <v>6707553.0600000005</v>
      </c>
      <c r="V22" s="782">
        <v>28930142.77</v>
      </c>
      <c r="W22" s="782">
        <v>6722699.0899999999</v>
      </c>
      <c r="X22" s="782">
        <v>28933604.620000001</v>
      </c>
      <c r="Y22" s="782">
        <v>6758408.3600000003</v>
      </c>
      <c r="Z22" s="782">
        <v>28933604.620000001</v>
      </c>
      <c r="AA22" s="782">
        <v>6795057.5899999999</v>
      </c>
      <c r="AB22" s="782">
        <v>28933576.41</v>
      </c>
      <c r="AC22" s="782">
        <v>6831706.8200000003</v>
      </c>
      <c r="AD22" s="782">
        <f t="shared" si="0"/>
        <v>28980666.919166669</v>
      </c>
      <c r="AE22" s="782">
        <f t="shared" si="0"/>
        <v>6631695.467083334</v>
      </c>
      <c r="AF22" s="177"/>
    </row>
    <row r="23" spans="1:32">
      <c r="A23" s="124">
        <v>14</v>
      </c>
      <c r="B23" t="s">
        <v>1530</v>
      </c>
      <c r="C23" s="781" t="s">
        <v>1518</v>
      </c>
      <c r="D23" s="782">
        <v>628622.13</v>
      </c>
      <c r="E23" s="782">
        <v>47806.770000000004</v>
      </c>
      <c r="F23" s="782">
        <v>628622.13</v>
      </c>
      <c r="G23" s="782">
        <v>47806.770000000004</v>
      </c>
      <c r="H23" s="782">
        <v>628622.13</v>
      </c>
      <c r="I23" s="782">
        <v>47806.770000000004</v>
      </c>
      <c r="J23" s="782">
        <v>628622.13</v>
      </c>
      <c r="K23" s="782">
        <v>47806.770000000004</v>
      </c>
      <c r="L23" s="782">
        <v>628622.13</v>
      </c>
      <c r="M23" s="782">
        <v>47806.770000000004</v>
      </c>
      <c r="N23" s="782">
        <v>628622.13</v>
      </c>
      <c r="O23" s="782">
        <v>47806.770000000004</v>
      </c>
      <c r="P23" s="782">
        <v>628622.13</v>
      </c>
      <c r="Q23" s="782">
        <v>47806.770000000004</v>
      </c>
      <c r="R23" s="782">
        <v>628622.13</v>
      </c>
      <c r="S23" s="782">
        <v>47806.770000000004</v>
      </c>
      <c r="T23" s="782">
        <v>628622.13</v>
      </c>
      <c r="U23" s="782">
        <v>47806.770000000004</v>
      </c>
      <c r="V23" s="782">
        <v>628622.13</v>
      </c>
      <c r="W23" s="782">
        <v>47806.770000000004</v>
      </c>
      <c r="X23" s="782">
        <v>628622.13</v>
      </c>
      <c r="Y23" s="782">
        <v>47806.770000000004</v>
      </c>
      <c r="Z23" s="782">
        <v>628622.13</v>
      </c>
      <c r="AA23" s="782">
        <v>47806.770000000004</v>
      </c>
      <c r="AB23" s="782">
        <v>628622.13</v>
      </c>
      <c r="AC23" s="782">
        <v>47806.770000000004</v>
      </c>
      <c r="AD23" s="782">
        <f t="shared" si="0"/>
        <v>628622.13</v>
      </c>
      <c r="AE23" s="782">
        <f t="shared" si="0"/>
        <v>47806.770000000011</v>
      </c>
      <c r="AF23" s="177"/>
    </row>
    <row r="24" spans="1:32">
      <c r="A24" s="124">
        <v>15</v>
      </c>
      <c r="B24" t="s">
        <v>1531</v>
      </c>
      <c r="C24" s="781" t="s">
        <v>1518</v>
      </c>
      <c r="D24" s="782">
        <v>64019567.219999999</v>
      </c>
      <c r="E24" s="782">
        <v>20575908.109999999</v>
      </c>
      <c r="F24" s="782">
        <v>64185853.240000002</v>
      </c>
      <c r="G24" s="782">
        <v>20727519.93</v>
      </c>
      <c r="H24" s="782">
        <v>64367620.890000001</v>
      </c>
      <c r="I24" s="782">
        <v>20877821.760000002</v>
      </c>
      <c r="J24" s="782">
        <v>64771940.270000003</v>
      </c>
      <c r="K24" s="782">
        <v>21028982.609999999</v>
      </c>
      <c r="L24" s="782">
        <v>65153902.719999999</v>
      </c>
      <c r="M24" s="782">
        <v>21179134.609999999</v>
      </c>
      <c r="N24" s="782">
        <v>65669127.43</v>
      </c>
      <c r="O24" s="782">
        <v>21331286.629999999</v>
      </c>
      <c r="P24" s="782">
        <v>66174935.840000004</v>
      </c>
      <c r="Q24" s="782">
        <v>21476517.379999999</v>
      </c>
      <c r="R24" s="782">
        <v>67384739.680000007</v>
      </c>
      <c r="S24" s="782">
        <v>21631477.030000001</v>
      </c>
      <c r="T24" s="782">
        <v>68858772.849999994</v>
      </c>
      <c r="U24" s="782">
        <v>21788833.52</v>
      </c>
      <c r="V24" s="782">
        <v>69562822.709999993</v>
      </c>
      <c r="W24" s="782">
        <v>21949883.550000001</v>
      </c>
      <c r="X24" s="782">
        <v>69955497.590000004</v>
      </c>
      <c r="Y24" s="782">
        <v>22103799.390000001</v>
      </c>
      <c r="Z24" s="782">
        <v>70549872.260000005</v>
      </c>
      <c r="AA24" s="782">
        <v>22267632.73</v>
      </c>
      <c r="AB24" s="782">
        <v>70865754.200000003</v>
      </c>
      <c r="AC24" s="782">
        <v>22416527.289999999</v>
      </c>
      <c r="AD24" s="782">
        <f t="shared" si="0"/>
        <v>67006478.849166669</v>
      </c>
      <c r="AE24" s="782">
        <f t="shared" si="0"/>
        <v>21488258.903333332</v>
      </c>
      <c r="AF24" s="177"/>
    </row>
    <row r="25" spans="1:32">
      <c r="A25" s="124">
        <v>16</v>
      </c>
      <c r="B25" t="s">
        <v>1532</v>
      </c>
      <c r="C25" s="781" t="s">
        <v>1518</v>
      </c>
      <c r="D25" s="782">
        <v>436664.55</v>
      </c>
      <c r="E25" s="782">
        <v>79411.759999999995</v>
      </c>
      <c r="F25" s="782">
        <v>436664.55</v>
      </c>
      <c r="G25" s="782">
        <v>79411.759999999995</v>
      </c>
      <c r="H25" s="782">
        <v>436664.55</v>
      </c>
      <c r="I25" s="782">
        <v>79411.759999999995</v>
      </c>
      <c r="J25" s="782">
        <v>436664.55</v>
      </c>
      <c r="K25" s="782">
        <v>79411.759999999995</v>
      </c>
      <c r="L25" s="782">
        <v>436664.55</v>
      </c>
      <c r="M25" s="782">
        <v>79411.759999999995</v>
      </c>
      <c r="N25" s="782">
        <v>436664.55</v>
      </c>
      <c r="O25" s="782">
        <v>79411.759999999995</v>
      </c>
      <c r="P25" s="782">
        <v>436664.55</v>
      </c>
      <c r="Q25" s="782">
        <v>79411.759999999995</v>
      </c>
      <c r="R25" s="782">
        <v>436664.55</v>
      </c>
      <c r="S25" s="782">
        <v>79411.759999999995</v>
      </c>
      <c r="T25" s="782">
        <v>436664.55</v>
      </c>
      <c r="U25" s="782">
        <v>79411.759999999995</v>
      </c>
      <c r="V25" s="782">
        <v>436664.55</v>
      </c>
      <c r="W25" s="782">
        <v>79411.759999999995</v>
      </c>
      <c r="X25" s="782">
        <v>436664.55</v>
      </c>
      <c r="Y25" s="782">
        <v>79411.759999999995</v>
      </c>
      <c r="Z25" s="782">
        <v>436664.55</v>
      </c>
      <c r="AA25" s="782">
        <v>79411.759999999995</v>
      </c>
      <c r="AB25" s="782">
        <v>436664.55</v>
      </c>
      <c r="AC25" s="782">
        <v>79411.759999999995</v>
      </c>
      <c r="AD25" s="782">
        <f t="shared" si="0"/>
        <v>436664.54999999987</v>
      </c>
      <c r="AE25" s="782">
        <f t="shared" si="0"/>
        <v>79411.759999999995</v>
      </c>
      <c r="AF25" s="177"/>
    </row>
    <row r="26" spans="1:32">
      <c r="A26" s="124">
        <v>17</v>
      </c>
      <c r="B26" t="s">
        <v>1533</v>
      </c>
      <c r="C26" s="781" t="s">
        <v>1518</v>
      </c>
      <c r="D26" s="782">
        <v>45709765.450000003</v>
      </c>
      <c r="E26" s="782">
        <v>26778869.449999999</v>
      </c>
      <c r="F26" s="782">
        <v>45763362.759999998</v>
      </c>
      <c r="G26" s="782">
        <v>26902023.07</v>
      </c>
      <c r="H26" s="782">
        <v>45796637.219999999</v>
      </c>
      <c r="I26" s="782">
        <v>27037487.48</v>
      </c>
      <c r="J26" s="782">
        <v>45673002.200000003</v>
      </c>
      <c r="K26" s="782">
        <v>27526509.050000001</v>
      </c>
      <c r="L26" s="782">
        <v>45703590.850000001</v>
      </c>
      <c r="M26" s="782">
        <v>27640000.989999998</v>
      </c>
      <c r="N26" s="782">
        <v>45638782.960000001</v>
      </c>
      <c r="O26" s="782">
        <v>27502548.969999999</v>
      </c>
      <c r="P26" s="782">
        <v>46029863.880000003</v>
      </c>
      <c r="Q26" s="782">
        <v>27628297.879999999</v>
      </c>
      <c r="R26" s="782">
        <v>46149343.509999998</v>
      </c>
      <c r="S26" s="782">
        <v>27764853.149999999</v>
      </c>
      <c r="T26" s="782">
        <v>46184931.829999998</v>
      </c>
      <c r="U26" s="782">
        <v>27889435.91</v>
      </c>
      <c r="V26" s="782">
        <v>47492491.310000002</v>
      </c>
      <c r="W26" s="782">
        <v>28047695.149999999</v>
      </c>
      <c r="X26" s="782">
        <v>47512642.280000001</v>
      </c>
      <c r="Y26" s="782">
        <v>28115331.16</v>
      </c>
      <c r="Z26" s="782">
        <v>47531609.869999997</v>
      </c>
      <c r="AA26" s="782">
        <v>28220351.670000002</v>
      </c>
      <c r="AB26" s="782">
        <v>47665493.960000001</v>
      </c>
      <c r="AC26" s="782">
        <v>27793996.23</v>
      </c>
      <c r="AD26" s="782">
        <f t="shared" si="0"/>
        <v>46346990.697916664</v>
      </c>
      <c r="AE26" s="782">
        <f t="shared" si="0"/>
        <v>27630080.609999999</v>
      </c>
      <c r="AF26" s="177"/>
    </row>
    <row r="27" spans="1:32">
      <c r="A27" s="124">
        <v>18</v>
      </c>
      <c r="B27" t="s">
        <v>1534</v>
      </c>
      <c r="C27" s="781" t="s">
        <v>1518</v>
      </c>
      <c r="D27" s="782">
        <v>308300.12</v>
      </c>
      <c r="E27" s="782">
        <v>53852.08</v>
      </c>
      <c r="F27" s="782">
        <v>308300.12</v>
      </c>
      <c r="G27" s="782">
        <v>53852.08</v>
      </c>
      <c r="H27" s="782">
        <v>308300.12</v>
      </c>
      <c r="I27" s="782">
        <v>53852.08</v>
      </c>
      <c r="J27" s="782">
        <v>308300.12</v>
      </c>
      <c r="K27" s="782">
        <v>53852.08</v>
      </c>
      <c r="L27" s="782">
        <v>308300.12</v>
      </c>
      <c r="M27" s="782">
        <v>53852.08</v>
      </c>
      <c r="N27" s="782">
        <v>308300.12</v>
      </c>
      <c r="O27" s="782">
        <v>53852.08</v>
      </c>
      <c r="P27" s="782">
        <v>308300.12</v>
      </c>
      <c r="Q27" s="782">
        <v>53852.08</v>
      </c>
      <c r="R27" s="782">
        <v>308300.12</v>
      </c>
      <c r="S27" s="782">
        <v>53852.08</v>
      </c>
      <c r="T27" s="782">
        <v>308300.12</v>
      </c>
      <c r="U27" s="782">
        <v>53852.08</v>
      </c>
      <c r="V27" s="782">
        <v>308300.12</v>
      </c>
      <c r="W27" s="782">
        <v>53852.08</v>
      </c>
      <c r="X27" s="782">
        <v>308300.12</v>
      </c>
      <c r="Y27" s="782">
        <v>53852.08</v>
      </c>
      <c r="Z27" s="782">
        <v>308300.12</v>
      </c>
      <c r="AA27" s="782">
        <v>53852.08</v>
      </c>
      <c r="AB27" s="782">
        <v>308300.12</v>
      </c>
      <c r="AC27" s="782">
        <v>53852.08</v>
      </c>
      <c r="AD27" s="782">
        <f t="shared" si="0"/>
        <v>308300.12000000005</v>
      </c>
      <c r="AE27" s="782">
        <f t="shared" si="0"/>
        <v>53852.079999999994</v>
      </c>
      <c r="AF27" s="177"/>
    </row>
    <row r="28" spans="1:32">
      <c r="A28" s="124">
        <v>19</v>
      </c>
      <c r="B28" t="s">
        <v>1535</v>
      </c>
      <c r="C28" s="781" t="s">
        <v>1518</v>
      </c>
      <c r="D28" s="782">
        <v>11674411.92</v>
      </c>
      <c r="E28" s="782">
        <v>3460681.32</v>
      </c>
      <c r="F28" s="782">
        <v>11644262.1</v>
      </c>
      <c r="G28" s="782">
        <v>3449696.99</v>
      </c>
      <c r="H28" s="782">
        <v>11644736.710000001</v>
      </c>
      <c r="I28" s="782">
        <v>3453846.49</v>
      </c>
      <c r="J28" s="782">
        <v>11644736.710000001</v>
      </c>
      <c r="K28" s="782">
        <v>3472963.27</v>
      </c>
      <c r="L28" s="782">
        <v>11644736.710000001</v>
      </c>
      <c r="M28" s="782">
        <v>3492080.05</v>
      </c>
      <c r="N28" s="782">
        <v>11720578.16</v>
      </c>
      <c r="O28" s="782">
        <v>3511196.83</v>
      </c>
      <c r="P28" s="782">
        <v>11759700.210000001</v>
      </c>
      <c r="Q28" s="782">
        <v>3530438.12</v>
      </c>
      <c r="R28" s="782">
        <v>11817183.529999999</v>
      </c>
      <c r="S28" s="782">
        <v>3549743.63</v>
      </c>
      <c r="T28" s="782">
        <v>11955506.539999999</v>
      </c>
      <c r="U28" s="782">
        <v>3569143.51</v>
      </c>
      <c r="V28" s="782">
        <v>12048688.210000001</v>
      </c>
      <c r="W28" s="782">
        <v>3588770.4699999997</v>
      </c>
      <c r="X28" s="782">
        <v>12053147.029999999</v>
      </c>
      <c r="Y28" s="782">
        <v>3608550.4</v>
      </c>
      <c r="Z28" s="782">
        <v>12054243.220000001</v>
      </c>
      <c r="AA28" s="782">
        <v>3628337.65</v>
      </c>
      <c r="AB28" s="782">
        <v>12066853.43</v>
      </c>
      <c r="AC28" s="782">
        <v>3641636.42</v>
      </c>
      <c r="AD28" s="782">
        <f t="shared" si="0"/>
        <v>11821512.650416667</v>
      </c>
      <c r="AE28" s="782">
        <f t="shared" si="0"/>
        <v>3533827.1899999995</v>
      </c>
      <c r="AF28" s="177"/>
    </row>
    <row r="29" spans="1:32">
      <c r="A29" s="124">
        <v>20</v>
      </c>
      <c r="B29" t="s">
        <v>1536</v>
      </c>
      <c r="C29" s="781" t="s">
        <v>1518</v>
      </c>
      <c r="D29" s="782"/>
      <c r="E29" s="782"/>
      <c r="F29" s="782"/>
      <c r="G29" s="782"/>
      <c r="H29" s="782"/>
      <c r="I29" s="782"/>
      <c r="J29" s="782"/>
      <c r="K29" s="782"/>
      <c r="L29" s="782"/>
      <c r="M29" s="782"/>
      <c r="N29" s="782"/>
      <c r="O29" s="782"/>
      <c r="P29" s="782"/>
      <c r="Q29" s="782"/>
      <c r="R29" s="782"/>
      <c r="S29" s="782"/>
      <c r="T29" s="782"/>
      <c r="U29" s="782"/>
      <c r="V29" s="782"/>
      <c r="W29" s="782"/>
      <c r="X29" s="782"/>
      <c r="Y29" s="782"/>
      <c r="Z29" s="782">
        <v>0</v>
      </c>
      <c r="AA29" s="782">
        <v>0</v>
      </c>
      <c r="AB29" s="782">
        <v>3571.38</v>
      </c>
      <c r="AC29" s="782">
        <v>0</v>
      </c>
      <c r="AD29" s="782">
        <f t="shared" si="0"/>
        <v>148.8075</v>
      </c>
      <c r="AE29" s="782">
        <f t="shared" si="0"/>
        <v>0</v>
      </c>
      <c r="AF29" s="177"/>
    </row>
    <row r="30" spans="1:32">
      <c r="A30" s="124">
        <v>21</v>
      </c>
      <c r="B30" t="s">
        <v>1537</v>
      </c>
      <c r="C30" s="781" t="s">
        <v>1518</v>
      </c>
      <c r="D30" s="782">
        <v>63144089.450000003</v>
      </c>
      <c r="E30" s="782">
        <v>22999431.16</v>
      </c>
      <c r="F30" s="782">
        <v>63281112.229999997</v>
      </c>
      <c r="G30" s="782">
        <v>23175998.02</v>
      </c>
      <c r="H30" s="782">
        <v>63410514.030000001</v>
      </c>
      <c r="I30" s="782">
        <v>23353185.140000001</v>
      </c>
      <c r="J30" s="782">
        <v>63694325.219999999</v>
      </c>
      <c r="K30" s="782">
        <v>23424376.030000001</v>
      </c>
      <c r="L30" s="782">
        <v>64160787.020000003</v>
      </c>
      <c r="M30" s="782">
        <v>23596205.879999999</v>
      </c>
      <c r="N30" s="782">
        <v>64537889.350000001</v>
      </c>
      <c r="O30" s="782">
        <v>23774861.170000002</v>
      </c>
      <c r="P30" s="782">
        <v>64942566.039999999</v>
      </c>
      <c r="Q30" s="782">
        <v>23950895.719999999</v>
      </c>
      <c r="R30" s="782">
        <v>65498572.520000003</v>
      </c>
      <c r="S30" s="782">
        <v>24131012.449999999</v>
      </c>
      <c r="T30" s="782">
        <v>66891345.700000003</v>
      </c>
      <c r="U30" s="782">
        <v>24310999.920000002</v>
      </c>
      <c r="V30" s="782">
        <v>67524855.170000002</v>
      </c>
      <c r="W30" s="782">
        <v>24497207.460000001</v>
      </c>
      <c r="X30" s="782">
        <v>67998435.579999998</v>
      </c>
      <c r="Y30" s="782">
        <v>24680021.109999999</v>
      </c>
      <c r="Z30" s="782">
        <v>68608788.359999999</v>
      </c>
      <c r="AA30" s="782">
        <v>24865440.879999999</v>
      </c>
      <c r="AB30" s="782">
        <v>68868724.879999995</v>
      </c>
      <c r="AC30" s="782">
        <v>24953571.98</v>
      </c>
      <c r="AD30" s="782">
        <f t="shared" si="0"/>
        <v>65546299.865416668</v>
      </c>
      <c r="AE30" s="782">
        <f t="shared" si="0"/>
        <v>23978058.779166665</v>
      </c>
      <c r="AF30" s="177"/>
    </row>
    <row r="31" spans="1:32">
      <c r="A31" s="124">
        <v>22</v>
      </c>
      <c r="B31" t="s">
        <v>1538</v>
      </c>
      <c r="C31" s="781" t="s">
        <v>1518</v>
      </c>
      <c r="D31" s="782">
        <v>12731970.07</v>
      </c>
      <c r="E31" s="782">
        <v>19815372.16</v>
      </c>
      <c r="F31" s="782">
        <v>12729500.41</v>
      </c>
      <c r="G31" s="782">
        <v>19856338.140000001</v>
      </c>
      <c r="H31" s="782">
        <v>12729500.41</v>
      </c>
      <c r="I31" s="782">
        <v>19893147.609999999</v>
      </c>
      <c r="J31" s="782">
        <v>12679465.76</v>
      </c>
      <c r="K31" s="782">
        <v>19879809.120000001</v>
      </c>
      <c r="L31" s="782">
        <v>12680322.140000001</v>
      </c>
      <c r="M31" s="782">
        <v>19886918.539999999</v>
      </c>
      <c r="N31" s="782">
        <v>12680248.439999999</v>
      </c>
      <c r="O31" s="782">
        <v>19919198.199999999</v>
      </c>
      <c r="P31" s="782">
        <v>12674756.619999999</v>
      </c>
      <c r="Q31" s="782">
        <v>19902390.670000002</v>
      </c>
      <c r="R31" s="782">
        <v>12674756.619999999</v>
      </c>
      <c r="S31" s="782">
        <v>19934929.5</v>
      </c>
      <c r="T31" s="782">
        <v>12671655.130000001</v>
      </c>
      <c r="U31" s="782">
        <v>19955617.57</v>
      </c>
      <c r="V31" s="782">
        <v>12672687.310000001</v>
      </c>
      <c r="W31" s="782">
        <v>19982033.41</v>
      </c>
      <c r="X31" s="782">
        <v>12661643.800000001</v>
      </c>
      <c r="Y31" s="782">
        <v>19896551.059999999</v>
      </c>
      <c r="Z31" s="782">
        <v>12661643.800000001</v>
      </c>
      <c r="AA31" s="782">
        <v>19894173.93</v>
      </c>
      <c r="AB31" s="782">
        <v>12607637.359999999</v>
      </c>
      <c r="AC31" s="782">
        <v>19594842.699999999</v>
      </c>
      <c r="AD31" s="782">
        <f t="shared" si="0"/>
        <v>12682165.346249999</v>
      </c>
      <c r="AE31" s="782">
        <f t="shared" si="0"/>
        <v>19892184.598333333</v>
      </c>
      <c r="AF31" s="177"/>
    </row>
    <row r="32" spans="1:32">
      <c r="A32" s="124">
        <v>23</v>
      </c>
      <c r="B32" t="s">
        <v>1539</v>
      </c>
      <c r="C32" s="781" t="s">
        <v>1518</v>
      </c>
      <c r="D32" s="782">
        <v>50320.47</v>
      </c>
      <c r="E32" s="782">
        <v>11101.78</v>
      </c>
      <c r="F32" s="782">
        <v>50320.47</v>
      </c>
      <c r="G32" s="782">
        <v>11101.78</v>
      </c>
      <c r="H32" s="782">
        <v>50320.47</v>
      </c>
      <c r="I32" s="782">
        <v>11101.78</v>
      </c>
      <c r="J32" s="782">
        <v>50320.47</v>
      </c>
      <c r="K32" s="782">
        <v>11101.78</v>
      </c>
      <c r="L32" s="782">
        <v>50320.47</v>
      </c>
      <c r="M32" s="782">
        <v>11101.78</v>
      </c>
      <c r="N32" s="782">
        <v>50320.47</v>
      </c>
      <c r="O32" s="782">
        <v>11101.78</v>
      </c>
      <c r="P32" s="782">
        <v>50320.47</v>
      </c>
      <c r="Q32" s="782">
        <v>11101.78</v>
      </c>
      <c r="R32" s="782">
        <v>50320.47</v>
      </c>
      <c r="S32" s="782">
        <v>11101.78</v>
      </c>
      <c r="T32" s="782">
        <v>50320.47</v>
      </c>
      <c r="U32" s="782">
        <v>11101.78</v>
      </c>
      <c r="V32" s="782">
        <v>50320.47</v>
      </c>
      <c r="W32" s="782">
        <v>11101.78</v>
      </c>
      <c r="X32" s="782">
        <v>50320.47</v>
      </c>
      <c r="Y32" s="782">
        <v>11101.78</v>
      </c>
      <c r="Z32" s="782">
        <v>50320.47</v>
      </c>
      <c r="AA32" s="782">
        <v>11101.78</v>
      </c>
      <c r="AB32" s="782">
        <v>50320.47</v>
      </c>
      <c r="AC32" s="782">
        <v>11101.78</v>
      </c>
      <c r="AD32" s="782">
        <f t="shared" si="0"/>
        <v>50320.469999999994</v>
      </c>
      <c r="AE32" s="782">
        <f t="shared" si="0"/>
        <v>11101.78</v>
      </c>
      <c r="AF32" s="177"/>
    </row>
    <row r="33" spans="1:39">
      <c r="A33" s="124">
        <v>24</v>
      </c>
      <c r="B33" t="s">
        <v>1540</v>
      </c>
      <c r="C33" s="781" t="s">
        <v>1518</v>
      </c>
      <c r="D33" s="782">
        <v>2877892.54</v>
      </c>
      <c r="E33" s="782">
        <v>944100.97</v>
      </c>
      <c r="F33" s="782">
        <v>2877892.54</v>
      </c>
      <c r="G33" s="782">
        <v>948177.98</v>
      </c>
      <c r="H33" s="782">
        <v>2877892.54</v>
      </c>
      <c r="I33" s="782">
        <v>952254.99</v>
      </c>
      <c r="J33" s="782">
        <v>2877892.54</v>
      </c>
      <c r="K33" s="782">
        <v>956332</v>
      </c>
      <c r="L33" s="782">
        <v>2877892.54</v>
      </c>
      <c r="M33" s="782">
        <v>960409.01</v>
      </c>
      <c r="N33" s="782">
        <v>2877892.54</v>
      </c>
      <c r="O33" s="782">
        <v>964486.02</v>
      </c>
      <c r="P33" s="782">
        <v>2877892.54</v>
      </c>
      <c r="Q33" s="782">
        <v>968563.03</v>
      </c>
      <c r="R33" s="782">
        <v>2877892.54</v>
      </c>
      <c r="S33" s="782">
        <v>972640.04</v>
      </c>
      <c r="T33" s="782">
        <v>2877892.54</v>
      </c>
      <c r="U33" s="782">
        <v>976717.05</v>
      </c>
      <c r="V33" s="782">
        <v>2877892.54</v>
      </c>
      <c r="W33" s="782">
        <v>980794.06</v>
      </c>
      <c r="X33" s="782">
        <v>2877892.54</v>
      </c>
      <c r="Y33" s="782">
        <v>984871.07000000007</v>
      </c>
      <c r="Z33" s="782">
        <v>2877892.54</v>
      </c>
      <c r="AA33" s="782">
        <v>988948.08000000007</v>
      </c>
      <c r="AB33" s="782">
        <v>2877892.54</v>
      </c>
      <c r="AC33" s="782">
        <v>993025.09</v>
      </c>
      <c r="AD33" s="782">
        <f t="shared" si="0"/>
        <v>2877892.5399999996</v>
      </c>
      <c r="AE33" s="782">
        <f t="shared" si="0"/>
        <v>968563.02999999991</v>
      </c>
      <c r="AF33" s="177"/>
    </row>
    <row r="34" spans="1:39">
      <c r="A34" s="124">
        <v>25</v>
      </c>
      <c r="B34" t="s">
        <v>1541</v>
      </c>
      <c r="C34" s="781" t="s">
        <v>1518</v>
      </c>
      <c r="D34" s="782">
        <v>490547.4</v>
      </c>
      <c r="E34" s="782">
        <v>0</v>
      </c>
      <c r="F34" s="782">
        <v>490547.4</v>
      </c>
      <c r="G34" s="782">
        <v>0</v>
      </c>
      <c r="H34" s="782">
        <v>490547.4</v>
      </c>
      <c r="I34" s="782">
        <v>0</v>
      </c>
      <c r="J34" s="782">
        <v>490547.4</v>
      </c>
      <c r="K34" s="782">
        <v>0</v>
      </c>
      <c r="L34" s="782">
        <v>490547.4</v>
      </c>
      <c r="M34" s="782">
        <v>0</v>
      </c>
      <c r="N34" s="782">
        <v>490547.4</v>
      </c>
      <c r="O34" s="782">
        <v>0</v>
      </c>
      <c r="P34" s="782">
        <v>490547.4</v>
      </c>
      <c r="Q34" s="782">
        <v>0</v>
      </c>
      <c r="R34" s="782">
        <v>490547.4</v>
      </c>
      <c r="S34" s="782">
        <v>0</v>
      </c>
      <c r="T34" s="782">
        <v>490547.4</v>
      </c>
      <c r="U34" s="782">
        <v>0</v>
      </c>
      <c r="V34" s="782">
        <v>490547.4</v>
      </c>
      <c r="W34" s="782">
        <v>0</v>
      </c>
      <c r="X34" s="782">
        <v>490547.4</v>
      </c>
      <c r="Y34" s="782">
        <v>0</v>
      </c>
      <c r="Z34" s="782">
        <v>509732.10000000003</v>
      </c>
      <c r="AA34" s="782">
        <v>0</v>
      </c>
      <c r="AB34" s="782">
        <v>509654.41000000003</v>
      </c>
      <c r="AC34" s="782">
        <v>0</v>
      </c>
      <c r="AD34" s="782">
        <f t="shared" si="0"/>
        <v>492942.25041666668</v>
      </c>
      <c r="AE34" s="782">
        <f t="shared" si="0"/>
        <v>0</v>
      </c>
      <c r="AF34" s="177"/>
    </row>
    <row r="35" spans="1:39">
      <c r="A35" s="124">
        <v>26</v>
      </c>
      <c r="B35" t="s">
        <v>1542</v>
      </c>
      <c r="C35" s="781" t="s">
        <v>1518</v>
      </c>
      <c r="D35" s="782">
        <v>4550476.2</v>
      </c>
      <c r="E35" s="782">
        <v>1750472.24</v>
      </c>
      <c r="F35" s="782">
        <v>4550476.2</v>
      </c>
      <c r="G35" s="782">
        <v>1755932.81</v>
      </c>
      <c r="H35" s="782">
        <v>4579135.51</v>
      </c>
      <c r="I35" s="782">
        <v>1761393.38</v>
      </c>
      <c r="J35" s="782">
        <v>4579135.51</v>
      </c>
      <c r="K35" s="782">
        <v>1766888.3399999999</v>
      </c>
      <c r="L35" s="782">
        <v>4609155.6399999997</v>
      </c>
      <c r="M35" s="782">
        <v>1772383.3</v>
      </c>
      <c r="N35" s="782">
        <v>4609883.18</v>
      </c>
      <c r="O35" s="782">
        <v>1777914.29</v>
      </c>
      <c r="P35" s="782">
        <v>4609883.18</v>
      </c>
      <c r="Q35" s="782">
        <v>1783446.15</v>
      </c>
      <c r="R35" s="782">
        <v>4609883.18</v>
      </c>
      <c r="S35" s="782">
        <v>1788978.01</v>
      </c>
      <c r="T35" s="782">
        <v>4639068.82</v>
      </c>
      <c r="U35" s="782">
        <v>1788268.47</v>
      </c>
      <c r="V35" s="782">
        <v>4667550.8499999996</v>
      </c>
      <c r="W35" s="782">
        <v>1793835.35</v>
      </c>
      <c r="X35" s="782">
        <v>4678810.76</v>
      </c>
      <c r="Y35" s="782">
        <v>1799436.4100000001</v>
      </c>
      <c r="Z35" s="782">
        <v>4678810.76</v>
      </c>
      <c r="AA35" s="782">
        <v>1803008.38</v>
      </c>
      <c r="AB35" s="782">
        <v>4678457.91</v>
      </c>
      <c r="AC35" s="782">
        <v>1808622.9500000002</v>
      </c>
      <c r="AD35" s="782">
        <f t="shared" si="0"/>
        <v>4618855.05375</v>
      </c>
      <c r="AE35" s="782">
        <f t="shared" si="0"/>
        <v>1780919.3737499996</v>
      </c>
      <c r="AF35" s="177"/>
    </row>
    <row r="36" spans="1:39">
      <c r="A36" s="124">
        <v>27</v>
      </c>
      <c r="B36" t="s">
        <v>1543</v>
      </c>
      <c r="C36" s="781" t="s">
        <v>1518</v>
      </c>
      <c r="D36" s="782">
        <v>3867.07</v>
      </c>
      <c r="E36" s="782">
        <v>0</v>
      </c>
      <c r="F36" s="782">
        <v>3866.64</v>
      </c>
      <c r="G36" s="782">
        <v>141.86000000000001</v>
      </c>
      <c r="H36" s="782">
        <v>3866.64</v>
      </c>
      <c r="I36" s="782">
        <v>283.7</v>
      </c>
      <c r="J36" s="782">
        <v>3866.64</v>
      </c>
      <c r="K36" s="782">
        <v>425.54</v>
      </c>
      <c r="L36" s="782">
        <v>3866.64</v>
      </c>
      <c r="M36" s="782">
        <v>567.38</v>
      </c>
      <c r="N36" s="782">
        <v>3866.64</v>
      </c>
      <c r="O36" s="782">
        <v>709.22</v>
      </c>
      <c r="P36" s="782">
        <v>3866.64</v>
      </c>
      <c r="Q36" s="782">
        <v>851.06000000000006</v>
      </c>
      <c r="R36" s="782">
        <v>3866.64</v>
      </c>
      <c r="S36" s="782">
        <v>992.9</v>
      </c>
      <c r="T36" s="782">
        <v>3866.64</v>
      </c>
      <c r="U36" s="782">
        <v>1134.74</v>
      </c>
      <c r="V36" s="782">
        <v>3866.64</v>
      </c>
      <c r="W36" s="782">
        <v>1276.58</v>
      </c>
      <c r="X36" s="782">
        <v>3866.64</v>
      </c>
      <c r="Y36" s="782">
        <v>1418.42</v>
      </c>
      <c r="Z36" s="782">
        <v>3866.64</v>
      </c>
      <c r="AA36" s="782">
        <v>1560.26</v>
      </c>
      <c r="AB36" s="782">
        <v>3866.64</v>
      </c>
      <c r="AC36" s="782">
        <v>1702.1000000000001</v>
      </c>
      <c r="AD36" s="782">
        <f t="shared" si="0"/>
        <v>3866.657916666667</v>
      </c>
      <c r="AE36" s="782">
        <f t="shared" si="0"/>
        <v>851.05916666666656</v>
      </c>
      <c r="AF36" s="177"/>
    </row>
    <row r="37" spans="1:39">
      <c r="A37" s="124">
        <v>28</v>
      </c>
      <c r="B37" t="s">
        <v>1544</v>
      </c>
      <c r="C37" s="781" t="s">
        <v>1518</v>
      </c>
      <c r="D37" s="782">
        <v>72305.2</v>
      </c>
      <c r="E37" s="782">
        <v>65549.850000000006</v>
      </c>
      <c r="F37" s="782">
        <v>75239.199999999997</v>
      </c>
      <c r="G37" s="782">
        <v>70072.759999999995</v>
      </c>
      <c r="H37" s="782">
        <v>70810.17</v>
      </c>
      <c r="I37" s="782">
        <v>67297.11</v>
      </c>
      <c r="J37" s="782">
        <v>70810.17</v>
      </c>
      <c r="K37" s="782">
        <v>68853.16</v>
      </c>
      <c r="L37" s="782">
        <v>70810.17</v>
      </c>
      <c r="M37" s="782">
        <v>70409.210000000006</v>
      </c>
      <c r="N37" s="782">
        <v>70810.17</v>
      </c>
      <c r="O37" s="782">
        <v>70810.17</v>
      </c>
      <c r="P37" s="782">
        <v>70810.17</v>
      </c>
      <c r="Q37" s="782">
        <v>70810.17</v>
      </c>
      <c r="R37" s="782">
        <v>70810.17</v>
      </c>
      <c r="S37" s="782">
        <v>70810.17</v>
      </c>
      <c r="T37" s="782">
        <v>70810.17</v>
      </c>
      <c r="U37" s="782">
        <v>70810.17</v>
      </c>
      <c r="V37" s="782">
        <v>70810.17</v>
      </c>
      <c r="W37" s="782">
        <v>70810.17</v>
      </c>
      <c r="X37" s="782">
        <v>70810.17</v>
      </c>
      <c r="Y37" s="782">
        <v>70810.17</v>
      </c>
      <c r="Z37" s="782">
        <v>72760.100000000006</v>
      </c>
      <c r="AA37" s="782">
        <v>72366.22</v>
      </c>
      <c r="AB37" s="782">
        <v>72752.210000000006</v>
      </c>
      <c r="AC37" s="782">
        <v>72752.210000000006</v>
      </c>
      <c r="AD37" s="782">
        <f t="shared" si="0"/>
        <v>71484.961249999993</v>
      </c>
      <c r="AE37" s="782">
        <f t="shared" si="0"/>
        <v>70250.875833333339</v>
      </c>
      <c r="AF37" s="177"/>
    </row>
    <row r="38" spans="1:39">
      <c r="A38" s="124">
        <v>29</v>
      </c>
      <c r="B38" t="s">
        <v>1545</v>
      </c>
      <c r="C38" s="781" t="s">
        <v>1518</v>
      </c>
      <c r="D38" s="782">
        <v>73629.509999999995</v>
      </c>
      <c r="E38" s="782">
        <v>31001.21</v>
      </c>
      <c r="F38" s="782">
        <v>73629.509999999995</v>
      </c>
      <c r="G38" s="782">
        <v>32167.010000000002</v>
      </c>
      <c r="H38" s="782">
        <v>73629.509999999995</v>
      </c>
      <c r="I38" s="782">
        <v>33332.81</v>
      </c>
      <c r="J38" s="782">
        <v>73629.509999999995</v>
      </c>
      <c r="K38" s="782">
        <v>34498.61</v>
      </c>
      <c r="L38" s="782">
        <v>73629.509999999995</v>
      </c>
      <c r="M38" s="782">
        <v>35664.410000000003</v>
      </c>
      <c r="N38" s="782">
        <v>73629.509999999995</v>
      </c>
      <c r="O38" s="782">
        <v>36830.21</v>
      </c>
      <c r="P38" s="782">
        <v>73629.509999999995</v>
      </c>
      <c r="Q38" s="782">
        <v>37996.01</v>
      </c>
      <c r="R38" s="782">
        <v>73629.509999999995</v>
      </c>
      <c r="S38" s="782">
        <v>39161.81</v>
      </c>
      <c r="T38" s="782">
        <v>73629.509999999995</v>
      </c>
      <c r="U38" s="782">
        <v>40327.61</v>
      </c>
      <c r="V38" s="782">
        <v>73629.509999999995</v>
      </c>
      <c r="W38" s="782">
        <v>41493.410000000003</v>
      </c>
      <c r="X38" s="782">
        <v>73629.509999999995</v>
      </c>
      <c r="Y38" s="782">
        <v>42659.21</v>
      </c>
      <c r="Z38" s="782">
        <v>73629.509999999995</v>
      </c>
      <c r="AA38" s="782">
        <v>43825.01</v>
      </c>
      <c r="AB38" s="782">
        <v>73629.509999999995</v>
      </c>
      <c r="AC38" s="782">
        <v>44990.81</v>
      </c>
      <c r="AD38" s="782">
        <f t="shared" si="0"/>
        <v>73629.509999999995</v>
      </c>
      <c r="AE38" s="782">
        <f t="shared" si="0"/>
        <v>37996.01</v>
      </c>
      <c r="AF38" s="177"/>
    </row>
    <row r="39" spans="1:39">
      <c r="A39" s="124">
        <v>30</v>
      </c>
      <c r="B39" t="s">
        <v>1546</v>
      </c>
      <c r="C39" s="781" t="s">
        <v>1518</v>
      </c>
      <c r="D39" s="782">
        <v>67111.78</v>
      </c>
      <c r="E39" s="782">
        <v>50607.01</v>
      </c>
      <c r="F39" s="782">
        <v>67111.78</v>
      </c>
      <c r="G39" s="782">
        <v>50757.450000000004</v>
      </c>
      <c r="H39" s="782">
        <v>67111.78</v>
      </c>
      <c r="I39" s="782">
        <v>50907.89</v>
      </c>
      <c r="J39" s="782">
        <v>67111.78</v>
      </c>
      <c r="K39" s="782">
        <v>51058.33</v>
      </c>
      <c r="L39" s="782">
        <v>67111.78</v>
      </c>
      <c r="M39" s="782">
        <v>51208.770000000004</v>
      </c>
      <c r="N39" s="782">
        <v>67111.78</v>
      </c>
      <c r="O39" s="782">
        <v>51359.21</v>
      </c>
      <c r="P39" s="782">
        <v>67111.78</v>
      </c>
      <c r="Q39" s="782">
        <v>51509.65</v>
      </c>
      <c r="R39" s="782">
        <v>67111.78</v>
      </c>
      <c r="S39" s="782">
        <v>51660.090000000004</v>
      </c>
      <c r="T39" s="782">
        <v>67111.78</v>
      </c>
      <c r="U39" s="782">
        <v>51810.53</v>
      </c>
      <c r="V39" s="782">
        <v>67111.78</v>
      </c>
      <c r="W39" s="782">
        <v>51960.97</v>
      </c>
      <c r="X39" s="782">
        <v>67111.78</v>
      </c>
      <c r="Y39" s="782">
        <v>52111.41</v>
      </c>
      <c r="Z39" s="782">
        <v>67111.78</v>
      </c>
      <c r="AA39" s="782">
        <v>52261.85</v>
      </c>
      <c r="AB39" s="782">
        <v>67111.78</v>
      </c>
      <c r="AC39" s="782">
        <v>52412.29</v>
      </c>
      <c r="AD39" s="782">
        <f t="shared" si="0"/>
        <v>67111.780000000013</v>
      </c>
      <c r="AE39" s="782">
        <f t="shared" si="0"/>
        <v>51509.65</v>
      </c>
      <c r="AF39" s="177"/>
    </row>
    <row r="40" spans="1:39">
      <c r="A40" s="124">
        <v>31</v>
      </c>
      <c r="B40" t="s">
        <v>1547</v>
      </c>
      <c r="C40" s="781" t="s">
        <v>1518</v>
      </c>
      <c r="D40" s="782">
        <v>4488725.84</v>
      </c>
      <c r="E40" s="782">
        <v>1741539.01</v>
      </c>
      <c r="F40" s="782">
        <v>4450783.01</v>
      </c>
      <c r="G40" s="782">
        <v>1741117.7000000002</v>
      </c>
      <c r="H40" s="782">
        <v>4447889.29</v>
      </c>
      <c r="I40" s="782">
        <v>1762963.63</v>
      </c>
      <c r="J40" s="782">
        <v>4447889.29</v>
      </c>
      <c r="K40" s="782">
        <v>1784795.35</v>
      </c>
      <c r="L40" s="782">
        <v>4491968.72</v>
      </c>
      <c r="M40" s="782">
        <v>1810521.97</v>
      </c>
      <c r="N40" s="782">
        <v>4491968.72</v>
      </c>
      <c r="O40" s="782">
        <v>1832570.05</v>
      </c>
      <c r="P40" s="782">
        <v>4491968.72</v>
      </c>
      <c r="Q40" s="782">
        <v>1854618.13</v>
      </c>
      <c r="R40" s="782">
        <v>4491968.72</v>
      </c>
      <c r="S40" s="782">
        <v>1916325.3599999999</v>
      </c>
      <c r="T40" s="782">
        <v>4491968.72</v>
      </c>
      <c r="U40" s="782">
        <v>1938373.44</v>
      </c>
      <c r="V40" s="782">
        <v>4463516.2300000004</v>
      </c>
      <c r="W40" s="782">
        <v>1938679.03</v>
      </c>
      <c r="X40" s="782">
        <v>4463516.2300000004</v>
      </c>
      <c r="Y40" s="782">
        <v>1960587.4500000002</v>
      </c>
      <c r="Z40" s="782">
        <v>4463516.2300000004</v>
      </c>
      <c r="AA40" s="782">
        <v>1982495.87</v>
      </c>
      <c r="AB40" s="782">
        <v>4927127.42</v>
      </c>
      <c r="AC40" s="782">
        <v>2004404.29</v>
      </c>
      <c r="AD40" s="782">
        <f t="shared" si="0"/>
        <v>4492073.3758333344</v>
      </c>
      <c r="AE40" s="782">
        <f t="shared" si="0"/>
        <v>1866334.9691666663</v>
      </c>
      <c r="AF40" s="177"/>
    </row>
    <row r="41" spans="1:39">
      <c r="A41" s="124">
        <v>32</v>
      </c>
      <c r="B41" t="s">
        <v>1548</v>
      </c>
      <c r="C41" s="781" t="s">
        <v>1518</v>
      </c>
      <c r="D41" s="782">
        <v>8703.92</v>
      </c>
      <c r="E41" s="782">
        <v>1104.04</v>
      </c>
      <c r="F41" s="782">
        <v>8703.92</v>
      </c>
      <c r="G41" s="782">
        <v>1164.97</v>
      </c>
      <c r="H41" s="782">
        <v>8703.92</v>
      </c>
      <c r="I41" s="782">
        <v>1225.9000000000001</v>
      </c>
      <c r="J41" s="782">
        <v>8703.92</v>
      </c>
      <c r="K41" s="782">
        <v>1286.83</v>
      </c>
      <c r="L41" s="782">
        <v>8703.92</v>
      </c>
      <c r="M41" s="782">
        <v>1347.76</v>
      </c>
      <c r="N41" s="782">
        <v>8703.92</v>
      </c>
      <c r="O41" s="782">
        <v>1408.69</v>
      </c>
      <c r="P41" s="782">
        <v>8703.92</v>
      </c>
      <c r="Q41" s="782">
        <v>1469.6200000000001</v>
      </c>
      <c r="R41" s="782">
        <v>8703.92</v>
      </c>
      <c r="S41" s="782">
        <v>1530.55</v>
      </c>
      <c r="T41" s="782">
        <v>8703.92</v>
      </c>
      <c r="U41" s="782">
        <v>1591.48</v>
      </c>
      <c r="V41" s="782">
        <v>8703.92</v>
      </c>
      <c r="W41" s="782">
        <v>1652.41</v>
      </c>
      <c r="X41" s="782">
        <v>8703.92</v>
      </c>
      <c r="Y41" s="782">
        <v>1713.3400000000001</v>
      </c>
      <c r="Z41" s="782">
        <v>8703.92</v>
      </c>
      <c r="AA41" s="782">
        <v>1774.27</v>
      </c>
      <c r="AB41" s="782">
        <v>8703.92</v>
      </c>
      <c r="AC41" s="782">
        <v>1835.2</v>
      </c>
      <c r="AD41" s="782">
        <f t="shared" si="0"/>
        <v>8703.92</v>
      </c>
      <c r="AE41" s="782">
        <f t="shared" si="0"/>
        <v>1469.62</v>
      </c>
      <c r="AF41" s="177"/>
    </row>
    <row r="42" spans="1:39">
      <c r="A42" s="124">
        <v>33</v>
      </c>
      <c r="B42" t="s">
        <v>1549</v>
      </c>
      <c r="C42" s="781" t="s">
        <v>1518</v>
      </c>
      <c r="D42" s="782">
        <v>1893966.15</v>
      </c>
      <c r="E42" s="782">
        <v>553513.82000000007</v>
      </c>
      <c r="F42" s="782">
        <v>1901045.67</v>
      </c>
      <c r="G42" s="782">
        <v>570338.56000000006</v>
      </c>
      <c r="H42" s="782">
        <v>1912804.85</v>
      </c>
      <c r="I42" s="782">
        <v>587226.18000000005</v>
      </c>
      <c r="J42" s="782">
        <v>2003349.81</v>
      </c>
      <c r="K42" s="782">
        <v>603004.94000000006</v>
      </c>
      <c r="L42" s="782">
        <v>2017381.78</v>
      </c>
      <c r="M42" s="782">
        <v>620801.36</v>
      </c>
      <c r="N42" s="782">
        <v>2014558.28</v>
      </c>
      <c r="O42" s="782">
        <v>636000.43000000005</v>
      </c>
      <c r="P42" s="782">
        <v>2019562.5</v>
      </c>
      <c r="Q42" s="782">
        <v>653896.43000000005</v>
      </c>
      <c r="R42" s="782">
        <v>2019686.63</v>
      </c>
      <c r="S42" s="782">
        <v>671836.88</v>
      </c>
      <c r="T42" s="782">
        <v>2019686.63</v>
      </c>
      <c r="U42" s="782">
        <v>689778.43</v>
      </c>
      <c r="V42" s="782">
        <v>2031992.16</v>
      </c>
      <c r="W42" s="782">
        <v>709719.98</v>
      </c>
      <c r="X42" s="782">
        <v>2038587.25</v>
      </c>
      <c r="Y42" s="782">
        <v>727770.85</v>
      </c>
      <c r="Z42" s="782">
        <v>2056396.61</v>
      </c>
      <c r="AA42" s="782">
        <v>745880.3</v>
      </c>
      <c r="AB42" s="782">
        <v>2063422.78</v>
      </c>
      <c r="AC42" s="782">
        <v>764147.95000000007</v>
      </c>
      <c r="AD42" s="782">
        <f t="shared" si="0"/>
        <v>2001145.5529166665</v>
      </c>
      <c r="AE42" s="782">
        <f t="shared" si="0"/>
        <v>656257.10208333319</v>
      </c>
      <c r="AF42" s="177"/>
    </row>
    <row r="43" spans="1:39">
      <c r="A43" s="124">
        <v>34</v>
      </c>
      <c r="B43" t="s">
        <v>1550</v>
      </c>
      <c r="C43" s="781" t="s">
        <v>1518</v>
      </c>
      <c r="D43" s="782">
        <v>1331941.45</v>
      </c>
      <c r="E43" s="782">
        <v>-155586.81</v>
      </c>
      <c r="F43" s="782">
        <v>1131597.32</v>
      </c>
      <c r="G43" s="782">
        <v>-125242.11</v>
      </c>
      <c r="H43" s="782">
        <v>1131597.32</v>
      </c>
      <c r="I43" s="782">
        <v>-116161.04000000001</v>
      </c>
      <c r="J43" s="782">
        <v>1189865.3700000001</v>
      </c>
      <c r="K43" s="782">
        <v>-77189.08</v>
      </c>
      <c r="L43" s="782">
        <v>1189865.3700000001</v>
      </c>
      <c r="M43" s="782">
        <v>-67640.41</v>
      </c>
      <c r="N43" s="782">
        <v>1189865.3700000001</v>
      </c>
      <c r="O43" s="782">
        <v>-58091.74</v>
      </c>
      <c r="P43" s="782">
        <v>1125092.3400000001</v>
      </c>
      <c r="Q43" s="782">
        <v>-48543.07</v>
      </c>
      <c r="R43" s="782">
        <v>1125092.3400000001</v>
      </c>
      <c r="S43" s="782">
        <v>-39514.21</v>
      </c>
      <c r="T43" s="782">
        <v>1375250.8900000001</v>
      </c>
      <c r="U43" s="782">
        <v>-30485.350000000002</v>
      </c>
      <c r="V43" s="782">
        <v>1375250.8900000001</v>
      </c>
      <c r="W43" s="782">
        <v>-19448.96</v>
      </c>
      <c r="X43" s="782">
        <v>1717954.5600000001</v>
      </c>
      <c r="Y43" s="782">
        <v>-44003.25</v>
      </c>
      <c r="Z43" s="782">
        <v>1636973.72</v>
      </c>
      <c r="AA43" s="782">
        <v>-30216.670000000002</v>
      </c>
      <c r="AB43" s="782">
        <v>1875756.9500000002</v>
      </c>
      <c r="AC43" s="782">
        <v>-17079.96</v>
      </c>
      <c r="AD43" s="782">
        <f t="shared" si="0"/>
        <v>1316021.2241666669</v>
      </c>
      <c r="AE43" s="782">
        <f t="shared" si="0"/>
        <v>-61905.772916666669</v>
      </c>
      <c r="AF43" s="177"/>
    </row>
    <row r="44" spans="1:39">
      <c r="A44" s="124">
        <v>35</v>
      </c>
      <c r="B44" t="s">
        <v>1551</v>
      </c>
      <c r="C44" s="781" t="s">
        <v>1518</v>
      </c>
      <c r="D44" s="782">
        <v>358745.12</v>
      </c>
      <c r="E44" s="782">
        <v>94809.2</v>
      </c>
      <c r="F44" s="782">
        <v>358745.12</v>
      </c>
      <c r="G44" s="782">
        <v>95589.47</v>
      </c>
      <c r="H44" s="782">
        <v>358745.12</v>
      </c>
      <c r="I44" s="782">
        <v>96369.74</v>
      </c>
      <c r="J44" s="782">
        <v>365711.07</v>
      </c>
      <c r="K44" s="782">
        <v>97150.01</v>
      </c>
      <c r="L44" s="782">
        <v>365711.07</v>
      </c>
      <c r="M44" s="782">
        <v>97945.430000000008</v>
      </c>
      <c r="N44" s="782">
        <v>365711.07</v>
      </c>
      <c r="O44" s="782">
        <v>98740.85</v>
      </c>
      <c r="P44" s="782">
        <v>365711.07</v>
      </c>
      <c r="Q44" s="782">
        <v>99536.27</v>
      </c>
      <c r="R44" s="782">
        <v>365711.07</v>
      </c>
      <c r="S44" s="782">
        <v>100331.69</v>
      </c>
      <c r="T44" s="782">
        <v>365711.07</v>
      </c>
      <c r="U44" s="782">
        <v>101127.11</v>
      </c>
      <c r="V44" s="782">
        <v>365711.07</v>
      </c>
      <c r="W44" s="782">
        <v>101922.53</v>
      </c>
      <c r="X44" s="782">
        <v>365711.07</v>
      </c>
      <c r="Y44" s="782">
        <v>102717.95</v>
      </c>
      <c r="Z44" s="782">
        <v>365711.07</v>
      </c>
      <c r="AA44" s="782">
        <v>103513.37</v>
      </c>
      <c r="AB44" s="782">
        <v>365711.07</v>
      </c>
      <c r="AC44" s="782">
        <v>104308.79000000001</v>
      </c>
      <c r="AD44" s="782">
        <f t="shared" si="0"/>
        <v>364259.83041666658</v>
      </c>
      <c r="AE44" s="782">
        <f t="shared" si="0"/>
        <v>99541.951249999998</v>
      </c>
      <c r="AF44" s="177"/>
    </row>
    <row r="45" spans="1:39">
      <c r="A45" s="124">
        <v>36</v>
      </c>
      <c r="B45" t="s">
        <v>1552</v>
      </c>
      <c r="C45" s="781" t="s">
        <v>1518</v>
      </c>
      <c r="D45" s="782">
        <v>122427.24</v>
      </c>
      <c r="E45" s="782">
        <v>76946.070000000007</v>
      </c>
      <c r="F45" s="782">
        <v>122427.24</v>
      </c>
      <c r="G45" s="782">
        <v>77491.89</v>
      </c>
      <c r="H45" s="782">
        <v>122427.24</v>
      </c>
      <c r="I45" s="782">
        <v>78037.710000000006</v>
      </c>
      <c r="J45" s="782">
        <v>122427.24</v>
      </c>
      <c r="K45" s="782">
        <v>78583.53</v>
      </c>
      <c r="L45" s="782">
        <v>122427.24</v>
      </c>
      <c r="M45" s="782">
        <v>79129.350000000006</v>
      </c>
      <c r="N45" s="782">
        <v>122427.24</v>
      </c>
      <c r="O45" s="782">
        <v>79675.17</v>
      </c>
      <c r="P45" s="782">
        <v>122427.24</v>
      </c>
      <c r="Q45" s="782">
        <v>80220.990000000005</v>
      </c>
      <c r="R45" s="782">
        <v>122427.24</v>
      </c>
      <c r="S45" s="782">
        <v>80766.81</v>
      </c>
      <c r="T45" s="782">
        <v>122427.24</v>
      </c>
      <c r="U45" s="782">
        <v>81312.63</v>
      </c>
      <c r="V45" s="782">
        <v>122427.24</v>
      </c>
      <c r="W45" s="782">
        <v>81858.45</v>
      </c>
      <c r="X45" s="782">
        <v>122427.24</v>
      </c>
      <c r="Y45" s="782">
        <v>82404.27</v>
      </c>
      <c r="Z45" s="782">
        <v>122427.24</v>
      </c>
      <c r="AA45" s="782">
        <v>82950.09</v>
      </c>
      <c r="AB45" s="782">
        <v>122427.24</v>
      </c>
      <c r="AC45" s="782">
        <v>83495.91</v>
      </c>
      <c r="AD45" s="782">
        <f t="shared" si="0"/>
        <v>122427.24</v>
      </c>
      <c r="AE45" s="782">
        <f t="shared" si="0"/>
        <v>80220.989999999991</v>
      </c>
      <c r="AF45" s="177"/>
    </row>
    <row r="46" spans="1:39">
      <c r="A46" s="124">
        <v>37</v>
      </c>
      <c r="B46" t="s">
        <v>1553</v>
      </c>
      <c r="C46" s="781" t="s">
        <v>1518</v>
      </c>
      <c r="D46" s="782">
        <v>295285.8</v>
      </c>
      <c r="E46" s="782">
        <v>193090.22</v>
      </c>
      <c r="F46" s="782">
        <v>295285.8</v>
      </c>
      <c r="G46" s="782">
        <v>194810.26</v>
      </c>
      <c r="H46" s="782">
        <v>295285.8</v>
      </c>
      <c r="I46" s="782">
        <v>196530.30000000002</v>
      </c>
      <c r="J46" s="782">
        <v>295285.8</v>
      </c>
      <c r="K46" s="782">
        <v>198250.34</v>
      </c>
      <c r="L46" s="782">
        <v>295285.8</v>
      </c>
      <c r="M46" s="782">
        <v>199970.38</v>
      </c>
      <c r="N46" s="782">
        <v>295285.8</v>
      </c>
      <c r="O46" s="782">
        <v>201690.42</v>
      </c>
      <c r="P46" s="782">
        <v>295285.8</v>
      </c>
      <c r="Q46" s="782">
        <v>203410.46</v>
      </c>
      <c r="R46" s="782">
        <v>295285.8</v>
      </c>
      <c r="S46" s="782">
        <v>205130.5</v>
      </c>
      <c r="T46" s="782">
        <v>295285.8</v>
      </c>
      <c r="U46" s="782">
        <v>206850.54</v>
      </c>
      <c r="V46" s="782">
        <v>295285.8</v>
      </c>
      <c r="W46" s="782">
        <v>208570.58000000002</v>
      </c>
      <c r="X46" s="782">
        <v>295285.8</v>
      </c>
      <c r="Y46" s="782">
        <v>210290.62</v>
      </c>
      <c r="Z46" s="782">
        <v>295285.8</v>
      </c>
      <c r="AA46" s="782">
        <v>212010.66</v>
      </c>
      <c r="AB46" s="782">
        <v>295285.8</v>
      </c>
      <c r="AC46" s="782">
        <v>213730.7</v>
      </c>
      <c r="AD46" s="782">
        <f t="shared" si="0"/>
        <v>295285.79999999993</v>
      </c>
      <c r="AE46" s="782">
        <f t="shared" si="0"/>
        <v>203410.46000000005</v>
      </c>
      <c r="AF46" s="177"/>
    </row>
    <row r="47" spans="1:39">
      <c r="A47" s="124">
        <v>38</v>
      </c>
      <c r="B47" t="s">
        <v>1554</v>
      </c>
      <c r="C47" s="781" t="s">
        <v>1518</v>
      </c>
      <c r="D47" s="782">
        <v>461798.17</v>
      </c>
      <c r="E47" s="782">
        <v>89811.41</v>
      </c>
      <c r="F47" s="782">
        <v>461798.17</v>
      </c>
      <c r="G47" s="782">
        <v>91939.53</v>
      </c>
      <c r="H47" s="782">
        <v>461798.17</v>
      </c>
      <c r="I47" s="782">
        <v>94067.650000000009</v>
      </c>
      <c r="J47" s="782">
        <v>461798.17</v>
      </c>
      <c r="K47" s="782">
        <v>96195.77</v>
      </c>
      <c r="L47" s="782">
        <v>461798.17</v>
      </c>
      <c r="M47" s="782">
        <v>98323.89</v>
      </c>
      <c r="N47" s="782">
        <v>461798.17</v>
      </c>
      <c r="O47" s="782">
        <v>100452.01000000001</v>
      </c>
      <c r="P47" s="782">
        <v>461798.17</v>
      </c>
      <c r="Q47" s="782">
        <v>102580.13</v>
      </c>
      <c r="R47" s="782">
        <v>461798.17</v>
      </c>
      <c r="S47" s="782">
        <v>104708.25</v>
      </c>
      <c r="T47" s="782">
        <v>461335.57</v>
      </c>
      <c r="U47" s="782">
        <v>106373.77</v>
      </c>
      <c r="V47" s="782">
        <v>461335.57</v>
      </c>
      <c r="W47" s="782">
        <v>108499.76000000001</v>
      </c>
      <c r="X47" s="782">
        <v>461335.57</v>
      </c>
      <c r="Y47" s="782">
        <v>110625.75</v>
      </c>
      <c r="Z47" s="782">
        <v>461335.57</v>
      </c>
      <c r="AA47" s="782">
        <v>112751.74</v>
      </c>
      <c r="AB47" s="782">
        <v>461335.57</v>
      </c>
      <c r="AC47" s="782">
        <v>114877.73</v>
      </c>
      <c r="AD47" s="782">
        <f t="shared" si="0"/>
        <v>461624.69500000001</v>
      </c>
      <c r="AE47" s="782">
        <f t="shared" si="0"/>
        <v>102405.235</v>
      </c>
      <c r="AF47" s="177"/>
    </row>
    <row r="48" spans="1:39">
      <c r="A48" s="124">
        <v>39</v>
      </c>
      <c r="B48" t="s">
        <v>1555</v>
      </c>
      <c r="C48" s="781" t="s">
        <v>1518</v>
      </c>
      <c r="D48" s="782">
        <v>13577.130000000001</v>
      </c>
      <c r="E48" s="782">
        <v>-8334.43</v>
      </c>
      <c r="F48" s="782">
        <v>13577.130000000001</v>
      </c>
      <c r="G48" s="782">
        <v>-8089.8200000000006</v>
      </c>
      <c r="H48" s="782">
        <v>13577.130000000001</v>
      </c>
      <c r="I48" s="782">
        <v>-7845.21</v>
      </c>
      <c r="J48" s="782">
        <v>13577.130000000001</v>
      </c>
      <c r="K48" s="782">
        <v>-7600.6</v>
      </c>
      <c r="L48" s="782">
        <v>13577.130000000001</v>
      </c>
      <c r="M48" s="782">
        <v>-7355.99</v>
      </c>
      <c r="N48" s="782">
        <v>13577.130000000001</v>
      </c>
      <c r="O48" s="782">
        <v>-7111.38</v>
      </c>
      <c r="P48" s="782">
        <v>0</v>
      </c>
      <c r="Q48" s="782">
        <v>-20443.900000000001</v>
      </c>
      <c r="R48" s="782">
        <v>0</v>
      </c>
      <c r="S48" s="782">
        <v>-20443.900000000001</v>
      </c>
      <c r="T48" s="782">
        <v>0</v>
      </c>
      <c r="U48" s="782">
        <v>-20443.900000000001</v>
      </c>
      <c r="V48" s="782">
        <v>0</v>
      </c>
      <c r="W48" s="782">
        <v>0</v>
      </c>
      <c r="X48" s="782">
        <v>0</v>
      </c>
      <c r="Y48" s="782">
        <v>0</v>
      </c>
      <c r="Z48" s="782">
        <v>0</v>
      </c>
      <c r="AA48" s="782">
        <v>0</v>
      </c>
      <c r="AB48" s="782">
        <v>0</v>
      </c>
      <c r="AC48" s="782">
        <v>0</v>
      </c>
      <c r="AD48" s="782">
        <f t="shared" si="0"/>
        <v>6222.8512500000006</v>
      </c>
      <c r="AE48" s="782">
        <f t="shared" si="0"/>
        <v>-8625.159583333334</v>
      </c>
      <c r="AF48" s="177"/>
      <c r="AM48" s="53"/>
    </row>
    <row r="49" spans="1:42">
      <c r="A49" s="124">
        <v>40</v>
      </c>
      <c r="B49" t="s">
        <v>1556</v>
      </c>
      <c r="C49" s="781" t="s">
        <v>1518</v>
      </c>
      <c r="D49" s="782">
        <v>23738.3</v>
      </c>
      <c r="E49" s="782">
        <v>1736.07</v>
      </c>
      <c r="F49" s="782">
        <v>23738.3</v>
      </c>
      <c r="G49" s="782">
        <v>1822.1200000000001</v>
      </c>
      <c r="H49" s="782">
        <v>23738.3</v>
      </c>
      <c r="I49" s="782">
        <v>1908.17</v>
      </c>
      <c r="J49" s="782">
        <v>23738.3</v>
      </c>
      <c r="K49" s="782">
        <v>1994.22</v>
      </c>
      <c r="L49" s="782">
        <v>23738.3</v>
      </c>
      <c r="M49" s="782">
        <v>2080.27</v>
      </c>
      <c r="N49" s="782">
        <v>23738.3</v>
      </c>
      <c r="O49" s="782">
        <v>2166.3200000000002</v>
      </c>
      <c r="P49" s="782">
        <v>23738.3</v>
      </c>
      <c r="Q49" s="782">
        <v>2252.37</v>
      </c>
      <c r="R49" s="782">
        <v>23738.3</v>
      </c>
      <c r="S49" s="782">
        <v>2338.42</v>
      </c>
      <c r="T49" s="782">
        <v>23738.3</v>
      </c>
      <c r="U49" s="782">
        <v>2424.4700000000003</v>
      </c>
      <c r="V49" s="782">
        <v>23738.3</v>
      </c>
      <c r="W49" s="782">
        <v>2510.52</v>
      </c>
      <c r="X49" s="782">
        <v>23738.3</v>
      </c>
      <c r="Y49" s="782">
        <v>2596.5700000000002</v>
      </c>
      <c r="Z49" s="782">
        <v>23738.3</v>
      </c>
      <c r="AA49" s="782">
        <v>2682.62</v>
      </c>
      <c r="AB49" s="782">
        <v>23738.3</v>
      </c>
      <c r="AC49" s="782">
        <v>2768.67</v>
      </c>
      <c r="AD49" s="782">
        <f t="shared" si="0"/>
        <v>23738.299999999992</v>
      </c>
      <c r="AE49" s="782">
        <f t="shared" si="0"/>
        <v>2252.37</v>
      </c>
      <c r="AF49" s="177"/>
      <c r="AM49" s="53"/>
    </row>
    <row r="50" spans="1:42">
      <c r="A50" s="124">
        <v>41</v>
      </c>
      <c r="B50" s="515" t="s">
        <v>640</v>
      </c>
      <c r="C50" s="515" t="s">
        <v>1066</v>
      </c>
      <c r="D50" s="516">
        <f>SUBTOTAL(9,D11:D49)</f>
        <v>254515699.30999994</v>
      </c>
      <c r="E50" s="516">
        <f t="shared" ref="E50:P50" si="1">SUBTOTAL(9,E11:E49)</f>
        <v>110052686.16999996</v>
      </c>
      <c r="F50" s="516">
        <f t="shared" si="1"/>
        <v>254611712.0699999</v>
      </c>
      <c r="G50" s="516">
        <f t="shared" si="1"/>
        <v>110652727.76000005</v>
      </c>
      <c r="H50" s="516">
        <f t="shared" si="1"/>
        <v>254989726.32999992</v>
      </c>
      <c r="I50" s="516">
        <f t="shared" si="1"/>
        <v>111269135.64</v>
      </c>
      <c r="J50" s="516">
        <f t="shared" si="1"/>
        <v>255657609.14999995</v>
      </c>
      <c r="K50" s="516">
        <f t="shared" si="1"/>
        <v>112129559.66000001</v>
      </c>
      <c r="L50" s="516">
        <f t="shared" si="1"/>
        <v>256648318.32999995</v>
      </c>
      <c r="M50" s="516">
        <f t="shared" si="1"/>
        <v>112701450.72999997</v>
      </c>
      <c r="N50" s="516">
        <f t="shared" si="1"/>
        <v>257551056.92999995</v>
      </c>
      <c r="O50" s="516">
        <f t="shared" si="1"/>
        <v>113060539.17999999</v>
      </c>
      <c r="P50" s="516">
        <f t="shared" si="1"/>
        <v>258812907.23999998</v>
      </c>
      <c r="Q50" s="516">
        <f t="shared" ref="Q50:AE50" si="2">SUBTOTAL(9,Q11:Q49)</f>
        <v>113613473.16000001</v>
      </c>
      <c r="R50" s="516">
        <f t="shared" si="2"/>
        <v>260755804.63999999</v>
      </c>
      <c r="S50" s="516">
        <f t="shared" si="2"/>
        <v>114292951.47000001</v>
      </c>
      <c r="T50" s="516">
        <f t="shared" si="2"/>
        <v>264072337.07999995</v>
      </c>
      <c r="U50" s="516">
        <f t="shared" si="2"/>
        <v>114904606.41</v>
      </c>
      <c r="V50" s="516">
        <f t="shared" si="2"/>
        <v>266756347.30999991</v>
      </c>
      <c r="W50" s="516">
        <f t="shared" si="2"/>
        <v>115553664</v>
      </c>
      <c r="X50" s="516">
        <f t="shared" si="2"/>
        <v>268000197.02000001</v>
      </c>
      <c r="Y50" s="516">
        <f t="shared" si="2"/>
        <v>115974103.02999997</v>
      </c>
      <c r="Z50" s="516">
        <f t="shared" si="2"/>
        <v>269182951.39999998</v>
      </c>
      <c r="AA50" s="516">
        <f t="shared" si="2"/>
        <v>116566429.08999999</v>
      </c>
      <c r="AB50" s="516">
        <f t="shared" si="2"/>
        <v>270564015.85999995</v>
      </c>
      <c r="AC50" s="516">
        <f t="shared" si="2"/>
        <v>116212090.04000004</v>
      </c>
      <c r="AD50" s="516">
        <f t="shared" si="2"/>
        <v>260798235.42375004</v>
      </c>
      <c r="AE50" s="516">
        <f t="shared" si="2"/>
        <v>113654252.35291669</v>
      </c>
      <c r="AF50" s="315"/>
      <c r="AH50" s="135"/>
      <c r="AI50" s="135"/>
    </row>
    <row r="51" spans="1:42">
      <c r="A51" s="124">
        <v>42</v>
      </c>
      <c r="B51" s="10" t="s">
        <v>1557</v>
      </c>
      <c r="C51" s="264"/>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M51" s="527"/>
      <c r="AO51" s="527"/>
    </row>
    <row r="52" spans="1:42">
      <c r="A52" s="124">
        <v>43</v>
      </c>
      <c r="B52" t="s">
        <v>1558</v>
      </c>
      <c r="C52" s="781" t="s">
        <v>1559</v>
      </c>
      <c r="D52" s="782">
        <v>138157.95000000001</v>
      </c>
      <c r="E52" s="782">
        <v>138157.95000000001</v>
      </c>
      <c r="F52" s="782">
        <v>138157.95000000001</v>
      </c>
      <c r="G52" s="782">
        <v>138157.95000000001</v>
      </c>
      <c r="H52" s="782">
        <v>138157.95000000001</v>
      </c>
      <c r="I52" s="782">
        <v>138157.95000000001</v>
      </c>
      <c r="J52" s="782">
        <v>138157.95000000001</v>
      </c>
      <c r="K52" s="782">
        <v>138157.95000000001</v>
      </c>
      <c r="L52" s="782">
        <v>138157.95000000001</v>
      </c>
      <c r="M52" s="782">
        <v>138157.95000000001</v>
      </c>
      <c r="N52" s="782">
        <v>138157.95000000001</v>
      </c>
      <c r="O52" s="782">
        <v>138157.95000000001</v>
      </c>
      <c r="P52" s="782">
        <v>138157.95000000001</v>
      </c>
      <c r="Q52" s="782">
        <v>138157.95000000001</v>
      </c>
      <c r="R52" s="782">
        <v>138157.95000000001</v>
      </c>
      <c r="S52" s="782">
        <v>138157.95000000001</v>
      </c>
      <c r="T52" s="782">
        <v>138157.95000000001</v>
      </c>
      <c r="U52" s="782">
        <v>138157.95000000001</v>
      </c>
      <c r="V52" s="782">
        <v>138157.95000000001</v>
      </c>
      <c r="W52" s="782">
        <v>138157.95000000001</v>
      </c>
      <c r="X52" s="782">
        <v>138157.95000000001</v>
      </c>
      <c r="Y52" s="782">
        <v>138157.95000000001</v>
      </c>
      <c r="Z52" s="782">
        <v>138157.95000000001</v>
      </c>
      <c r="AA52" s="782">
        <v>138157.95000000001</v>
      </c>
      <c r="AB52" s="782">
        <v>138157.95000000001</v>
      </c>
      <c r="AC52" s="782">
        <v>138157.95000000001</v>
      </c>
      <c r="AD52" s="782">
        <f t="shared" ref="AD52:AE67" si="3">+(D52+AB52+(+F52+H52+J52+L52+N52+P52+R52+T52+V52+X52+Z52)*2)/24</f>
        <v>138157.94999999998</v>
      </c>
      <c r="AE52" s="782">
        <f t="shared" si="3"/>
        <v>138157.94999999998</v>
      </c>
      <c r="AF52" s="177"/>
      <c r="AI52" s="135"/>
      <c r="AK52" s="135"/>
      <c r="AL52" s="135"/>
      <c r="AM52" s="178"/>
      <c r="AN52" s="135"/>
      <c r="AO52" s="178"/>
      <c r="AP52" s="121"/>
    </row>
    <row r="53" spans="1:42">
      <c r="A53" s="124">
        <v>44</v>
      </c>
      <c r="B53" t="s">
        <v>1560</v>
      </c>
      <c r="C53" s="781" t="s">
        <v>1559</v>
      </c>
      <c r="D53" s="782">
        <v>12647.45</v>
      </c>
      <c r="E53" s="782">
        <v>3526.91</v>
      </c>
      <c r="F53" s="782">
        <v>12647.45</v>
      </c>
      <c r="G53" s="782">
        <v>3579.61</v>
      </c>
      <c r="H53" s="782">
        <v>12647.45</v>
      </c>
      <c r="I53" s="782">
        <v>3632.31</v>
      </c>
      <c r="J53" s="782">
        <v>12647.45</v>
      </c>
      <c r="K53" s="782">
        <v>3685.01</v>
      </c>
      <c r="L53" s="782">
        <v>12647.45</v>
      </c>
      <c r="M53" s="782">
        <v>3737.71</v>
      </c>
      <c r="N53" s="782">
        <v>12647.45</v>
      </c>
      <c r="O53" s="782">
        <v>3790.41</v>
      </c>
      <c r="P53" s="782">
        <v>12647.45</v>
      </c>
      <c r="Q53" s="782">
        <v>3843.11</v>
      </c>
      <c r="R53" s="782">
        <v>12647.45</v>
      </c>
      <c r="S53" s="782">
        <v>3895.81</v>
      </c>
      <c r="T53" s="782">
        <v>12647.45</v>
      </c>
      <c r="U53" s="782">
        <v>3948.51</v>
      </c>
      <c r="V53" s="782">
        <v>12647.45</v>
      </c>
      <c r="W53" s="782">
        <v>4001.21</v>
      </c>
      <c r="X53" s="782">
        <v>12647.45</v>
      </c>
      <c r="Y53" s="782">
        <v>4053.9100000000003</v>
      </c>
      <c r="Z53" s="782">
        <v>12647.45</v>
      </c>
      <c r="AA53" s="782">
        <v>4106.6099999999997</v>
      </c>
      <c r="AB53" s="782">
        <v>12647.45</v>
      </c>
      <c r="AC53" s="782">
        <v>4159.3100000000004</v>
      </c>
      <c r="AD53" s="782">
        <f t="shared" si="3"/>
        <v>12647.449999999999</v>
      </c>
      <c r="AE53" s="782">
        <f t="shared" si="3"/>
        <v>3843.1100000000006</v>
      </c>
      <c r="AF53" s="177"/>
      <c r="AK53" s="135"/>
      <c r="AL53" s="135"/>
      <c r="AM53" s="178"/>
      <c r="AN53" s="121"/>
      <c r="AO53" s="178"/>
      <c r="AP53" s="121"/>
    </row>
    <row r="54" spans="1:42">
      <c r="A54" s="124">
        <v>45</v>
      </c>
      <c r="B54" t="s">
        <v>1561</v>
      </c>
      <c r="C54" s="781" t="s">
        <v>1559</v>
      </c>
      <c r="D54" s="782">
        <v>45037.37</v>
      </c>
      <c r="E54" s="782">
        <v>9101.51</v>
      </c>
      <c r="F54" s="782">
        <v>45037.37</v>
      </c>
      <c r="G54" s="782">
        <v>9195.34</v>
      </c>
      <c r="H54" s="782">
        <v>45037.37</v>
      </c>
      <c r="I54" s="782">
        <v>9289.17</v>
      </c>
      <c r="J54" s="782">
        <v>45037.37</v>
      </c>
      <c r="K54" s="782">
        <v>9383</v>
      </c>
      <c r="L54" s="782">
        <v>45037.37</v>
      </c>
      <c r="M54" s="782">
        <v>9476.83</v>
      </c>
      <c r="N54" s="782">
        <v>45037.37</v>
      </c>
      <c r="O54" s="782">
        <v>9570.66</v>
      </c>
      <c r="P54" s="782">
        <v>45037.37</v>
      </c>
      <c r="Q54" s="782">
        <v>9664.49</v>
      </c>
      <c r="R54" s="782">
        <v>45037.37</v>
      </c>
      <c r="S54" s="782">
        <v>9758.32</v>
      </c>
      <c r="T54" s="782">
        <v>45037.37</v>
      </c>
      <c r="U54" s="782">
        <v>9852.15</v>
      </c>
      <c r="V54" s="782">
        <v>45037.37</v>
      </c>
      <c r="W54" s="782">
        <v>9945.98</v>
      </c>
      <c r="X54" s="782">
        <v>45037.37</v>
      </c>
      <c r="Y54" s="782">
        <v>10039.81</v>
      </c>
      <c r="Z54" s="782">
        <v>45037.37</v>
      </c>
      <c r="AA54" s="782">
        <v>10133.64</v>
      </c>
      <c r="AB54" s="782">
        <v>45037.37</v>
      </c>
      <c r="AC54" s="782">
        <v>10227.469999999999</v>
      </c>
      <c r="AD54" s="782">
        <f t="shared" si="3"/>
        <v>45037.37</v>
      </c>
      <c r="AE54" s="782">
        <f t="shared" si="3"/>
        <v>9664.49</v>
      </c>
      <c r="AF54" s="177"/>
      <c r="AK54" s="135"/>
      <c r="AL54" s="135"/>
      <c r="AM54" s="178"/>
      <c r="AN54" s="135"/>
      <c r="AO54" s="178"/>
      <c r="AP54" s="121"/>
    </row>
    <row r="55" spans="1:42">
      <c r="A55" s="124">
        <v>46</v>
      </c>
      <c r="B55" t="s">
        <v>1562</v>
      </c>
      <c r="C55" s="781" t="s">
        <v>1559</v>
      </c>
      <c r="D55" s="782">
        <v>1218966.19</v>
      </c>
      <c r="E55" s="782">
        <v>217858.86000000002</v>
      </c>
      <c r="F55" s="782">
        <v>1218966.19</v>
      </c>
      <c r="G55" s="782">
        <v>220398.37</v>
      </c>
      <c r="H55" s="782">
        <v>1218966.19</v>
      </c>
      <c r="I55" s="782">
        <v>222937.88</v>
      </c>
      <c r="J55" s="782">
        <v>1218966.19</v>
      </c>
      <c r="K55" s="782">
        <v>225477.39</v>
      </c>
      <c r="L55" s="782">
        <v>1218966.19</v>
      </c>
      <c r="M55" s="782">
        <v>228016.9</v>
      </c>
      <c r="N55" s="782">
        <v>1218966.19</v>
      </c>
      <c r="O55" s="782">
        <v>230556.41</v>
      </c>
      <c r="P55" s="782">
        <v>1218966.19</v>
      </c>
      <c r="Q55" s="782">
        <v>233095.92</v>
      </c>
      <c r="R55" s="782">
        <v>1218966.19</v>
      </c>
      <c r="S55" s="782">
        <v>235635.43</v>
      </c>
      <c r="T55" s="782">
        <v>1218966.19</v>
      </c>
      <c r="U55" s="782">
        <v>238174.94</v>
      </c>
      <c r="V55" s="782">
        <v>1218966.19</v>
      </c>
      <c r="W55" s="782">
        <v>240714.45</v>
      </c>
      <c r="X55" s="782">
        <v>1218966.19</v>
      </c>
      <c r="Y55" s="782">
        <v>243253.96</v>
      </c>
      <c r="Z55" s="782">
        <v>1218966.19</v>
      </c>
      <c r="AA55" s="782">
        <v>245793.47</v>
      </c>
      <c r="AB55" s="782">
        <v>1218966.19</v>
      </c>
      <c r="AC55" s="782">
        <v>248332.98</v>
      </c>
      <c r="AD55" s="782">
        <f t="shared" si="3"/>
        <v>1218966.1899999997</v>
      </c>
      <c r="AE55" s="782">
        <f t="shared" si="3"/>
        <v>233095.92</v>
      </c>
      <c r="AF55" s="177"/>
      <c r="AI55" s="135"/>
      <c r="AK55" s="135"/>
      <c r="AL55" s="135"/>
      <c r="AM55" s="178"/>
      <c r="AN55" s="135"/>
      <c r="AO55" s="178"/>
    </row>
    <row r="56" spans="1:42">
      <c r="A56" s="124">
        <v>47</v>
      </c>
      <c r="B56" t="s">
        <v>1563</v>
      </c>
      <c r="C56" s="781" t="s">
        <v>1559</v>
      </c>
      <c r="D56" s="782">
        <v>2333239.5300000003</v>
      </c>
      <c r="E56" s="782">
        <v>290347.8</v>
      </c>
      <c r="F56" s="782">
        <v>2333239.5300000003</v>
      </c>
      <c r="G56" s="782">
        <v>295208.72000000003</v>
      </c>
      <c r="H56" s="782">
        <v>2333239.5300000003</v>
      </c>
      <c r="I56" s="782">
        <v>300069.64</v>
      </c>
      <c r="J56" s="782">
        <v>2333239.5300000003</v>
      </c>
      <c r="K56" s="782">
        <v>304930.56</v>
      </c>
      <c r="L56" s="782">
        <v>2333239.5300000003</v>
      </c>
      <c r="M56" s="782">
        <v>309791.48</v>
      </c>
      <c r="N56" s="782">
        <v>2333239.5300000003</v>
      </c>
      <c r="O56" s="782">
        <v>314652.40000000002</v>
      </c>
      <c r="P56" s="782">
        <v>2333239.5300000003</v>
      </c>
      <c r="Q56" s="782">
        <v>319513.32</v>
      </c>
      <c r="R56" s="782">
        <v>2333239.5300000003</v>
      </c>
      <c r="S56" s="782">
        <v>324374.24</v>
      </c>
      <c r="T56" s="782">
        <v>2333239.5300000003</v>
      </c>
      <c r="U56" s="782">
        <v>329235.16000000003</v>
      </c>
      <c r="V56" s="782">
        <v>2333239.5300000003</v>
      </c>
      <c r="W56" s="782">
        <v>334096.08</v>
      </c>
      <c r="X56" s="782">
        <v>2333239.5300000003</v>
      </c>
      <c r="Y56" s="782">
        <v>338957</v>
      </c>
      <c r="Z56" s="782">
        <v>2333239.5300000003</v>
      </c>
      <c r="AA56" s="782">
        <v>343817.92</v>
      </c>
      <c r="AB56" s="782">
        <v>2333239.5300000003</v>
      </c>
      <c r="AC56" s="782">
        <v>348678.84</v>
      </c>
      <c r="AD56" s="782">
        <f t="shared" si="3"/>
        <v>2333239.5300000007</v>
      </c>
      <c r="AE56" s="782">
        <f t="shared" si="3"/>
        <v>319513.32</v>
      </c>
      <c r="AF56" s="177"/>
      <c r="AK56" s="135"/>
      <c r="AL56" s="135"/>
      <c r="AM56" s="178"/>
      <c r="AN56" s="121"/>
      <c r="AO56" s="178"/>
      <c r="AP56" s="121"/>
    </row>
    <row r="57" spans="1:42">
      <c r="A57" s="124">
        <v>48</v>
      </c>
      <c r="B57" t="s">
        <v>1564</v>
      </c>
      <c r="C57" s="781" t="s">
        <v>1559</v>
      </c>
      <c r="D57" s="782">
        <v>8000.9000000000005</v>
      </c>
      <c r="E57" s="782">
        <v>866.84</v>
      </c>
      <c r="F57" s="782">
        <v>8000.9000000000005</v>
      </c>
      <c r="G57" s="782">
        <v>883.51</v>
      </c>
      <c r="H57" s="782">
        <v>8000.9000000000005</v>
      </c>
      <c r="I57" s="782">
        <v>900.18000000000006</v>
      </c>
      <c r="J57" s="782">
        <v>8000.9000000000005</v>
      </c>
      <c r="K57" s="782">
        <v>916.85</v>
      </c>
      <c r="L57" s="782">
        <v>8000.9000000000005</v>
      </c>
      <c r="M57" s="782">
        <v>933.52</v>
      </c>
      <c r="N57" s="782">
        <v>8000.9000000000005</v>
      </c>
      <c r="O57" s="782">
        <v>950.19</v>
      </c>
      <c r="P57" s="782">
        <v>8000.9000000000005</v>
      </c>
      <c r="Q57" s="782">
        <v>966.86</v>
      </c>
      <c r="R57" s="782">
        <v>8000.9000000000005</v>
      </c>
      <c r="S57" s="782">
        <v>983.53</v>
      </c>
      <c r="T57" s="782">
        <v>8000.9000000000005</v>
      </c>
      <c r="U57" s="782">
        <v>1000.2</v>
      </c>
      <c r="V57" s="782">
        <v>8000.9000000000005</v>
      </c>
      <c r="W57" s="782">
        <v>1016.87</v>
      </c>
      <c r="X57" s="782">
        <v>8000.9000000000005</v>
      </c>
      <c r="Y57" s="782">
        <v>1033.54</v>
      </c>
      <c r="Z57" s="782">
        <v>8000.9000000000005</v>
      </c>
      <c r="AA57" s="782">
        <v>1050.21</v>
      </c>
      <c r="AB57" s="782">
        <v>8000.9000000000005</v>
      </c>
      <c r="AC57" s="782">
        <v>1066.8800000000001</v>
      </c>
      <c r="AD57" s="782">
        <f t="shared" si="3"/>
        <v>8000.8999999999987</v>
      </c>
      <c r="AE57" s="782">
        <f t="shared" si="3"/>
        <v>966.86</v>
      </c>
      <c r="AF57" s="177"/>
      <c r="AI57" s="135"/>
      <c r="AK57" s="135"/>
      <c r="AL57" s="135"/>
      <c r="AM57" s="178"/>
      <c r="AN57" s="135"/>
      <c r="AO57" s="178"/>
      <c r="AP57" s="121"/>
    </row>
    <row r="58" spans="1:42">
      <c r="A58" s="124">
        <v>49</v>
      </c>
      <c r="B58" t="s">
        <v>1565</v>
      </c>
      <c r="C58" s="781" t="s">
        <v>1559</v>
      </c>
      <c r="D58" s="782">
        <v>12319467.029999999</v>
      </c>
      <c r="E58" s="782">
        <v>631709.21</v>
      </c>
      <c r="F58" s="782">
        <v>12319467.029999999</v>
      </c>
      <c r="G58" s="782">
        <v>657374.77</v>
      </c>
      <c r="H58" s="782">
        <v>12319467.029999999</v>
      </c>
      <c r="I58" s="782">
        <v>683040.33</v>
      </c>
      <c r="J58" s="782">
        <v>12319467.029999999</v>
      </c>
      <c r="K58" s="782">
        <v>708705.89</v>
      </c>
      <c r="L58" s="782">
        <v>12319467.029999999</v>
      </c>
      <c r="M58" s="782">
        <v>734371.45000000007</v>
      </c>
      <c r="N58" s="782">
        <v>12319467.029999999</v>
      </c>
      <c r="O58" s="782">
        <v>760037.01</v>
      </c>
      <c r="P58" s="782">
        <v>12319467.029999999</v>
      </c>
      <c r="Q58" s="782">
        <v>785702.57000000007</v>
      </c>
      <c r="R58" s="782">
        <v>12319467.029999999</v>
      </c>
      <c r="S58" s="782">
        <v>811368.13</v>
      </c>
      <c r="T58" s="782">
        <v>12319467.029999999</v>
      </c>
      <c r="U58" s="782">
        <v>837033.69000000006</v>
      </c>
      <c r="V58" s="782">
        <v>12319467.029999999</v>
      </c>
      <c r="W58" s="782">
        <v>862699.25</v>
      </c>
      <c r="X58" s="782">
        <v>12319467.029999999</v>
      </c>
      <c r="Y58" s="782">
        <v>888364.81</v>
      </c>
      <c r="Z58" s="782">
        <v>12319467.029999999</v>
      </c>
      <c r="AA58" s="782">
        <v>914030.37</v>
      </c>
      <c r="AB58" s="782">
        <v>12319467.029999999</v>
      </c>
      <c r="AC58" s="782">
        <v>939695.93</v>
      </c>
      <c r="AD58" s="782">
        <f t="shared" si="3"/>
        <v>12319467.029999999</v>
      </c>
      <c r="AE58" s="782">
        <f t="shared" si="3"/>
        <v>785702.57</v>
      </c>
      <c r="AF58" s="177"/>
      <c r="AI58" s="135"/>
      <c r="AK58" s="135"/>
      <c r="AL58" s="135"/>
      <c r="AM58" s="178"/>
      <c r="AN58" s="135"/>
      <c r="AO58" s="178"/>
      <c r="AP58" s="121"/>
    </row>
    <row r="59" spans="1:42">
      <c r="A59" s="124">
        <v>50</v>
      </c>
      <c r="B59" t="s">
        <v>1566</v>
      </c>
      <c r="C59" s="781" t="s">
        <v>1559</v>
      </c>
      <c r="D59" s="782">
        <v>2849760.93</v>
      </c>
      <c r="E59" s="782">
        <v>70692.350000000006</v>
      </c>
      <c r="F59" s="782">
        <v>2839132.67</v>
      </c>
      <c r="G59" s="782">
        <v>76629.350000000006</v>
      </c>
      <c r="H59" s="782">
        <v>2839132.67</v>
      </c>
      <c r="I59" s="782">
        <v>82544.210000000006</v>
      </c>
      <c r="J59" s="782">
        <v>2839132.67</v>
      </c>
      <c r="K59" s="782">
        <v>88459.07</v>
      </c>
      <c r="L59" s="782">
        <v>2839132.67</v>
      </c>
      <c r="M59" s="782">
        <v>94373.930000000008</v>
      </c>
      <c r="N59" s="782">
        <v>2839132.67</v>
      </c>
      <c r="O59" s="782">
        <v>100288.79000000001</v>
      </c>
      <c r="P59" s="782">
        <v>2839132.67</v>
      </c>
      <c r="Q59" s="782">
        <v>106203.65000000001</v>
      </c>
      <c r="R59" s="782">
        <v>2839132.67</v>
      </c>
      <c r="S59" s="782">
        <v>112118.51000000001</v>
      </c>
      <c r="T59" s="782">
        <v>2839132.67</v>
      </c>
      <c r="U59" s="782">
        <v>118033.37</v>
      </c>
      <c r="V59" s="782">
        <v>2839132.67</v>
      </c>
      <c r="W59" s="782">
        <v>123948.23</v>
      </c>
      <c r="X59" s="782">
        <v>2839132.67</v>
      </c>
      <c r="Y59" s="782">
        <v>129863.09</v>
      </c>
      <c r="Z59" s="782">
        <v>2839132.67</v>
      </c>
      <c r="AA59" s="782">
        <v>135777.95000000001</v>
      </c>
      <c r="AB59" s="782">
        <v>2839132.67</v>
      </c>
      <c r="AC59" s="782">
        <v>141692.81</v>
      </c>
      <c r="AD59" s="782">
        <f t="shared" si="3"/>
        <v>2839575.5141666667</v>
      </c>
      <c r="AE59" s="782">
        <f t="shared" si="3"/>
        <v>106202.72749999999</v>
      </c>
      <c r="AF59" s="177"/>
      <c r="AI59" s="135"/>
      <c r="AK59" s="135"/>
      <c r="AL59" s="135"/>
      <c r="AM59" s="178"/>
      <c r="AN59" s="135"/>
      <c r="AO59" s="178"/>
    </row>
    <row r="60" spans="1:42">
      <c r="A60" s="124">
        <v>51</v>
      </c>
      <c r="B60" t="s">
        <v>1567</v>
      </c>
      <c r="C60" s="781" t="s">
        <v>1559</v>
      </c>
      <c r="D60" s="782">
        <v>952108.14</v>
      </c>
      <c r="E60" s="782">
        <v>0</v>
      </c>
      <c r="F60" s="782">
        <v>952108.14</v>
      </c>
      <c r="G60" s="782">
        <v>1983.56</v>
      </c>
      <c r="H60" s="782">
        <v>952108.14</v>
      </c>
      <c r="I60" s="782">
        <v>3967.12</v>
      </c>
      <c r="J60" s="782">
        <v>952108.14</v>
      </c>
      <c r="K60" s="782">
        <v>5950.68</v>
      </c>
      <c r="L60" s="782">
        <v>952108.14</v>
      </c>
      <c r="M60" s="782">
        <v>7934.24</v>
      </c>
      <c r="N60" s="782">
        <v>952108.14</v>
      </c>
      <c r="O60" s="782">
        <v>9917.8000000000011</v>
      </c>
      <c r="P60" s="782">
        <v>952108.14</v>
      </c>
      <c r="Q60" s="782">
        <v>11901.36</v>
      </c>
      <c r="R60" s="782">
        <v>952108.14</v>
      </c>
      <c r="S60" s="782">
        <v>13884.92</v>
      </c>
      <c r="T60" s="782">
        <v>952108.14</v>
      </c>
      <c r="U60" s="782">
        <v>15868.48</v>
      </c>
      <c r="V60" s="782">
        <v>952108.14</v>
      </c>
      <c r="W60" s="782">
        <v>17852.04</v>
      </c>
      <c r="X60" s="782">
        <v>1584485.78</v>
      </c>
      <c r="Y60" s="782">
        <v>19835.600000000002</v>
      </c>
      <c r="Z60" s="782">
        <v>1584485.78</v>
      </c>
      <c r="AA60" s="782">
        <v>23136.61</v>
      </c>
      <c r="AB60" s="782">
        <v>1584485.78</v>
      </c>
      <c r="AC60" s="782">
        <v>26437.62</v>
      </c>
      <c r="AD60" s="782">
        <f t="shared" si="3"/>
        <v>1083853.4816666665</v>
      </c>
      <c r="AE60" s="782">
        <f t="shared" si="3"/>
        <v>12120.935000000003</v>
      </c>
      <c r="AF60" s="177"/>
      <c r="AK60" s="135"/>
      <c r="AL60" s="135"/>
      <c r="AM60" s="178"/>
      <c r="AN60" s="135"/>
      <c r="AO60" s="178"/>
      <c r="AP60" s="121"/>
    </row>
    <row r="61" spans="1:42">
      <c r="A61" s="124">
        <v>52</v>
      </c>
      <c r="B61" t="s">
        <v>1568</v>
      </c>
      <c r="C61" s="781" t="s">
        <v>1559</v>
      </c>
      <c r="D61" s="782">
        <v>338215.79</v>
      </c>
      <c r="E61" s="782">
        <v>0</v>
      </c>
      <c r="F61" s="782">
        <v>338215.79</v>
      </c>
      <c r="G61" s="782">
        <v>0</v>
      </c>
      <c r="H61" s="782">
        <v>338215.79</v>
      </c>
      <c r="I61" s="782">
        <v>0</v>
      </c>
      <c r="J61" s="782">
        <v>338215.79</v>
      </c>
      <c r="K61" s="782">
        <v>0</v>
      </c>
      <c r="L61" s="782">
        <v>338215.79</v>
      </c>
      <c r="M61" s="782">
        <v>0</v>
      </c>
      <c r="N61" s="782">
        <v>338215.79</v>
      </c>
      <c r="O61" s="782">
        <v>0</v>
      </c>
      <c r="P61" s="782">
        <v>338215.79</v>
      </c>
      <c r="Q61" s="782">
        <v>0</v>
      </c>
      <c r="R61" s="782">
        <v>338215.79</v>
      </c>
      <c r="S61" s="782">
        <v>0</v>
      </c>
      <c r="T61" s="782">
        <v>338215.79</v>
      </c>
      <c r="U61" s="782">
        <v>0</v>
      </c>
      <c r="V61" s="782">
        <v>338215.79</v>
      </c>
      <c r="W61" s="782">
        <v>0</v>
      </c>
      <c r="X61" s="782">
        <v>338215.79</v>
      </c>
      <c r="Y61" s="782">
        <v>0</v>
      </c>
      <c r="Z61" s="782">
        <v>338215.79</v>
      </c>
      <c r="AA61" s="782">
        <v>0</v>
      </c>
      <c r="AB61" s="782">
        <v>338215.79</v>
      </c>
      <c r="AC61" s="782">
        <v>0</v>
      </c>
      <c r="AD61" s="782">
        <f t="shared" si="3"/>
        <v>338215.79</v>
      </c>
      <c r="AE61" s="782">
        <f t="shared" si="3"/>
        <v>0</v>
      </c>
      <c r="AF61" s="177"/>
      <c r="AI61" s="135"/>
      <c r="AK61" s="135"/>
      <c r="AL61" s="135"/>
      <c r="AM61" s="178"/>
      <c r="AN61" s="135"/>
      <c r="AO61" s="178"/>
    </row>
    <row r="62" spans="1:42">
      <c r="A62" s="124">
        <v>53</v>
      </c>
      <c r="B62" t="s">
        <v>1569</v>
      </c>
      <c r="C62" s="781" t="s">
        <v>1559</v>
      </c>
      <c r="D62" s="782">
        <v>1018396.75</v>
      </c>
      <c r="E62" s="782">
        <v>846439.5</v>
      </c>
      <c r="F62" s="782">
        <v>1018396.75</v>
      </c>
      <c r="G62" s="782">
        <v>846991.13</v>
      </c>
      <c r="H62" s="782">
        <v>1018396.75</v>
      </c>
      <c r="I62" s="782">
        <v>847542.76</v>
      </c>
      <c r="J62" s="782">
        <v>1018396.75</v>
      </c>
      <c r="K62" s="782">
        <v>848094.39</v>
      </c>
      <c r="L62" s="782">
        <v>1018396.75</v>
      </c>
      <c r="M62" s="782">
        <v>848646.02</v>
      </c>
      <c r="N62" s="782">
        <v>1018396.75</v>
      </c>
      <c r="O62" s="782">
        <v>849197.65</v>
      </c>
      <c r="P62" s="782">
        <v>1071484.3999999999</v>
      </c>
      <c r="Q62" s="782">
        <v>849749.28</v>
      </c>
      <c r="R62" s="782">
        <v>1071484.3999999999</v>
      </c>
      <c r="S62" s="782">
        <v>850329.67</v>
      </c>
      <c r="T62" s="782">
        <v>1071484.3999999999</v>
      </c>
      <c r="U62" s="782">
        <v>850910.06</v>
      </c>
      <c r="V62" s="782">
        <v>1071484.3999999999</v>
      </c>
      <c r="W62" s="782">
        <v>851490.45000000007</v>
      </c>
      <c r="X62" s="782">
        <v>1071484.3999999999</v>
      </c>
      <c r="Y62" s="782">
        <v>852070.84</v>
      </c>
      <c r="Z62" s="782">
        <v>1071484.3999999999</v>
      </c>
      <c r="AA62" s="782">
        <v>852651.23</v>
      </c>
      <c r="AB62" s="782">
        <v>1071405.18</v>
      </c>
      <c r="AC62" s="782">
        <v>853231.62</v>
      </c>
      <c r="AD62" s="782">
        <f t="shared" si="3"/>
        <v>1047149.2595833335</v>
      </c>
      <c r="AE62" s="782">
        <f t="shared" si="3"/>
        <v>849792.42000000027</v>
      </c>
      <c r="AF62" s="177"/>
      <c r="AK62" s="135"/>
      <c r="AL62" s="135"/>
      <c r="AM62" s="178"/>
      <c r="AN62" s="121"/>
      <c r="AO62" s="178"/>
      <c r="AP62" s="121"/>
    </row>
    <row r="63" spans="1:42">
      <c r="A63" s="124">
        <v>54</v>
      </c>
      <c r="B63" t="s">
        <v>1570</v>
      </c>
      <c r="C63" s="781" t="s">
        <v>1559</v>
      </c>
      <c r="D63" s="782">
        <v>0</v>
      </c>
      <c r="E63" s="782">
        <v>0</v>
      </c>
      <c r="F63" s="782">
        <v>0</v>
      </c>
      <c r="G63" s="782">
        <v>0</v>
      </c>
      <c r="H63" s="782">
        <v>0</v>
      </c>
      <c r="I63" s="782">
        <v>0</v>
      </c>
      <c r="J63" s="782">
        <v>0</v>
      </c>
      <c r="K63" s="782">
        <v>0</v>
      </c>
      <c r="L63" s="782">
        <v>0</v>
      </c>
      <c r="M63" s="782">
        <v>0</v>
      </c>
      <c r="N63" s="782">
        <v>0</v>
      </c>
      <c r="O63" s="782">
        <v>0</v>
      </c>
      <c r="P63" s="782">
        <v>0</v>
      </c>
      <c r="Q63" s="782">
        <v>0</v>
      </c>
      <c r="R63" s="782">
        <v>0</v>
      </c>
      <c r="S63" s="782">
        <v>0</v>
      </c>
      <c r="T63" s="782">
        <v>0</v>
      </c>
      <c r="U63" s="782">
        <v>0</v>
      </c>
      <c r="V63" s="782">
        <v>0</v>
      </c>
      <c r="W63" s="782">
        <v>0</v>
      </c>
      <c r="X63" s="782">
        <v>124315.06</v>
      </c>
      <c r="Y63" s="782">
        <v>0</v>
      </c>
      <c r="Z63" s="782">
        <v>124315.06</v>
      </c>
      <c r="AA63" s="782">
        <v>155.39000000000001</v>
      </c>
      <c r="AB63" s="782">
        <v>124315.06</v>
      </c>
      <c r="AC63" s="782">
        <v>310.78000000000003</v>
      </c>
      <c r="AD63" s="782">
        <f t="shared" si="3"/>
        <v>25898.970833333336</v>
      </c>
      <c r="AE63" s="782">
        <f t="shared" si="3"/>
        <v>25.898333333333337</v>
      </c>
      <c r="AF63" s="177"/>
      <c r="AI63" s="135"/>
      <c r="AK63" s="135"/>
      <c r="AL63" s="135"/>
      <c r="AM63" s="178"/>
      <c r="AN63" s="135"/>
      <c r="AO63" s="178"/>
    </row>
    <row r="64" spans="1:42">
      <c r="A64" s="124">
        <v>55</v>
      </c>
      <c r="B64" t="s">
        <v>1571</v>
      </c>
      <c r="C64" s="781" t="s">
        <v>1559</v>
      </c>
      <c r="D64" s="782">
        <v>15929132.24</v>
      </c>
      <c r="E64" s="782">
        <v>11930240.439999999</v>
      </c>
      <c r="F64" s="782">
        <v>15929132.24</v>
      </c>
      <c r="G64" s="782">
        <v>11950151.85</v>
      </c>
      <c r="H64" s="782">
        <v>15929132.24</v>
      </c>
      <c r="I64" s="782">
        <v>11970063.26</v>
      </c>
      <c r="J64" s="782">
        <v>17194531.469999999</v>
      </c>
      <c r="K64" s="782">
        <v>11989974.67</v>
      </c>
      <c r="L64" s="782">
        <v>17241057.789999999</v>
      </c>
      <c r="M64" s="782">
        <v>12003161.34</v>
      </c>
      <c r="N64" s="782">
        <v>17251362.59</v>
      </c>
      <c r="O64" s="782">
        <v>12024712.66</v>
      </c>
      <c r="P64" s="782">
        <v>17229656.030000001</v>
      </c>
      <c r="Q64" s="782">
        <v>12024570.310000001</v>
      </c>
      <c r="R64" s="782">
        <v>17229656.030000001</v>
      </c>
      <c r="S64" s="782">
        <v>12046107.380000001</v>
      </c>
      <c r="T64" s="782">
        <v>17229656.030000001</v>
      </c>
      <c r="U64" s="782">
        <v>12067644.449999999</v>
      </c>
      <c r="V64" s="782">
        <v>17273158.969999999</v>
      </c>
      <c r="W64" s="782">
        <v>12092493.35</v>
      </c>
      <c r="X64" s="782">
        <v>17273158.969999999</v>
      </c>
      <c r="Y64" s="782">
        <v>12114084.800000001</v>
      </c>
      <c r="Z64" s="782">
        <v>17273158.969999999</v>
      </c>
      <c r="AA64" s="782">
        <v>12135676.25</v>
      </c>
      <c r="AB64" s="782">
        <v>17254526.629999999</v>
      </c>
      <c r="AC64" s="782">
        <v>12146466.439999999</v>
      </c>
      <c r="AD64" s="782">
        <f t="shared" si="3"/>
        <v>16970457.563750003</v>
      </c>
      <c r="AE64" s="782">
        <f t="shared" si="3"/>
        <v>12038082.813333333</v>
      </c>
      <c r="AF64" s="177"/>
      <c r="AK64" s="135"/>
      <c r="AL64" s="135"/>
      <c r="AM64" s="178"/>
      <c r="AN64" s="121"/>
      <c r="AO64" s="178"/>
      <c r="AP64" s="121"/>
    </row>
    <row r="65" spans="1:42">
      <c r="A65" s="124">
        <v>56</v>
      </c>
      <c r="B65" t="s">
        <v>1572</v>
      </c>
      <c r="C65" s="781" t="s">
        <v>1559</v>
      </c>
      <c r="D65" s="782">
        <v>135338.4</v>
      </c>
      <c r="E65" s="782">
        <v>148872.24</v>
      </c>
      <c r="F65" s="782">
        <v>135338.4</v>
      </c>
      <c r="G65" s="782">
        <v>148872.24</v>
      </c>
      <c r="H65" s="782">
        <v>135338.4</v>
      </c>
      <c r="I65" s="782">
        <v>148872.24</v>
      </c>
      <c r="J65" s="782">
        <v>135338.4</v>
      </c>
      <c r="K65" s="782">
        <v>148872.24</v>
      </c>
      <c r="L65" s="782">
        <v>135338.4</v>
      </c>
      <c r="M65" s="782">
        <v>148872.24</v>
      </c>
      <c r="N65" s="782">
        <v>135338.4</v>
      </c>
      <c r="O65" s="782">
        <v>148872.24</v>
      </c>
      <c r="P65" s="782">
        <v>135338.4</v>
      </c>
      <c r="Q65" s="782">
        <v>148872.24</v>
      </c>
      <c r="R65" s="782">
        <v>135338.4</v>
      </c>
      <c r="S65" s="782">
        <v>148872.24</v>
      </c>
      <c r="T65" s="782">
        <v>135338.4</v>
      </c>
      <c r="U65" s="782">
        <v>148872.24</v>
      </c>
      <c r="V65" s="782">
        <v>135338.4</v>
      </c>
      <c r="W65" s="782">
        <v>148872.24</v>
      </c>
      <c r="X65" s="782">
        <v>135338.4</v>
      </c>
      <c r="Y65" s="782">
        <v>148872.24</v>
      </c>
      <c r="Z65" s="782">
        <v>135338.4</v>
      </c>
      <c r="AA65" s="782">
        <v>148872.24</v>
      </c>
      <c r="AB65" s="782">
        <v>135338.4</v>
      </c>
      <c r="AC65" s="782">
        <v>148872.24</v>
      </c>
      <c r="AD65" s="782">
        <f t="shared" si="3"/>
        <v>135338.39999999997</v>
      </c>
      <c r="AE65" s="782">
        <f t="shared" si="3"/>
        <v>148872.24</v>
      </c>
      <c r="AF65" s="177"/>
      <c r="AK65" s="135"/>
      <c r="AL65" s="135"/>
      <c r="AM65" s="178"/>
      <c r="AN65" s="135"/>
      <c r="AO65" s="178"/>
    </row>
    <row r="66" spans="1:42">
      <c r="A66" s="124">
        <v>57</v>
      </c>
      <c r="B66" t="s">
        <v>1573</v>
      </c>
      <c r="C66" s="781" t="s">
        <v>1559</v>
      </c>
      <c r="D66" s="782">
        <v>2140373.0699999998</v>
      </c>
      <c r="E66" s="782">
        <v>868198.12</v>
      </c>
      <c r="F66" s="782">
        <v>2140373.0699999998</v>
      </c>
      <c r="G66" s="782">
        <v>871123.3</v>
      </c>
      <c r="H66" s="782">
        <v>2140373.0699999998</v>
      </c>
      <c r="I66" s="782">
        <v>874048.48</v>
      </c>
      <c r="J66" s="782">
        <v>2140373.0699999998</v>
      </c>
      <c r="K66" s="782">
        <v>876973.66</v>
      </c>
      <c r="L66" s="782">
        <v>2140373.0699999998</v>
      </c>
      <c r="M66" s="782">
        <v>879898.84</v>
      </c>
      <c r="N66" s="782">
        <v>2140373.0699999998</v>
      </c>
      <c r="O66" s="782">
        <v>882824.02</v>
      </c>
      <c r="P66" s="782">
        <v>2140373.0699999998</v>
      </c>
      <c r="Q66" s="782">
        <v>885749.20000000007</v>
      </c>
      <c r="R66" s="782">
        <v>2140373.0699999998</v>
      </c>
      <c r="S66" s="782">
        <v>888674.38</v>
      </c>
      <c r="T66" s="782">
        <v>2140373.0699999998</v>
      </c>
      <c r="U66" s="782">
        <v>891599.56</v>
      </c>
      <c r="V66" s="782">
        <v>2140373.0699999998</v>
      </c>
      <c r="W66" s="782">
        <v>894524.74</v>
      </c>
      <c r="X66" s="782">
        <v>2140373.0699999998</v>
      </c>
      <c r="Y66" s="782">
        <v>897449.92</v>
      </c>
      <c r="Z66" s="782">
        <v>2140373.0699999998</v>
      </c>
      <c r="AA66" s="782">
        <v>900375.1</v>
      </c>
      <c r="AB66" s="782">
        <v>2140373.0699999998</v>
      </c>
      <c r="AC66" s="782">
        <v>903300.28</v>
      </c>
      <c r="AD66" s="782">
        <f t="shared" si="3"/>
        <v>2140373.0699999998</v>
      </c>
      <c r="AE66" s="782">
        <f t="shared" si="3"/>
        <v>885749.19999999984</v>
      </c>
      <c r="AF66" s="177"/>
      <c r="AI66" s="135"/>
      <c r="AK66" s="135"/>
      <c r="AL66" s="135"/>
      <c r="AM66" s="178"/>
      <c r="AN66" s="121"/>
      <c r="AO66" s="178"/>
      <c r="AP66" s="121"/>
    </row>
    <row r="67" spans="1:42">
      <c r="A67" s="124">
        <v>58</v>
      </c>
      <c r="B67" t="s">
        <v>1574</v>
      </c>
      <c r="C67" s="781" t="s">
        <v>1559</v>
      </c>
      <c r="D67" s="782">
        <v>420627.25</v>
      </c>
      <c r="E67" s="782">
        <v>0</v>
      </c>
      <c r="F67" s="782">
        <v>420627.25</v>
      </c>
      <c r="G67" s="782">
        <v>0</v>
      </c>
      <c r="H67" s="782">
        <v>420627.25</v>
      </c>
      <c r="I67" s="782">
        <v>0</v>
      </c>
      <c r="J67" s="782">
        <v>420627.25</v>
      </c>
      <c r="K67" s="782">
        <v>0</v>
      </c>
      <c r="L67" s="782">
        <v>420627.25</v>
      </c>
      <c r="M67" s="782">
        <v>0</v>
      </c>
      <c r="N67" s="782">
        <v>420627.25</v>
      </c>
      <c r="O67" s="782">
        <v>0</v>
      </c>
      <c r="P67" s="782">
        <v>420627.25</v>
      </c>
      <c r="Q67" s="782">
        <v>0</v>
      </c>
      <c r="R67" s="782">
        <v>420627.25</v>
      </c>
      <c r="S67" s="782">
        <v>0</v>
      </c>
      <c r="T67" s="782">
        <v>420627.25</v>
      </c>
      <c r="U67" s="782">
        <v>0</v>
      </c>
      <c r="V67" s="782">
        <v>420627.25</v>
      </c>
      <c r="W67" s="782">
        <v>0</v>
      </c>
      <c r="X67" s="782">
        <v>420627.25</v>
      </c>
      <c r="Y67" s="782">
        <v>0</v>
      </c>
      <c r="Z67" s="782">
        <v>420627.25</v>
      </c>
      <c r="AA67" s="782">
        <v>0</v>
      </c>
      <c r="AB67" s="782">
        <v>420627.25</v>
      </c>
      <c r="AC67" s="782">
        <v>0</v>
      </c>
      <c r="AD67" s="782">
        <f t="shared" si="3"/>
        <v>420627.25</v>
      </c>
      <c r="AE67" s="782">
        <f t="shared" si="3"/>
        <v>0</v>
      </c>
      <c r="AF67" s="177"/>
      <c r="AK67" s="135"/>
      <c r="AL67" s="135"/>
      <c r="AM67" s="178"/>
      <c r="AN67" s="135"/>
      <c r="AO67" s="178"/>
    </row>
    <row r="68" spans="1:42">
      <c r="A68" s="124">
        <v>59</v>
      </c>
      <c r="B68" t="s">
        <v>1575</v>
      </c>
      <c r="C68" s="781" t="s">
        <v>1559</v>
      </c>
      <c r="D68" s="782">
        <v>697680.32000000007</v>
      </c>
      <c r="E68" s="782">
        <v>698976.39</v>
      </c>
      <c r="F68" s="782">
        <v>697680.32000000007</v>
      </c>
      <c r="G68" s="782">
        <v>699464.77</v>
      </c>
      <c r="H68" s="782">
        <v>697680.32000000007</v>
      </c>
      <c r="I68" s="782">
        <v>699953.15</v>
      </c>
      <c r="J68" s="782">
        <v>757364.14</v>
      </c>
      <c r="K68" s="782">
        <v>700441.53</v>
      </c>
      <c r="L68" s="782">
        <v>755061.3</v>
      </c>
      <c r="M68" s="782">
        <v>693829.62</v>
      </c>
      <c r="N68" s="782">
        <v>755061.3</v>
      </c>
      <c r="O68" s="782">
        <v>694358.16</v>
      </c>
      <c r="P68" s="782">
        <v>755061.3</v>
      </c>
      <c r="Q68" s="782">
        <v>694886.70000000007</v>
      </c>
      <c r="R68" s="782">
        <v>755061.3</v>
      </c>
      <c r="S68" s="782">
        <v>694887.06</v>
      </c>
      <c r="T68" s="782">
        <v>755061.3</v>
      </c>
      <c r="U68" s="782">
        <v>695415.6</v>
      </c>
      <c r="V68" s="782">
        <v>755061.3</v>
      </c>
      <c r="W68" s="782">
        <v>695944.14</v>
      </c>
      <c r="X68" s="782">
        <v>755061.3</v>
      </c>
      <c r="Y68" s="782">
        <v>696472.68</v>
      </c>
      <c r="Z68" s="782">
        <v>769056.31</v>
      </c>
      <c r="AA68" s="782">
        <v>697001.22</v>
      </c>
      <c r="AB68" s="782">
        <v>787736.36</v>
      </c>
      <c r="AC68" s="782">
        <v>697539.56</v>
      </c>
      <c r="AD68" s="782">
        <f t="shared" ref="AD68:AE95" si="4">+(D68+AB68+(+F68+H68+J68+L68+N68+P68+R68+T68+V68+X68+Z68)*2)/24</f>
        <v>745826.54416666657</v>
      </c>
      <c r="AE68" s="782">
        <f t="shared" si="4"/>
        <v>696742.71708333318</v>
      </c>
      <c r="AF68" s="177"/>
      <c r="AK68" s="135"/>
      <c r="AL68" s="135"/>
      <c r="AM68" s="178"/>
      <c r="AN68" s="121"/>
      <c r="AO68" s="178"/>
      <c r="AP68" s="121"/>
    </row>
    <row r="69" spans="1:42">
      <c r="A69" s="124">
        <v>60</v>
      </c>
      <c r="B69" t="s">
        <v>1576</v>
      </c>
      <c r="C69" s="781" t="s">
        <v>1559</v>
      </c>
      <c r="D69" s="782">
        <v>229005579.83000001</v>
      </c>
      <c r="E69" s="782">
        <v>43474119.210000001</v>
      </c>
      <c r="F69" s="782">
        <v>232286375.06999999</v>
      </c>
      <c r="G69" s="782">
        <v>43762734.469999999</v>
      </c>
      <c r="H69" s="782">
        <v>235608763.12</v>
      </c>
      <c r="I69" s="782">
        <v>44056963.880000003</v>
      </c>
      <c r="J69" s="782">
        <v>239535068.34999999</v>
      </c>
      <c r="K69" s="782">
        <v>44352554.979999997</v>
      </c>
      <c r="L69" s="782">
        <v>240054968.88999999</v>
      </c>
      <c r="M69" s="782">
        <v>44655966.07</v>
      </c>
      <c r="N69" s="782">
        <v>240948790</v>
      </c>
      <c r="O69" s="782">
        <v>44960426.380000003</v>
      </c>
      <c r="P69" s="782">
        <v>241017738.13999999</v>
      </c>
      <c r="Q69" s="782">
        <v>44613515.770000003</v>
      </c>
      <c r="R69" s="782">
        <v>252142703.25999999</v>
      </c>
      <c r="S69" s="782">
        <v>44930973.609999999</v>
      </c>
      <c r="T69" s="782">
        <v>253253604.06999999</v>
      </c>
      <c r="U69" s="782">
        <v>45250354.369999997</v>
      </c>
      <c r="V69" s="782">
        <v>263470893.53999999</v>
      </c>
      <c r="W69" s="782">
        <v>45517743.520000003</v>
      </c>
      <c r="X69" s="782">
        <v>264252374.27000001</v>
      </c>
      <c r="Y69" s="782">
        <v>45760794.840000004</v>
      </c>
      <c r="Z69" s="782">
        <v>265443879.63999999</v>
      </c>
      <c r="AA69" s="782">
        <v>46092938.649999999</v>
      </c>
      <c r="AB69" s="782">
        <v>270619947.44999999</v>
      </c>
      <c r="AC69" s="782">
        <v>45979926.75</v>
      </c>
      <c r="AD69" s="782">
        <f t="shared" si="4"/>
        <v>248152326.83249995</v>
      </c>
      <c r="AE69" s="782">
        <f t="shared" si="4"/>
        <v>44890165.793333329</v>
      </c>
      <c r="AF69" s="177"/>
      <c r="AI69" s="135"/>
      <c r="AK69" s="135"/>
      <c r="AL69" s="135"/>
      <c r="AM69" s="178"/>
      <c r="AN69" s="135"/>
      <c r="AO69" s="178"/>
    </row>
    <row r="70" spans="1:42">
      <c r="A70" s="124">
        <v>61</v>
      </c>
      <c r="B70" t="s">
        <v>1577</v>
      </c>
      <c r="C70" s="781" t="s">
        <v>1559</v>
      </c>
      <c r="D70" s="782">
        <v>188686959.5</v>
      </c>
      <c r="E70" s="782">
        <v>60150665.369999997</v>
      </c>
      <c r="F70" s="782">
        <v>189028164.12</v>
      </c>
      <c r="G70" s="782">
        <v>60588026.909999996</v>
      </c>
      <c r="H70" s="782">
        <v>189450258.31</v>
      </c>
      <c r="I70" s="782">
        <v>61030417.759999998</v>
      </c>
      <c r="J70" s="782">
        <v>190311757.34</v>
      </c>
      <c r="K70" s="782">
        <v>61400510.579999998</v>
      </c>
      <c r="L70" s="782">
        <v>190582658.65000001</v>
      </c>
      <c r="M70" s="782">
        <v>61844839.450000003</v>
      </c>
      <c r="N70" s="782">
        <v>191660514.56</v>
      </c>
      <c r="O70" s="782">
        <v>62286273.829999998</v>
      </c>
      <c r="P70" s="782">
        <v>192355609.69999999</v>
      </c>
      <c r="Q70" s="782">
        <v>62730760.950000003</v>
      </c>
      <c r="R70" s="782">
        <v>192977937</v>
      </c>
      <c r="S70" s="782">
        <v>63180846.079999998</v>
      </c>
      <c r="T70" s="782">
        <v>194651131.78</v>
      </c>
      <c r="U70" s="782">
        <v>63626397.780000001</v>
      </c>
      <c r="V70" s="782">
        <v>198663302.34999999</v>
      </c>
      <c r="W70" s="782">
        <v>64082205.840000004</v>
      </c>
      <c r="X70" s="782">
        <v>202467855.56</v>
      </c>
      <c r="Y70" s="782">
        <v>64546176.460000001</v>
      </c>
      <c r="Z70" s="782">
        <v>204071966.47</v>
      </c>
      <c r="AA70" s="782">
        <v>64995192.350000001</v>
      </c>
      <c r="AB70" s="782">
        <v>205518392.66</v>
      </c>
      <c r="AC70" s="782">
        <v>65426364.649999999</v>
      </c>
      <c r="AD70" s="782">
        <f t="shared" si="4"/>
        <v>194443652.66</v>
      </c>
      <c r="AE70" s="782">
        <f t="shared" si="4"/>
        <v>62758346.916666664</v>
      </c>
      <c r="AF70" s="177"/>
      <c r="AI70" s="135"/>
      <c r="AK70" s="135"/>
      <c r="AL70" s="135"/>
      <c r="AM70" s="178"/>
      <c r="AN70" s="121"/>
      <c r="AO70" s="178"/>
      <c r="AP70" s="121"/>
    </row>
    <row r="71" spans="1:42">
      <c r="A71" s="124">
        <v>62</v>
      </c>
      <c r="B71" t="s">
        <v>1578</v>
      </c>
      <c r="C71" s="781" t="s">
        <v>1559</v>
      </c>
      <c r="D71" s="782">
        <v>124473945.33</v>
      </c>
      <c r="E71" s="782">
        <v>93284965.5</v>
      </c>
      <c r="F71" s="782">
        <v>124499278.75</v>
      </c>
      <c r="G71" s="782">
        <v>93650858.969999999</v>
      </c>
      <c r="H71" s="782">
        <v>124520549.94</v>
      </c>
      <c r="I71" s="782">
        <v>94016567.049999997</v>
      </c>
      <c r="J71" s="782">
        <v>124544231.59999999</v>
      </c>
      <c r="K71" s="782">
        <v>94365305.290000007</v>
      </c>
      <c r="L71" s="782">
        <v>124579542.45999999</v>
      </c>
      <c r="M71" s="782">
        <v>94711350.010000005</v>
      </c>
      <c r="N71" s="782">
        <v>125146351.06</v>
      </c>
      <c r="O71" s="782">
        <v>95065596.569999993</v>
      </c>
      <c r="P71" s="782">
        <v>125222063.67</v>
      </c>
      <c r="Q71" s="782">
        <v>95359871.980000004</v>
      </c>
      <c r="R71" s="782">
        <v>125322762.33</v>
      </c>
      <c r="S71" s="782">
        <v>95707940.489999995</v>
      </c>
      <c r="T71" s="782">
        <v>125714834.45</v>
      </c>
      <c r="U71" s="782">
        <v>96035138.659999996</v>
      </c>
      <c r="V71" s="782">
        <v>126118831.16</v>
      </c>
      <c r="W71" s="782">
        <v>96454041.599999994</v>
      </c>
      <c r="X71" s="782">
        <v>126138261.42</v>
      </c>
      <c r="Y71" s="782">
        <v>96810098.859999999</v>
      </c>
      <c r="Z71" s="782">
        <v>126393186.63</v>
      </c>
      <c r="AA71" s="782">
        <v>97122836.290000007</v>
      </c>
      <c r="AB71" s="782">
        <v>126733642.34999999</v>
      </c>
      <c r="AC71" s="782">
        <v>96681796.439999998</v>
      </c>
      <c r="AD71" s="782">
        <f t="shared" si="4"/>
        <v>125316973.94250001</v>
      </c>
      <c r="AE71" s="782">
        <f t="shared" si="4"/>
        <v>95356915.561666667</v>
      </c>
      <c r="AF71" s="177"/>
      <c r="AK71" s="135"/>
      <c r="AL71" s="135"/>
      <c r="AM71" s="178"/>
      <c r="AN71" s="121"/>
      <c r="AO71" s="178"/>
    </row>
    <row r="72" spans="1:42">
      <c r="A72" s="124">
        <v>63</v>
      </c>
      <c r="B72" t="s">
        <v>1579</v>
      </c>
      <c r="C72" s="781" t="s">
        <v>1559</v>
      </c>
      <c r="D72" s="782">
        <v>2506246.7800000003</v>
      </c>
      <c r="E72" s="782">
        <v>1533014.05</v>
      </c>
      <c r="F72" s="782">
        <v>2506246.7800000003</v>
      </c>
      <c r="G72" s="782">
        <v>1536606.33</v>
      </c>
      <c r="H72" s="782">
        <v>2357653.77</v>
      </c>
      <c r="I72" s="782">
        <v>1314741.8999999999</v>
      </c>
      <c r="J72" s="782">
        <v>2357653.77</v>
      </c>
      <c r="K72" s="782">
        <v>1318121.2</v>
      </c>
      <c r="L72" s="782">
        <v>2363701.5499999998</v>
      </c>
      <c r="M72" s="782">
        <v>1321500.5</v>
      </c>
      <c r="N72" s="782">
        <v>2368968.4900000002</v>
      </c>
      <c r="O72" s="782">
        <v>1324888.48</v>
      </c>
      <c r="P72" s="782">
        <v>2431637.06</v>
      </c>
      <c r="Q72" s="782">
        <v>1328284</v>
      </c>
      <c r="R72" s="782">
        <v>2431637.06</v>
      </c>
      <c r="S72" s="782">
        <v>1331769.3500000001</v>
      </c>
      <c r="T72" s="782">
        <v>2431637.06</v>
      </c>
      <c r="U72" s="782">
        <v>1335254.7</v>
      </c>
      <c r="V72" s="782">
        <v>2717106.8</v>
      </c>
      <c r="W72" s="782">
        <v>1338740.05</v>
      </c>
      <c r="X72" s="782">
        <v>2724307.61</v>
      </c>
      <c r="Y72" s="782">
        <v>1342634.57</v>
      </c>
      <c r="Z72" s="782">
        <v>2761475.6</v>
      </c>
      <c r="AA72" s="782">
        <v>1346539.42</v>
      </c>
      <c r="AB72" s="782">
        <v>2927915.23</v>
      </c>
      <c r="AC72" s="782">
        <v>1192067.76</v>
      </c>
      <c r="AD72" s="782">
        <f t="shared" si="4"/>
        <v>2514092.2129166666</v>
      </c>
      <c r="AE72" s="782">
        <f t="shared" si="4"/>
        <v>1350135.1170833332</v>
      </c>
      <c r="AF72" s="177"/>
      <c r="AI72" s="135"/>
      <c r="AK72" s="135"/>
      <c r="AL72" s="135"/>
      <c r="AM72" s="178"/>
      <c r="AN72" s="121"/>
      <c r="AO72" s="178"/>
      <c r="AP72" s="121"/>
    </row>
    <row r="73" spans="1:42">
      <c r="A73" s="124">
        <v>64</v>
      </c>
      <c r="B73" t="s">
        <v>1580</v>
      </c>
      <c r="C73" s="781" t="s">
        <v>1559</v>
      </c>
      <c r="D73" s="782">
        <v>35228486.450000003</v>
      </c>
      <c r="E73" s="782">
        <v>6092916.3099999996</v>
      </c>
      <c r="F73" s="782">
        <v>35112975.350000001</v>
      </c>
      <c r="G73" s="782">
        <v>6150614.9900000002</v>
      </c>
      <c r="H73" s="782">
        <v>35304575.490000002</v>
      </c>
      <c r="I73" s="782">
        <v>6207596.1699999999</v>
      </c>
      <c r="J73" s="782">
        <v>35638371.450000003</v>
      </c>
      <c r="K73" s="782">
        <v>6253444.5</v>
      </c>
      <c r="L73" s="782">
        <v>35588659.030000001</v>
      </c>
      <c r="M73" s="782">
        <v>6248130.0300000003</v>
      </c>
      <c r="N73" s="782">
        <v>36005536.969999999</v>
      </c>
      <c r="O73" s="782">
        <v>6252659.4800000004</v>
      </c>
      <c r="P73" s="782">
        <v>36155972.549999997</v>
      </c>
      <c r="Q73" s="782">
        <v>6301518.7300000004</v>
      </c>
      <c r="R73" s="782">
        <v>36926334.619999997</v>
      </c>
      <c r="S73" s="782">
        <v>6360874.79</v>
      </c>
      <c r="T73" s="782">
        <v>37310150.579999998</v>
      </c>
      <c r="U73" s="782">
        <v>6401798.2400000002</v>
      </c>
      <c r="V73" s="782">
        <v>37491964.43</v>
      </c>
      <c r="W73" s="782">
        <v>6456535.0700000003</v>
      </c>
      <c r="X73" s="782">
        <v>37014716.090000004</v>
      </c>
      <c r="Y73" s="782">
        <v>6035344.4000000004</v>
      </c>
      <c r="Z73" s="782">
        <v>37038362.049999997</v>
      </c>
      <c r="AA73" s="782">
        <v>6096110.2199999997</v>
      </c>
      <c r="AB73" s="782">
        <v>37152569.329999998</v>
      </c>
      <c r="AC73" s="782">
        <v>5982141.0099999998</v>
      </c>
      <c r="AD73" s="782">
        <f t="shared" si="4"/>
        <v>36314845.541666664</v>
      </c>
      <c r="AE73" s="782">
        <f t="shared" si="4"/>
        <v>6233512.9400000004</v>
      </c>
      <c r="AF73" s="177"/>
      <c r="AK73" s="135"/>
      <c r="AL73" s="135"/>
      <c r="AM73" s="178"/>
      <c r="AN73" s="121"/>
      <c r="AO73" s="178"/>
    </row>
    <row r="74" spans="1:42">
      <c r="A74" s="124">
        <v>65</v>
      </c>
      <c r="B74" t="s">
        <v>1581</v>
      </c>
      <c r="C74" s="781" t="s">
        <v>1559</v>
      </c>
      <c r="D74" s="782">
        <v>4520287.4800000004</v>
      </c>
      <c r="E74" s="782">
        <v>-8289.25</v>
      </c>
      <c r="F74" s="782">
        <v>4529148.9800000004</v>
      </c>
      <c r="G74" s="782">
        <v>-3403.94</v>
      </c>
      <c r="H74" s="782">
        <v>4707652.3499999996</v>
      </c>
      <c r="I74" s="782">
        <v>4031.42</v>
      </c>
      <c r="J74" s="782">
        <v>4762550.2300000004</v>
      </c>
      <c r="K74" s="782">
        <v>10817.62</v>
      </c>
      <c r="L74" s="782">
        <v>4800990.32</v>
      </c>
      <c r="M74" s="782">
        <v>18636.14</v>
      </c>
      <c r="N74" s="782">
        <v>4819699.8100000005</v>
      </c>
      <c r="O74" s="782">
        <v>26517.77</v>
      </c>
      <c r="P74" s="782">
        <v>4819699.8100000005</v>
      </c>
      <c r="Q74" s="782">
        <v>34430.11</v>
      </c>
      <c r="R74" s="782">
        <v>4820027.37</v>
      </c>
      <c r="S74" s="782">
        <v>42342.450000000004</v>
      </c>
      <c r="T74" s="782">
        <v>4820027.37</v>
      </c>
      <c r="U74" s="782">
        <v>50255.33</v>
      </c>
      <c r="V74" s="782">
        <v>5036530.25</v>
      </c>
      <c r="W74" s="782">
        <v>58168.21</v>
      </c>
      <c r="X74" s="782">
        <v>4319470.59</v>
      </c>
      <c r="Y74" s="782">
        <v>66436.509999999995</v>
      </c>
      <c r="Z74" s="782">
        <v>4332973.79</v>
      </c>
      <c r="AA74" s="782">
        <v>73527.64</v>
      </c>
      <c r="AB74" s="782">
        <v>4351552.2300000004</v>
      </c>
      <c r="AC74" s="782">
        <v>74231.28</v>
      </c>
      <c r="AD74" s="782">
        <f t="shared" si="4"/>
        <v>4683724.2270833338</v>
      </c>
      <c r="AE74" s="782">
        <f t="shared" si="4"/>
        <v>34560.856250000004</v>
      </c>
      <c r="AF74" s="177"/>
      <c r="AI74" s="135"/>
      <c r="AK74" s="135"/>
      <c r="AL74" s="135"/>
      <c r="AM74" s="178"/>
      <c r="AN74" s="121"/>
      <c r="AO74" s="178"/>
      <c r="AP74" s="121"/>
    </row>
    <row r="75" spans="1:42">
      <c r="A75" s="124">
        <v>66</v>
      </c>
      <c r="B75" t="s">
        <v>1582</v>
      </c>
      <c r="C75" s="781" t="s">
        <v>1559</v>
      </c>
      <c r="D75" s="782">
        <v>176608478.91999999</v>
      </c>
      <c r="E75" s="782">
        <v>71165731.650000006</v>
      </c>
      <c r="F75" s="782">
        <v>177027977.71000001</v>
      </c>
      <c r="G75" s="782">
        <v>71640927.219999999</v>
      </c>
      <c r="H75" s="782">
        <v>177429486.03999999</v>
      </c>
      <c r="I75" s="782">
        <v>72124573.909999996</v>
      </c>
      <c r="J75" s="782">
        <v>178124257.33000001</v>
      </c>
      <c r="K75" s="782">
        <v>72575722.209999993</v>
      </c>
      <c r="L75" s="782">
        <v>178805452.62</v>
      </c>
      <c r="M75" s="782">
        <v>73064568.849999994</v>
      </c>
      <c r="N75" s="782">
        <v>179440828.08000001</v>
      </c>
      <c r="O75" s="782">
        <v>73551923.370000005</v>
      </c>
      <c r="P75" s="782">
        <v>180310982.56</v>
      </c>
      <c r="Q75" s="782">
        <v>74041081.409999996</v>
      </c>
      <c r="R75" s="782">
        <v>180500228.97</v>
      </c>
      <c r="S75" s="782">
        <v>74518752.5</v>
      </c>
      <c r="T75" s="782">
        <v>181071106.59</v>
      </c>
      <c r="U75" s="782">
        <v>74996037.739999995</v>
      </c>
      <c r="V75" s="782">
        <v>182065459.72</v>
      </c>
      <c r="W75" s="782">
        <v>75500354.109999999</v>
      </c>
      <c r="X75" s="782">
        <v>182781170.56999999</v>
      </c>
      <c r="Y75" s="782">
        <v>75979649.540000007</v>
      </c>
      <c r="Z75" s="782">
        <v>183531967.74000001</v>
      </c>
      <c r="AA75" s="782">
        <v>76455834.140000001</v>
      </c>
      <c r="AB75" s="782">
        <v>184306198.66</v>
      </c>
      <c r="AC75" s="782">
        <v>76820702.530000001</v>
      </c>
      <c r="AD75" s="782">
        <f t="shared" si="4"/>
        <v>180128854.72666669</v>
      </c>
      <c r="AE75" s="782">
        <f t="shared" si="4"/>
        <v>74036886.840833321</v>
      </c>
      <c r="AF75" s="177"/>
      <c r="AI75" s="135"/>
      <c r="AK75" s="135"/>
      <c r="AL75" s="135"/>
      <c r="AM75" s="178"/>
      <c r="AO75" s="178"/>
    </row>
    <row r="76" spans="1:42">
      <c r="A76" s="124">
        <v>67</v>
      </c>
      <c r="B76" t="s">
        <v>1583</v>
      </c>
      <c r="C76" s="781" t="s">
        <v>1559</v>
      </c>
      <c r="D76" s="782">
        <v>61461277.710000001</v>
      </c>
      <c r="E76" s="782">
        <v>96950731.579999998</v>
      </c>
      <c r="F76" s="782">
        <v>61454841.539999999</v>
      </c>
      <c r="G76" s="782">
        <v>97110633.209999993</v>
      </c>
      <c r="H76" s="782">
        <v>61450663.840000004</v>
      </c>
      <c r="I76" s="782">
        <v>97279510.780000001</v>
      </c>
      <c r="J76" s="782">
        <v>61406388.079999998</v>
      </c>
      <c r="K76" s="782">
        <v>97331736.769999996</v>
      </c>
      <c r="L76" s="782">
        <v>61400917.079999998</v>
      </c>
      <c r="M76" s="782">
        <v>97453079.700000003</v>
      </c>
      <c r="N76" s="782">
        <v>61392896.880000003</v>
      </c>
      <c r="O76" s="782">
        <v>97598265.780000001</v>
      </c>
      <c r="P76" s="782">
        <v>61392896.909999996</v>
      </c>
      <c r="Q76" s="782">
        <v>97673477.299999997</v>
      </c>
      <c r="R76" s="782">
        <v>61389897.670000002</v>
      </c>
      <c r="S76" s="782">
        <v>97760131.969999999</v>
      </c>
      <c r="T76" s="782">
        <v>61372393.469999999</v>
      </c>
      <c r="U76" s="782">
        <v>97866999.790000007</v>
      </c>
      <c r="V76" s="782">
        <v>61369813.740000002</v>
      </c>
      <c r="W76" s="782">
        <v>98007432.010000005</v>
      </c>
      <c r="X76" s="782">
        <v>61352122.509999998</v>
      </c>
      <c r="Y76" s="782">
        <v>97954862.75</v>
      </c>
      <c r="Z76" s="782">
        <v>61430712.07</v>
      </c>
      <c r="AA76" s="782">
        <v>97946150.569999993</v>
      </c>
      <c r="AB76" s="782">
        <v>61403371.700000003</v>
      </c>
      <c r="AC76" s="782">
        <v>97927170.790000007</v>
      </c>
      <c r="AD76" s="782">
        <f t="shared" si="4"/>
        <v>61403822.374583334</v>
      </c>
      <c r="AE76" s="782">
        <f t="shared" si="4"/>
        <v>97618435.984583318</v>
      </c>
      <c r="AF76" s="177"/>
      <c r="AI76" s="135"/>
      <c r="AK76" s="135"/>
      <c r="AL76" s="135"/>
      <c r="AM76" s="178"/>
      <c r="AN76" s="121"/>
      <c r="AO76" s="178"/>
      <c r="AP76" s="121"/>
    </row>
    <row r="77" spans="1:42">
      <c r="A77" s="124">
        <v>68</v>
      </c>
      <c r="B77" t="s">
        <v>1584</v>
      </c>
      <c r="C77" s="781" t="s">
        <v>1559</v>
      </c>
      <c r="D77" s="782">
        <v>10040391.75</v>
      </c>
      <c r="E77" s="782">
        <v>4586089.41</v>
      </c>
      <c r="F77" s="782">
        <v>10040391.75</v>
      </c>
      <c r="G77" s="782">
        <v>4600313.3</v>
      </c>
      <c r="H77" s="782">
        <v>10278191.779999999</v>
      </c>
      <c r="I77" s="782">
        <v>4614537.1900000004</v>
      </c>
      <c r="J77" s="782">
        <v>10160495.52</v>
      </c>
      <c r="K77" s="782">
        <v>4629097.96</v>
      </c>
      <c r="L77" s="782">
        <v>10207495.220000001</v>
      </c>
      <c r="M77" s="782">
        <v>4643492</v>
      </c>
      <c r="N77" s="782">
        <v>10236088.17</v>
      </c>
      <c r="O77" s="782">
        <v>4657952.62</v>
      </c>
      <c r="P77" s="782">
        <v>10164085.27</v>
      </c>
      <c r="Q77" s="782">
        <v>4611771.5999999996</v>
      </c>
      <c r="R77" s="782">
        <v>10164085.27</v>
      </c>
      <c r="S77" s="782">
        <v>4626170.72</v>
      </c>
      <c r="T77" s="782">
        <v>10523146.41</v>
      </c>
      <c r="U77" s="782">
        <v>4640569.84</v>
      </c>
      <c r="V77" s="782">
        <v>10559179.57</v>
      </c>
      <c r="W77" s="782">
        <v>4655067.24</v>
      </c>
      <c r="X77" s="782">
        <v>10568176.869999999</v>
      </c>
      <c r="Y77" s="782">
        <v>4670026.08</v>
      </c>
      <c r="Z77" s="782">
        <v>10569024.220000001</v>
      </c>
      <c r="AA77" s="782">
        <v>4684997.66</v>
      </c>
      <c r="AB77" s="782">
        <v>10604872.550000001</v>
      </c>
      <c r="AC77" s="782">
        <v>4679223.0199999996</v>
      </c>
      <c r="AD77" s="782">
        <f t="shared" si="4"/>
        <v>10316082.683333335</v>
      </c>
      <c r="AE77" s="782">
        <f t="shared" si="4"/>
        <v>4638887.7020833343</v>
      </c>
      <c r="AF77" s="177"/>
      <c r="AK77" s="135"/>
      <c r="AL77" s="135"/>
      <c r="AM77" s="178"/>
      <c r="AN77" s="121"/>
      <c r="AO77" s="178"/>
      <c r="AP77" s="121"/>
    </row>
    <row r="78" spans="1:42">
      <c r="A78" s="124">
        <v>69</v>
      </c>
      <c r="B78" t="s">
        <v>1585</v>
      </c>
      <c r="C78" s="781" t="s">
        <v>1559</v>
      </c>
      <c r="D78" s="782">
        <v>2508056.1800000002</v>
      </c>
      <c r="E78" s="782">
        <v>0</v>
      </c>
      <c r="F78" s="782">
        <v>2508056.1800000002</v>
      </c>
      <c r="G78" s="782">
        <v>0</v>
      </c>
      <c r="H78" s="782">
        <v>2508056.1800000002</v>
      </c>
      <c r="I78" s="782">
        <v>0</v>
      </c>
      <c r="J78" s="782">
        <v>2508056.1800000002</v>
      </c>
      <c r="K78" s="782">
        <v>0</v>
      </c>
      <c r="L78" s="782">
        <v>2508056.1800000002</v>
      </c>
      <c r="M78" s="782">
        <v>0</v>
      </c>
      <c r="N78" s="782">
        <v>2508056.1800000002</v>
      </c>
      <c r="O78" s="782">
        <v>0</v>
      </c>
      <c r="P78" s="782">
        <v>2508056.1800000002</v>
      </c>
      <c r="Q78" s="782">
        <v>0</v>
      </c>
      <c r="R78" s="782">
        <v>2508056.1800000002</v>
      </c>
      <c r="S78" s="782">
        <v>0</v>
      </c>
      <c r="T78" s="782">
        <v>2508056.1800000002</v>
      </c>
      <c r="U78" s="782">
        <v>0</v>
      </c>
      <c r="V78" s="782">
        <v>2508056.1800000002</v>
      </c>
      <c r="W78" s="782">
        <v>0</v>
      </c>
      <c r="X78" s="782">
        <v>2508056.1800000002</v>
      </c>
      <c r="Y78" s="782">
        <v>0</v>
      </c>
      <c r="Z78" s="782">
        <v>2508056.1800000002</v>
      </c>
      <c r="AA78" s="782">
        <v>0</v>
      </c>
      <c r="AB78" s="782">
        <v>2508056.1800000002</v>
      </c>
      <c r="AC78" s="782">
        <v>0</v>
      </c>
      <c r="AD78" s="782">
        <f t="shared" si="4"/>
        <v>2508056.1800000002</v>
      </c>
      <c r="AE78" s="782">
        <f t="shared" si="4"/>
        <v>0</v>
      </c>
      <c r="AF78" s="177"/>
      <c r="AK78" s="135"/>
      <c r="AL78" s="135"/>
      <c r="AM78" s="178"/>
      <c r="AO78" s="178"/>
    </row>
    <row r="79" spans="1:42">
      <c r="A79" s="124">
        <v>70</v>
      </c>
      <c r="B79" t="s">
        <v>1586</v>
      </c>
      <c r="C79" s="781" t="s">
        <v>1559</v>
      </c>
      <c r="D79" s="782">
        <v>7933.28</v>
      </c>
      <c r="E79" s="782">
        <v>5375.04</v>
      </c>
      <c r="F79" s="782">
        <v>7933.28</v>
      </c>
      <c r="G79" s="782">
        <v>5384.56</v>
      </c>
      <c r="H79" s="782">
        <v>7933.28</v>
      </c>
      <c r="I79" s="782">
        <v>5394.08</v>
      </c>
      <c r="J79" s="782">
        <v>7933.28</v>
      </c>
      <c r="K79" s="782">
        <v>5403.6</v>
      </c>
      <c r="L79" s="782">
        <v>7933.28</v>
      </c>
      <c r="M79" s="782">
        <v>5413.12</v>
      </c>
      <c r="N79" s="782">
        <v>7933.28</v>
      </c>
      <c r="O79" s="782">
        <v>5422.64</v>
      </c>
      <c r="P79" s="782">
        <v>7933.28</v>
      </c>
      <c r="Q79" s="782">
        <v>5432.16</v>
      </c>
      <c r="R79" s="782">
        <v>7933.28</v>
      </c>
      <c r="S79" s="782">
        <v>5441.68</v>
      </c>
      <c r="T79" s="782">
        <v>7933.28</v>
      </c>
      <c r="U79" s="782">
        <v>5451.2</v>
      </c>
      <c r="V79" s="782">
        <v>7933.28</v>
      </c>
      <c r="W79" s="782">
        <v>5460.72</v>
      </c>
      <c r="X79" s="782">
        <v>7933.28</v>
      </c>
      <c r="Y79" s="782">
        <v>5470.24</v>
      </c>
      <c r="Z79" s="782">
        <v>7933.28</v>
      </c>
      <c r="AA79" s="782">
        <v>5479.76</v>
      </c>
      <c r="AB79" s="782">
        <v>7933.28</v>
      </c>
      <c r="AC79" s="782">
        <v>5489.28</v>
      </c>
      <c r="AD79" s="782">
        <f t="shared" si="4"/>
        <v>7933.28</v>
      </c>
      <c r="AE79" s="782">
        <f t="shared" si="4"/>
        <v>5432.16</v>
      </c>
      <c r="AF79" s="177"/>
      <c r="AI79" s="135"/>
      <c r="AK79" s="135"/>
      <c r="AL79" s="135"/>
      <c r="AM79" s="178"/>
      <c r="AO79" s="178"/>
    </row>
    <row r="80" spans="1:42">
      <c r="A80" s="124">
        <v>71</v>
      </c>
      <c r="B80" t="s">
        <v>1587</v>
      </c>
      <c r="C80" s="781" t="s">
        <v>1559</v>
      </c>
      <c r="D80" s="782">
        <v>17184838.460000001</v>
      </c>
      <c r="E80" s="782">
        <v>5289243.7</v>
      </c>
      <c r="F80" s="782">
        <v>17186136.399999999</v>
      </c>
      <c r="G80" s="782">
        <v>5309865.5</v>
      </c>
      <c r="H80" s="782">
        <v>17191046.280000001</v>
      </c>
      <c r="I80" s="782">
        <v>5330488.8600000003</v>
      </c>
      <c r="J80" s="782">
        <v>17183243.5</v>
      </c>
      <c r="K80" s="782">
        <v>5351118.12</v>
      </c>
      <c r="L80" s="782">
        <v>17186445.809999999</v>
      </c>
      <c r="M80" s="782">
        <v>5354079.45</v>
      </c>
      <c r="N80" s="782">
        <v>17169232.579999998</v>
      </c>
      <c r="O80" s="782">
        <v>5374703.1900000004</v>
      </c>
      <c r="P80" s="782">
        <v>17169232.579999998</v>
      </c>
      <c r="Q80" s="782">
        <v>5395306.2699999996</v>
      </c>
      <c r="R80" s="782">
        <v>17169232.579999998</v>
      </c>
      <c r="S80" s="782">
        <v>5409963.4299999997</v>
      </c>
      <c r="T80" s="782">
        <v>17303682.239999998</v>
      </c>
      <c r="U80" s="782">
        <v>5430566.5099999998</v>
      </c>
      <c r="V80" s="782">
        <v>17580710.5</v>
      </c>
      <c r="W80" s="782">
        <v>5451330.9299999997</v>
      </c>
      <c r="X80" s="782">
        <v>17529032.379999999</v>
      </c>
      <c r="Y80" s="782">
        <v>5416145.0099999998</v>
      </c>
      <c r="Z80" s="782">
        <v>17529032.379999999</v>
      </c>
      <c r="AA80" s="782">
        <v>5426621.2999999998</v>
      </c>
      <c r="AB80" s="782">
        <v>17527237.98</v>
      </c>
      <c r="AC80" s="782">
        <v>5447656.1399999997</v>
      </c>
      <c r="AD80" s="782">
        <f t="shared" si="4"/>
        <v>17296088.787499998</v>
      </c>
      <c r="AE80" s="782">
        <f t="shared" si="4"/>
        <v>5384886.5408333326</v>
      </c>
      <c r="AF80" s="177"/>
      <c r="AH80" s="178"/>
      <c r="AI80" s="178"/>
      <c r="AJ80" s="178"/>
      <c r="AK80" s="178"/>
      <c r="AL80" s="178"/>
      <c r="AM80" s="178"/>
      <c r="AN80" s="121"/>
      <c r="AO80" s="178"/>
      <c r="AP80" s="121"/>
    </row>
    <row r="81" spans="1:42">
      <c r="A81" s="124">
        <v>72</v>
      </c>
      <c r="B81" t="s">
        <v>1588</v>
      </c>
      <c r="C81" s="781" t="s">
        <v>1559</v>
      </c>
      <c r="D81" s="782">
        <v>79223.44</v>
      </c>
      <c r="E81" s="782">
        <v>79223.44</v>
      </c>
      <c r="F81" s="782">
        <v>81398.69</v>
      </c>
      <c r="G81" s="782">
        <v>81398.69</v>
      </c>
      <c r="H81" s="782">
        <v>73458.59</v>
      </c>
      <c r="I81" s="782">
        <v>73458.59</v>
      </c>
      <c r="J81" s="782">
        <v>73458.59</v>
      </c>
      <c r="K81" s="782">
        <v>73458.59</v>
      </c>
      <c r="L81" s="782">
        <v>73458.59</v>
      </c>
      <c r="M81" s="782">
        <v>73458.59</v>
      </c>
      <c r="N81" s="782">
        <v>73458.59</v>
      </c>
      <c r="O81" s="782">
        <v>73458.59</v>
      </c>
      <c r="P81" s="782">
        <v>73458.59</v>
      </c>
      <c r="Q81" s="782">
        <v>73458.59</v>
      </c>
      <c r="R81" s="782">
        <v>73458.59</v>
      </c>
      <c r="S81" s="782">
        <v>73458.59</v>
      </c>
      <c r="T81" s="782">
        <v>73458.59</v>
      </c>
      <c r="U81" s="782">
        <v>73458.59</v>
      </c>
      <c r="V81" s="782">
        <v>73458.59</v>
      </c>
      <c r="W81" s="782">
        <v>73458.59</v>
      </c>
      <c r="X81" s="782">
        <v>73458.59</v>
      </c>
      <c r="Y81" s="782">
        <v>73458.59</v>
      </c>
      <c r="Z81" s="782">
        <v>73458.59</v>
      </c>
      <c r="AA81" s="782">
        <v>73458.59</v>
      </c>
      <c r="AB81" s="782">
        <v>73458.59</v>
      </c>
      <c r="AC81" s="782">
        <v>73458.59</v>
      </c>
      <c r="AD81" s="782">
        <f t="shared" si="4"/>
        <v>74360.467083333308</v>
      </c>
      <c r="AE81" s="782">
        <f t="shared" si="4"/>
        <v>74360.467083333308</v>
      </c>
      <c r="AF81" s="177"/>
      <c r="AH81" s="135"/>
      <c r="AJ81" s="121"/>
      <c r="AM81" s="178"/>
      <c r="AO81" s="178"/>
    </row>
    <row r="82" spans="1:42">
      <c r="A82" s="124">
        <v>73</v>
      </c>
      <c r="B82" t="s">
        <v>1589</v>
      </c>
      <c r="C82" s="781" t="s">
        <v>1559</v>
      </c>
      <c r="D82" s="782">
        <v>361344.10000000003</v>
      </c>
      <c r="E82" s="782">
        <v>96928.58</v>
      </c>
      <c r="F82" s="782">
        <v>361344.10000000003</v>
      </c>
      <c r="G82" s="782">
        <v>102649.86</v>
      </c>
      <c r="H82" s="782">
        <v>361344.10000000003</v>
      </c>
      <c r="I82" s="782">
        <v>108371.14</v>
      </c>
      <c r="J82" s="782">
        <v>361344.10000000003</v>
      </c>
      <c r="K82" s="782">
        <v>114092.42</v>
      </c>
      <c r="L82" s="782">
        <v>361344.10000000003</v>
      </c>
      <c r="M82" s="782">
        <v>119813.7</v>
      </c>
      <c r="N82" s="782">
        <v>361344.10000000003</v>
      </c>
      <c r="O82" s="782">
        <v>125534.98</v>
      </c>
      <c r="P82" s="782">
        <v>361344.10000000003</v>
      </c>
      <c r="Q82" s="782">
        <v>131256.26</v>
      </c>
      <c r="R82" s="782">
        <v>361344.10000000003</v>
      </c>
      <c r="S82" s="782">
        <v>136977.54</v>
      </c>
      <c r="T82" s="782">
        <v>361344.10000000003</v>
      </c>
      <c r="U82" s="782">
        <v>142698.82</v>
      </c>
      <c r="V82" s="782">
        <v>353370.29</v>
      </c>
      <c r="W82" s="782">
        <v>140446.29</v>
      </c>
      <c r="X82" s="782">
        <v>353370.29</v>
      </c>
      <c r="Y82" s="782">
        <v>146041.32</v>
      </c>
      <c r="Z82" s="782">
        <v>353516.9</v>
      </c>
      <c r="AA82" s="782">
        <v>151782.96</v>
      </c>
      <c r="AB82" s="782">
        <v>349558.43</v>
      </c>
      <c r="AC82" s="782">
        <v>153421.84</v>
      </c>
      <c r="AD82" s="782">
        <f t="shared" si="4"/>
        <v>358871.79541666666</v>
      </c>
      <c r="AE82" s="782">
        <f t="shared" si="4"/>
        <v>128736.70833333333</v>
      </c>
      <c r="AF82" s="177"/>
      <c r="AG82" s="699"/>
      <c r="AH82" s="121"/>
      <c r="AI82" s="121"/>
      <c r="AJ82" s="121"/>
      <c r="AM82" s="178"/>
      <c r="AN82" s="121"/>
      <c r="AO82" s="178"/>
      <c r="AP82" s="121"/>
    </row>
    <row r="83" spans="1:42">
      <c r="A83" s="124">
        <v>74</v>
      </c>
      <c r="B83" t="s">
        <v>1590</v>
      </c>
      <c r="C83" s="781" t="s">
        <v>1559</v>
      </c>
      <c r="D83" s="782">
        <v>227734.72</v>
      </c>
      <c r="E83" s="782">
        <v>116958.03</v>
      </c>
      <c r="F83" s="782">
        <v>227734.72</v>
      </c>
      <c r="G83" s="782">
        <v>117468.53</v>
      </c>
      <c r="H83" s="782">
        <v>227734.72</v>
      </c>
      <c r="I83" s="782">
        <v>117979.03</v>
      </c>
      <c r="J83" s="782">
        <v>227734.72</v>
      </c>
      <c r="K83" s="782">
        <v>118489.53</v>
      </c>
      <c r="L83" s="782">
        <v>227734.72</v>
      </c>
      <c r="M83" s="782">
        <v>119000.03</v>
      </c>
      <c r="N83" s="782">
        <v>227734.72</v>
      </c>
      <c r="O83" s="782">
        <v>119510.53</v>
      </c>
      <c r="P83" s="782">
        <v>227734.72</v>
      </c>
      <c r="Q83" s="782">
        <v>120021.03</v>
      </c>
      <c r="R83" s="782">
        <v>205342.12</v>
      </c>
      <c r="S83" s="782">
        <v>100262.66</v>
      </c>
      <c r="T83" s="782">
        <v>205342.12</v>
      </c>
      <c r="U83" s="782">
        <v>100722.97</v>
      </c>
      <c r="V83" s="782">
        <v>205342.12</v>
      </c>
      <c r="W83" s="782">
        <v>101183.28</v>
      </c>
      <c r="X83" s="782">
        <v>242847.83000000002</v>
      </c>
      <c r="Y83" s="782">
        <v>101643.59</v>
      </c>
      <c r="Z83" s="782">
        <v>242847.83000000002</v>
      </c>
      <c r="AA83" s="782">
        <v>102187.98</v>
      </c>
      <c r="AB83" s="782">
        <v>242695.96</v>
      </c>
      <c r="AC83" s="782">
        <v>102732.37</v>
      </c>
      <c r="AD83" s="782">
        <f t="shared" si="4"/>
        <v>225278.80666666667</v>
      </c>
      <c r="AE83" s="782">
        <f t="shared" si="4"/>
        <v>110692.86333333334</v>
      </c>
      <c r="AF83" s="177"/>
      <c r="AM83" s="178"/>
      <c r="AO83" s="178"/>
    </row>
    <row r="84" spans="1:42">
      <c r="A84" s="124">
        <v>75</v>
      </c>
      <c r="B84" t="s">
        <v>1591</v>
      </c>
      <c r="C84" s="781" t="s">
        <v>1559</v>
      </c>
      <c r="D84" s="782">
        <v>12668316.59</v>
      </c>
      <c r="E84" s="782">
        <v>4356858.6500000004</v>
      </c>
      <c r="F84" s="782">
        <v>12907430.189999999</v>
      </c>
      <c r="G84" s="782">
        <v>4357569.04</v>
      </c>
      <c r="H84" s="782">
        <v>12952409.1</v>
      </c>
      <c r="I84" s="782">
        <v>4420923.01</v>
      </c>
      <c r="J84" s="782">
        <v>12898867.35</v>
      </c>
      <c r="K84" s="782">
        <v>4412022.4000000004</v>
      </c>
      <c r="L84" s="782">
        <v>12904332.699999999</v>
      </c>
      <c r="M84" s="782">
        <v>4471439.4400000004</v>
      </c>
      <c r="N84" s="782">
        <v>13085827.539999999</v>
      </c>
      <c r="O84" s="782">
        <v>4569363.6500000004</v>
      </c>
      <c r="P84" s="782">
        <v>13089571.529999999</v>
      </c>
      <c r="Q84" s="782">
        <v>4633593.26</v>
      </c>
      <c r="R84" s="782">
        <v>13084906.390000001</v>
      </c>
      <c r="S84" s="782">
        <v>4624732.75</v>
      </c>
      <c r="T84" s="782">
        <v>12942653.970000001</v>
      </c>
      <c r="U84" s="782">
        <v>4595275.99</v>
      </c>
      <c r="V84" s="782">
        <v>12742968.6</v>
      </c>
      <c r="W84" s="782">
        <v>4500812.6100000003</v>
      </c>
      <c r="X84" s="782">
        <v>12743012.550000001</v>
      </c>
      <c r="Y84" s="782">
        <v>4563359.3499999996</v>
      </c>
      <c r="Z84" s="782">
        <v>12743012.550000001</v>
      </c>
      <c r="AA84" s="782">
        <v>4625906.3100000005</v>
      </c>
      <c r="AB84" s="782">
        <v>13776071.640000001</v>
      </c>
      <c r="AC84" s="782">
        <v>4703912.49</v>
      </c>
      <c r="AD84" s="782">
        <f t="shared" si="4"/>
        <v>12943098.882083334</v>
      </c>
      <c r="AE84" s="782">
        <f t="shared" si="4"/>
        <v>4525448.6150000002</v>
      </c>
      <c r="AF84" s="177"/>
      <c r="AM84" s="178"/>
      <c r="AN84" s="121"/>
      <c r="AO84" s="178"/>
      <c r="AP84" s="121"/>
    </row>
    <row r="85" spans="1:42">
      <c r="A85" s="124">
        <v>76</v>
      </c>
      <c r="B85" t="s">
        <v>1592</v>
      </c>
      <c r="C85" s="781" t="s">
        <v>1559</v>
      </c>
      <c r="D85" s="782">
        <v>22629.99</v>
      </c>
      <c r="E85" s="782">
        <v>14168.61</v>
      </c>
      <c r="F85" s="782">
        <v>22629.99</v>
      </c>
      <c r="G85" s="782">
        <v>14327.02</v>
      </c>
      <c r="H85" s="782">
        <v>22629.99</v>
      </c>
      <c r="I85" s="782">
        <v>14485.43</v>
      </c>
      <c r="J85" s="782">
        <v>18720.78</v>
      </c>
      <c r="K85" s="782">
        <v>10734.630000000001</v>
      </c>
      <c r="L85" s="782">
        <v>18720.78</v>
      </c>
      <c r="M85" s="782">
        <v>10865.68</v>
      </c>
      <c r="N85" s="782">
        <v>18720.78</v>
      </c>
      <c r="O85" s="782">
        <v>10996.73</v>
      </c>
      <c r="P85" s="782">
        <v>18720.78</v>
      </c>
      <c r="Q85" s="782">
        <v>11127.78</v>
      </c>
      <c r="R85" s="782">
        <v>18720.78</v>
      </c>
      <c r="S85" s="782">
        <v>11258.83</v>
      </c>
      <c r="T85" s="782">
        <v>18720.78</v>
      </c>
      <c r="U85" s="782">
        <v>11389.880000000001</v>
      </c>
      <c r="V85" s="782">
        <v>63025.4</v>
      </c>
      <c r="W85" s="782">
        <v>11520.93</v>
      </c>
      <c r="X85" s="782">
        <v>63025.4</v>
      </c>
      <c r="Y85" s="782">
        <v>11962.11</v>
      </c>
      <c r="Z85" s="782">
        <v>62218.6</v>
      </c>
      <c r="AA85" s="782">
        <v>12403.29</v>
      </c>
      <c r="AB85" s="782">
        <v>62042.47</v>
      </c>
      <c r="AC85" s="782">
        <v>12838.82</v>
      </c>
      <c r="AD85" s="782">
        <f t="shared" si="4"/>
        <v>32349.19083333333</v>
      </c>
      <c r="AE85" s="782">
        <f t="shared" si="4"/>
        <v>12048.002083333333</v>
      </c>
      <c r="AF85" s="177"/>
      <c r="AM85" s="178"/>
      <c r="AN85" s="121"/>
      <c r="AO85" s="178"/>
      <c r="AP85" s="121"/>
    </row>
    <row r="86" spans="1:42">
      <c r="A86" s="124">
        <v>77</v>
      </c>
      <c r="B86" t="s">
        <v>1593</v>
      </c>
      <c r="C86" s="781" t="s">
        <v>1559</v>
      </c>
      <c r="D86" s="782">
        <v>5075151.17</v>
      </c>
      <c r="E86" s="782">
        <v>1585132.9</v>
      </c>
      <c r="F86" s="782">
        <v>5075185.16</v>
      </c>
      <c r="G86" s="782">
        <v>1630217.1600000001</v>
      </c>
      <c r="H86" s="782">
        <v>5100231.05</v>
      </c>
      <c r="I86" s="782">
        <v>1675301.73</v>
      </c>
      <c r="J86" s="782">
        <v>5141328.9400000004</v>
      </c>
      <c r="K86" s="782">
        <v>1719110.79</v>
      </c>
      <c r="L86" s="782">
        <v>5144574.6100000003</v>
      </c>
      <c r="M86" s="782">
        <v>1764782.9300000002</v>
      </c>
      <c r="N86" s="782">
        <v>5183377.62</v>
      </c>
      <c r="O86" s="782">
        <v>1810483.9</v>
      </c>
      <c r="P86" s="782">
        <v>5203381.53</v>
      </c>
      <c r="Q86" s="782">
        <v>1856529.57</v>
      </c>
      <c r="R86" s="782">
        <v>5230954.93</v>
      </c>
      <c r="S86" s="782">
        <v>1902752.94</v>
      </c>
      <c r="T86" s="782">
        <v>5250632.97</v>
      </c>
      <c r="U86" s="782">
        <v>1949221.25</v>
      </c>
      <c r="V86" s="782">
        <v>5263237.25</v>
      </c>
      <c r="W86" s="782">
        <v>1995864.37</v>
      </c>
      <c r="X86" s="782">
        <v>5327398.6100000003</v>
      </c>
      <c r="Y86" s="782">
        <v>2042619.46</v>
      </c>
      <c r="Z86" s="782">
        <v>5369191.0099999998</v>
      </c>
      <c r="AA86" s="782">
        <v>2089944.52</v>
      </c>
      <c r="AB86" s="782">
        <v>5470907.3899999997</v>
      </c>
      <c r="AC86" s="782">
        <v>2137640.84</v>
      </c>
      <c r="AD86" s="782">
        <f t="shared" si="4"/>
        <v>5213543.58</v>
      </c>
      <c r="AE86" s="782">
        <f t="shared" si="4"/>
        <v>1858184.6241666668</v>
      </c>
      <c r="AF86" s="177"/>
      <c r="AM86" s="178"/>
      <c r="AO86" s="178"/>
    </row>
    <row r="87" spans="1:42">
      <c r="A87" s="124">
        <v>78</v>
      </c>
      <c r="B87" t="s">
        <v>1594</v>
      </c>
      <c r="C87" s="781" t="s">
        <v>1559</v>
      </c>
      <c r="D87" s="782">
        <v>131231.01999999999</v>
      </c>
      <c r="E87" s="782">
        <v>129807.22</v>
      </c>
      <c r="F87" s="782">
        <v>131231.01999999999</v>
      </c>
      <c r="G87" s="782">
        <v>129973.45</v>
      </c>
      <c r="H87" s="782">
        <v>131231.01999999999</v>
      </c>
      <c r="I87" s="782">
        <v>130139.68000000001</v>
      </c>
      <c r="J87" s="782">
        <v>131231.01999999999</v>
      </c>
      <c r="K87" s="782">
        <v>130305.91</v>
      </c>
      <c r="L87" s="782">
        <v>131231.01999999999</v>
      </c>
      <c r="M87" s="782">
        <v>130472.14</v>
      </c>
      <c r="N87" s="782">
        <v>131231.01999999999</v>
      </c>
      <c r="O87" s="782">
        <v>130638.37000000001</v>
      </c>
      <c r="P87" s="782">
        <v>131231.01999999999</v>
      </c>
      <c r="Q87" s="782">
        <v>130804.6</v>
      </c>
      <c r="R87" s="782">
        <v>131231.01999999999</v>
      </c>
      <c r="S87" s="782">
        <v>130970.83</v>
      </c>
      <c r="T87" s="782">
        <v>131231.01999999999</v>
      </c>
      <c r="U87" s="782">
        <v>131137.06</v>
      </c>
      <c r="V87" s="782">
        <v>131231.01999999999</v>
      </c>
      <c r="W87" s="782">
        <v>131231.01999999999</v>
      </c>
      <c r="X87" s="782">
        <v>131231.01999999999</v>
      </c>
      <c r="Y87" s="782">
        <v>131231.01999999999</v>
      </c>
      <c r="Z87" s="782">
        <v>131231.01999999999</v>
      </c>
      <c r="AA87" s="782">
        <v>131231.01999999999</v>
      </c>
      <c r="AB87" s="782">
        <v>131231.01999999999</v>
      </c>
      <c r="AC87" s="782">
        <v>131231.01999999999</v>
      </c>
      <c r="AD87" s="782">
        <f t="shared" si="4"/>
        <v>131231.01999999999</v>
      </c>
      <c r="AE87" s="782">
        <f t="shared" si="4"/>
        <v>130721.18500000001</v>
      </c>
      <c r="AF87" s="177"/>
      <c r="AM87" s="178"/>
      <c r="AN87" s="121"/>
      <c r="AO87" s="178"/>
      <c r="AP87" s="121"/>
    </row>
    <row r="88" spans="1:42">
      <c r="A88" s="124">
        <v>79</v>
      </c>
      <c r="B88" t="s">
        <v>1595</v>
      </c>
      <c r="C88" s="781" t="s">
        <v>1559</v>
      </c>
      <c r="D88" s="782">
        <v>0</v>
      </c>
      <c r="E88" s="782">
        <v>0</v>
      </c>
      <c r="F88" s="782">
        <v>0</v>
      </c>
      <c r="G88" s="782">
        <v>0</v>
      </c>
      <c r="H88" s="782">
        <v>0</v>
      </c>
      <c r="I88" s="782">
        <v>0</v>
      </c>
      <c r="J88" s="782">
        <v>0</v>
      </c>
      <c r="K88" s="782">
        <v>0</v>
      </c>
      <c r="L88" s="782">
        <v>0</v>
      </c>
      <c r="M88" s="782">
        <v>0</v>
      </c>
      <c r="N88" s="782">
        <v>0</v>
      </c>
      <c r="O88" s="782">
        <v>0</v>
      </c>
      <c r="P88" s="782">
        <v>0</v>
      </c>
      <c r="Q88" s="782">
        <v>0</v>
      </c>
      <c r="R88" s="782">
        <v>0</v>
      </c>
      <c r="S88" s="782">
        <v>0</v>
      </c>
      <c r="T88" s="782">
        <v>0</v>
      </c>
      <c r="U88" s="782">
        <v>0</v>
      </c>
      <c r="V88" s="782">
        <v>0</v>
      </c>
      <c r="W88" s="782">
        <v>0</v>
      </c>
      <c r="X88" s="782">
        <v>0</v>
      </c>
      <c r="Y88" s="782">
        <v>0</v>
      </c>
      <c r="Z88" s="782">
        <v>0</v>
      </c>
      <c r="AA88" s="782">
        <v>0</v>
      </c>
      <c r="AB88" s="782">
        <v>0</v>
      </c>
      <c r="AC88" s="782">
        <v>0</v>
      </c>
      <c r="AD88" s="782">
        <f t="shared" si="4"/>
        <v>0</v>
      </c>
      <c r="AE88" s="782">
        <f t="shared" si="4"/>
        <v>0</v>
      </c>
      <c r="AF88" s="177"/>
      <c r="AM88" s="178"/>
      <c r="AO88" s="178"/>
    </row>
    <row r="89" spans="1:42">
      <c r="A89" s="124">
        <v>80</v>
      </c>
      <c r="B89" t="s">
        <v>1596</v>
      </c>
      <c r="C89" s="781" t="s">
        <v>1559</v>
      </c>
      <c r="D89" s="782">
        <v>2389503.48</v>
      </c>
      <c r="E89" s="782">
        <v>-677376.3</v>
      </c>
      <c r="F89" s="782">
        <v>2167228.12</v>
      </c>
      <c r="G89" s="782">
        <v>-654173.1</v>
      </c>
      <c r="H89" s="782">
        <v>2386527.7599999998</v>
      </c>
      <c r="I89" s="782">
        <v>-636781.09</v>
      </c>
      <c r="J89" s="782">
        <v>2637475.6800000002</v>
      </c>
      <c r="K89" s="782">
        <v>-678911.29</v>
      </c>
      <c r="L89" s="782">
        <v>3019841.39</v>
      </c>
      <c r="M89" s="782">
        <v>-657745.55000000005</v>
      </c>
      <c r="N89" s="782">
        <v>3019841.39</v>
      </c>
      <c r="O89" s="782">
        <v>-633511.32999999996</v>
      </c>
      <c r="P89" s="782">
        <v>2911032.05</v>
      </c>
      <c r="Q89" s="782">
        <v>-609277.11</v>
      </c>
      <c r="R89" s="782">
        <v>2298072.85</v>
      </c>
      <c r="S89" s="782">
        <v>-671799.16</v>
      </c>
      <c r="T89" s="782">
        <v>2538289.92</v>
      </c>
      <c r="U89" s="782">
        <v>-653357.13</v>
      </c>
      <c r="V89" s="782">
        <v>2523556.5099999998</v>
      </c>
      <c r="W89" s="782">
        <v>-643489.86</v>
      </c>
      <c r="X89" s="782">
        <v>2530779.65</v>
      </c>
      <c r="Y89" s="782">
        <v>-619633.42000000004</v>
      </c>
      <c r="Z89" s="782">
        <v>2416137.19</v>
      </c>
      <c r="AA89" s="782">
        <v>-599323.92000000004</v>
      </c>
      <c r="AB89" s="782">
        <v>3989436.0300000003</v>
      </c>
      <c r="AC89" s="782">
        <v>-579934.42000000004</v>
      </c>
      <c r="AD89" s="782">
        <f t="shared" si="4"/>
        <v>2636521.0220833332</v>
      </c>
      <c r="AE89" s="782">
        <f t="shared" si="4"/>
        <v>-640554.86</v>
      </c>
      <c r="AF89" s="177"/>
      <c r="AM89" s="178"/>
      <c r="AO89" s="178"/>
    </row>
    <row r="90" spans="1:42">
      <c r="A90" s="124">
        <v>81</v>
      </c>
      <c r="B90" t="s">
        <v>1597</v>
      </c>
      <c r="C90" s="781" t="s">
        <v>1559</v>
      </c>
      <c r="D90" s="782">
        <v>550713.39</v>
      </c>
      <c r="E90" s="782">
        <v>204739.63</v>
      </c>
      <c r="F90" s="782">
        <v>550713.39</v>
      </c>
      <c r="G90" s="782">
        <v>205937.44</v>
      </c>
      <c r="H90" s="782">
        <v>550713.39</v>
      </c>
      <c r="I90" s="782">
        <v>207135.25</v>
      </c>
      <c r="J90" s="782">
        <v>539590.43000000005</v>
      </c>
      <c r="K90" s="782">
        <v>202991.78</v>
      </c>
      <c r="L90" s="782">
        <v>539590.43000000005</v>
      </c>
      <c r="M90" s="782">
        <v>204165.39</v>
      </c>
      <c r="N90" s="782">
        <v>539590.43000000005</v>
      </c>
      <c r="O90" s="782">
        <v>205339</v>
      </c>
      <c r="P90" s="782">
        <v>539590.43000000005</v>
      </c>
      <c r="Q90" s="782">
        <v>206512.61000000002</v>
      </c>
      <c r="R90" s="782">
        <v>539590.43000000005</v>
      </c>
      <c r="S90" s="782">
        <v>207686.22</v>
      </c>
      <c r="T90" s="782">
        <v>539590.43000000005</v>
      </c>
      <c r="U90" s="782">
        <v>208859.83000000002</v>
      </c>
      <c r="V90" s="782">
        <v>539590.43000000005</v>
      </c>
      <c r="W90" s="782">
        <v>210033.44</v>
      </c>
      <c r="X90" s="782">
        <v>539590.43000000005</v>
      </c>
      <c r="Y90" s="782">
        <v>211207.05000000002</v>
      </c>
      <c r="Z90" s="782">
        <v>539590.43000000005</v>
      </c>
      <c r="AA90" s="782">
        <v>212380.66</v>
      </c>
      <c r="AB90" s="782">
        <v>539590.43000000005</v>
      </c>
      <c r="AC90" s="782">
        <v>213554.27000000002</v>
      </c>
      <c r="AD90" s="782">
        <f t="shared" si="4"/>
        <v>541907.71333333326</v>
      </c>
      <c r="AE90" s="782">
        <f t="shared" si="4"/>
        <v>207616.30166666667</v>
      </c>
      <c r="AF90" s="177"/>
      <c r="AM90" s="178"/>
      <c r="AO90" s="178"/>
    </row>
    <row r="91" spans="1:42">
      <c r="A91" s="124">
        <v>82</v>
      </c>
      <c r="B91" t="s">
        <v>1598</v>
      </c>
      <c r="C91" s="781" t="s">
        <v>1559</v>
      </c>
      <c r="D91" s="782">
        <v>111554.27</v>
      </c>
      <c r="E91" s="782">
        <v>69162.55</v>
      </c>
      <c r="F91" s="782">
        <v>109893.83</v>
      </c>
      <c r="G91" s="782">
        <v>67999.460000000006</v>
      </c>
      <c r="H91" s="782">
        <v>109893.83</v>
      </c>
      <c r="I91" s="782">
        <v>68489.399999999994</v>
      </c>
      <c r="J91" s="782">
        <v>109893.83</v>
      </c>
      <c r="K91" s="782">
        <v>68979.34</v>
      </c>
      <c r="L91" s="782">
        <v>122137.04000000001</v>
      </c>
      <c r="M91" s="782">
        <v>69469.279999999999</v>
      </c>
      <c r="N91" s="782">
        <v>122137.05</v>
      </c>
      <c r="O91" s="782">
        <v>70013.81</v>
      </c>
      <c r="P91" s="782">
        <v>122137.05</v>
      </c>
      <c r="Q91" s="782">
        <v>70558.34</v>
      </c>
      <c r="R91" s="782">
        <v>122137.05</v>
      </c>
      <c r="S91" s="782">
        <v>71102.87</v>
      </c>
      <c r="T91" s="782">
        <v>122137.05</v>
      </c>
      <c r="U91" s="782">
        <v>71647.400000000009</v>
      </c>
      <c r="V91" s="782">
        <v>122137.05</v>
      </c>
      <c r="W91" s="782">
        <v>72191.930000000008</v>
      </c>
      <c r="X91" s="782">
        <v>122137.05</v>
      </c>
      <c r="Y91" s="782">
        <v>72736.460000000006</v>
      </c>
      <c r="Z91" s="782">
        <v>122137.05</v>
      </c>
      <c r="AA91" s="782">
        <v>73280.990000000005</v>
      </c>
      <c r="AB91" s="782">
        <v>122087.47</v>
      </c>
      <c r="AC91" s="782">
        <v>73825.52</v>
      </c>
      <c r="AD91" s="782">
        <f t="shared" si="4"/>
        <v>118633.2291666667</v>
      </c>
      <c r="AE91" s="782">
        <f t="shared" si="4"/>
        <v>70663.609583333338</v>
      </c>
      <c r="AF91" s="177"/>
      <c r="AM91" s="178"/>
      <c r="AN91" s="121"/>
      <c r="AO91" s="178"/>
      <c r="AP91" s="121"/>
    </row>
    <row r="92" spans="1:42">
      <c r="A92" s="124">
        <v>83</v>
      </c>
      <c r="B92" t="s">
        <v>1599</v>
      </c>
      <c r="C92" s="781" t="s">
        <v>1559</v>
      </c>
      <c r="D92" s="782">
        <v>931910.36</v>
      </c>
      <c r="E92" s="782">
        <v>580450.85</v>
      </c>
      <c r="F92" s="782">
        <v>931910.36</v>
      </c>
      <c r="G92" s="782">
        <v>585879.23</v>
      </c>
      <c r="H92" s="782">
        <v>944322.24</v>
      </c>
      <c r="I92" s="782">
        <v>591307.61</v>
      </c>
      <c r="J92" s="782">
        <v>958715.23</v>
      </c>
      <c r="K92" s="782">
        <v>596808.29</v>
      </c>
      <c r="L92" s="782">
        <v>958715.23</v>
      </c>
      <c r="M92" s="782">
        <v>602392.81000000006</v>
      </c>
      <c r="N92" s="782">
        <v>944426.01</v>
      </c>
      <c r="O92" s="782">
        <v>607977.32999999996</v>
      </c>
      <c r="P92" s="782">
        <v>944426.01</v>
      </c>
      <c r="Q92" s="782">
        <v>613478.61</v>
      </c>
      <c r="R92" s="782">
        <v>944426.01</v>
      </c>
      <c r="S92" s="782">
        <v>618979.89</v>
      </c>
      <c r="T92" s="782">
        <v>946489.45000000007</v>
      </c>
      <c r="U92" s="782">
        <v>624481.17000000004</v>
      </c>
      <c r="V92" s="782">
        <v>946489.45000000007</v>
      </c>
      <c r="W92" s="782">
        <v>629994.47</v>
      </c>
      <c r="X92" s="782">
        <v>946489.45000000007</v>
      </c>
      <c r="Y92" s="782">
        <v>635507.77</v>
      </c>
      <c r="Z92" s="782">
        <v>946489.45000000007</v>
      </c>
      <c r="AA92" s="782">
        <v>641021.07000000007</v>
      </c>
      <c r="AB92" s="782">
        <v>946430.42</v>
      </c>
      <c r="AC92" s="782">
        <v>646534.37</v>
      </c>
      <c r="AD92" s="782">
        <f t="shared" si="4"/>
        <v>946005.77333333332</v>
      </c>
      <c r="AE92" s="782">
        <f t="shared" si="4"/>
        <v>613443.40500000003</v>
      </c>
      <c r="AF92" s="177"/>
      <c r="AM92" s="178"/>
      <c r="AO92" s="178"/>
    </row>
    <row r="93" spans="1:42">
      <c r="A93" s="124">
        <v>84</v>
      </c>
      <c r="B93" t="s">
        <v>1600</v>
      </c>
      <c r="C93" s="781" t="s">
        <v>1559</v>
      </c>
      <c r="D93" s="782">
        <v>992188.97</v>
      </c>
      <c r="E93" s="782">
        <v>375067.53</v>
      </c>
      <c r="F93" s="782">
        <v>990058</v>
      </c>
      <c r="G93" s="782">
        <v>377508.9</v>
      </c>
      <c r="H93" s="782">
        <v>990058</v>
      </c>
      <c r="I93" s="782">
        <v>382071.41000000003</v>
      </c>
      <c r="J93" s="782">
        <v>990058</v>
      </c>
      <c r="K93" s="782">
        <v>386633.92</v>
      </c>
      <c r="L93" s="782">
        <v>986694.38</v>
      </c>
      <c r="M93" s="782">
        <v>387832.81</v>
      </c>
      <c r="N93" s="782">
        <v>986694.38</v>
      </c>
      <c r="O93" s="782">
        <v>392379.83</v>
      </c>
      <c r="P93" s="782">
        <v>986694.38</v>
      </c>
      <c r="Q93" s="782">
        <v>396926.85000000003</v>
      </c>
      <c r="R93" s="782">
        <v>986694.38</v>
      </c>
      <c r="S93" s="782">
        <v>401473.87</v>
      </c>
      <c r="T93" s="782">
        <v>986694.38</v>
      </c>
      <c r="U93" s="782">
        <v>406020.89</v>
      </c>
      <c r="V93" s="782">
        <v>986694.38</v>
      </c>
      <c r="W93" s="782">
        <v>410567.91000000003</v>
      </c>
      <c r="X93" s="782">
        <v>986694.38</v>
      </c>
      <c r="Y93" s="782">
        <v>415114.93</v>
      </c>
      <c r="Z93" s="782">
        <v>986694.38</v>
      </c>
      <c r="AA93" s="782">
        <v>419661.95</v>
      </c>
      <c r="AB93" s="782">
        <v>986694.38</v>
      </c>
      <c r="AC93" s="782">
        <v>424208.97000000003</v>
      </c>
      <c r="AD93" s="782">
        <f t="shared" si="4"/>
        <v>987764.22625000018</v>
      </c>
      <c r="AE93" s="782">
        <f t="shared" si="4"/>
        <v>397985.96</v>
      </c>
      <c r="AF93" s="177"/>
      <c r="AM93" s="178"/>
      <c r="AN93" s="121"/>
      <c r="AO93" s="178"/>
      <c r="AP93" s="121"/>
    </row>
    <row r="94" spans="1:42">
      <c r="A94" s="124">
        <v>85</v>
      </c>
      <c r="B94" t="s">
        <v>1601</v>
      </c>
      <c r="C94" s="781" t="s">
        <v>1559</v>
      </c>
      <c r="D94" s="782">
        <v>0</v>
      </c>
      <c r="E94" s="782">
        <v>-54956.630000000005</v>
      </c>
      <c r="F94" s="782">
        <v>0</v>
      </c>
      <c r="G94" s="782">
        <v>-54956.630000000005</v>
      </c>
      <c r="H94" s="782">
        <v>0</v>
      </c>
      <c r="I94" s="782">
        <v>-54956.630000000005</v>
      </c>
      <c r="J94" s="782">
        <v>0</v>
      </c>
      <c r="K94" s="782">
        <v>-54956.630000000005</v>
      </c>
      <c r="L94" s="782">
        <v>0</v>
      </c>
      <c r="M94" s="782">
        <v>-54956.630000000005</v>
      </c>
      <c r="N94" s="782">
        <v>0</v>
      </c>
      <c r="O94" s="782">
        <v>0</v>
      </c>
      <c r="P94" s="782">
        <v>0</v>
      </c>
      <c r="Q94" s="782">
        <v>0</v>
      </c>
      <c r="R94" s="782">
        <v>0</v>
      </c>
      <c r="S94" s="782">
        <v>0</v>
      </c>
      <c r="T94" s="782">
        <v>0</v>
      </c>
      <c r="U94" s="782">
        <v>0</v>
      </c>
      <c r="V94" s="782">
        <v>0</v>
      </c>
      <c r="W94" s="782">
        <v>0</v>
      </c>
      <c r="X94" s="782">
        <v>0</v>
      </c>
      <c r="Y94" s="782">
        <v>0</v>
      </c>
      <c r="Z94" s="782">
        <v>0</v>
      </c>
      <c r="AA94" s="782">
        <v>0</v>
      </c>
      <c r="AB94" s="782">
        <v>0</v>
      </c>
      <c r="AC94" s="782">
        <v>0</v>
      </c>
      <c r="AD94" s="782">
        <f t="shared" si="4"/>
        <v>0</v>
      </c>
      <c r="AE94" s="782">
        <f t="shared" si="4"/>
        <v>-20608.736250000002</v>
      </c>
      <c r="AF94" s="177"/>
      <c r="AM94" s="178"/>
      <c r="AO94" s="178"/>
    </row>
    <row r="95" spans="1:42">
      <c r="A95" s="124">
        <v>86</v>
      </c>
      <c r="B95" t="s">
        <v>1602</v>
      </c>
      <c r="C95" s="781" t="s">
        <v>1559</v>
      </c>
      <c r="D95" s="782">
        <v>19582.57</v>
      </c>
      <c r="E95" s="782">
        <v>4075.01</v>
      </c>
      <c r="F95" s="782">
        <v>19582.57</v>
      </c>
      <c r="G95" s="782">
        <v>4146</v>
      </c>
      <c r="H95" s="782">
        <v>19582.57</v>
      </c>
      <c r="I95" s="782">
        <v>4216.99</v>
      </c>
      <c r="J95" s="782">
        <v>19582.57</v>
      </c>
      <c r="K95" s="782">
        <v>4287.9800000000005</v>
      </c>
      <c r="L95" s="782">
        <v>19582.57</v>
      </c>
      <c r="M95" s="782">
        <v>4358.97</v>
      </c>
      <c r="N95" s="782">
        <v>19582.57</v>
      </c>
      <c r="O95" s="782">
        <v>4429.96</v>
      </c>
      <c r="P95" s="782">
        <v>19582.57</v>
      </c>
      <c r="Q95" s="782">
        <v>4500.95</v>
      </c>
      <c r="R95" s="782">
        <v>19582.57</v>
      </c>
      <c r="S95" s="782">
        <v>4571.9400000000005</v>
      </c>
      <c r="T95" s="782">
        <v>19582.57</v>
      </c>
      <c r="U95" s="782">
        <v>4642.93</v>
      </c>
      <c r="V95" s="782">
        <v>19582.57</v>
      </c>
      <c r="W95" s="782">
        <v>4713.92</v>
      </c>
      <c r="X95" s="782">
        <v>19582.57</v>
      </c>
      <c r="Y95" s="782">
        <v>4784.91</v>
      </c>
      <c r="Z95" s="782">
        <v>19582.57</v>
      </c>
      <c r="AA95" s="782">
        <v>4855.9000000000005</v>
      </c>
      <c r="AB95" s="782">
        <v>19582.57</v>
      </c>
      <c r="AC95" s="782">
        <v>4926.8900000000003</v>
      </c>
      <c r="AD95" s="782">
        <f t="shared" si="4"/>
        <v>19582.570000000003</v>
      </c>
      <c r="AE95" s="782">
        <f t="shared" si="4"/>
        <v>4500.9500000000007</v>
      </c>
      <c r="AF95" s="177"/>
      <c r="AM95" s="178"/>
      <c r="AN95" s="121"/>
      <c r="AO95" s="178"/>
      <c r="AP95" s="121"/>
    </row>
    <row r="96" spans="1:42">
      <c r="A96" s="124">
        <v>87</v>
      </c>
      <c r="B96" s="515" t="s">
        <v>639</v>
      </c>
      <c r="C96" s="515" t="s">
        <v>1066</v>
      </c>
      <c r="D96" s="516">
        <f t="shared" ref="D96:AE96" si="5">SUBTOTAL(9,D52:D95)</f>
        <v>916350715.05000019</v>
      </c>
      <c r="E96" s="516">
        <f t="shared" si="5"/>
        <v>405259790.75999999</v>
      </c>
      <c r="F96" s="516">
        <f t="shared" si="5"/>
        <v>920310387.10000014</v>
      </c>
      <c r="G96" s="516">
        <f t="shared" si="5"/>
        <v>407238521.03999996</v>
      </c>
      <c r="H96" s="516">
        <f t="shared" si="5"/>
        <v>925231487.79000008</v>
      </c>
      <c r="I96" s="516">
        <f t="shared" si="5"/>
        <v>409071983.22999996</v>
      </c>
      <c r="J96" s="516">
        <f t="shared" si="5"/>
        <v>932519611.97000015</v>
      </c>
      <c r="K96" s="516">
        <f t="shared" si="5"/>
        <v>410747903.37999994</v>
      </c>
      <c r="L96" s="516">
        <f t="shared" si="5"/>
        <v>934510606.23000002</v>
      </c>
      <c r="M96" s="516">
        <f t="shared" si="5"/>
        <v>412667606.9799999</v>
      </c>
      <c r="N96" s="516">
        <f t="shared" si="5"/>
        <v>938344994.63999987</v>
      </c>
      <c r="O96" s="516">
        <f t="shared" si="5"/>
        <v>414759131.80999988</v>
      </c>
      <c r="P96" s="516">
        <f t="shared" si="5"/>
        <v>940142325.93999958</v>
      </c>
      <c r="Q96" s="516">
        <f t="shared" si="5"/>
        <v>415947818.57999998</v>
      </c>
      <c r="R96" s="516">
        <f t="shared" si="5"/>
        <v>952334810.27999985</v>
      </c>
      <c r="S96" s="516">
        <f t="shared" si="5"/>
        <v>417766684.40999997</v>
      </c>
      <c r="T96" s="516">
        <f t="shared" si="5"/>
        <v>957061384.29999995</v>
      </c>
      <c r="U96" s="516">
        <f t="shared" si="5"/>
        <v>419650770.16999996</v>
      </c>
      <c r="V96" s="516">
        <f t="shared" si="5"/>
        <v>973561481.58999979</v>
      </c>
      <c r="W96" s="516">
        <f t="shared" si="5"/>
        <v>421581365.18000007</v>
      </c>
      <c r="X96" s="516">
        <f t="shared" si="5"/>
        <v>978500804.25999987</v>
      </c>
      <c r="Y96" s="516">
        <f t="shared" si="5"/>
        <v>422860182.54999989</v>
      </c>
      <c r="Z96" s="516">
        <f t="shared" si="5"/>
        <v>982396381.74000001</v>
      </c>
      <c r="AA96" s="516">
        <f t="shared" si="5"/>
        <v>424735755.4799999</v>
      </c>
      <c r="AB96" s="516">
        <f t="shared" si="5"/>
        <v>993143149.00999999</v>
      </c>
      <c r="AC96" s="516">
        <f t="shared" si="5"/>
        <v>424923291.92999983</v>
      </c>
      <c r="AD96" s="516">
        <f t="shared" si="5"/>
        <v>949138433.9891665</v>
      </c>
      <c r="AE96" s="516">
        <f t="shared" si="5"/>
        <v>416009938.67958331</v>
      </c>
      <c r="AF96" s="315"/>
      <c r="AM96" s="178"/>
      <c r="AN96" s="121"/>
      <c r="AO96" s="178"/>
      <c r="AP96" s="121"/>
    </row>
    <row r="97" spans="1:42">
      <c r="A97" s="124">
        <v>88</v>
      </c>
      <c r="B97" s="10" t="s">
        <v>1603</v>
      </c>
      <c r="C97" s="264"/>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M97" s="178"/>
      <c r="AO97" s="178"/>
    </row>
    <row r="98" spans="1:42">
      <c r="A98" s="124">
        <v>89</v>
      </c>
      <c r="B98" t="s">
        <v>1604</v>
      </c>
      <c r="C98" s="781" t="s">
        <v>1605</v>
      </c>
      <c r="D98" s="782">
        <v>152066.08000000002</v>
      </c>
      <c r="E98" s="782">
        <v>0</v>
      </c>
      <c r="F98" s="782">
        <v>152066.08000000002</v>
      </c>
      <c r="G98" s="782">
        <v>0</v>
      </c>
      <c r="H98" s="782">
        <v>152066.08000000002</v>
      </c>
      <c r="I98" s="782">
        <v>0</v>
      </c>
      <c r="J98" s="782">
        <v>152066.08000000002</v>
      </c>
      <c r="K98" s="782">
        <v>0</v>
      </c>
      <c r="L98" s="782">
        <v>152066.08000000002</v>
      </c>
      <c r="M98" s="782">
        <v>0</v>
      </c>
      <c r="N98" s="782">
        <v>152066.08000000002</v>
      </c>
      <c r="O98" s="782">
        <v>0</v>
      </c>
      <c r="P98" s="782">
        <v>152066.08000000002</v>
      </c>
      <c r="Q98" s="782">
        <v>0</v>
      </c>
      <c r="R98" s="782">
        <v>152066.08000000002</v>
      </c>
      <c r="S98" s="782">
        <v>0</v>
      </c>
      <c r="T98" s="782">
        <v>152066.08000000002</v>
      </c>
      <c r="U98" s="782">
        <v>0</v>
      </c>
      <c r="V98" s="782">
        <v>152066.08000000002</v>
      </c>
      <c r="W98" s="782">
        <v>0</v>
      </c>
      <c r="X98" s="782">
        <v>152066.08000000002</v>
      </c>
      <c r="Y98" s="782">
        <v>0</v>
      </c>
      <c r="Z98" s="782">
        <v>152066.08000000002</v>
      </c>
      <c r="AA98" s="782">
        <v>0</v>
      </c>
      <c r="AB98" s="782">
        <v>152066.08000000002</v>
      </c>
      <c r="AC98" s="782">
        <v>0</v>
      </c>
      <c r="AD98" s="782">
        <f t="shared" ref="AD98:AE129" si="6">+(D98+AB98+(+F98+H98+J98+L98+N98+P98+R98+T98+V98+X98+Z98)*2)/24</f>
        <v>152066.08000000005</v>
      </c>
      <c r="AE98" s="782">
        <f t="shared" si="6"/>
        <v>0</v>
      </c>
      <c r="AF98" s="177"/>
      <c r="AM98" s="178"/>
      <c r="AN98" s="121"/>
      <c r="AO98" s="178"/>
      <c r="AP98" s="121"/>
    </row>
    <row r="99" spans="1:42">
      <c r="A99" s="124">
        <v>90</v>
      </c>
      <c r="B99" t="s">
        <v>1606</v>
      </c>
      <c r="C99" s="781" t="s">
        <v>1605</v>
      </c>
      <c r="D99" s="782">
        <v>28347.38</v>
      </c>
      <c r="E99" s="782">
        <v>28347.38</v>
      </c>
      <c r="F99" s="782">
        <v>28347.38</v>
      </c>
      <c r="G99" s="782">
        <v>28347.38</v>
      </c>
      <c r="H99" s="782">
        <v>28347.38</v>
      </c>
      <c r="I99" s="782">
        <v>28347.38</v>
      </c>
      <c r="J99" s="782">
        <v>28347.38</v>
      </c>
      <c r="K99" s="782">
        <v>28347.38</v>
      </c>
      <c r="L99" s="782">
        <v>28347.38</v>
      </c>
      <c r="M99" s="782">
        <v>28347.38</v>
      </c>
      <c r="N99" s="782">
        <v>28347.38</v>
      </c>
      <c r="O99" s="782">
        <v>28347.38</v>
      </c>
      <c r="P99" s="782">
        <v>28347.38</v>
      </c>
      <c r="Q99" s="782">
        <v>28347.38</v>
      </c>
      <c r="R99" s="782">
        <v>28347.38</v>
      </c>
      <c r="S99" s="782">
        <v>28347.38</v>
      </c>
      <c r="T99" s="782">
        <v>28347.38</v>
      </c>
      <c r="U99" s="782">
        <v>28347.38</v>
      </c>
      <c r="V99" s="782">
        <v>28347.38</v>
      </c>
      <c r="W99" s="782">
        <v>28347.38</v>
      </c>
      <c r="X99" s="782">
        <v>28347.38</v>
      </c>
      <c r="Y99" s="782">
        <v>28347.38</v>
      </c>
      <c r="Z99" s="782">
        <v>28347.38</v>
      </c>
      <c r="AA99" s="782">
        <v>28347.38</v>
      </c>
      <c r="AB99" s="782">
        <v>28347.38</v>
      </c>
      <c r="AC99" s="782">
        <v>28347.38</v>
      </c>
      <c r="AD99" s="782">
        <f t="shared" si="6"/>
        <v>28347.38</v>
      </c>
      <c r="AE99" s="782">
        <f t="shared" si="6"/>
        <v>28347.38</v>
      </c>
      <c r="AF99" s="177"/>
      <c r="AJ99" s="135"/>
      <c r="AM99" s="178"/>
      <c r="AO99" s="178"/>
    </row>
    <row r="100" spans="1:42">
      <c r="A100" s="124">
        <v>91</v>
      </c>
      <c r="B100" t="s">
        <v>1607</v>
      </c>
      <c r="C100" s="781" t="s">
        <v>1605</v>
      </c>
      <c r="D100" s="782">
        <v>0</v>
      </c>
      <c r="E100" s="782">
        <v>0</v>
      </c>
      <c r="F100" s="782">
        <v>0</v>
      </c>
      <c r="G100" s="782">
        <v>0</v>
      </c>
      <c r="H100" s="782">
        <v>0</v>
      </c>
      <c r="I100" s="782">
        <v>0</v>
      </c>
      <c r="J100" s="782">
        <v>0</v>
      </c>
      <c r="K100" s="782">
        <v>0</v>
      </c>
      <c r="L100" s="782">
        <v>0</v>
      </c>
      <c r="M100" s="782">
        <v>0</v>
      </c>
      <c r="N100" s="782">
        <v>0</v>
      </c>
      <c r="O100" s="782">
        <v>0</v>
      </c>
      <c r="P100" s="782">
        <v>0</v>
      </c>
      <c r="Q100" s="782">
        <v>0</v>
      </c>
      <c r="R100" s="782">
        <v>0</v>
      </c>
      <c r="S100" s="782">
        <v>0</v>
      </c>
      <c r="T100" s="782">
        <v>0</v>
      </c>
      <c r="U100" s="782">
        <v>0</v>
      </c>
      <c r="V100" s="782">
        <v>0</v>
      </c>
      <c r="W100" s="782">
        <v>0</v>
      </c>
      <c r="X100" s="782">
        <v>0</v>
      </c>
      <c r="Y100" s="782">
        <v>0</v>
      </c>
      <c r="Z100" s="782">
        <v>0</v>
      </c>
      <c r="AA100" s="782">
        <v>0</v>
      </c>
      <c r="AB100" s="782">
        <v>0</v>
      </c>
      <c r="AC100" s="782">
        <v>0</v>
      </c>
      <c r="AD100" s="782">
        <f t="shared" si="6"/>
        <v>0</v>
      </c>
      <c r="AE100" s="782">
        <f t="shared" si="6"/>
        <v>0</v>
      </c>
      <c r="AF100" s="177"/>
      <c r="AM100" s="178"/>
      <c r="AO100" s="178"/>
    </row>
    <row r="101" spans="1:42">
      <c r="A101" s="124">
        <v>92</v>
      </c>
      <c r="B101" t="s">
        <v>1608</v>
      </c>
      <c r="C101" s="781" t="s">
        <v>1605</v>
      </c>
      <c r="D101" s="782">
        <v>2073631.63</v>
      </c>
      <c r="E101" s="782">
        <v>1496016.7999999998</v>
      </c>
      <c r="F101" s="782">
        <v>2073631.63</v>
      </c>
      <c r="G101" s="782">
        <v>1513297.06</v>
      </c>
      <c r="H101" s="782">
        <v>2073631.63</v>
      </c>
      <c r="I101" s="782">
        <v>1530577.3199999998</v>
      </c>
      <c r="J101" s="782">
        <v>2073631.63</v>
      </c>
      <c r="K101" s="782">
        <v>1547857.58</v>
      </c>
      <c r="L101" s="782">
        <v>2073631.63</v>
      </c>
      <c r="M101" s="782">
        <v>1565137.8399999999</v>
      </c>
      <c r="N101" s="782">
        <v>2073631.63</v>
      </c>
      <c r="O101" s="782">
        <v>1582418.1</v>
      </c>
      <c r="P101" s="782">
        <v>2073631.63</v>
      </c>
      <c r="Q101" s="782">
        <v>1599698.36</v>
      </c>
      <c r="R101" s="782">
        <v>2073631.63</v>
      </c>
      <c r="S101" s="782">
        <v>1616978.62</v>
      </c>
      <c r="T101" s="782">
        <v>2073631.63</v>
      </c>
      <c r="U101" s="782">
        <v>1634258.8800000001</v>
      </c>
      <c r="V101" s="782">
        <v>2073631.63</v>
      </c>
      <c r="W101" s="782">
        <v>1651539.14</v>
      </c>
      <c r="X101" s="782">
        <v>2073631.63</v>
      </c>
      <c r="Y101" s="782">
        <v>1668819.4</v>
      </c>
      <c r="Z101" s="782">
        <v>2073631.63</v>
      </c>
      <c r="AA101" s="782">
        <v>1686099.6600000001</v>
      </c>
      <c r="AB101" s="782">
        <v>2073631.63</v>
      </c>
      <c r="AC101" s="782">
        <v>1703379.92</v>
      </c>
      <c r="AD101" s="782">
        <f t="shared" si="6"/>
        <v>2073631.6299999992</v>
      </c>
      <c r="AE101" s="782">
        <f t="shared" si="6"/>
        <v>1599698.36</v>
      </c>
      <c r="AF101" s="177"/>
      <c r="AM101" s="178"/>
      <c r="AN101" s="121"/>
      <c r="AO101" s="178"/>
      <c r="AP101" s="121"/>
    </row>
    <row r="102" spans="1:42">
      <c r="A102" s="124">
        <v>93</v>
      </c>
      <c r="B102" t="s">
        <v>1609</v>
      </c>
      <c r="C102" s="781" t="s">
        <v>1605</v>
      </c>
      <c r="D102" s="782">
        <v>14664.05</v>
      </c>
      <c r="E102" s="782">
        <v>8665.34</v>
      </c>
      <c r="F102" s="782">
        <v>14664.050000000001</v>
      </c>
      <c r="G102" s="782">
        <v>8787.5400000000009</v>
      </c>
      <c r="H102" s="782">
        <v>14664.050000000001</v>
      </c>
      <c r="I102" s="782">
        <v>8909.74</v>
      </c>
      <c r="J102" s="782">
        <v>14664.050000000001</v>
      </c>
      <c r="K102" s="782">
        <v>9031.9399999999987</v>
      </c>
      <c r="L102" s="782">
        <v>14664.050000000001</v>
      </c>
      <c r="M102" s="782">
        <v>9154.14</v>
      </c>
      <c r="N102" s="782">
        <v>14664.050000000001</v>
      </c>
      <c r="O102" s="782">
        <v>9276.34</v>
      </c>
      <c r="P102" s="782">
        <v>14664.050000000001</v>
      </c>
      <c r="Q102" s="782">
        <v>9398.5400000000009</v>
      </c>
      <c r="R102" s="782">
        <v>14664.050000000001</v>
      </c>
      <c r="S102" s="782">
        <v>9520.74</v>
      </c>
      <c r="T102" s="782">
        <v>14664.050000000001</v>
      </c>
      <c r="U102" s="782">
        <v>9642.94</v>
      </c>
      <c r="V102" s="782">
        <v>14664.050000000001</v>
      </c>
      <c r="W102" s="782">
        <v>9765.14</v>
      </c>
      <c r="X102" s="782">
        <v>14664.050000000001</v>
      </c>
      <c r="Y102" s="782">
        <v>9887.34</v>
      </c>
      <c r="Z102" s="782">
        <v>14664.050000000001</v>
      </c>
      <c r="AA102" s="782">
        <v>10009.540000000001</v>
      </c>
      <c r="AB102" s="782">
        <v>14664.050000000001</v>
      </c>
      <c r="AC102" s="782">
        <v>10131.740000000002</v>
      </c>
      <c r="AD102" s="782">
        <f t="shared" si="6"/>
        <v>14664.049999999997</v>
      </c>
      <c r="AE102" s="782">
        <f t="shared" si="6"/>
        <v>9398.5400000000009</v>
      </c>
      <c r="AF102" s="177"/>
      <c r="AM102" s="178"/>
      <c r="AN102" s="121"/>
      <c r="AO102" s="178"/>
      <c r="AP102" s="121"/>
    </row>
    <row r="103" spans="1:42">
      <c r="A103" s="124">
        <v>94</v>
      </c>
      <c r="B103" t="s">
        <v>1610</v>
      </c>
      <c r="C103" s="781" t="s">
        <v>1605</v>
      </c>
      <c r="D103" s="782">
        <v>563985.92999999993</v>
      </c>
      <c r="E103" s="782">
        <v>263413.03999999998</v>
      </c>
      <c r="F103" s="782">
        <v>563985.92999999993</v>
      </c>
      <c r="G103" s="782">
        <v>268112.92000000004</v>
      </c>
      <c r="H103" s="782">
        <v>563985.92999999993</v>
      </c>
      <c r="I103" s="782">
        <v>272812.79999999999</v>
      </c>
      <c r="J103" s="782">
        <v>563985.92999999993</v>
      </c>
      <c r="K103" s="782">
        <v>277512.68</v>
      </c>
      <c r="L103" s="782">
        <v>563985.92999999993</v>
      </c>
      <c r="M103" s="782">
        <v>282212.56000000006</v>
      </c>
      <c r="N103" s="782">
        <v>563985.92999999993</v>
      </c>
      <c r="O103" s="782">
        <v>286912.44</v>
      </c>
      <c r="P103" s="782">
        <v>563985.92999999993</v>
      </c>
      <c r="Q103" s="782">
        <v>291612.32</v>
      </c>
      <c r="R103" s="782">
        <v>563985.92999999993</v>
      </c>
      <c r="S103" s="782">
        <v>296312.2</v>
      </c>
      <c r="T103" s="782">
        <v>563985.92999999993</v>
      </c>
      <c r="U103" s="782">
        <v>301012.08</v>
      </c>
      <c r="V103" s="782">
        <v>563985.92999999993</v>
      </c>
      <c r="W103" s="782">
        <v>305711.96000000002</v>
      </c>
      <c r="X103" s="782">
        <v>563985.92999999993</v>
      </c>
      <c r="Y103" s="782">
        <v>310411.83999999997</v>
      </c>
      <c r="Z103" s="782">
        <v>563985.92999999993</v>
      </c>
      <c r="AA103" s="782">
        <v>315111.72000000003</v>
      </c>
      <c r="AB103" s="782">
        <v>563985.92999999993</v>
      </c>
      <c r="AC103" s="782">
        <v>319811.59999999998</v>
      </c>
      <c r="AD103" s="782">
        <f t="shared" si="6"/>
        <v>563985.92999999982</v>
      </c>
      <c r="AE103" s="782">
        <f t="shared" si="6"/>
        <v>291612.32</v>
      </c>
      <c r="AF103" s="177"/>
      <c r="AM103" s="178"/>
      <c r="AO103" s="178"/>
    </row>
    <row r="104" spans="1:42">
      <c r="A104" s="124">
        <v>95</v>
      </c>
      <c r="B104" t="s">
        <v>1611</v>
      </c>
      <c r="C104" s="781" t="s">
        <v>1605</v>
      </c>
      <c r="D104" s="782">
        <v>50760.55</v>
      </c>
      <c r="E104" s="782">
        <v>16350.490000000002</v>
      </c>
      <c r="F104" s="782">
        <v>50760.55</v>
      </c>
      <c r="G104" s="782">
        <v>16773.490000000002</v>
      </c>
      <c r="H104" s="782">
        <v>50760.55</v>
      </c>
      <c r="I104" s="782">
        <v>17196.489999999998</v>
      </c>
      <c r="J104" s="782">
        <v>50760.55</v>
      </c>
      <c r="K104" s="782">
        <v>17619.490000000002</v>
      </c>
      <c r="L104" s="782">
        <v>50760.55</v>
      </c>
      <c r="M104" s="782">
        <v>18042.489999999998</v>
      </c>
      <c r="N104" s="782">
        <v>50760.55</v>
      </c>
      <c r="O104" s="782">
        <v>18465.490000000002</v>
      </c>
      <c r="P104" s="782">
        <v>50760.55</v>
      </c>
      <c r="Q104" s="782">
        <v>18888.490000000002</v>
      </c>
      <c r="R104" s="782">
        <v>50760.55</v>
      </c>
      <c r="S104" s="782">
        <v>19311.489999999998</v>
      </c>
      <c r="T104" s="782">
        <v>50760.55</v>
      </c>
      <c r="U104" s="782">
        <v>19734.490000000002</v>
      </c>
      <c r="V104" s="782">
        <v>50760.55</v>
      </c>
      <c r="W104" s="782">
        <v>20157.489999999998</v>
      </c>
      <c r="X104" s="782">
        <v>50760.55</v>
      </c>
      <c r="Y104" s="782">
        <v>20580.490000000002</v>
      </c>
      <c r="Z104" s="782">
        <v>50760.55</v>
      </c>
      <c r="AA104" s="782">
        <v>21003.49</v>
      </c>
      <c r="AB104" s="782">
        <v>50760.55</v>
      </c>
      <c r="AC104" s="782">
        <v>21426.489999999998</v>
      </c>
      <c r="AD104" s="782">
        <f t="shared" si="6"/>
        <v>50760.549999999996</v>
      </c>
      <c r="AE104" s="782">
        <f t="shared" si="6"/>
        <v>18888.489999999994</v>
      </c>
      <c r="AF104" s="177"/>
      <c r="AM104" s="178"/>
      <c r="AN104" s="135"/>
      <c r="AO104" s="178"/>
      <c r="AP104" s="121"/>
    </row>
    <row r="105" spans="1:42">
      <c r="A105" s="124">
        <v>96</v>
      </c>
      <c r="B105" t="s">
        <v>1612</v>
      </c>
      <c r="C105" s="781" t="s">
        <v>1605</v>
      </c>
      <c r="D105" s="782">
        <v>339731.35</v>
      </c>
      <c r="E105" s="782">
        <v>41884.800000000003</v>
      </c>
      <c r="F105" s="782">
        <v>339731.35</v>
      </c>
      <c r="G105" s="782">
        <v>44715.89</v>
      </c>
      <c r="H105" s="782">
        <v>339731.35</v>
      </c>
      <c r="I105" s="782">
        <v>47546.979999999996</v>
      </c>
      <c r="J105" s="782">
        <v>339731.35</v>
      </c>
      <c r="K105" s="782">
        <v>50378.07</v>
      </c>
      <c r="L105" s="782">
        <v>339731.35</v>
      </c>
      <c r="M105" s="782">
        <v>53209.159999999996</v>
      </c>
      <c r="N105" s="782">
        <v>339731.35</v>
      </c>
      <c r="O105" s="782">
        <v>56040.25</v>
      </c>
      <c r="P105" s="782">
        <v>339731.35</v>
      </c>
      <c r="Q105" s="782">
        <v>58871.340000000004</v>
      </c>
      <c r="R105" s="782">
        <v>339731.35</v>
      </c>
      <c r="S105" s="782">
        <v>61702.43</v>
      </c>
      <c r="T105" s="782">
        <v>339731.35</v>
      </c>
      <c r="U105" s="782">
        <v>64533.520000000004</v>
      </c>
      <c r="V105" s="782">
        <v>339731.35</v>
      </c>
      <c r="W105" s="782">
        <v>67364.61</v>
      </c>
      <c r="X105" s="782">
        <v>339731.35</v>
      </c>
      <c r="Y105" s="782">
        <v>70195.7</v>
      </c>
      <c r="Z105" s="782">
        <v>339731.35</v>
      </c>
      <c r="AA105" s="782">
        <v>73026.790000000008</v>
      </c>
      <c r="AB105" s="782">
        <v>339731.35</v>
      </c>
      <c r="AC105" s="782">
        <v>75857.88</v>
      </c>
      <c r="AD105" s="782">
        <f t="shared" si="6"/>
        <v>339731.35000000003</v>
      </c>
      <c r="AE105" s="782">
        <f t="shared" si="6"/>
        <v>58871.34</v>
      </c>
      <c r="AF105" s="177"/>
      <c r="AM105" s="178"/>
      <c r="AO105" s="178"/>
    </row>
    <row r="106" spans="1:42">
      <c r="A106" s="124">
        <v>97</v>
      </c>
      <c r="B106" t="s">
        <v>1613</v>
      </c>
      <c r="C106" s="781" t="s">
        <v>1605</v>
      </c>
      <c r="D106" s="782">
        <v>113204.07</v>
      </c>
      <c r="E106" s="782">
        <v>0</v>
      </c>
      <c r="F106" s="782">
        <v>121882.08</v>
      </c>
      <c r="G106" s="782">
        <v>943.37000000000012</v>
      </c>
      <c r="H106" s="782">
        <v>120827.84000000001</v>
      </c>
      <c r="I106" s="782">
        <v>1959.0500000000002</v>
      </c>
      <c r="J106" s="782">
        <v>118033.45000000001</v>
      </c>
      <c r="K106" s="782">
        <v>2965.95</v>
      </c>
      <c r="L106" s="782">
        <v>117462.48000000001</v>
      </c>
      <c r="M106" s="782">
        <v>3949.56</v>
      </c>
      <c r="N106" s="782">
        <v>117462.48000000001</v>
      </c>
      <c r="O106" s="782">
        <v>4928.41</v>
      </c>
      <c r="P106" s="782">
        <v>117462.48000000001</v>
      </c>
      <c r="Q106" s="782">
        <v>5907.26</v>
      </c>
      <c r="R106" s="782">
        <v>117462.48000000001</v>
      </c>
      <c r="S106" s="782">
        <v>6886.1100000000006</v>
      </c>
      <c r="T106" s="782">
        <v>117462.48000000001</v>
      </c>
      <c r="U106" s="782">
        <v>7864.96</v>
      </c>
      <c r="V106" s="782">
        <v>117462.48000000001</v>
      </c>
      <c r="W106" s="782">
        <v>8843.81</v>
      </c>
      <c r="X106" s="782">
        <v>117462.48000000001</v>
      </c>
      <c r="Y106" s="782">
        <v>9822.66</v>
      </c>
      <c r="Z106" s="782">
        <v>117462.48000000001</v>
      </c>
      <c r="AA106" s="782">
        <v>10801.51</v>
      </c>
      <c r="AB106" s="782">
        <v>117445.24</v>
      </c>
      <c r="AC106" s="782">
        <v>11780.36</v>
      </c>
      <c r="AD106" s="782">
        <f t="shared" si="6"/>
        <v>117980.65541666666</v>
      </c>
      <c r="AE106" s="782">
        <f t="shared" si="6"/>
        <v>5896.9025000000001</v>
      </c>
      <c r="AF106" s="177"/>
      <c r="AM106" s="178"/>
      <c r="AN106" s="121"/>
      <c r="AO106" s="178"/>
      <c r="AP106" s="121"/>
    </row>
    <row r="107" spans="1:42">
      <c r="A107" s="124">
        <v>98</v>
      </c>
      <c r="B107" t="s">
        <v>1614</v>
      </c>
      <c r="C107" s="781" t="s">
        <v>1605</v>
      </c>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v>685260.12</v>
      </c>
      <c r="AA107" s="782">
        <v>0</v>
      </c>
      <c r="AB107" s="782">
        <v>818637.16</v>
      </c>
      <c r="AC107" s="782">
        <v>5710.5</v>
      </c>
      <c r="AD107" s="782">
        <f t="shared" si="6"/>
        <v>91214.891666666663</v>
      </c>
      <c r="AE107" s="782">
        <f t="shared" si="6"/>
        <v>237.9375</v>
      </c>
      <c r="AF107" s="177"/>
      <c r="AM107" s="178"/>
      <c r="AO107" s="178"/>
    </row>
    <row r="108" spans="1:42">
      <c r="A108" s="124">
        <v>99</v>
      </c>
      <c r="B108" t="s">
        <v>1615</v>
      </c>
      <c r="C108" s="781" t="s">
        <v>1605</v>
      </c>
      <c r="D108" s="782">
        <v>0</v>
      </c>
      <c r="E108" s="782">
        <v>0</v>
      </c>
      <c r="F108" s="782">
        <v>0</v>
      </c>
      <c r="G108" s="782">
        <v>0</v>
      </c>
      <c r="H108" s="782">
        <v>0</v>
      </c>
      <c r="I108" s="782">
        <v>0</v>
      </c>
      <c r="J108" s="782">
        <v>0</v>
      </c>
      <c r="K108" s="782">
        <v>0</v>
      </c>
      <c r="L108" s="782">
        <v>0</v>
      </c>
      <c r="M108" s="782">
        <v>0</v>
      </c>
      <c r="N108" s="782">
        <v>0</v>
      </c>
      <c r="O108" s="782">
        <v>0</v>
      </c>
      <c r="P108" s="782">
        <v>0</v>
      </c>
      <c r="Q108" s="782">
        <v>0</v>
      </c>
      <c r="R108" s="782">
        <v>0</v>
      </c>
      <c r="S108" s="782">
        <v>0</v>
      </c>
      <c r="T108" s="782">
        <v>0</v>
      </c>
      <c r="U108" s="782">
        <v>0</v>
      </c>
      <c r="V108" s="782">
        <v>0</v>
      </c>
      <c r="W108" s="782">
        <v>0</v>
      </c>
      <c r="X108" s="782">
        <v>0</v>
      </c>
      <c r="Y108" s="782">
        <v>0</v>
      </c>
      <c r="Z108" s="782">
        <v>0</v>
      </c>
      <c r="AA108" s="782">
        <v>0</v>
      </c>
      <c r="AB108" s="782">
        <v>0</v>
      </c>
      <c r="AC108" s="782">
        <v>0</v>
      </c>
      <c r="AD108" s="782">
        <f t="shared" si="6"/>
        <v>0</v>
      </c>
      <c r="AE108" s="782">
        <f t="shared" si="6"/>
        <v>0</v>
      </c>
      <c r="AF108" s="177"/>
      <c r="AM108" s="178"/>
      <c r="AN108" s="121"/>
      <c r="AO108" s="178"/>
      <c r="AP108" s="121"/>
    </row>
    <row r="109" spans="1:42">
      <c r="A109" s="124">
        <v>100</v>
      </c>
      <c r="B109" t="s">
        <v>1616</v>
      </c>
      <c r="C109" s="781" t="s">
        <v>1605</v>
      </c>
      <c r="D109" s="782">
        <v>1191253.08</v>
      </c>
      <c r="E109" s="782">
        <v>310259.52</v>
      </c>
      <c r="F109" s="782">
        <v>1191253.08</v>
      </c>
      <c r="G109" s="782">
        <v>318528.8</v>
      </c>
      <c r="H109" s="782">
        <v>1191253.08</v>
      </c>
      <c r="I109" s="782">
        <v>326798.08000000002</v>
      </c>
      <c r="J109" s="782">
        <v>1191253.08</v>
      </c>
      <c r="K109" s="782">
        <v>335067.36</v>
      </c>
      <c r="L109" s="782">
        <v>1191253.08</v>
      </c>
      <c r="M109" s="782">
        <v>343336.64</v>
      </c>
      <c r="N109" s="782">
        <v>1191253.08</v>
      </c>
      <c r="O109" s="782">
        <v>351605.92000000004</v>
      </c>
      <c r="P109" s="782">
        <v>1191253.08</v>
      </c>
      <c r="Q109" s="782">
        <v>359875.20000000007</v>
      </c>
      <c r="R109" s="782">
        <v>1191253.08</v>
      </c>
      <c r="S109" s="782">
        <v>368144.48000000004</v>
      </c>
      <c r="T109" s="782">
        <v>1191253.08</v>
      </c>
      <c r="U109" s="782">
        <v>376413.76</v>
      </c>
      <c r="V109" s="782">
        <v>1191253.08</v>
      </c>
      <c r="W109" s="782">
        <v>384683.04000000004</v>
      </c>
      <c r="X109" s="782">
        <v>1191253.08</v>
      </c>
      <c r="Y109" s="782">
        <v>392952.32000000007</v>
      </c>
      <c r="Z109" s="782">
        <v>1191253.08</v>
      </c>
      <c r="AA109" s="782">
        <v>401221.60000000003</v>
      </c>
      <c r="AB109" s="782">
        <v>1191253.08</v>
      </c>
      <c r="AC109" s="782">
        <v>409490.88</v>
      </c>
      <c r="AD109" s="782">
        <f t="shared" si="6"/>
        <v>1191253.08</v>
      </c>
      <c r="AE109" s="782">
        <f t="shared" si="6"/>
        <v>359875.2</v>
      </c>
      <c r="AF109" s="177"/>
      <c r="AM109" s="178"/>
      <c r="AN109" s="121"/>
      <c r="AO109" s="178"/>
      <c r="AP109" s="121"/>
    </row>
    <row r="110" spans="1:42">
      <c r="A110" s="124">
        <v>101</v>
      </c>
      <c r="B110" t="s">
        <v>1617</v>
      </c>
      <c r="C110" s="781" t="s">
        <v>1605</v>
      </c>
      <c r="D110" s="782">
        <v>871426.89</v>
      </c>
      <c r="E110" s="782">
        <v>195026.26</v>
      </c>
      <c r="F110" s="782">
        <v>871426.89</v>
      </c>
      <c r="G110" s="782">
        <v>201075.41</v>
      </c>
      <c r="H110" s="782">
        <v>871426.89</v>
      </c>
      <c r="I110" s="782">
        <v>207124.56</v>
      </c>
      <c r="J110" s="782">
        <v>871426.89</v>
      </c>
      <c r="K110" s="782">
        <v>213173.71000000002</v>
      </c>
      <c r="L110" s="782">
        <v>871426.89</v>
      </c>
      <c r="M110" s="782">
        <v>219222.86</v>
      </c>
      <c r="N110" s="782">
        <v>871426.89</v>
      </c>
      <c r="O110" s="782">
        <v>225272.01</v>
      </c>
      <c r="P110" s="782">
        <v>871426.89</v>
      </c>
      <c r="Q110" s="782">
        <v>231321.16</v>
      </c>
      <c r="R110" s="782">
        <v>871426.89</v>
      </c>
      <c r="S110" s="782">
        <v>237370.31</v>
      </c>
      <c r="T110" s="782">
        <v>871426.89</v>
      </c>
      <c r="U110" s="782">
        <v>243419.46000000002</v>
      </c>
      <c r="V110" s="782">
        <v>871426.89</v>
      </c>
      <c r="W110" s="782">
        <v>249468.61</v>
      </c>
      <c r="X110" s="782">
        <v>871426.89</v>
      </c>
      <c r="Y110" s="782">
        <v>255517.76</v>
      </c>
      <c r="Z110" s="782">
        <v>871426.89</v>
      </c>
      <c r="AA110" s="782">
        <v>261566.91</v>
      </c>
      <c r="AB110" s="782">
        <v>871426.89</v>
      </c>
      <c r="AC110" s="782">
        <v>267616.06</v>
      </c>
      <c r="AD110" s="782">
        <f t="shared" si="6"/>
        <v>871426.89</v>
      </c>
      <c r="AE110" s="782">
        <f t="shared" si="6"/>
        <v>231321.16</v>
      </c>
      <c r="AF110" s="177"/>
      <c r="AM110" s="178"/>
      <c r="AO110" s="178"/>
    </row>
    <row r="111" spans="1:42">
      <c r="A111" s="124">
        <v>102</v>
      </c>
      <c r="B111" t="s">
        <v>1618</v>
      </c>
      <c r="C111" s="781" t="s">
        <v>1605</v>
      </c>
      <c r="D111" s="782">
        <v>1329604.3600000001</v>
      </c>
      <c r="E111" s="782">
        <v>166134.06</v>
      </c>
      <c r="F111" s="782">
        <v>1329604.3599999999</v>
      </c>
      <c r="G111" s="782">
        <v>175363.73</v>
      </c>
      <c r="H111" s="782">
        <v>1329604.3599999999</v>
      </c>
      <c r="I111" s="782">
        <v>184593.4</v>
      </c>
      <c r="J111" s="782">
        <v>1329604.3599999999</v>
      </c>
      <c r="K111" s="782">
        <v>193823.07</v>
      </c>
      <c r="L111" s="782">
        <v>1329604.3599999999</v>
      </c>
      <c r="M111" s="782">
        <v>203052.74000000002</v>
      </c>
      <c r="N111" s="782">
        <v>1329604.3599999999</v>
      </c>
      <c r="O111" s="782">
        <v>212282.41</v>
      </c>
      <c r="P111" s="782">
        <v>1329604.3599999999</v>
      </c>
      <c r="Q111" s="782">
        <v>221512.08</v>
      </c>
      <c r="R111" s="782">
        <v>1329604.3599999999</v>
      </c>
      <c r="S111" s="782">
        <v>230741.75</v>
      </c>
      <c r="T111" s="782">
        <v>1329604.3599999999</v>
      </c>
      <c r="U111" s="782">
        <v>239971.42</v>
      </c>
      <c r="V111" s="782">
        <v>1329604.3599999999</v>
      </c>
      <c r="W111" s="782">
        <v>249201.09</v>
      </c>
      <c r="X111" s="782">
        <v>1329604.3599999999</v>
      </c>
      <c r="Y111" s="782">
        <v>258430.76</v>
      </c>
      <c r="Z111" s="782">
        <v>1329604.3599999999</v>
      </c>
      <c r="AA111" s="782">
        <v>267660.43</v>
      </c>
      <c r="AB111" s="782">
        <v>1329604.3599999999</v>
      </c>
      <c r="AC111" s="782">
        <v>276890.09999999998</v>
      </c>
      <c r="AD111" s="782">
        <f t="shared" si="6"/>
        <v>1329604.3599999996</v>
      </c>
      <c r="AE111" s="782">
        <f t="shared" si="6"/>
        <v>221512.08000000005</v>
      </c>
      <c r="AF111" s="177"/>
      <c r="AM111" s="178"/>
      <c r="AN111" s="121"/>
      <c r="AO111" s="178"/>
      <c r="AP111" s="121"/>
    </row>
    <row r="112" spans="1:42">
      <c r="A112" s="124">
        <v>103</v>
      </c>
      <c r="B112" t="s">
        <v>1619</v>
      </c>
      <c r="C112" s="781" t="s">
        <v>1605</v>
      </c>
      <c r="D112" s="782">
        <v>4188146.9299999997</v>
      </c>
      <c r="E112" s="782">
        <v>3313914.23</v>
      </c>
      <c r="F112" s="782">
        <v>4188146.9299999997</v>
      </c>
      <c r="G112" s="782">
        <v>3340753.27</v>
      </c>
      <c r="H112" s="782">
        <v>4188146.9299999997</v>
      </c>
      <c r="I112" s="782">
        <v>3367592.31</v>
      </c>
      <c r="J112" s="782">
        <v>4188146.9299999997</v>
      </c>
      <c r="K112" s="782">
        <v>3394431.35</v>
      </c>
      <c r="L112" s="782">
        <v>4188146.9299999997</v>
      </c>
      <c r="M112" s="782">
        <v>3421270.3899999997</v>
      </c>
      <c r="N112" s="782">
        <v>4188146.9299999997</v>
      </c>
      <c r="O112" s="782">
        <v>3448109.43</v>
      </c>
      <c r="P112" s="782">
        <v>4188146.9299999997</v>
      </c>
      <c r="Q112" s="782">
        <v>3474948.4699999997</v>
      </c>
      <c r="R112" s="782">
        <v>4188146.9299999997</v>
      </c>
      <c r="S112" s="782">
        <v>3501787.51</v>
      </c>
      <c r="T112" s="782">
        <v>4188146.9299999997</v>
      </c>
      <c r="U112" s="782">
        <v>3528626.55</v>
      </c>
      <c r="V112" s="782">
        <v>4188146.9299999997</v>
      </c>
      <c r="W112" s="782">
        <v>3555465.59</v>
      </c>
      <c r="X112" s="782">
        <v>4188146.9299999997</v>
      </c>
      <c r="Y112" s="782">
        <v>3582304.63</v>
      </c>
      <c r="Z112" s="782">
        <v>4188146.9299999997</v>
      </c>
      <c r="AA112" s="782">
        <v>3609143.67</v>
      </c>
      <c r="AB112" s="782">
        <v>4188146.9299999997</v>
      </c>
      <c r="AC112" s="782">
        <v>3635982.71</v>
      </c>
      <c r="AD112" s="782">
        <f t="shared" si="6"/>
        <v>4188146.9299999997</v>
      </c>
      <c r="AE112" s="782">
        <f t="shared" si="6"/>
        <v>3474948.47</v>
      </c>
      <c r="AF112" s="177"/>
      <c r="AM112" s="178"/>
      <c r="AN112" s="121"/>
      <c r="AO112" s="178"/>
      <c r="AP112" s="121"/>
    </row>
    <row r="113" spans="1:42">
      <c r="A113" s="124">
        <v>104</v>
      </c>
      <c r="B113" t="s">
        <v>1620</v>
      </c>
      <c r="C113" s="781" t="s">
        <v>1605</v>
      </c>
      <c r="D113" s="782">
        <v>695173.17</v>
      </c>
      <c r="E113" s="782">
        <v>584809.56000000006</v>
      </c>
      <c r="F113" s="782">
        <v>695173.17</v>
      </c>
      <c r="G113" s="782">
        <v>588945.84000000008</v>
      </c>
      <c r="H113" s="782">
        <v>695173.17</v>
      </c>
      <c r="I113" s="782">
        <v>593082.12</v>
      </c>
      <c r="J113" s="782">
        <v>695173.17</v>
      </c>
      <c r="K113" s="782">
        <v>597218.4</v>
      </c>
      <c r="L113" s="782">
        <v>695173.17</v>
      </c>
      <c r="M113" s="782">
        <v>601354.67999999993</v>
      </c>
      <c r="N113" s="782">
        <v>695173.17</v>
      </c>
      <c r="O113" s="782">
        <v>605490.96000000008</v>
      </c>
      <c r="P113" s="782">
        <v>695173.17</v>
      </c>
      <c r="Q113" s="782">
        <v>609627.24</v>
      </c>
      <c r="R113" s="782">
        <v>695173.17</v>
      </c>
      <c r="S113" s="782">
        <v>613763.52</v>
      </c>
      <c r="T113" s="782">
        <v>695173.17</v>
      </c>
      <c r="U113" s="782">
        <v>617899.80000000005</v>
      </c>
      <c r="V113" s="782">
        <v>695173.17</v>
      </c>
      <c r="W113" s="782">
        <v>622036.08000000007</v>
      </c>
      <c r="X113" s="782">
        <v>695173.17</v>
      </c>
      <c r="Y113" s="782">
        <v>626172.36</v>
      </c>
      <c r="Z113" s="782">
        <v>695173.17</v>
      </c>
      <c r="AA113" s="782">
        <v>630308.64</v>
      </c>
      <c r="AB113" s="782">
        <v>695173.17</v>
      </c>
      <c r="AC113" s="782">
        <v>634444.91999999993</v>
      </c>
      <c r="AD113" s="782">
        <f t="shared" si="6"/>
        <v>695173.17</v>
      </c>
      <c r="AE113" s="782">
        <f t="shared" si="6"/>
        <v>609627.24</v>
      </c>
      <c r="AF113" s="177"/>
      <c r="AM113" s="178"/>
      <c r="AO113" s="178"/>
    </row>
    <row r="114" spans="1:42">
      <c r="A114" s="124">
        <v>105</v>
      </c>
      <c r="B114" t="s">
        <v>1621</v>
      </c>
      <c r="C114" s="781" t="s">
        <v>1605</v>
      </c>
      <c r="D114" s="782">
        <v>2037970.8599999999</v>
      </c>
      <c r="E114" s="782">
        <v>1638982.26</v>
      </c>
      <c r="F114" s="782">
        <v>2037970.8599999999</v>
      </c>
      <c r="G114" s="782">
        <v>1651108.19</v>
      </c>
      <c r="H114" s="782">
        <v>2037970.8599999999</v>
      </c>
      <c r="I114" s="782">
        <v>1663234.12</v>
      </c>
      <c r="J114" s="782">
        <v>2037970.8599999999</v>
      </c>
      <c r="K114" s="782">
        <v>1675360.05</v>
      </c>
      <c r="L114" s="782">
        <v>2037970.8599999999</v>
      </c>
      <c r="M114" s="782">
        <v>1687485.98</v>
      </c>
      <c r="N114" s="782">
        <v>2037970.8599999999</v>
      </c>
      <c r="O114" s="782">
        <v>1699611.9100000001</v>
      </c>
      <c r="P114" s="782">
        <v>2037970.8599999999</v>
      </c>
      <c r="Q114" s="782">
        <v>1711737.84</v>
      </c>
      <c r="R114" s="782">
        <v>2037970.8599999999</v>
      </c>
      <c r="S114" s="782">
        <v>1723863.77</v>
      </c>
      <c r="T114" s="782">
        <v>2037970.8599999999</v>
      </c>
      <c r="U114" s="782">
        <v>1735989.7</v>
      </c>
      <c r="V114" s="782">
        <v>2037970.8599999999</v>
      </c>
      <c r="W114" s="782">
        <v>1748115.63</v>
      </c>
      <c r="X114" s="782">
        <v>2037970.8599999999</v>
      </c>
      <c r="Y114" s="782">
        <v>1760241.5599999998</v>
      </c>
      <c r="Z114" s="782">
        <v>2037970.8599999999</v>
      </c>
      <c r="AA114" s="782">
        <v>1772367.49</v>
      </c>
      <c r="AB114" s="782">
        <v>2037970.8599999999</v>
      </c>
      <c r="AC114" s="782">
        <v>1784493.42</v>
      </c>
      <c r="AD114" s="782">
        <f t="shared" si="6"/>
        <v>2037970.8599999996</v>
      </c>
      <c r="AE114" s="782">
        <f t="shared" si="6"/>
        <v>1711737.8399999996</v>
      </c>
      <c r="AF114" s="177"/>
      <c r="AM114" s="178"/>
      <c r="AO114" s="178"/>
    </row>
    <row r="115" spans="1:42">
      <c r="A115" s="124">
        <v>106</v>
      </c>
      <c r="B115" t="s">
        <v>1622</v>
      </c>
      <c r="C115" s="781" t="s">
        <v>1605</v>
      </c>
      <c r="D115" s="782">
        <v>17063587.219999999</v>
      </c>
      <c r="E115" s="782">
        <v>12415399.529999999</v>
      </c>
      <c r="F115" s="782">
        <v>17063587.219999999</v>
      </c>
      <c r="G115" s="782">
        <v>12510244.640000001</v>
      </c>
      <c r="H115" s="782">
        <v>17063587.219999999</v>
      </c>
      <c r="I115" s="782">
        <v>12605089.75</v>
      </c>
      <c r="J115" s="782">
        <v>17063587.219999999</v>
      </c>
      <c r="K115" s="782">
        <v>12699934.859999999</v>
      </c>
      <c r="L115" s="782">
        <v>17063587.219999999</v>
      </c>
      <c r="M115" s="782">
        <v>12794779.970000001</v>
      </c>
      <c r="N115" s="782">
        <v>17063587.219999999</v>
      </c>
      <c r="O115" s="782">
        <v>12889625.079999998</v>
      </c>
      <c r="P115" s="782">
        <v>17063587.219999999</v>
      </c>
      <c r="Q115" s="782">
        <v>12984470.189999999</v>
      </c>
      <c r="R115" s="782">
        <v>17063587.219999999</v>
      </c>
      <c r="S115" s="782">
        <v>13079315.300000001</v>
      </c>
      <c r="T115" s="782">
        <v>17063587.219999999</v>
      </c>
      <c r="U115" s="782">
        <v>13174160.41</v>
      </c>
      <c r="V115" s="782">
        <v>17063587.219999999</v>
      </c>
      <c r="W115" s="782">
        <v>13269005.52</v>
      </c>
      <c r="X115" s="782">
        <v>17063587.219999999</v>
      </c>
      <c r="Y115" s="782">
        <v>13363850.630000001</v>
      </c>
      <c r="Z115" s="782">
        <v>17063587.219999999</v>
      </c>
      <c r="AA115" s="782">
        <v>13458695.74</v>
      </c>
      <c r="AB115" s="782">
        <v>17063587.219999999</v>
      </c>
      <c r="AC115" s="782">
        <v>13553540.85</v>
      </c>
      <c r="AD115" s="782">
        <f t="shared" si="6"/>
        <v>17063587.219999999</v>
      </c>
      <c r="AE115" s="782">
        <f t="shared" si="6"/>
        <v>12984470.189999998</v>
      </c>
      <c r="AF115" s="177"/>
      <c r="AM115" s="178"/>
      <c r="AO115" s="178"/>
    </row>
    <row r="116" spans="1:42">
      <c r="A116" s="124">
        <v>107</v>
      </c>
      <c r="B116" t="s">
        <v>1623</v>
      </c>
      <c r="C116" s="781" t="s">
        <v>1605</v>
      </c>
      <c r="D116" s="782">
        <v>541240.59</v>
      </c>
      <c r="E116" s="782">
        <v>369608.87</v>
      </c>
      <c r="F116" s="782">
        <v>541240.59</v>
      </c>
      <c r="G116" s="782">
        <v>372617.27</v>
      </c>
      <c r="H116" s="782">
        <v>541240.59</v>
      </c>
      <c r="I116" s="782">
        <v>375625.67000000004</v>
      </c>
      <c r="J116" s="782">
        <v>541240.59</v>
      </c>
      <c r="K116" s="782">
        <v>378634.06999999995</v>
      </c>
      <c r="L116" s="782">
        <v>541240.59</v>
      </c>
      <c r="M116" s="782">
        <v>381642.47000000003</v>
      </c>
      <c r="N116" s="782">
        <v>541240.59</v>
      </c>
      <c r="O116" s="782">
        <v>384650.87</v>
      </c>
      <c r="P116" s="782">
        <v>541240.59</v>
      </c>
      <c r="Q116" s="782">
        <v>387659.27</v>
      </c>
      <c r="R116" s="782">
        <v>541240.59</v>
      </c>
      <c r="S116" s="782">
        <v>390667.67</v>
      </c>
      <c r="T116" s="782">
        <v>541240.59</v>
      </c>
      <c r="U116" s="782">
        <v>393676.07</v>
      </c>
      <c r="V116" s="782">
        <v>541240.59</v>
      </c>
      <c r="W116" s="782">
        <v>396684.47</v>
      </c>
      <c r="X116" s="782">
        <v>541240.59</v>
      </c>
      <c r="Y116" s="782">
        <v>399692.87000000005</v>
      </c>
      <c r="Z116" s="782">
        <v>541240.59</v>
      </c>
      <c r="AA116" s="782">
        <v>402701.27</v>
      </c>
      <c r="AB116" s="782">
        <v>541240.59</v>
      </c>
      <c r="AC116" s="782">
        <v>405709.67</v>
      </c>
      <c r="AD116" s="782">
        <f t="shared" si="6"/>
        <v>541240.59</v>
      </c>
      <c r="AE116" s="782">
        <f t="shared" si="6"/>
        <v>387659.27</v>
      </c>
      <c r="AF116" s="177"/>
      <c r="AM116" s="178"/>
      <c r="AN116" s="178"/>
      <c r="AO116" s="178"/>
      <c r="AP116" s="135"/>
    </row>
    <row r="117" spans="1:42">
      <c r="A117" s="124">
        <v>108</v>
      </c>
      <c r="B117" t="s">
        <v>1624</v>
      </c>
      <c r="C117" s="781" t="s">
        <v>1605</v>
      </c>
      <c r="D117" s="782">
        <v>0</v>
      </c>
      <c r="E117" s="782">
        <v>0</v>
      </c>
      <c r="F117" s="782">
        <v>0</v>
      </c>
      <c r="G117" s="782">
        <v>0</v>
      </c>
      <c r="H117" s="782">
        <v>0</v>
      </c>
      <c r="I117" s="782">
        <v>0</v>
      </c>
      <c r="J117" s="782">
        <v>0</v>
      </c>
      <c r="K117" s="782">
        <v>0</v>
      </c>
      <c r="L117" s="782">
        <v>0</v>
      </c>
      <c r="M117" s="782">
        <v>0</v>
      </c>
      <c r="N117" s="782">
        <v>0</v>
      </c>
      <c r="O117" s="782">
        <v>0</v>
      </c>
      <c r="P117" s="782">
        <v>0</v>
      </c>
      <c r="Q117" s="782">
        <v>0</v>
      </c>
      <c r="R117" s="782">
        <v>0</v>
      </c>
      <c r="S117" s="782">
        <v>0</v>
      </c>
      <c r="T117" s="782">
        <v>0</v>
      </c>
      <c r="U117" s="782">
        <v>0</v>
      </c>
      <c r="V117" s="782">
        <v>0</v>
      </c>
      <c r="W117" s="782">
        <v>0</v>
      </c>
      <c r="X117" s="782">
        <v>0</v>
      </c>
      <c r="Y117" s="782">
        <v>0</v>
      </c>
      <c r="Z117" s="782">
        <v>0</v>
      </c>
      <c r="AA117" s="782">
        <v>0</v>
      </c>
      <c r="AB117" s="782">
        <v>0</v>
      </c>
      <c r="AC117" s="782">
        <v>0</v>
      </c>
      <c r="AD117" s="782">
        <f t="shared" si="6"/>
        <v>0</v>
      </c>
      <c r="AE117" s="782">
        <f t="shared" si="6"/>
        <v>0</v>
      </c>
      <c r="AF117" s="177"/>
      <c r="AM117" s="178"/>
      <c r="AN117" s="135"/>
      <c r="AO117" s="178"/>
      <c r="AP117" s="135"/>
    </row>
    <row r="118" spans="1:42">
      <c r="A118" s="124">
        <v>109</v>
      </c>
      <c r="B118" t="s">
        <v>1625</v>
      </c>
      <c r="C118" s="781" t="s">
        <v>1605</v>
      </c>
      <c r="D118" s="782">
        <v>55564.55</v>
      </c>
      <c r="E118" s="782">
        <v>15131.36</v>
      </c>
      <c r="F118" s="782">
        <v>55564.549999999996</v>
      </c>
      <c r="G118" s="782">
        <v>15440.21</v>
      </c>
      <c r="H118" s="782">
        <v>55564.549999999996</v>
      </c>
      <c r="I118" s="782">
        <v>15749.06</v>
      </c>
      <c r="J118" s="782">
        <v>55564.549999999996</v>
      </c>
      <c r="K118" s="782">
        <v>16057.91</v>
      </c>
      <c r="L118" s="782">
        <v>55564.549999999996</v>
      </c>
      <c r="M118" s="782">
        <v>16366.76</v>
      </c>
      <c r="N118" s="782">
        <v>55564.549999999996</v>
      </c>
      <c r="O118" s="782">
        <v>16675.61</v>
      </c>
      <c r="P118" s="782">
        <v>55564.549999999996</v>
      </c>
      <c r="Q118" s="782">
        <v>16984.46</v>
      </c>
      <c r="R118" s="782">
        <v>55564.549999999996</v>
      </c>
      <c r="S118" s="782">
        <v>17293.309999999998</v>
      </c>
      <c r="T118" s="782">
        <v>55564.549999999996</v>
      </c>
      <c r="U118" s="782">
        <v>17602.16</v>
      </c>
      <c r="V118" s="782">
        <v>55564.549999999996</v>
      </c>
      <c r="W118" s="782">
        <v>17911.010000000002</v>
      </c>
      <c r="X118" s="782">
        <v>55564.549999999996</v>
      </c>
      <c r="Y118" s="782">
        <v>18219.86</v>
      </c>
      <c r="Z118" s="782">
        <v>55564.549999999996</v>
      </c>
      <c r="AA118" s="782">
        <v>18528.71</v>
      </c>
      <c r="AB118" s="782">
        <v>55564.549999999996</v>
      </c>
      <c r="AC118" s="782">
        <v>18837.559999999998</v>
      </c>
      <c r="AD118" s="782">
        <f t="shared" si="6"/>
        <v>55564.55000000001</v>
      </c>
      <c r="AE118" s="782">
        <f t="shared" si="6"/>
        <v>16984.459999999995</v>
      </c>
      <c r="AF118" s="177"/>
      <c r="AM118" s="178"/>
      <c r="AN118" s="121"/>
      <c r="AO118" s="178"/>
    </row>
    <row r="119" spans="1:42">
      <c r="A119" s="124">
        <v>110</v>
      </c>
      <c r="B119" t="s">
        <v>1626</v>
      </c>
      <c r="C119" s="781" t="s">
        <v>1605</v>
      </c>
      <c r="D119" s="782">
        <v>7720.22</v>
      </c>
      <c r="E119" s="782">
        <v>7720.22</v>
      </c>
      <c r="F119" s="782">
        <v>7720.2199999999993</v>
      </c>
      <c r="G119" s="782">
        <v>7720.2199999999993</v>
      </c>
      <c r="H119" s="782">
        <v>7720.2199999999993</v>
      </c>
      <c r="I119" s="782">
        <v>7720.2199999999993</v>
      </c>
      <c r="J119" s="782">
        <v>7720.2199999999993</v>
      </c>
      <c r="K119" s="782">
        <v>7720.2199999999993</v>
      </c>
      <c r="L119" s="782">
        <v>7720.2199999999993</v>
      </c>
      <c r="M119" s="782">
        <v>7720.2199999999993</v>
      </c>
      <c r="N119" s="782">
        <v>7720.2199999999993</v>
      </c>
      <c r="O119" s="782">
        <v>7720.2199999999993</v>
      </c>
      <c r="P119" s="782">
        <v>7720.2199999999993</v>
      </c>
      <c r="Q119" s="782">
        <v>7720.2199999999993</v>
      </c>
      <c r="R119" s="782">
        <v>7720.2199999999993</v>
      </c>
      <c r="S119" s="782">
        <v>7720.2199999999993</v>
      </c>
      <c r="T119" s="782">
        <v>7720.2199999999993</v>
      </c>
      <c r="U119" s="782">
        <v>7720.2199999999993</v>
      </c>
      <c r="V119" s="782">
        <v>7720.2199999999993</v>
      </c>
      <c r="W119" s="782">
        <v>7720.2199999999993</v>
      </c>
      <c r="X119" s="782">
        <v>7720.2199999999993</v>
      </c>
      <c r="Y119" s="782">
        <v>7720.2199999999993</v>
      </c>
      <c r="Z119" s="782">
        <v>7720.2199999999993</v>
      </c>
      <c r="AA119" s="782">
        <v>7720.2199999999993</v>
      </c>
      <c r="AB119" s="782">
        <v>7720.2199999999993</v>
      </c>
      <c r="AC119" s="782">
        <v>7720.2199999999993</v>
      </c>
      <c r="AD119" s="782">
        <f t="shared" si="6"/>
        <v>7720.22</v>
      </c>
      <c r="AE119" s="782">
        <f t="shared" si="6"/>
        <v>7720.22</v>
      </c>
      <c r="AF119" s="177"/>
      <c r="AM119" s="178"/>
      <c r="AO119" s="178"/>
    </row>
    <row r="120" spans="1:42">
      <c r="A120" s="124">
        <v>111</v>
      </c>
      <c r="B120" t="s">
        <v>1627</v>
      </c>
      <c r="C120" s="781" t="s">
        <v>1605</v>
      </c>
      <c r="D120" s="782">
        <v>30627.77</v>
      </c>
      <c r="E120" s="782">
        <v>30627.77</v>
      </c>
      <c r="F120" s="782">
        <v>30627.77</v>
      </c>
      <c r="G120" s="782">
        <v>30627.77</v>
      </c>
      <c r="H120" s="782">
        <v>30627.77</v>
      </c>
      <c r="I120" s="782">
        <v>30627.77</v>
      </c>
      <c r="J120" s="782">
        <v>30627.77</v>
      </c>
      <c r="K120" s="782">
        <v>30627.77</v>
      </c>
      <c r="L120" s="782">
        <v>30627.77</v>
      </c>
      <c r="M120" s="782">
        <v>30627.77</v>
      </c>
      <c r="N120" s="782">
        <v>30627.77</v>
      </c>
      <c r="O120" s="782">
        <v>30627.77</v>
      </c>
      <c r="P120" s="782">
        <v>30627.77</v>
      </c>
      <c r="Q120" s="782">
        <v>30627.77</v>
      </c>
      <c r="R120" s="782">
        <v>30627.77</v>
      </c>
      <c r="S120" s="782">
        <v>30627.77</v>
      </c>
      <c r="T120" s="782">
        <v>30627.77</v>
      </c>
      <c r="U120" s="782">
        <v>30627.77</v>
      </c>
      <c r="V120" s="782">
        <v>30627.77</v>
      </c>
      <c r="W120" s="782">
        <v>30627.77</v>
      </c>
      <c r="X120" s="782">
        <v>30627.77</v>
      </c>
      <c r="Y120" s="782">
        <v>30627.77</v>
      </c>
      <c r="Z120" s="782">
        <v>30627.77</v>
      </c>
      <c r="AA120" s="782">
        <v>30627.77</v>
      </c>
      <c r="AB120" s="782">
        <v>30627.77</v>
      </c>
      <c r="AC120" s="782">
        <v>30627.77</v>
      </c>
      <c r="AD120" s="782">
        <f t="shared" si="6"/>
        <v>30627.770000000004</v>
      </c>
      <c r="AE120" s="782">
        <f t="shared" si="6"/>
        <v>30627.770000000004</v>
      </c>
      <c r="AF120" s="177"/>
      <c r="AM120" s="178"/>
      <c r="AO120" s="178"/>
    </row>
    <row r="121" spans="1:42">
      <c r="A121" s="124">
        <v>112</v>
      </c>
      <c r="B121" t="s">
        <v>1628</v>
      </c>
      <c r="C121" s="781" t="s">
        <v>1605</v>
      </c>
      <c r="D121" s="782">
        <v>0</v>
      </c>
      <c r="E121" s="782">
        <v>0</v>
      </c>
      <c r="F121" s="782">
        <v>0</v>
      </c>
      <c r="G121" s="782">
        <v>0</v>
      </c>
      <c r="H121" s="782">
        <v>0</v>
      </c>
      <c r="I121" s="782">
        <v>0</v>
      </c>
      <c r="J121" s="782">
        <v>0</v>
      </c>
      <c r="K121" s="782">
        <v>0</v>
      </c>
      <c r="L121" s="782">
        <v>0</v>
      </c>
      <c r="M121" s="782">
        <v>0</v>
      </c>
      <c r="N121" s="782">
        <v>0</v>
      </c>
      <c r="O121" s="782">
        <v>0</v>
      </c>
      <c r="P121" s="782">
        <v>0</v>
      </c>
      <c r="Q121" s="782">
        <v>0</v>
      </c>
      <c r="R121" s="782">
        <v>0</v>
      </c>
      <c r="S121" s="782">
        <v>0</v>
      </c>
      <c r="T121" s="782">
        <v>0</v>
      </c>
      <c r="U121" s="782">
        <v>0</v>
      </c>
      <c r="V121" s="782">
        <v>0</v>
      </c>
      <c r="W121" s="782">
        <v>0</v>
      </c>
      <c r="X121" s="782">
        <v>0</v>
      </c>
      <c r="Y121" s="782">
        <v>0</v>
      </c>
      <c r="Z121" s="782">
        <v>0</v>
      </c>
      <c r="AA121" s="782">
        <v>0</v>
      </c>
      <c r="AB121" s="782">
        <v>0</v>
      </c>
      <c r="AC121" s="782">
        <v>0</v>
      </c>
      <c r="AD121" s="782">
        <f t="shared" si="6"/>
        <v>0</v>
      </c>
      <c r="AE121" s="782">
        <f t="shared" si="6"/>
        <v>0</v>
      </c>
      <c r="AF121" s="177"/>
      <c r="AM121" s="178"/>
      <c r="AO121" s="178"/>
    </row>
    <row r="122" spans="1:42">
      <c r="A122" s="124">
        <v>113</v>
      </c>
      <c r="B122" t="s">
        <v>1629</v>
      </c>
      <c r="C122" s="781" t="s">
        <v>1605</v>
      </c>
      <c r="D122" s="782">
        <v>12321.51</v>
      </c>
      <c r="E122" s="782">
        <v>4106.76</v>
      </c>
      <c r="F122" s="782">
        <v>12321.51</v>
      </c>
      <c r="G122" s="782">
        <v>4448.99</v>
      </c>
      <c r="H122" s="782">
        <v>12321.51</v>
      </c>
      <c r="I122" s="782">
        <v>4791.22</v>
      </c>
      <c r="J122" s="782">
        <v>12321.51</v>
      </c>
      <c r="K122" s="782">
        <v>5133.45</v>
      </c>
      <c r="L122" s="782">
        <v>12321.51</v>
      </c>
      <c r="M122" s="782">
        <v>5475.68</v>
      </c>
      <c r="N122" s="782">
        <v>12321.51</v>
      </c>
      <c r="O122" s="782">
        <v>5817.91</v>
      </c>
      <c r="P122" s="782">
        <v>12321.51</v>
      </c>
      <c r="Q122" s="782">
        <v>6160.14</v>
      </c>
      <c r="R122" s="782">
        <v>12321.51</v>
      </c>
      <c r="S122" s="782">
        <v>6502.37</v>
      </c>
      <c r="T122" s="782">
        <v>12321.51</v>
      </c>
      <c r="U122" s="782">
        <v>6844.6</v>
      </c>
      <c r="V122" s="782">
        <v>12321.51</v>
      </c>
      <c r="W122" s="782">
        <v>7186.8300000000008</v>
      </c>
      <c r="X122" s="782">
        <v>12321.51</v>
      </c>
      <c r="Y122" s="782">
        <v>7529.06</v>
      </c>
      <c r="Z122" s="782">
        <v>12321.51</v>
      </c>
      <c r="AA122" s="782">
        <v>7871.29</v>
      </c>
      <c r="AB122" s="782">
        <v>12321.51</v>
      </c>
      <c r="AC122" s="782">
        <v>8213.52</v>
      </c>
      <c r="AD122" s="782">
        <f t="shared" si="6"/>
        <v>12321.51</v>
      </c>
      <c r="AE122" s="782">
        <f t="shared" si="6"/>
        <v>6160.1399999999994</v>
      </c>
      <c r="AF122" s="177"/>
      <c r="AM122" s="178"/>
      <c r="AO122" s="178"/>
    </row>
    <row r="123" spans="1:42">
      <c r="A123" s="124">
        <v>114</v>
      </c>
      <c r="B123" t="s">
        <v>1630</v>
      </c>
      <c r="C123" s="781" t="s">
        <v>1605</v>
      </c>
      <c r="D123" s="782">
        <v>0</v>
      </c>
      <c r="E123" s="782">
        <v>0</v>
      </c>
      <c r="F123" s="782">
        <v>0</v>
      </c>
      <c r="G123" s="782">
        <v>0</v>
      </c>
      <c r="H123" s="782">
        <v>0</v>
      </c>
      <c r="I123" s="782">
        <v>0</v>
      </c>
      <c r="J123" s="782">
        <v>130380.33000000002</v>
      </c>
      <c r="K123" s="782">
        <v>0</v>
      </c>
      <c r="L123" s="782">
        <v>130380.33000000002</v>
      </c>
      <c r="M123" s="782">
        <v>3621.31</v>
      </c>
      <c r="N123" s="782">
        <v>130380.33000000002</v>
      </c>
      <c r="O123" s="782">
        <v>7242.62</v>
      </c>
      <c r="P123" s="782">
        <v>130380.33000000002</v>
      </c>
      <c r="Q123" s="782">
        <v>10863.93</v>
      </c>
      <c r="R123" s="782">
        <v>130380.33000000002</v>
      </c>
      <c r="S123" s="782">
        <v>14485.24</v>
      </c>
      <c r="T123" s="782">
        <v>130644.90000000001</v>
      </c>
      <c r="U123" s="782">
        <v>18106.55</v>
      </c>
      <c r="V123" s="782">
        <v>130644.90000000001</v>
      </c>
      <c r="W123" s="782">
        <v>21735.21</v>
      </c>
      <c r="X123" s="782">
        <v>130644.90000000001</v>
      </c>
      <c r="Y123" s="782">
        <v>25363.870000000003</v>
      </c>
      <c r="Z123" s="782">
        <v>130644.90000000001</v>
      </c>
      <c r="AA123" s="782">
        <v>28992.530000000002</v>
      </c>
      <c r="AB123" s="782">
        <v>130643.83000000002</v>
      </c>
      <c r="AC123" s="782">
        <v>32621.190000000002</v>
      </c>
      <c r="AD123" s="782">
        <f t="shared" si="6"/>
        <v>103316.93041666668</v>
      </c>
      <c r="AE123" s="782">
        <f t="shared" si="6"/>
        <v>12226.821249999999</v>
      </c>
      <c r="AF123" s="177"/>
      <c r="AM123" s="178"/>
      <c r="AO123" s="178"/>
    </row>
    <row r="124" spans="1:42">
      <c r="A124" s="124">
        <v>115</v>
      </c>
      <c r="B124" t="s">
        <v>1631</v>
      </c>
      <c r="C124" s="781" t="s">
        <v>1605</v>
      </c>
      <c r="D124" s="782">
        <v>56230.52</v>
      </c>
      <c r="E124" s="782">
        <v>15237.54</v>
      </c>
      <c r="F124" s="782">
        <v>56230.520000000004</v>
      </c>
      <c r="G124" s="782">
        <v>16409.009999999998</v>
      </c>
      <c r="H124" s="782">
        <v>56230.520000000004</v>
      </c>
      <c r="I124" s="782">
        <v>17580.48</v>
      </c>
      <c r="J124" s="782">
        <v>56230.520000000004</v>
      </c>
      <c r="K124" s="782">
        <v>18751.95</v>
      </c>
      <c r="L124" s="782">
        <v>56230.520000000004</v>
      </c>
      <c r="M124" s="782">
        <v>19923.419999999998</v>
      </c>
      <c r="N124" s="782">
        <v>56230.520000000004</v>
      </c>
      <c r="O124" s="782">
        <v>21094.89</v>
      </c>
      <c r="P124" s="782">
        <v>56230.520000000004</v>
      </c>
      <c r="Q124" s="782">
        <v>22266.36</v>
      </c>
      <c r="R124" s="782">
        <v>56230.520000000004</v>
      </c>
      <c r="S124" s="782">
        <v>23437.83</v>
      </c>
      <c r="T124" s="782">
        <v>56230.520000000004</v>
      </c>
      <c r="U124" s="782">
        <v>24609.300000000003</v>
      </c>
      <c r="V124" s="782">
        <v>56230.520000000004</v>
      </c>
      <c r="W124" s="782">
        <v>25780.77</v>
      </c>
      <c r="X124" s="782">
        <v>56230.520000000004</v>
      </c>
      <c r="Y124" s="782">
        <v>26952.240000000002</v>
      </c>
      <c r="Z124" s="782">
        <v>56230.520000000004</v>
      </c>
      <c r="AA124" s="782">
        <v>28123.71</v>
      </c>
      <c r="AB124" s="782">
        <v>56230.520000000004</v>
      </c>
      <c r="AC124" s="782">
        <v>29295.18</v>
      </c>
      <c r="AD124" s="782">
        <f t="shared" si="6"/>
        <v>56230.520000000011</v>
      </c>
      <c r="AE124" s="782">
        <f t="shared" si="6"/>
        <v>22266.359999999997</v>
      </c>
      <c r="AF124" s="177"/>
      <c r="AM124" s="178"/>
      <c r="AO124" s="178"/>
    </row>
    <row r="125" spans="1:42">
      <c r="A125" s="124">
        <v>116</v>
      </c>
      <c r="B125" t="s">
        <v>1632</v>
      </c>
      <c r="C125" s="781" t="s">
        <v>1605</v>
      </c>
      <c r="D125" s="782">
        <v>14271.5</v>
      </c>
      <c r="E125" s="782">
        <v>14271.5</v>
      </c>
      <c r="F125" s="782">
        <v>14271.5</v>
      </c>
      <c r="G125" s="782">
        <v>14271.5</v>
      </c>
      <c r="H125" s="782">
        <v>14271.5</v>
      </c>
      <c r="I125" s="782">
        <v>14271.5</v>
      </c>
      <c r="J125" s="782">
        <v>14271.5</v>
      </c>
      <c r="K125" s="782">
        <v>14271.5</v>
      </c>
      <c r="L125" s="782">
        <v>14271.5</v>
      </c>
      <c r="M125" s="782">
        <v>14271.5</v>
      </c>
      <c r="N125" s="782">
        <v>14271.5</v>
      </c>
      <c r="O125" s="782">
        <v>14271.5</v>
      </c>
      <c r="P125" s="782">
        <v>14271.5</v>
      </c>
      <c r="Q125" s="782">
        <v>14271.5</v>
      </c>
      <c r="R125" s="782">
        <v>14271.5</v>
      </c>
      <c r="S125" s="782">
        <v>14271.5</v>
      </c>
      <c r="T125" s="782">
        <v>14271.5</v>
      </c>
      <c r="U125" s="782">
        <v>14271.5</v>
      </c>
      <c r="V125" s="782">
        <v>14271.5</v>
      </c>
      <c r="W125" s="782">
        <v>14271.5</v>
      </c>
      <c r="X125" s="782">
        <v>14271.5</v>
      </c>
      <c r="Y125" s="782">
        <v>14271.5</v>
      </c>
      <c r="Z125" s="782">
        <v>14271.5</v>
      </c>
      <c r="AA125" s="782">
        <v>14271.5</v>
      </c>
      <c r="AB125" s="782">
        <v>14271.5</v>
      </c>
      <c r="AC125" s="782">
        <v>14271.5</v>
      </c>
      <c r="AD125" s="782">
        <f t="shared" si="6"/>
        <v>14271.5</v>
      </c>
      <c r="AE125" s="782">
        <f t="shared" si="6"/>
        <v>14271.5</v>
      </c>
      <c r="AF125" s="177"/>
      <c r="AM125" s="178"/>
      <c r="AO125" s="178"/>
    </row>
    <row r="126" spans="1:42">
      <c r="A126" s="124">
        <v>117</v>
      </c>
      <c r="B126" t="s">
        <v>1633</v>
      </c>
      <c r="C126" s="781" t="s">
        <v>1605</v>
      </c>
      <c r="D126" s="782">
        <v>116864.94</v>
      </c>
      <c r="E126" s="782">
        <v>116864.94</v>
      </c>
      <c r="F126" s="782">
        <v>116864.94</v>
      </c>
      <c r="G126" s="782">
        <v>116864.94</v>
      </c>
      <c r="H126" s="782">
        <v>116864.94</v>
      </c>
      <c r="I126" s="782">
        <v>116864.94</v>
      </c>
      <c r="J126" s="782">
        <v>116864.94</v>
      </c>
      <c r="K126" s="782">
        <v>116864.94</v>
      </c>
      <c r="L126" s="782">
        <v>116864.94</v>
      </c>
      <c r="M126" s="782">
        <v>116864.94</v>
      </c>
      <c r="N126" s="782">
        <v>116864.94</v>
      </c>
      <c r="O126" s="782">
        <v>116864.94</v>
      </c>
      <c r="P126" s="782">
        <v>116864.94</v>
      </c>
      <c r="Q126" s="782">
        <v>116864.94</v>
      </c>
      <c r="R126" s="782">
        <v>116864.94</v>
      </c>
      <c r="S126" s="782">
        <v>116864.94</v>
      </c>
      <c r="T126" s="782">
        <v>116864.94</v>
      </c>
      <c r="U126" s="782">
        <v>116864.94</v>
      </c>
      <c r="V126" s="782">
        <v>116864.94</v>
      </c>
      <c r="W126" s="782">
        <v>116864.94</v>
      </c>
      <c r="X126" s="782">
        <v>116864.94</v>
      </c>
      <c r="Y126" s="782">
        <v>116864.94</v>
      </c>
      <c r="Z126" s="782">
        <v>116864.94</v>
      </c>
      <c r="AA126" s="782">
        <v>116864.94</v>
      </c>
      <c r="AB126" s="782">
        <v>116864.94</v>
      </c>
      <c r="AC126" s="782">
        <v>116864.94</v>
      </c>
      <c r="AD126" s="782">
        <f t="shared" si="6"/>
        <v>116864.93999999996</v>
      </c>
      <c r="AE126" s="782">
        <f t="shared" si="6"/>
        <v>116864.93999999996</v>
      </c>
      <c r="AF126" s="177"/>
      <c r="AM126" s="178"/>
      <c r="AO126" s="178"/>
    </row>
    <row r="127" spans="1:42">
      <c r="A127" s="124">
        <v>118</v>
      </c>
      <c r="B127" t="s">
        <v>1634</v>
      </c>
      <c r="C127" s="781" t="s">
        <v>1605</v>
      </c>
      <c r="D127" s="782">
        <v>102398.32</v>
      </c>
      <c r="E127" s="782">
        <v>102377.99</v>
      </c>
      <c r="F127" s="782">
        <v>102398.32</v>
      </c>
      <c r="G127" s="782">
        <v>102398.32</v>
      </c>
      <c r="H127" s="782">
        <v>102398.32</v>
      </c>
      <c r="I127" s="782">
        <v>102398.32</v>
      </c>
      <c r="J127" s="782">
        <v>102398.32</v>
      </c>
      <c r="K127" s="782">
        <v>102398.32</v>
      </c>
      <c r="L127" s="782">
        <v>102398.32</v>
      </c>
      <c r="M127" s="782">
        <v>102398.32</v>
      </c>
      <c r="N127" s="782">
        <v>102398.32</v>
      </c>
      <c r="O127" s="782">
        <v>102398.32</v>
      </c>
      <c r="P127" s="782">
        <v>102398.32</v>
      </c>
      <c r="Q127" s="782">
        <v>102398.32</v>
      </c>
      <c r="R127" s="782">
        <v>102398.32</v>
      </c>
      <c r="S127" s="782">
        <v>102398.32</v>
      </c>
      <c r="T127" s="782">
        <v>102398.32</v>
      </c>
      <c r="U127" s="782">
        <v>102398.32</v>
      </c>
      <c r="V127" s="782">
        <v>102398.32</v>
      </c>
      <c r="W127" s="782">
        <v>102398.32</v>
      </c>
      <c r="X127" s="782">
        <v>102398.32</v>
      </c>
      <c r="Y127" s="782">
        <v>102398.32</v>
      </c>
      <c r="Z127" s="782">
        <v>102398.32</v>
      </c>
      <c r="AA127" s="782">
        <v>102398.32</v>
      </c>
      <c r="AB127" s="782">
        <v>102398.32</v>
      </c>
      <c r="AC127" s="782">
        <v>102398.32</v>
      </c>
      <c r="AD127" s="782">
        <f t="shared" si="6"/>
        <v>102398.32000000002</v>
      </c>
      <c r="AE127" s="782">
        <f t="shared" si="6"/>
        <v>102397.47291666669</v>
      </c>
      <c r="AF127" s="177"/>
      <c r="AM127" s="178"/>
      <c r="AO127" s="178"/>
    </row>
    <row r="128" spans="1:42">
      <c r="A128" s="124">
        <v>119</v>
      </c>
      <c r="B128" t="s">
        <v>1635</v>
      </c>
      <c r="C128" s="781" t="s">
        <v>1605</v>
      </c>
      <c r="D128" s="782">
        <v>896070.27</v>
      </c>
      <c r="E128" s="782">
        <v>613424.18999999994</v>
      </c>
      <c r="F128" s="782">
        <v>896070.27</v>
      </c>
      <c r="G128" s="782">
        <v>628358.68999999994</v>
      </c>
      <c r="H128" s="782">
        <v>896070.27</v>
      </c>
      <c r="I128" s="782">
        <v>643293.18999999994</v>
      </c>
      <c r="J128" s="782">
        <v>896070.27</v>
      </c>
      <c r="K128" s="782">
        <v>658227.69000000006</v>
      </c>
      <c r="L128" s="782">
        <v>896070.27</v>
      </c>
      <c r="M128" s="782">
        <v>673162.19</v>
      </c>
      <c r="N128" s="782">
        <v>896070.27</v>
      </c>
      <c r="O128" s="782">
        <v>688096.69</v>
      </c>
      <c r="P128" s="782">
        <v>896070.27</v>
      </c>
      <c r="Q128" s="782">
        <v>703031.19</v>
      </c>
      <c r="R128" s="782">
        <v>896070.27</v>
      </c>
      <c r="S128" s="782">
        <v>717965.69000000006</v>
      </c>
      <c r="T128" s="782">
        <v>896070.27</v>
      </c>
      <c r="U128" s="782">
        <v>732900.19</v>
      </c>
      <c r="V128" s="782">
        <v>896070.27</v>
      </c>
      <c r="W128" s="782">
        <v>747834.69000000006</v>
      </c>
      <c r="X128" s="782">
        <v>896070.27</v>
      </c>
      <c r="Y128" s="782">
        <v>762769.19000000006</v>
      </c>
      <c r="Z128" s="782">
        <v>896070.27</v>
      </c>
      <c r="AA128" s="782">
        <v>777703.69</v>
      </c>
      <c r="AB128" s="782">
        <v>896070.27</v>
      </c>
      <c r="AC128" s="782">
        <v>792638.19000000006</v>
      </c>
      <c r="AD128" s="782">
        <f t="shared" si="6"/>
        <v>896070.26999999967</v>
      </c>
      <c r="AE128" s="782">
        <f t="shared" si="6"/>
        <v>703031.19</v>
      </c>
      <c r="AF128" s="177"/>
      <c r="AM128" s="178"/>
      <c r="AO128" s="178"/>
    </row>
    <row r="129" spans="1:41">
      <c r="A129" s="124">
        <v>120</v>
      </c>
      <c r="B129" t="s">
        <v>1636</v>
      </c>
      <c r="C129" s="781" t="s">
        <v>1605</v>
      </c>
      <c r="D129" s="782">
        <v>16039.15</v>
      </c>
      <c r="E129" s="782">
        <v>9576.5</v>
      </c>
      <c r="F129" s="782">
        <v>16039.15</v>
      </c>
      <c r="G129" s="782">
        <v>9843.82</v>
      </c>
      <c r="H129" s="782">
        <v>16039.15</v>
      </c>
      <c r="I129" s="782">
        <v>10111.14</v>
      </c>
      <c r="J129" s="782">
        <v>16039.15</v>
      </c>
      <c r="K129" s="782">
        <v>10378.460000000001</v>
      </c>
      <c r="L129" s="782">
        <v>16039.15</v>
      </c>
      <c r="M129" s="782">
        <v>10645.78</v>
      </c>
      <c r="N129" s="782">
        <v>16039.15</v>
      </c>
      <c r="O129" s="782">
        <v>10913.1</v>
      </c>
      <c r="P129" s="782">
        <v>16039.15</v>
      </c>
      <c r="Q129" s="782">
        <v>11180.42</v>
      </c>
      <c r="R129" s="782">
        <v>16039.15</v>
      </c>
      <c r="S129" s="782">
        <v>11447.74</v>
      </c>
      <c r="T129" s="782">
        <v>16039.15</v>
      </c>
      <c r="U129" s="782">
        <v>11715.06</v>
      </c>
      <c r="V129" s="782">
        <v>16039.15</v>
      </c>
      <c r="W129" s="782">
        <v>11982.380000000001</v>
      </c>
      <c r="X129" s="782">
        <v>16039.15</v>
      </c>
      <c r="Y129" s="782">
        <v>12249.7</v>
      </c>
      <c r="Z129" s="782">
        <v>16039.15</v>
      </c>
      <c r="AA129" s="782">
        <v>12517.02</v>
      </c>
      <c r="AB129" s="782">
        <v>16039.15</v>
      </c>
      <c r="AC129" s="782">
        <v>12784.34</v>
      </c>
      <c r="AD129" s="782">
        <f t="shared" si="6"/>
        <v>16039.149999999996</v>
      </c>
      <c r="AE129" s="782">
        <f t="shared" si="6"/>
        <v>11180.42</v>
      </c>
      <c r="AF129" s="177"/>
      <c r="AM129" s="178"/>
      <c r="AO129" s="178"/>
    </row>
    <row r="130" spans="1:41">
      <c r="A130" s="124">
        <v>121</v>
      </c>
      <c r="B130" t="s">
        <v>1637</v>
      </c>
      <c r="C130" s="781" t="s">
        <v>1605</v>
      </c>
      <c r="D130" s="782">
        <v>1214455.08</v>
      </c>
      <c r="E130" s="782">
        <v>484462.05000000005</v>
      </c>
      <c r="F130" s="782">
        <v>1214455.08</v>
      </c>
      <c r="G130" s="782">
        <v>504702.97000000003</v>
      </c>
      <c r="H130" s="782">
        <v>1214455.08</v>
      </c>
      <c r="I130" s="782">
        <v>524943.89</v>
      </c>
      <c r="J130" s="782">
        <v>1214455.08</v>
      </c>
      <c r="K130" s="782">
        <v>545184.81000000006</v>
      </c>
      <c r="L130" s="782">
        <v>1214455.08</v>
      </c>
      <c r="M130" s="782">
        <v>565425.73</v>
      </c>
      <c r="N130" s="782">
        <v>1214455.08</v>
      </c>
      <c r="O130" s="782">
        <v>585666.65</v>
      </c>
      <c r="P130" s="782">
        <v>1214455.08</v>
      </c>
      <c r="Q130" s="782">
        <v>605907.57000000007</v>
      </c>
      <c r="R130" s="782">
        <v>1214455.08</v>
      </c>
      <c r="S130" s="782">
        <v>626148.49</v>
      </c>
      <c r="T130" s="782">
        <v>1214455.08</v>
      </c>
      <c r="U130" s="782">
        <v>646389.40999999992</v>
      </c>
      <c r="V130" s="782">
        <v>1214455.08</v>
      </c>
      <c r="W130" s="782">
        <v>666630.33000000007</v>
      </c>
      <c r="X130" s="782">
        <v>1214455.08</v>
      </c>
      <c r="Y130" s="782">
        <v>686871.25</v>
      </c>
      <c r="Z130" s="782">
        <v>1214455.08</v>
      </c>
      <c r="AA130" s="782">
        <v>707112.17</v>
      </c>
      <c r="AB130" s="782">
        <v>1214455.08</v>
      </c>
      <c r="AC130" s="782">
        <v>727353.09000000008</v>
      </c>
      <c r="AD130" s="782">
        <f t="shared" ref="AD130:AE161" si="7">+(D130+AB130+(+F130+H130+J130+L130+N130+P130+R130+T130+V130+X130+Z130)*2)/24</f>
        <v>1214455.08</v>
      </c>
      <c r="AE130" s="782">
        <f t="shared" si="7"/>
        <v>605907.57000000007</v>
      </c>
      <c r="AF130" s="177"/>
      <c r="AM130" s="178"/>
      <c r="AO130" s="178"/>
    </row>
    <row r="131" spans="1:41">
      <c r="A131" s="124">
        <v>122</v>
      </c>
      <c r="B131" t="s">
        <v>1638</v>
      </c>
      <c r="C131" s="781" t="s">
        <v>1605</v>
      </c>
      <c r="D131" s="782">
        <v>227881.90000000002</v>
      </c>
      <c r="E131" s="782">
        <v>52473.93</v>
      </c>
      <c r="F131" s="782">
        <v>227881.9</v>
      </c>
      <c r="G131" s="782">
        <v>56271.96</v>
      </c>
      <c r="H131" s="782">
        <v>227881.9</v>
      </c>
      <c r="I131" s="782">
        <v>60069.99</v>
      </c>
      <c r="J131" s="782">
        <v>227881.9</v>
      </c>
      <c r="K131" s="782">
        <v>63868.02</v>
      </c>
      <c r="L131" s="782">
        <v>227881.9</v>
      </c>
      <c r="M131" s="782">
        <v>67666.05</v>
      </c>
      <c r="N131" s="782">
        <v>227881.9</v>
      </c>
      <c r="O131" s="782">
        <v>71464.08</v>
      </c>
      <c r="P131" s="782">
        <v>227881.9</v>
      </c>
      <c r="Q131" s="782">
        <v>75262.11</v>
      </c>
      <c r="R131" s="782">
        <v>227881.9</v>
      </c>
      <c r="S131" s="782">
        <v>79060.14</v>
      </c>
      <c r="T131" s="782">
        <v>227881.9</v>
      </c>
      <c r="U131" s="782">
        <v>82858.17</v>
      </c>
      <c r="V131" s="782">
        <v>227881.9</v>
      </c>
      <c r="W131" s="782">
        <v>86656.2</v>
      </c>
      <c r="X131" s="782">
        <v>227881.9</v>
      </c>
      <c r="Y131" s="782">
        <v>90454.23</v>
      </c>
      <c r="Z131" s="782">
        <v>227881.9</v>
      </c>
      <c r="AA131" s="782">
        <v>94252.260000000009</v>
      </c>
      <c r="AB131" s="782">
        <v>227881.9</v>
      </c>
      <c r="AC131" s="782">
        <v>98050.290000000008</v>
      </c>
      <c r="AD131" s="782">
        <f t="shared" si="7"/>
        <v>227881.89999999994</v>
      </c>
      <c r="AE131" s="782">
        <f t="shared" si="7"/>
        <v>75262.11</v>
      </c>
      <c r="AF131" s="177"/>
      <c r="AM131" s="178"/>
      <c r="AO131" s="178"/>
    </row>
    <row r="132" spans="1:41">
      <c r="A132" s="124">
        <v>123</v>
      </c>
      <c r="B132" t="s">
        <v>1639</v>
      </c>
      <c r="C132" s="781" t="s">
        <v>1605</v>
      </c>
      <c r="D132" s="782">
        <v>539159.71</v>
      </c>
      <c r="E132" s="782">
        <v>11616.86</v>
      </c>
      <c r="F132" s="782">
        <v>543427.82000000007</v>
      </c>
      <c r="G132" s="782">
        <v>20602.86</v>
      </c>
      <c r="H132" s="782">
        <v>543377.76</v>
      </c>
      <c r="I132" s="782">
        <v>29659.989999999998</v>
      </c>
      <c r="J132" s="782">
        <v>543612.43000000005</v>
      </c>
      <c r="K132" s="782">
        <v>38716.29</v>
      </c>
      <c r="L132" s="782">
        <v>543769.38</v>
      </c>
      <c r="M132" s="782">
        <v>47776.5</v>
      </c>
      <c r="N132" s="782">
        <v>543769.38</v>
      </c>
      <c r="O132" s="782">
        <v>56839.32</v>
      </c>
      <c r="P132" s="782">
        <v>543769.38</v>
      </c>
      <c r="Q132" s="782">
        <v>65902.14</v>
      </c>
      <c r="R132" s="782">
        <v>543769.38</v>
      </c>
      <c r="S132" s="782">
        <v>74964.959999999992</v>
      </c>
      <c r="T132" s="782">
        <v>543769.38</v>
      </c>
      <c r="U132" s="782">
        <v>84027.78</v>
      </c>
      <c r="V132" s="782">
        <v>543769.38</v>
      </c>
      <c r="W132" s="782">
        <v>93090.6</v>
      </c>
      <c r="X132" s="782">
        <v>543769.38</v>
      </c>
      <c r="Y132" s="782">
        <v>102153.42</v>
      </c>
      <c r="Z132" s="782">
        <v>543769.38</v>
      </c>
      <c r="AA132" s="782">
        <v>111216.23999999999</v>
      </c>
      <c r="AB132" s="782">
        <v>543750.71</v>
      </c>
      <c r="AC132" s="782">
        <v>120279.06</v>
      </c>
      <c r="AD132" s="782">
        <f t="shared" si="7"/>
        <v>543502.35499999998</v>
      </c>
      <c r="AE132" s="782">
        <f t="shared" si="7"/>
        <v>65908.171666666676</v>
      </c>
      <c r="AF132" s="177"/>
      <c r="AM132" s="178"/>
      <c r="AO132" s="178"/>
    </row>
    <row r="133" spans="1:41">
      <c r="A133" s="124">
        <v>124</v>
      </c>
      <c r="B133" t="s">
        <v>1640</v>
      </c>
      <c r="C133" s="781" t="s">
        <v>1605</v>
      </c>
      <c r="D133" s="782"/>
      <c r="E133" s="782"/>
      <c r="F133" s="782"/>
      <c r="G133" s="782"/>
      <c r="H133" s="782"/>
      <c r="I133" s="782"/>
      <c r="J133" s="782"/>
      <c r="K133" s="782"/>
      <c r="L133" s="782"/>
      <c r="M133" s="782"/>
      <c r="N133" s="782"/>
      <c r="O133" s="782"/>
      <c r="P133" s="782"/>
      <c r="Q133" s="782"/>
      <c r="R133" s="782"/>
      <c r="S133" s="782"/>
      <c r="T133" s="782"/>
      <c r="U133" s="782"/>
      <c r="V133" s="782"/>
      <c r="W133" s="782"/>
      <c r="X133" s="782"/>
      <c r="Y133" s="782"/>
      <c r="Z133" s="782">
        <v>0</v>
      </c>
      <c r="AA133" s="782">
        <v>0</v>
      </c>
      <c r="AB133" s="782">
        <v>183372.11</v>
      </c>
      <c r="AC133" s="782">
        <v>0</v>
      </c>
      <c r="AD133" s="782">
        <f t="shared" si="7"/>
        <v>7640.5045833333324</v>
      </c>
      <c r="AE133" s="782">
        <f t="shared" si="7"/>
        <v>0</v>
      </c>
      <c r="AF133" s="177"/>
      <c r="AM133" s="178"/>
      <c r="AO133" s="178"/>
    </row>
    <row r="134" spans="1:41">
      <c r="A134" s="124">
        <v>125</v>
      </c>
      <c r="B134" t="s">
        <v>1641</v>
      </c>
      <c r="C134" s="781" t="s">
        <v>1605</v>
      </c>
      <c r="D134" s="782">
        <v>131168.49</v>
      </c>
      <c r="E134" s="782">
        <v>131168.49</v>
      </c>
      <c r="F134" s="782">
        <v>131168.49</v>
      </c>
      <c r="G134" s="782">
        <v>131168.49000000002</v>
      </c>
      <c r="H134" s="782">
        <v>131168.49</v>
      </c>
      <c r="I134" s="782">
        <v>131168.49000000002</v>
      </c>
      <c r="J134" s="782">
        <v>131168.49</v>
      </c>
      <c r="K134" s="782">
        <v>131168.49000000002</v>
      </c>
      <c r="L134" s="782">
        <v>131168.49</v>
      </c>
      <c r="M134" s="782">
        <v>131168.49000000002</v>
      </c>
      <c r="N134" s="782">
        <v>131168.49</v>
      </c>
      <c r="O134" s="782">
        <v>131168.49000000002</v>
      </c>
      <c r="P134" s="782">
        <v>131168.49</v>
      </c>
      <c r="Q134" s="782">
        <v>131168.49000000002</v>
      </c>
      <c r="R134" s="782">
        <v>131168.49</v>
      </c>
      <c r="S134" s="782">
        <v>131168.49000000002</v>
      </c>
      <c r="T134" s="782">
        <v>131168.49</v>
      </c>
      <c r="U134" s="782">
        <v>131168.49000000002</v>
      </c>
      <c r="V134" s="782">
        <v>131168.49</v>
      </c>
      <c r="W134" s="782">
        <v>131168.49000000002</v>
      </c>
      <c r="X134" s="782">
        <v>131168.49</v>
      </c>
      <c r="Y134" s="782">
        <v>131168.49000000002</v>
      </c>
      <c r="Z134" s="782">
        <v>131168.49</v>
      </c>
      <c r="AA134" s="782">
        <v>131168.49000000002</v>
      </c>
      <c r="AB134" s="782">
        <v>131168.49</v>
      </c>
      <c r="AC134" s="782">
        <v>131168.49000000002</v>
      </c>
      <c r="AD134" s="782">
        <f t="shared" si="7"/>
        <v>131168.49</v>
      </c>
      <c r="AE134" s="782">
        <f t="shared" si="7"/>
        <v>131168.49000000002</v>
      </c>
      <c r="AF134" s="177"/>
      <c r="AM134" s="178"/>
      <c r="AO134" s="178"/>
    </row>
    <row r="135" spans="1:41">
      <c r="A135" s="124">
        <v>126</v>
      </c>
      <c r="B135" t="s">
        <v>1642</v>
      </c>
      <c r="C135" s="781" t="s">
        <v>1605</v>
      </c>
      <c r="D135" s="782">
        <v>2519899.88</v>
      </c>
      <c r="E135" s="782">
        <v>2519899.88</v>
      </c>
      <c r="F135" s="782">
        <v>2519899.88</v>
      </c>
      <c r="G135" s="782">
        <v>2519899.8800000004</v>
      </c>
      <c r="H135" s="782">
        <v>2519899.88</v>
      </c>
      <c r="I135" s="782">
        <v>2519899.8800000004</v>
      </c>
      <c r="J135" s="782">
        <v>2519899.88</v>
      </c>
      <c r="K135" s="782">
        <v>2519899.8800000004</v>
      </c>
      <c r="L135" s="782">
        <v>2519899.88</v>
      </c>
      <c r="M135" s="782">
        <v>2519899.8800000004</v>
      </c>
      <c r="N135" s="782">
        <v>2519899.88</v>
      </c>
      <c r="O135" s="782">
        <v>2519899.8800000004</v>
      </c>
      <c r="P135" s="782">
        <v>2519899.88</v>
      </c>
      <c r="Q135" s="782">
        <v>2519899.8800000004</v>
      </c>
      <c r="R135" s="782">
        <v>2519899.88</v>
      </c>
      <c r="S135" s="782">
        <v>2519899.8800000004</v>
      </c>
      <c r="T135" s="782">
        <v>2519899.88</v>
      </c>
      <c r="U135" s="782">
        <v>2519899.8800000004</v>
      </c>
      <c r="V135" s="782">
        <v>2519899.88</v>
      </c>
      <c r="W135" s="782">
        <v>2519899.8800000004</v>
      </c>
      <c r="X135" s="782">
        <v>2519899.88</v>
      </c>
      <c r="Y135" s="782">
        <v>2519899.8800000004</v>
      </c>
      <c r="Z135" s="782">
        <v>2519899.88</v>
      </c>
      <c r="AA135" s="782">
        <v>2519899.8800000004</v>
      </c>
      <c r="AB135" s="782">
        <v>2519899.88</v>
      </c>
      <c r="AC135" s="782">
        <v>2519899.8800000004</v>
      </c>
      <c r="AD135" s="782">
        <f t="shared" si="7"/>
        <v>2519899.8799999994</v>
      </c>
      <c r="AE135" s="782">
        <f t="shared" si="7"/>
        <v>2519899.88</v>
      </c>
      <c r="AF135" s="177"/>
      <c r="AM135" s="178"/>
      <c r="AO135" s="178"/>
    </row>
    <row r="136" spans="1:41">
      <c r="A136" s="124">
        <v>127</v>
      </c>
      <c r="B136" t="s">
        <v>1643</v>
      </c>
      <c r="C136" s="781" t="s">
        <v>1605</v>
      </c>
      <c r="D136" s="782">
        <v>585144.89</v>
      </c>
      <c r="E136" s="782">
        <v>585144.89</v>
      </c>
      <c r="F136" s="782">
        <v>585144.89</v>
      </c>
      <c r="G136" s="782">
        <v>585144.89</v>
      </c>
      <c r="H136" s="782">
        <v>585144.89</v>
      </c>
      <c r="I136" s="782">
        <v>585144.89</v>
      </c>
      <c r="J136" s="782">
        <v>585144.89</v>
      </c>
      <c r="K136" s="782">
        <v>585144.89</v>
      </c>
      <c r="L136" s="782">
        <v>585144.89</v>
      </c>
      <c r="M136" s="782">
        <v>585144.89</v>
      </c>
      <c r="N136" s="782">
        <v>585144.89</v>
      </c>
      <c r="O136" s="782">
        <v>585144.89</v>
      </c>
      <c r="P136" s="782">
        <v>585144.89</v>
      </c>
      <c r="Q136" s="782">
        <v>585144.89</v>
      </c>
      <c r="R136" s="782">
        <v>585144.89</v>
      </c>
      <c r="S136" s="782">
        <v>585144.89</v>
      </c>
      <c r="T136" s="782">
        <v>585144.89</v>
      </c>
      <c r="U136" s="782">
        <v>585144.89</v>
      </c>
      <c r="V136" s="782">
        <v>585144.89</v>
      </c>
      <c r="W136" s="782">
        <v>585144.89</v>
      </c>
      <c r="X136" s="782">
        <v>585144.89</v>
      </c>
      <c r="Y136" s="782">
        <v>585144.89</v>
      </c>
      <c r="Z136" s="782">
        <v>585144.89</v>
      </c>
      <c r="AA136" s="782">
        <v>585144.89</v>
      </c>
      <c r="AB136" s="782">
        <v>585144.89</v>
      </c>
      <c r="AC136" s="782">
        <v>585144.89</v>
      </c>
      <c r="AD136" s="782">
        <f t="shared" si="7"/>
        <v>585144.8899999999</v>
      </c>
      <c r="AE136" s="782">
        <f t="shared" si="7"/>
        <v>585144.8899999999</v>
      </c>
      <c r="AF136" s="177"/>
      <c r="AM136" s="178"/>
      <c r="AO136" s="178"/>
    </row>
    <row r="137" spans="1:41">
      <c r="A137" s="124">
        <v>128</v>
      </c>
      <c r="B137" t="s">
        <v>1644</v>
      </c>
      <c r="C137" s="781" t="s">
        <v>1605</v>
      </c>
      <c r="D137" s="782">
        <v>20560.650000000001</v>
      </c>
      <c r="E137" s="782">
        <v>20560.650000000001</v>
      </c>
      <c r="F137" s="782">
        <v>20560.650000000001</v>
      </c>
      <c r="G137" s="782">
        <v>20560.650000000001</v>
      </c>
      <c r="H137" s="782">
        <v>20560.650000000001</v>
      </c>
      <c r="I137" s="782">
        <v>20560.650000000001</v>
      </c>
      <c r="J137" s="782">
        <v>20560.650000000001</v>
      </c>
      <c r="K137" s="782">
        <v>20560.650000000001</v>
      </c>
      <c r="L137" s="782">
        <v>20560.650000000001</v>
      </c>
      <c r="M137" s="782">
        <v>20560.650000000001</v>
      </c>
      <c r="N137" s="782">
        <v>20560.650000000001</v>
      </c>
      <c r="O137" s="782">
        <v>20560.650000000001</v>
      </c>
      <c r="P137" s="782">
        <v>20560.650000000001</v>
      </c>
      <c r="Q137" s="782">
        <v>20560.650000000001</v>
      </c>
      <c r="R137" s="782">
        <v>20560.650000000001</v>
      </c>
      <c r="S137" s="782">
        <v>20560.650000000001</v>
      </c>
      <c r="T137" s="782">
        <v>20560.650000000001</v>
      </c>
      <c r="U137" s="782">
        <v>20560.650000000001</v>
      </c>
      <c r="V137" s="782">
        <v>20560.650000000001</v>
      </c>
      <c r="W137" s="782">
        <v>20560.650000000001</v>
      </c>
      <c r="X137" s="782">
        <v>20560.650000000001</v>
      </c>
      <c r="Y137" s="782">
        <v>20560.650000000001</v>
      </c>
      <c r="Z137" s="782">
        <v>20560.650000000001</v>
      </c>
      <c r="AA137" s="782">
        <v>20560.650000000001</v>
      </c>
      <c r="AB137" s="782">
        <v>20560.650000000001</v>
      </c>
      <c r="AC137" s="782">
        <v>20560.650000000001</v>
      </c>
      <c r="AD137" s="782">
        <f t="shared" si="7"/>
        <v>20560.649999999998</v>
      </c>
      <c r="AE137" s="782">
        <f t="shared" si="7"/>
        <v>20560.649999999998</v>
      </c>
      <c r="AF137" s="177"/>
      <c r="AM137" s="178"/>
      <c r="AO137" s="178"/>
    </row>
    <row r="138" spans="1:41">
      <c r="A138" s="124">
        <v>129</v>
      </c>
      <c r="B138" t="s">
        <v>1645</v>
      </c>
      <c r="C138" s="781" t="s">
        <v>1605</v>
      </c>
      <c r="D138" s="782">
        <v>2316740.37</v>
      </c>
      <c r="E138" s="782">
        <v>1916080.57</v>
      </c>
      <c r="F138" s="782">
        <v>2316740.37</v>
      </c>
      <c r="G138" s="782">
        <v>1943669.09</v>
      </c>
      <c r="H138" s="782">
        <v>2316740.37</v>
      </c>
      <c r="I138" s="782">
        <v>1971257.6099999999</v>
      </c>
      <c r="J138" s="782">
        <v>2316740.37</v>
      </c>
      <c r="K138" s="782">
        <v>1998846.13</v>
      </c>
      <c r="L138" s="782">
        <v>2316740.37</v>
      </c>
      <c r="M138" s="782">
        <v>2026434.65</v>
      </c>
      <c r="N138" s="782">
        <v>2316740.37</v>
      </c>
      <c r="O138" s="782">
        <v>2054023.1700000002</v>
      </c>
      <c r="P138" s="782">
        <v>2316740.37</v>
      </c>
      <c r="Q138" s="782">
        <v>2081611.69</v>
      </c>
      <c r="R138" s="782">
        <v>2316740.37</v>
      </c>
      <c r="S138" s="782">
        <v>2109200.21</v>
      </c>
      <c r="T138" s="782">
        <v>2316740.37</v>
      </c>
      <c r="U138" s="782">
        <v>2136788.7300000004</v>
      </c>
      <c r="V138" s="782">
        <v>2316740.37</v>
      </c>
      <c r="W138" s="782">
        <v>2164377.25</v>
      </c>
      <c r="X138" s="782">
        <v>2316740.37</v>
      </c>
      <c r="Y138" s="782">
        <v>2191965.77</v>
      </c>
      <c r="Z138" s="782">
        <v>2316740.37</v>
      </c>
      <c r="AA138" s="782">
        <v>2219554.29</v>
      </c>
      <c r="AB138" s="782">
        <v>2316740.37</v>
      </c>
      <c r="AC138" s="782">
        <v>2247142.81</v>
      </c>
      <c r="AD138" s="782">
        <f t="shared" si="7"/>
        <v>2316740.3700000006</v>
      </c>
      <c r="AE138" s="782">
        <f t="shared" si="7"/>
        <v>2081611.6900000002</v>
      </c>
      <c r="AF138" s="177"/>
      <c r="AM138" s="178"/>
      <c r="AO138" s="178"/>
    </row>
    <row r="139" spans="1:41">
      <c r="A139" s="124">
        <v>130</v>
      </c>
      <c r="B139" t="s">
        <v>1646</v>
      </c>
      <c r="C139" s="781" t="s">
        <v>1605</v>
      </c>
      <c r="D139" s="782">
        <v>654150.74</v>
      </c>
      <c r="E139" s="782">
        <v>467859.81</v>
      </c>
      <c r="F139" s="782">
        <v>654150.74</v>
      </c>
      <c r="G139" s="782">
        <v>475649.66</v>
      </c>
      <c r="H139" s="782">
        <v>654150.74</v>
      </c>
      <c r="I139" s="782">
        <v>483439.51</v>
      </c>
      <c r="J139" s="782">
        <v>654150.74</v>
      </c>
      <c r="K139" s="782">
        <v>491229.36</v>
      </c>
      <c r="L139" s="782">
        <v>654150.74</v>
      </c>
      <c r="M139" s="782">
        <v>499019.21</v>
      </c>
      <c r="N139" s="782">
        <v>654150.74</v>
      </c>
      <c r="O139" s="782">
        <v>506809.06</v>
      </c>
      <c r="P139" s="782">
        <v>654150.74</v>
      </c>
      <c r="Q139" s="782">
        <v>514598.91000000003</v>
      </c>
      <c r="R139" s="782">
        <v>654150.74</v>
      </c>
      <c r="S139" s="782">
        <v>522388.76</v>
      </c>
      <c r="T139" s="782">
        <v>654150.74</v>
      </c>
      <c r="U139" s="782">
        <v>530178.61</v>
      </c>
      <c r="V139" s="782">
        <v>654150.74</v>
      </c>
      <c r="W139" s="782">
        <v>537968.46</v>
      </c>
      <c r="X139" s="782">
        <v>654150.74</v>
      </c>
      <c r="Y139" s="782">
        <v>545758.31000000006</v>
      </c>
      <c r="Z139" s="782">
        <v>654150.74</v>
      </c>
      <c r="AA139" s="782">
        <v>553548.16</v>
      </c>
      <c r="AB139" s="782">
        <v>654150.74</v>
      </c>
      <c r="AC139" s="782">
        <v>561338.01</v>
      </c>
      <c r="AD139" s="782">
        <f t="shared" si="7"/>
        <v>654150.74000000011</v>
      </c>
      <c r="AE139" s="782">
        <f t="shared" si="7"/>
        <v>514598.91</v>
      </c>
      <c r="AF139" s="177"/>
      <c r="AM139" s="178"/>
      <c r="AO139" s="178"/>
    </row>
    <row r="140" spans="1:41">
      <c r="A140" s="124">
        <v>131</v>
      </c>
      <c r="B140" t="s">
        <v>1647</v>
      </c>
      <c r="C140" s="781" t="s">
        <v>1605</v>
      </c>
      <c r="D140" s="782">
        <v>123571.06</v>
      </c>
      <c r="E140" s="782">
        <v>70633.440000000002</v>
      </c>
      <c r="F140" s="782">
        <v>123571.06000000001</v>
      </c>
      <c r="G140" s="782">
        <v>72104.97</v>
      </c>
      <c r="H140" s="782">
        <v>123571.06000000001</v>
      </c>
      <c r="I140" s="782">
        <v>73576.5</v>
      </c>
      <c r="J140" s="782">
        <v>123571.06000000001</v>
      </c>
      <c r="K140" s="782">
        <v>75048.03</v>
      </c>
      <c r="L140" s="782">
        <v>123571.06000000001</v>
      </c>
      <c r="M140" s="782">
        <v>76519.56</v>
      </c>
      <c r="N140" s="782">
        <v>123571.06000000001</v>
      </c>
      <c r="O140" s="782">
        <v>77991.09</v>
      </c>
      <c r="P140" s="782">
        <v>123571.06000000001</v>
      </c>
      <c r="Q140" s="782">
        <v>79462.62000000001</v>
      </c>
      <c r="R140" s="782">
        <v>123571.06000000001</v>
      </c>
      <c r="S140" s="782">
        <v>80934.149999999994</v>
      </c>
      <c r="T140" s="782">
        <v>123571.06000000001</v>
      </c>
      <c r="U140" s="782">
        <v>82405.679999999993</v>
      </c>
      <c r="V140" s="782">
        <v>123571.06000000001</v>
      </c>
      <c r="W140" s="782">
        <v>83877.209999999992</v>
      </c>
      <c r="X140" s="782">
        <v>123571.06000000001</v>
      </c>
      <c r="Y140" s="782">
        <v>85348.739999999991</v>
      </c>
      <c r="Z140" s="782">
        <v>123571.06000000001</v>
      </c>
      <c r="AA140" s="782">
        <v>86820.27</v>
      </c>
      <c r="AB140" s="782">
        <v>123571.06000000001</v>
      </c>
      <c r="AC140" s="782">
        <v>88291.8</v>
      </c>
      <c r="AD140" s="782">
        <f t="shared" si="7"/>
        <v>123571.06000000004</v>
      </c>
      <c r="AE140" s="782">
        <f t="shared" si="7"/>
        <v>79462.62000000001</v>
      </c>
      <c r="AF140" s="177"/>
    </row>
    <row r="141" spans="1:41">
      <c r="A141" s="124">
        <v>132</v>
      </c>
      <c r="B141" t="s">
        <v>1648</v>
      </c>
      <c r="C141" s="781" t="s">
        <v>1605</v>
      </c>
      <c r="D141" s="782">
        <v>391097.07000000007</v>
      </c>
      <c r="E141" s="782">
        <v>164708.31</v>
      </c>
      <c r="F141" s="782">
        <v>391097.07</v>
      </c>
      <c r="G141" s="782">
        <v>169365.62</v>
      </c>
      <c r="H141" s="782">
        <v>391097.07</v>
      </c>
      <c r="I141" s="782">
        <v>174022.93</v>
      </c>
      <c r="J141" s="782">
        <v>391097.07</v>
      </c>
      <c r="K141" s="782">
        <v>178680.24</v>
      </c>
      <c r="L141" s="782">
        <v>391097.07</v>
      </c>
      <c r="M141" s="782">
        <v>183337.55000000002</v>
      </c>
      <c r="N141" s="782">
        <v>391097.07</v>
      </c>
      <c r="O141" s="782">
        <v>187994.86</v>
      </c>
      <c r="P141" s="782">
        <v>391097.07</v>
      </c>
      <c r="Q141" s="782">
        <v>192652.16999999998</v>
      </c>
      <c r="R141" s="782">
        <v>391097.07</v>
      </c>
      <c r="S141" s="782">
        <v>197309.48</v>
      </c>
      <c r="T141" s="782">
        <v>391097.07</v>
      </c>
      <c r="U141" s="782">
        <v>201966.79</v>
      </c>
      <c r="V141" s="782">
        <v>391097.07</v>
      </c>
      <c r="W141" s="782">
        <v>206624.09999999998</v>
      </c>
      <c r="X141" s="782">
        <v>391097.07</v>
      </c>
      <c r="Y141" s="782">
        <v>211281.41</v>
      </c>
      <c r="Z141" s="782">
        <v>391097.07</v>
      </c>
      <c r="AA141" s="782">
        <v>215938.72</v>
      </c>
      <c r="AB141" s="782">
        <v>391097.07</v>
      </c>
      <c r="AC141" s="782">
        <v>220596.03</v>
      </c>
      <c r="AD141" s="782">
        <f t="shared" si="7"/>
        <v>391097.07</v>
      </c>
      <c r="AE141" s="782">
        <f t="shared" si="7"/>
        <v>192652.16999999995</v>
      </c>
      <c r="AF141" s="177"/>
    </row>
    <row r="142" spans="1:41">
      <c r="A142" s="124">
        <v>133</v>
      </c>
      <c r="B142" t="s">
        <v>1649</v>
      </c>
      <c r="C142" s="781" t="s">
        <v>1605</v>
      </c>
      <c r="D142" s="782">
        <v>321784.21999999997</v>
      </c>
      <c r="E142" s="782">
        <v>93079.28</v>
      </c>
      <c r="F142" s="782">
        <v>321784.21999999997</v>
      </c>
      <c r="G142" s="782">
        <v>96911.19</v>
      </c>
      <c r="H142" s="782">
        <v>321784.21999999997</v>
      </c>
      <c r="I142" s="782">
        <v>100743.1</v>
      </c>
      <c r="J142" s="782">
        <v>321784.21999999997</v>
      </c>
      <c r="K142" s="782">
        <v>104575.01000000001</v>
      </c>
      <c r="L142" s="782">
        <v>321784.21999999997</v>
      </c>
      <c r="M142" s="782">
        <v>108406.92</v>
      </c>
      <c r="N142" s="782">
        <v>321784.21999999997</v>
      </c>
      <c r="O142" s="782">
        <v>112238.83</v>
      </c>
      <c r="P142" s="782">
        <v>321784.21999999997</v>
      </c>
      <c r="Q142" s="782">
        <v>116070.74</v>
      </c>
      <c r="R142" s="782">
        <v>321784.21999999997</v>
      </c>
      <c r="S142" s="782">
        <v>119902.65000000001</v>
      </c>
      <c r="T142" s="782">
        <v>321784.21999999997</v>
      </c>
      <c r="U142" s="782">
        <v>123734.56</v>
      </c>
      <c r="V142" s="782">
        <v>321784.21999999997</v>
      </c>
      <c r="W142" s="782">
        <v>127566.47</v>
      </c>
      <c r="X142" s="782">
        <v>321784.21999999997</v>
      </c>
      <c r="Y142" s="782">
        <v>131398.38</v>
      </c>
      <c r="Z142" s="782">
        <v>321784.21999999997</v>
      </c>
      <c r="AA142" s="782">
        <v>135230.29</v>
      </c>
      <c r="AB142" s="782">
        <v>321784.21999999997</v>
      </c>
      <c r="AC142" s="782">
        <v>139062.20000000001</v>
      </c>
      <c r="AD142" s="782">
        <f t="shared" si="7"/>
        <v>321784.21999999991</v>
      </c>
      <c r="AE142" s="782">
        <f t="shared" si="7"/>
        <v>116070.74</v>
      </c>
      <c r="AF142" s="177"/>
    </row>
    <row r="143" spans="1:41">
      <c r="A143" s="124">
        <v>134</v>
      </c>
      <c r="B143" t="s">
        <v>1650</v>
      </c>
      <c r="C143" s="781" t="s">
        <v>1605</v>
      </c>
      <c r="D143" s="782">
        <v>322127.65000000002</v>
      </c>
      <c r="E143" s="782">
        <v>45921.490000000005</v>
      </c>
      <c r="F143" s="782">
        <v>322127.65000000002</v>
      </c>
      <c r="G143" s="782">
        <v>49757.490000000005</v>
      </c>
      <c r="H143" s="782">
        <v>322127.65000000002</v>
      </c>
      <c r="I143" s="782">
        <v>53593.49</v>
      </c>
      <c r="J143" s="782">
        <v>322127.65000000002</v>
      </c>
      <c r="K143" s="782">
        <v>57429.490000000005</v>
      </c>
      <c r="L143" s="782">
        <v>322127.65000000002</v>
      </c>
      <c r="M143" s="782">
        <v>61265.490000000005</v>
      </c>
      <c r="N143" s="782">
        <v>322127.65000000002</v>
      </c>
      <c r="O143" s="782">
        <v>65101.49</v>
      </c>
      <c r="P143" s="782">
        <v>322127.65000000002</v>
      </c>
      <c r="Q143" s="782">
        <v>68937.490000000005</v>
      </c>
      <c r="R143" s="782">
        <v>322127.65000000002</v>
      </c>
      <c r="S143" s="782">
        <v>72773.490000000005</v>
      </c>
      <c r="T143" s="782">
        <v>322127.65000000002</v>
      </c>
      <c r="U143" s="782">
        <v>76609.489999999991</v>
      </c>
      <c r="V143" s="782">
        <v>322127.65000000002</v>
      </c>
      <c r="W143" s="782">
        <v>80445.490000000005</v>
      </c>
      <c r="X143" s="782">
        <v>322127.65000000002</v>
      </c>
      <c r="Y143" s="782">
        <v>84281.49</v>
      </c>
      <c r="Z143" s="782">
        <v>322127.65000000002</v>
      </c>
      <c r="AA143" s="782">
        <v>88117.49</v>
      </c>
      <c r="AB143" s="782">
        <v>322127.65000000002</v>
      </c>
      <c r="AC143" s="782">
        <v>91953.49</v>
      </c>
      <c r="AD143" s="782">
        <f t="shared" si="7"/>
        <v>322127.64999999997</v>
      </c>
      <c r="AE143" s="782">
        <f t="shared" si="7"/>
        <v>68937.490000000005</v>
      </c>
      <c r="AF143" s="177"/>
    </row>
    <row r="144" spans="1:41">
      <c r="A144" s="124">
        <v>135</v>
      </c>
      <c r="B144" t="s">
        <v>1651</v>
      </c>
      <c r="C144" s="781" t="s">
        <v>1605</v>
      </c>
      <c r="D144" s="782">
        <v>26555.870000000003</v>
      </c>
      <c r="E144" s="782">
        <v>631.74</v>
      </c>
      <c r="F144" s="782">
        <v>26555.870000000003</v>
      </c>
      <c r="G144" s="782">
        <v>947.98</v>
      </c>
      <c r="H144" s="782">
        <v>26555.870000000003</v>
      </c>
      <c r="I144" s="782">
        <v>1264.22</v>
      </c>
      <c r="J144" s="782">
        <v>26555.870000000003</v>
      </c>
      <c r="K144" s="782">
        <v>1580.46</v>
      </c>
      <c r="L144" s="782">
        <v>26555.870000000003</v>
      </c>
      <c r="M144" s="782">
        <v>1896.7000000000003</v>
      </c>
      <c r="N144" s="782">
        <v>26555.870000000003</v>
      </c>
      <c r="O144" s="782">
        <v>2212.94</v>
      </c>
      <c r="P144" s="782">
        <v>26555.870000000003</v>
      </c>
      <c r="Q144" s="782">
        <v>2529.1800000000003</v>
      </c>
      <c r="R144" s="782">
        <v>26555.870000000003</v>
      </c>
      <c r="S144" s="782">
        <v>2845.42</v>
      </c>
      <c r="T144" s="782">
        <v>26555.870000000003</v>
      </c>
      <c r="U144" s="782">
        <v>3161.6600000000003</v>
      </c>
      <c r="V144" s="782">
        <v>26555.870000000003</v>
      </c>
      <c r="W144" s="782">
        <v>3477.9</v>
      </c>
      <c r="X144" s="782">
        <v>26555.870000000003</v>
      </c>
      <c r="Y144" s="782">
        <v>3794.14</v>
      </c>
      <c r="Z144" s="782">
        <v>26555.870000000003</v>
      </c>
      <c r="AA144" s="782">
        <v>4110.38</v>
      </c>
      <c r="AB144" s="782">
        <v>26555.870000000003</v>
      </c>
      <c r="AC144" s="782">
        <v>4426.62</v>
      </c>
      <c r="AD144" s="782">
        <f t="shared" si="7"/>
        <v>26555.87</v>
      </c>
      <c r="AE144" s="782">
        <f t="shared" si="7"/>
        <v>2529.1800000000003</v>
      </c>
      <c r="AF144" s="177"/>
    </row>
    <row r="145" spans="1:32">
      <c r="A145" s="124">
        <v>136</v>
      </c>
      <c r="B145" t="s">
        <v>1652</v>
      </c>
      <c r="C145" s="781" t="s">
        <v>1605</v>
      </c>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82"/>
      <c r="Z145" s="782">
        <v>0</v>
      </c>
      <c r="AA145" s="782">
        <v>0</v>
      </c>
      <c r="AB145" s="782">
        <v>88054.97</v>
      </c>
      <c r="AC145" s="782">
        <v>0</v>
      </c>
      <c r="AD145" s="782">
        <f t="shared" si="7"/>
        <v>3668.9570833333332</v>
      </c>
      <c r="AE145" s="782">
        <f t="shared" si="7"/>
        <v>0</v>
      </c>
      <c r="AF145" s="177"/>
    </row>
    <row r="146" spans="1:32">
      <c r="A146" s="124">
        <v>137</v>
      </c>
      <c r="B146" t="s">
        <v>1653</v>
      </c>
      <c r="C146" s="781" t="s">
        <v>1605</v>
      </c>
      <c r="D146" s="782">
        <v>0</v>
      </c>
      <c r="E146" s="782">
        <v>0</v>
      </c>
      <c r="F146" s="782">
        <v>0</v>
      </c>
      <c r="G146" s="782">
        <v>0</v>
      </c>
      <c r="H146" s="782">
        <v>0</v>
      </c>
      <c r="I146" s="782">
        <v>0</v>
      </c>
      <c r="J146" s="782">
        <v>0</v>
      </c>
      <c r="K146" s="782">
        <v>0</v>
      </c>
      <c r="L146" s="782">
        <v>0</v>
      </c>
      <c r="M146" s="782">
        <v>0</v>
      </c>
      <c r="N146" s="782">
        <v>0</v>
      </c>
      <c r="O146" s="782">
        <v>0</v>
      </c>
      <c r="P146" s="782">
        <v>0</v>
      </c>
      <c r="Q146" s="782">
        <v>0</v>
      </c>
      <c r="R146" s="782">
        <v>0</v>
      </c>
      <c r="S146" s="782">
        <v>0</v>
      </c>
      <c r="T146" s="782">
        <v>0</v>
      </c>
      <c r="U146" s="782">
        <v>0</v>
      </c>
      <c r="V146" s="782">
        <v>0</v>
      </c>
      <c r="W146" s="782">
        <v>0</v>
      </c>
      <c r="X146" s="782">
        <v>0</v>
      </c>
      <c r="Y146" s="782">
        <v>0</v>
      </c>
      <c r="Z146" s="782">
        <v>0</v>
      </c>
      <c r="AA146" s="782">
        <v>0</v>
      </c>
      <c r="AB146" s="782">
        <v>0</v>
      </c>
      <c r="AC146" s="782">
        <v>0</v>
      </c>
      <c r="AD146" s="782">
        <f t="shared" si="7"/>
        <v>0</v>
      </c>
      <c r="AE146" s="782">
        <f t="shared" si="7"/>
        <v>0</v>
      </c>
      <c r="AF146" s="177"/>
    </row>
    <row r="147" spans="1:32">
      <c r="A147" s="124">
        <v>138</v>
      </c>
      <c r="B147" t="s">
        <v>1654</v>
      </c>
      <c r="C147" s="781" t="s">
        <v>1605</v>
      </c>
      <c r="D147" s="782">
        <v>2994409.6100000003</v>
      </c>
      <c r="E147" s="782">
        <v>2994409.59</v>
      </c>
      <c r="F147" s="782">
        <v>2994409.6100000003</v>
      </c>
      <c r="G147" s="782">
        <v>2994409.5900000003</v>
      </c>
      <c r="H147" s="782">
        <v>2994409.6100000003</v>
      </c>
      <c r="I147" s="782">
        <v>2994409.5900000003</v>
      </c>
      <c r="J147" s="782">
        <v>2994409.6100000003</v>
      </c>
      <c r="K147" s="782">
        <v>2994409.5900000003</v>
      </c>
      <c r="L147" s="782">
        <v>2994409.6100000003</v>
      </c>
      <c r="M147" s="782">
        <v>2994409.5900000003</v>
      </c>
      <c r="N147" s="782">
        <v>2994409.6100000003</v>
      </c>
      <c r="O147" s="782">
        <v>2994409.5900000003</v>
      </c>
      <c r="P147" s="782">
        <v>2994409.6100000003</v>
      </c>
      <c r="Q147" s="782">
        <v>2994409.5900000003</v>
      </c>
      <c r="R147" s="782">
        <v>2994409.6100000003</v>
      </c>
      <c r="S147" s="782">
        <v>2994409.5900000003</v>
      </c>
      <c r="T147" s="782">
        <v>2994409.6100000003</v>
      </c>
      <c r="U147" s="782">
        <v>2994409.5900000003</v>
      </c>
      <c r="V147" s="782">
        <v>2994409.6100000003</v>
      </c>
      <c r="W147" s="782">
        <v>2994409.5900000003</v>
      </c>
      <c r="X147" s="782">
        <v>2994409.6100000003</v>
      </c>
      <c r="Y147" s="782">
        <v>2994409.5900000003</v>
      </c>
      <c r="Z147" s="782">
        <v>2994409.6100000003</v>
      </c>
      <c r="AA147" s="782">
        <v>2994409.5900000003</v>
      </c>
      <c r="AB147" s="782">
        <v>2994409.6100000003</v>
      </c>
      <c r="AC147" s="782">
        <v>2994409.5900000003</v>
      </c>
      <c r="AD147" s="782">
        <f t="shared" si="7"/>
        <v>2994409.61</v>
      </c>
      <c r="AE147" s="782">
        <f t="shared" si="7"/>
        <v>2994409.59</v>
      </c>
      <c r="AF147" s="177"/>
    </row>
    <row r="148" spans="1:32">
      <c r="A148" s="124">
        <v>139</v>
      </c>
      <c r="B148" t="s">
        <v>1655</v>
      </c>
      <c r="C148" s="781" t="s">
        <v>1605</v>
      </c>
      <c r="D148" s="782">
        <v>2786186.5700000003</v>
      </c>
      <c r="E148" s="782">
        <v>2262682.73</v>
      </c>
      <c r="F148" s="782">
        <v>2786186.5700000003</v>
      </c>
      <c r="G148" s="782">
        <v>2284368.5499999998</v>
      </c>
      <c r="H148" s="782">
        <v>2786186.5700000003</v>
      </c>
      <c r="I148" s="782">
        <v>2306054.37</v>
      </c>
      <c r="J148" s="782">
        <v>2786186.5700000003</v>
      </c>
      <c r="K148" s="782">
        <v>2327740.19</v>
      </c>
      <c r="L148" s="782">
        <v>2786186.5700000003</v>
      </c>
      <c r="M148" s="782">
        <v>2349426.0100000002</v>
      </c>
      <c r="N148" s="782">
        <v>2786186.5700000003</v>
      </c>
      <c r="O148" s="782">
        <v>2371111.83</v>
      </c>
      <c r="P148" s="782">
        <v>2786186.5700000003</v>
      </c>
      <c r="Q148" s="782">
        <v>2392797.65</v>
      </c>
      <c r="R148" s="782">
        <v>2786186.5700000003</v>
      </c>
      <c r="S148" s="782">
        <v>2414483.4700000002</v>
      </c>
      <c r="T148" s="782">
        <v>2786186.5700000003</v>
      </c>
      <c r="U148" s="782">
        <v>2436169.29</v>
      </c>
      <c r="V148" s="782">
        <v>2786186.5700000003</v>
      </c>
      <c r="W148" s="782">
        <v>2457855.1100000003</v>
      </c>
      <c r="X148" s="782">
        <v>2786186.5700000003</v>
      </c>
      <c r="Y148" s="782">
        <v>2479540.9299999997</v>
      </c>
      <c r="Z148" s="782">
        <v>2786186.5700000003</v>
      </c>
      <c r="AA148" s="782">
        <v>2501226.75</v>
      </c>
      <c r="AB148" s="782">
        <v>2786186.5700000003</v>
      </c>
      <c r="AC148" s="782">
        <v>2522912.5700000003</v>
      </c>
      <c r="AD148" s="782">
        <f t="shared" si="7"/>
        <v>2786186.5700000003</v>
      </c>
      <c r="AE148" s="782">
        <f t="shared" si="7"/>
        <v>2392797.65</v>
      </c>
      <c r="AF148" s="177"/>
    </row>
    <row r="149" spans="1:32">
      <c r="A149" s="124">
        <v>140</v>
      </c>
      <c r="B149" t="s">
        <v>1656</v>
      </c>
      <c r="C149" s="781" t="s">
        <v>1605</v>
      </c>
      <c r="D149" s="782">
        <v>94899.76</v>
      </c>
      <c r="E149" s="782">
        <v>0</v>
      </c>
      <c r="F149" s="782">
        <v>94899.760000000009</v>
      </c>
      <c r="G149" s="782">
        <v>0</v>
      </c>
      <c r="H149" s="782">
        <v>94899.760000000009</v>
      </c>
      <c r="I149" s="782">
        <v>0</v>
      </c>
      <c r="J149" s="782">
        <v>94899.760000000009</v>
      </c>
      <c r="K149" s="782">
        <v>0</v>
      </c>
      <c r="L149" s="782">
        <v>94899.760000000009</v>
      </c>
      <c r="M149" s="782">
        <v>0</v>
      </c>
      <c r="N149" s="782">
        <v>94899.760000000009</v>
      </c>
      <c r="O149" s="782">
        <v>0</v>
      </c>
      <c r="P149" s="782">
        <v>94899.760000000009</v>
      </c>
      <c r="Q149" s="782">
        <v>0</v>
      </c>
      <c r="R149" s="782">
        <v>94899.760000000009</v>
      </c>
      <c r="S149" s="782">
        <v>0</v>
      </c>
      <c r="T149" s="782">
        <v>94899.760000000009</v>
      </c>
      <c r="U149" s="782">
        <v>0</v>
      </c>
      <c r="V149" s="782">
        <v>94899.760000000009</v>
      </c>
      <c r="W149" s="782">
        <v>0</v>
      </c>
      <c r="X149" s="782">
        <v>94899.760000000009</v>
      </c>
      <c r="Y149" s="782">
        <v>0</v>
      </c>
      <c r="Z149" s="782">
        <v>94899.760000000009</v>
      </c>
      <c r="AA149" s="782">
        <v>0</v>
      </c>
      <c r="AB149" s="782">
        <v>94899.760000000009</v>
      </c>
      <c r="AC149" s="782">
        <v>0</v>
      </c>
      <c r="AD149" s="782">
        <f t="shared" si="7"/>
        <v>94899.760000000009</v>
      </c>
      <c r="AE149" s="782">
        <f t="shared" si="7"/>
        <v>0</v>
      </c>
      <c r="AF149" s="177"/>
    </row>
    <row r="150" spans="1:32">
      <c r="A150" s="124">
        <v>141</v>
      </c>
      <c r="B150" t="s">
        <v>1657</v>
      </c>
      <c r="C150" s="781" t="s">
        <v>1605</v>
      </c>
      <c r="D150" s="782">
        <v>407009.72000000003</v>
      </c>
      <c r="E150" s="782">
        <v>410655.8</v>
      </c>
      <c r="F150" s="782">
        <v>407009.72000000003</v>
      </c>
      <c r="G150" s="782">
        <v>410940.70999999996</v>
      </c>
      <c r="H150" s="782">
        <v>407009.72000000003</v>
      </c>
      <c r="I150" s="782">
        <v>411225.62</v>
      </c>
      <c r="J150" s="782">
        <v>407009.72000000003</v>
      </c>
      <c r="K150" s="782">
        <v>411510.53</v>
      </c>
      <c r="L150" s="782">
        <v>407009.72000000003</v>
      </c>
      <c r="M150" s="782">
        <v>411795.44</v>
      </c>
      <c r="N150" s="782">
        <v>407009.72000000003</v>
      </c>
      <c r="O150" s="782">
        <v>412080.35</v>
      </c>
      <c r="P150" s="782">
        <v>407009.72000000003</v>
      </c>
      <c r="Q150" s="782">
        <v>412365.26</v>
      </c>
      <c r="R150" s="782">
        <v>407009.72000000003</v>
      </c>
      <c r="S150" s="782">
        <v>412650.17000000004</v>
      </c>
      <c r="T150" s="782">
        <v>407009.72000000003</v>
      </c>
      <c r="U150" s="782">
        <v>412935.08</v>
      </c>
      <c r="V150" s="782">
        <v>407009.72000000003</v>
      </c>
      <c r="W150" s="782">
        <v>413219.99000000005</v>
      </c>
      <c r="X150" s="782">
        <v>407009.72000000003</v>
      </c>
      <c r="Y150" s="782">
        <v>413504.9</v>
      </c>
      <c r="Z150" s="782">
        <v>407009.72000000003</v>
      </c>
      <c r="AA150" s="782">
        <v>413789.81</v>
      </c>
      <c r="AB150" s="782">
        <v>407009.72000000003</v>
      </c>
      <c r="AC150" s="782">
        <v>414074.72</v>
      </c>
      <c r="AD150" s="782">
        <f t="shared" si="7"/>
        <v>407009.72000000003</v>
      </c>
      <c r="AE150" s="782">
        <f t="shared" si="7"/>
        <v>412365.26</v>
      </c>
      <c r="AF150" s="177"/>
    </row>
    <row r="151" spans="1:32">
      <c r="A151" s="124">
        <v>142</v>
      </c>
      <c r="B151" t="s">
        <v>1658</v>
      </c>
      <c r="C151" s="781" t="s">
        <v>1605</v>
      </c>
      <c r="D151" s="782">
        <v>954713.1100000001</v>
      </c>
      <c r="E151" s="782">
        <v>-1.0000000000019327E-2</v>
      </c>
      <c r="F151" s="782">
        <v>954713.11</v>
      </c>
      <c r="G151" s="782">
        <v>-9.9999999999909051E-3</v>
      </c>
      <c r="H151" s="782">
        <v>954713.11</v>
      </c>
      <c r="I151" s="782">
        <v>-9.9999999999909051E-3</v>
      </c>
      <c r="J151" s="782">
        <v>954713.11</v>
      </c>
      <c r="K151" s="782">
        <v>-9.9999999999909051E-3</v>
      </c>
      <c r="L151" s="782">
        <v>954713.11</v>
      </c>
      <c r="M151" s="782">
        <v>-9.9999999999909051E-3</v>
      </c>
      <c r="N151" s="782">
        <v>954713.11</v>
      </c>
      <c r="O151" s="782">
        <v>-9.9999999999909051E-3</v>
      </c>
      <c r="P151" s="782">
        <v>954713.11</v>
      </c>
      <c r="Q151" s="782">
        <v>-9.9999999999909051E-3</v>
      </c>
      <c r="R151" s="782">
        <v>954713.11</v>
      </c>
      <c r="S151" s="782">
        <v>-9.9999999999909051E-3</v>
      </c>
      <c r="T151" s="782">
        <v>954713.11</v>
      </c>
      <c r="U151" s="782">
        <v>-9.9999999999909051E-3</v>
      </c>
      <c r="V151" s="782">
        <v>954713.11</v>
      </c>
      <c r="W151" s="782">
        <v>-9.9999999999909051E-3</v>
      </c>
      <c r="X151" s="782">
        <v>954713.11</v>
      </c>
      <c r="Y151" s="782">
        <v>-9.9999999999909051E-3</v>
      </c>
      <c r="Z151" s="782">
        <v>954713.11</v>
      </c>
      <c r="AA151" s="782">
        <v>-9.9999999999909051E-3</v>
      </c>
      <c r="AB151" s="782">
        <v>954713.11</v>
      </c>
      <c r="AC151" s="782">
        <v>-9.9999999999909051E-3</v>
      </c>
      <c r="AD151" s="782">
        <f t="shared" si="7"/>
        <v>954713.10999999987</v>
      </c>
      <c r="AE151" s="782">
        <f t="shared" si="7"/>
        <v>-9.9999999999920899E-3</v>
      </c>
      <c r="AF151" s="177"/>
    </row>
    <row r="152" spans="1:32">
      <c r="A152" s="124">
        <v>143</v>
      </c>
      <c r="B152" t="s">
        <v>1659</v>
      </c>
      <c r="C152" s="781" t="s">
        <v>1605</v>
      </c>
      <c r="D152" s="782">
        <v>6373824.5300000003</v>
      </c>
      <c r="E152" s="782">
        <v>6455572.3399999999</v>
      </c>
      <c r="F152" s="782">
        <v>6375122.4700000007</v>
      </c>
      <c r="G152" s="782">
        <v>6455572.3399999999</v>
      </c>
      <c r="H152" s="782">
        <v>6380032.3499999996</v>
      </c>
      <c r="I152" s="782">
        <v>6455572.3399999999</v>
      </c>
      <c r="J152" s="782">
        <v>6387835.1299999999</v>
      </c>
      <c r="K152" s="782">
        <v>6455572.3399999999</v>
      </c>
      <c r="L152" s="782">
        <v>6417323.0500000007</v>
      </c>
      <c r="M152" s="782">
        <v>6455572.3399999999</v>
      </c>
      <c r="N152" s="782">
        <v>6434536.2799999993</v>
      </c>
      <c r="O152" s="782">
        <v>6455572.3399999999</v>
      </c>
      <c r="P152" s="782">
        <v>6434536.2799999993</v>
      </c>
      <c r="Q152" s="782">
        <v>6455572.3399999999</v>
      </c>
      <c r="R152" s="782">
        <v>6434536.2799999993</v>
      </c>
      <c r="S152" s="782">
        <v>6455572.3399999999</v>
      </c>
      <c r="T152" s="782">
        <v>6434536.2799999993</v>
      </c>
      <c r="U152" s="782">
        <v>6455572.3399999999</v>
      </c>
      <c r="V152" s="782">
        <v>6434536.2799999993</v>
      </c>
      <c r="W152" s="782">
        <v>6455572.3399999999</v>
      </c>
      <c r="X152" s="782">
        <v>6434536.2799999993</v>
      </c>
      <c r="Y152" s="782">
        <v>6455572.3399999999</v>
      </c>
      <c r="Z152" s="782">
        <v>6434536.2799999993</v>
      </c>
      <c r="AA152" s="782">
        <v>6455572.3399999999</v>
      </c>
      <c r="AB152" s="782">
        <v>6434391.7400000002</v>
      </c>
      <c r="AC152" s="782">
        <v>6455572.3399999999</v>
      </c>
      <c r="AD152" s="782">
        <f t="shared" si="7"/>
        <v>6417181.2579166675</v>
      </c>
      <c r="AE152" s="782">
        <f t="shared" si="7"/>
        <v>6455572.3400000008</v>
      </c>
      <c r="AF152" s="177"/>
    </row>
    <row r="153" spans="1:32">
      <c r="A153" s="124">
        <v>144</v>
      </c>
      <c r="B153" t="s">
        <v>1660</v>
      </c>
      <c r="C153" s="781" t="s">
        <v>1605</v>
      </c>
      <c r="D153" s="782">
        <v>1820761.6300000001</v>
      </c>
      <c r="E153" s="782">
        <v>931094.82000000007</v>
      </c>
      <c r="F153" s="782">
        <v>1813250.75</v>
      </c>
      <c r="G153" s="782">
        <v>990375.55</v>
      </c>
      <c r="H153" s="782">
        <v>1813250.75</v>
      </c>
      <c r="I153" s="782">
        <v>1056891.6299999999</v>
      </c>
      <c r="J153" s="782">
        <v>1866477.73</v>
      </c>
      <c r="K153" s="782">
        <v>1123407.71</v>
      </c>
      <c r="L153" s="782">
        <v>1866477.73</v>
      </c>
      <c r="M153" s="782">
        <v>1191876.33</v>
      </c>
      <c r="N153" s="782">
        <v>1866477.73</v>
      </c>
      <c r="O153" s="782">
        <v>1260344.95</v>
      </c>
      <c r="P153" s="782">
        <v>1855006.3900000001</v>
      </c>
      <c r="Q153" s="782">
        <v>1317342.23</v>
      </c>
      <c r="R153" s="782">
        <v>1855006.3900000001</v>
      </c>
      <c r="S153" s="782">
        <v>1385390.05</v>
      </c>
      <c r="T153" s="782">
        <v>1807953.96</v>
      </c>
      <c r="U153" s="782">
        <v>1406385.44</v>
      </c>
      <c r="V153" s="782">
        <v>1792925</v>
      </c>
      <c r="W153" s="782">
        <v>1457678.26</v>
      </c>
      <c r="X153" s="782">
        <v>1792925</v>
      </c>
      <c r="Y153" s="782">
        <v>1523448.73</v>
      </c>
      <c r="Z153" s="782">
        <v>1695803.22</v>
      </c>
      <c r="AA153" s="782">
        <v>1492097.42</v>
      </c>
      <c r="AB153" s="782">
        <v>1670342.96</v>
      </c>
      <c r="AC153" s="782">
        <v>1242567.75</v>
      </c>
      <c r="AD153" s="782">
        <f t="shared" si="7"/>
        <v>1814258.9120833334</v>
      </c>
      <c r="AE153" s="782">
        <f t="shared" si="7"/>
        <v>1274339.1320833333</v>
      </c>
      <c r="AF153" s="177"/>
    </row>
    <row r="154" spans="1:32">
      <c r="A154" s="124">
        <v>145</v>
      </c>
      <c r="B154" t="s">
        <v>1661</v>
      </c>
      <c r="C154" s="781" t="s">
        <v>1605</v>
      </c>
      <c r="D154" s="782">
        <v>156609.65000000002</v>
      </c>
      <c r="E154" s="782">
        <v>-57312</v>
      </c>
      <c r="F154" s="782">
        <v>156609.65</v>
      </c>
      <c r="G154" s="782">
        <v>-53870.5</v>
      </c>
      <c r="H154" s="782">
        <v>156609.65</v>
      </c>
      <c r="I154" s="782">
        <v>-50429</v>
      </c>
      <c r="J154" s="782">
        <v>156609.65</v>
      </c>
      <c r="K154" s="782">
        <v>-46987.5</v>
      </c>
      <c r="L154" s="782">
        <v>156609.65</v>
      </c>
      <c r="M154" s="782">
        <v>-43546</v>
      </c>
      <c r="N154" s="782">
        <v>156609.65</v>
      </c>
      <c r="O154" s="782">
        <v>-40104.5</v>
      </c>
      <c r="P154" s="782">
        <v>156609.65</v>
      </c>
      <c r="Q154" s="782">
        <v>-36663</v>
      </c>
      <c r="R154" s="782">
        <v>156609.65</v>
      </c>
      <c r="S154" s="782">
        <v>-33221.5</v>
      </c>
      <c r="T154" s="782">
        <v>156609.65</v>
      </c>
      <c r="U154" s="782">
        <v>-29780</v>
      </c>
      <c r="V154" s="782">
        <v>156609.65</v>
      </c>
      <c r="W154" s="782">
        <v>-26338.5</v>
      </c>
      <c r="X154" s="782">
        <v>156609.65</v>
      </c>
      <c r="Y154" s="782">
        <v>-22897</v>
      </c>
      <c r="Z154" s="782">
        <v>156609.65</v>
      </c>
      <c r="AA154" s="782">
        <v>-19455.5</v>
      </c>
      <c r="AB154" s="782">
        <v>156609.65</v>
      </c>
      <c r="AC154" s="782">
        <v>-16014</v>
      </c>
      <c r="AD154" s="782">
        <f t="shared" si="7"/>
        <v>156609.65</v>
      </c>
      <c r="AE154" s="782">
        <f t="shared" si="7"/>
        <v>-36663</v>
      </c>
      <c r="AF154" s="177"/>
    </row>
    <row r="155" spans="1:32">
      <c r="A155" s="124">
        <v>146</v>
      </c>
      <c r="B155" t="s">
        <v>1662</v>
      </c>
      <c r="C155" s="781" t="s">
        <v>1605</v>
      </c>
      <c r="D155" s="782">
        <v>1325227.26</v>
      </c>
      <c r="E155" s="782">
        <v>692259.48</v>
      </c>
      <c r="F155" s="782">
        <v>1325227.26</v>
      </c>
      <c r="G155" s="782">
        <v>713242.24</v>
      </c>
      <c r="H155" s="782">
        <v>1327352.8700000001</v>
      </c>
      <c r="I155" s="782">
        <v>734225</v>
      </c>
      <c r="J155" s="782">
        <v>1342928.49</v>
      </c>
      <c r="K155" s="782">
        <v>755241.42</v>
      </c>
      <c r="L155" s="782">
        <v>1343060.8900000001</v>
      </c>
      <c r="M155" s="782">
        <v>776504.45</v>
      </c>
      <c r="N155" s="782">
        <v>1344265.19</v>
      </c>
      <c r="O155" s="782">
        <v>797769.58</v>
      </c>
      <c r="P155" s="782">
        <v>1344310.83</v>
      </c>
      <c r="Q155" s="782">
        <v>819053.78</v>
      </c>
      <c r="R155" s="782">
        <v>1344310.83</v>
      </c>
      <c r="S155" s="782">
        <v>840338.7</v>
      </c>
      <c r="T155" s="782">
        <v>1344310.83</v>
      </c>
      <c r="U155" s="782">
        <v>861623.62000000011</v>
      </c>
      <c r="V155" s="782">
        <v>1344310.83</v>
      </c>
      <c r="W155" s="782">
        <v>882908.54</v>
      </c>
      <c r="X155" s="782">
        <v>1344310.83</v>
      </c>
      <c r="Y155" s="782">
        <v>904193.46</v>
      </c>
      <c r="Z155" s="782">
        <v>1344310.83</v>
      </c>
      <c r="AA155" s="782">
        <v>925478.38</v>
      </c>
      <c r="AB155" s="782">
        <v>1344233.56</v>
      </c>
      <c r="AC155" s="782">
        <v>946763.3</v>
      </c>
      <c r="AD155" s="782">
        <f t="shared" si="7"/>
        <v>1340285.8408333333</v>
      </c>
      <c r="AE155" s="782">
        <f t="shared" si="7"/>
        <v>819174.21333333349</v>
      </c>
      <c r="AF155" s="177"/>
    </row>
    <row r="156" spans="1:32">
      <c r="A156" s="124">
        <v>147</v>
      </c>
      <c r="B156" t="s">
        <v>1663</v>
      </c>
      <c r="C156" s="781" t="s">
        <v>1605</v>
      </c>
      <c r="D156" s="782">
        <v>0</v>
      </c>
      <c r="E156" s="782">
        <v>0.02</v>
      </c>
      <c r="F156" s="782">
        <v>0</v>
      </c>
      <c r="G156" s="782">
        <v>0.02</v>
      </c>
      <c r="H156" s="782">
        <v>0</v>
      </c>
      <c r="I156" s="782">
        <v>0.02</v>
      </c>
      <c r="J156" s="782">
        <v>0</v>
      </c>
      <c r="K156" s="782">
        <v>0.02</v>
      </c>
      <c r="L156" s="782">
        <v>0</v>
      </c>
      <c r="M156" s="782">
        <v>0.02</v>
      </c>
      <c r="N156" s="782">
        <v>0</v>
      </c>
      <c r="O156" s="782">
        <v>0.02</v>
      </c>
      <c r="P156" s="782">
        <v>0</v>
      </c>
      <c r="Q156" s="782">
        <v>0.02</v>
      </c>
      <c r="R156" s="782">
        <v>0</v>
      </c>
      <c r="S156" s="782">
        <v>0.02</v>
      </c>
      <c r="T156" s="782">
        <v>0</v>
      </c>
      <c r="U156" s="782">
        <v>0.02</v>
      </c>
      <c r="V156" s="782">
        <v>0</v>
      </c>
      <c r="W156" s="782">
        <v>0.02</v>
      </c>
      <c r="X156" s="782">
        <v>0</v>
      </c>
      <c r="Y156" s="782">
        <v>0.02</v>
      </c>
      <c r="Z156" s="782">
        <v>0</v>
      </c>
      <c r="AA156" s="782">
        <v>0.02</v>
      </c>
      <c r="AB156" s="782">
        <v>0</v>
      </c>
      <c r="AC156" s="782">
        <v>0.02</v>
      </c>
      <c r="AD156" s="782">
        <f t="shared" si="7"/>
        <v>0</v>
      </c>
      <c r="AE156" s="782">
        <f t="shared" si="7"/>
        <v>1.9999999999999997E-2</v>
      </c>
      <c r="AF156" s="177"/>
    </row>
    <row r="157" spans="1:32">
      <c r="A157" s="124">
        <v>148</v>
      </c>
      <c r="B157" t="s">
        <v>1664</v>
      </c>
      <c r="C157" s="781" t="s">
        <v>1605</v>
      </c>
      <c r="D157" s="782">
        <v>7723.92</v>
      </c>
      <c r="E157" s="782">
        <v>6931.79</v>
      </c>
      <c r="F157" s="782">
        <v>7723.92</v>
      </c>
      <c r="G157" s="782">
        <v>6936.0999999999995</v>
      </c>
      <c r="H157" s="782">
        <v>7723.92</v>
      </c>
      <c r="I157" s="782">
        <v>6940.41</v>
      </c>
      <c r="J157" s="782">
        <v>7723.92</v>
      </c>
      <c r="K157" s="782">
        <v>6944.7199999999993</v>
      </c>
      <c r="L157" s="782">
        <v>7723.92</v>
      </c>
      <c r="M157" s="782">
        <v>6949.03</v>
      </c>
      <c r="N157" s="782">
        <v>7723.92</v>
      </c>
      <c r="O157" s="782">
        <v>6951.5</v>
      </c>
      <c r="P157" s="782">
        <v>7723.92</v>
      </c>
      <c r="Q157" s="782">
        <v>6951.5</v>
      </c>
      <c r="R157" s="782">
        <v>7723.92</v>
      </c>
      <c r="S157" s="782">
        <v>6951.5</v>
      </c>
      <c r="T157" s="782">
        <v>7723.92</v>
      </c>
      <c r="U157" s="782">
        <v>6951.5</v>
      </c>
      <c r="V157" s="782">
        <v>7723.92</v>
      </c>
      <c r="W157" s="782">
        <v>6951.5</v>
      </c>
      <c r="X157" s="782">
        <v>7723.92</v>
      </c>
      <c r="Y157" s="782">
        <v>6951.5</v>
      </c>
      <c r="Z157" s="782">
        <v>7723.92</v>
      </c>
      <c r="AA157" s="782">
        <v>6951.5</v>
      </c>
      <c r="AB157" s="782">
        <v>7723.92</v>
      </c>
      <c r="AC157" s="782">
        <v>6951.5</v>
      </c>
      <c r="AD157" s="782">
        <f t="shared" si="7"/>
        <v>7723.9199999999992</v>
      </c>
      <c r="AE157" s="782">
        <f t="shared" si="7"/>
        <v>6947.7004166666666</v>
      </c>
      <c r="AF157" s="177"/>
    </row>
    <row r="158" spans="1:32">
      <c r="A158" s="124">
        <v>149</v>
      </c>
      <c r="B158" t="s">
        <v>1665</v>
      </c>
      <c r="C158" s="781" t="s">
        <v>1605</v>
      </c>
      <c r="D158" s="782">
        <v>2378232.38</v>
      </c>
      <c r="E158" s="782">
        <v>896448.14</v>
      </c>
      <c r="F158" s="782">
        <v>2327370.7200000002</v>
      </c>
      <c r="G158" s="782">
        <v>869156.84</v>
      </c>
      <c r="H158" s="782">
        <v>2327370.7200000002</v>
      </c>
      <c r="I158" s="782">
        <v>880580.35</v>
      </c>
      <c r="J158" s="782">
        <v>2318297.08</v>
      </c>
      <c r="K158" s="782">
        <v>878208.57000000007</v>
      </c>
      <c r="L158" s="782">
        <v>2358679.2999999998</v>
      </c>
      <c r="M158" s="782">
        <v>889587.54</v>
      </c>
      <c r="N158" s="782">
        <v>2259517.5</v>
      </c>
      <c r="O158" s="782">
        <v>866579.27</v>
      </c>
      <c r="P158" s="782">
        <v>2259517.5</v>
      </c>
      <c r="Q158" s="782">
        <v>877669.74</v>
      </c>
      <c r="R158" s="782">
        <v>2170185.21</v>
      </c>
      <c r="S158" s="782">
        <v>809030.87000000011</v>
      </c>
      <c r="T158" s="782">
        <v>2170185.21</v>
      </c>
      <c r="U158" s="782">
        <v>819682.87</v>
      </c>
      <c r="V158" s="782">
        <v>1967793.72</v>
      </c>
      <c r="W158" s="782">
        <v>691946.03</v>
      </c>
      <c r="X158" s="782">
        <v>1967793.72</v>
      </c>
      <c r="Y158" s="782">
        <v>701604.62</v>
      </c>
      <c r="Z158" s="782">
        <v>1967793.72</v>
      </c>
      <c r="AA158" s="782">
        <v>711263.21000000008</v>
      </c>
      <c r="AB158" s="782">
        <v>1979260.74</v>
      </c>
      <c r="AC158" s="782">
        <v>705462.58000000007</v>
      </c>
      <c r="AD158" s="782">
        <f t="shared" si="7"/>
        <v>2189437.5799999996</v>
      </c>
      <c r="AE158" s="782">
        <f t="shared" si="7"/>
        <v>816355.43916666682</v>
      </c>
      <c r="AF158" s="177"/>
    </row>
    <row r="159" spans="1:32">
      <c r="A159" s="124">
        <v>150</v>
      </c>
      <c r="B159" t="s">
        <v>1666</v>
      </c>
      <c r="C159" s="781" t="s">
        <v>1605</v>
      </c>
      <c r="D159" s="782">
        <v>50478.8</v>
      </c>
      <c r="E159" s="782">
        <v>50478.8</v>
      </c>
      <c r="F159" s="782">
        <v>50478.8</v>
      </c>
      <c r="G159" s="782">
        <v>50478.8</v>
      </c>
      <c r="H159" s="782">
        <v>50478.8</v>
      </c>
      <c r="I159" s="782">
        <v>50478.8</v>
      </c>
      <c r="J159" s="782">
        <v>50478.8</v>
      </c>
      <c r="K159" s="782">
        <v>50478.8</v>
      </c>
      <c r="L159" s="782">
        <v>50478.8</v>
      </c>
      <c r="M159" s="782">
        <v>50478.8</v>
      </c>
      <c r="N159" s="782">
        <v>50478.8</v>
      </c>
      <c r="O159" s="782">
        <v>50478.8</v>
      </c>
      <c r="P159" s="782">
        <v>50478.8</v>
      </c>
      <c r="Q159" s="782">
        <v>50478.8</v>
      </c>
      <c r="R159" s="782">
        <v>50478.8</v>
      </c>
      <c r="S159" s="782">
        <v>50478.8</v>
      </c>
      <c r="T159" s="782">
        <v>50478.8</v>
      </c>
      <c r="U159" s="782">
        <v>50478.8</v>
      </c>
      <c r="V159" s="782">
        <v>50478.8</v>
      </c>
      <c r="W159" s="782">
        <v>50478.8</v>
      </c>
      <c r="X159" s="782">
        <v>50478.8</v>
      </c>
      <c r="Y159" s="782">
        <v>50478.8</v>
      </c>
      <c r="Z159" s="782">
        <v>50478.8</v>
      </c>
      <c r="AA159" s="782">
        <v>50478.8</v>
      </c>
      <c r="AB159" s="782">
        <v>50478.8</v>
      </c>
      <c r="AC159" s="782">
        <v>50478.8</v>
      </c>
      <c r="AD159" s="782">
        <f t="shared" si="7"/>
        <v>50478.799999999996</v>
      </c>
      <c r="AE159" s="782">
        <f t="shared" si="7"/>
        <v>50478.799999999996</v>
      </c>
      <c r="AF159" s="177"/>
    </row>
    <row r="160" spans="1:32">
      <c r="A160" s="124">
        <v>151</v>
      </c>
      <c r="B160" t="s">
        <v>1667</v>
      </c>
      <c r="C160" s="781" t="s">
        <v>1605</v>
      </c>
      <c r="D160" s="782">
        <v>3145014.69</v>
      </c>
      <c r="E160" s="782">
        <v>1288513.7</v>
      </c>
      <c r="F160" s="782">
        <v>3171611.38</v>
      </c>
      <c r="G160" s="782">
        <v>1316451.92</v>
      </c>
      <c r="H160" s="782">
        <v>3171611.38</v>
      </c>
      <c r="I160" s="782">
        <v>1344626.4</v>
      </c>
      <c r="J160" s="782">
        <v>3168889.38</v>
      </c>
      <c r="K160" s="782">
        <v>1370078.88</v>
      </c>
      <c r="L160" s="782">
        <v>3172690.2600000002</v>
      </c>
      <c r="M160" s="782">
        <v>1398229.1800000002</v>
      </c>
      <c r="N160" s="782">
        <v>3233242.3500000006</v>
      </c>
      <c r="O160" s="782">
        <v>1426413.25</v>
      </c>
      <c r="P160" s="782">
        <v>3381071.13</v>
      </c>
      <c r="Q160" s="782">
        <v>1455135.22</v>
      </c>
      <c r="R160" s="782">
        <v>3381071.13</v>
      </c>
      <c r="S160" s="782">
        <v>1485170.4000000001</v>
      </c>
      <c r="T160" s="782">
        <v>3381071.13</v>
      </c>
      <c r="U160" s="782">
        <v>1515205.58</v>
      </c>
      <c r="V160" s="782">
        <v>3594127.5</v>
      </c>
      <c r="W160" s="782">
        <v>1545240.76</v>
      </c>
      <c r="X160" s="782">
        <v>3619495.65</v>
      </c>
      <c r="Y160" s="782">
        <v>1492651.83</v>
      </c>
      <c r="Z160" s="782">
        <v>3646508.38</v>
      </c>
      <c r="AA160" s="782">
        <v>1524805.01</v>
      </c>
      <c r="AB160" s="782">
        <v>3666179.2800000003</v>
      </c>
      <c r="AC160" s="782">
        <v>1557422.6400000001</v>
      </c>
      <c r="AD160" s="782">
        <f t="shared" si="7"/>
        <v>3360582.2212499995</v>
      </c>
      <c r="AE160" s="782">
        <f t="shared" si="7"/>
        <v>1441414.7166666668</v>
      </c>
      <c r="AF160" s="177"/>
    </row>
    <row r="161" spans="1:41">
      <c r="A161" s="124">
        <v>152</v>
      </c>
      <c r="B161" t="s">
        <v>1668</v>
      </c>
      <c r="C161" s="781" t="s">
        <v>1605</v>
      </c>
      <c r="D161" s="782">
        <v>78998.84</v>
      </c>
      <c r="E161" s="782">
        <v>55333.89</v>
      </c>
      <c r="F161" s="782">
        <v>78998.84</v>
      </c>
      <c r="G161" s="782">
        <v>56291.75</v>
      </c>
      <c r="H161" s="782">
        <v>78998.84</v>
      </c>
      <c r="I161" s="782">
        <v>57249.61</v>
      </c>
      <c r="J161" s="782">
        <v>78998.84</v>
      </c>
      <c r="K161" s="782">
        <v>58207.47</v>
      </c>
      <c r="L161" s="782">
        <v>78998.84</v>
      </c>
      <c r="M161" s="782">
        <v>59165.33</v>
      </c>
      <c r="N161" s="782">
        <v>78998.84</v>
      </c>
      <c r="O161" s="782">
        <v>60123.19</v>
      </c>
      <c r="P161" s="782">
        <v>78998.84</v>
      </c>
      <c r="Q161" s="782">
        <v>61081.05</v>
      </c>
      <c r="R161" s="782">
        <v>78998.84</v>
      </c>
      <c r="S161" s="782">
        <v>62038.91</v>
      </c>
      <c r="T161" s="782">
        <v>78998.84</v>
      </c>
      <c r="U161" s="782">
        <v>62996.77</v>
      </c>
      <c r="V161" s="782">
        <v>78998.84</v>
      </c>
      <c r="W161" s="782">
        <v>63954.63</v>
      </c>
      <c r="X161" s="782">
        <v>78998.84</v>
      </c>
      <c r="Y161" s="782">
        <v>64912.49</v>
      </c>
      <c r="Z161" s="782">
        <v>78998.84</v>
      </c>
      <c r="AA161" s="782">
        <v>65870.350000000006</v>
      </c>
      <c r="AB161" s="782">
        <v>78998.84</v>
      </c>
      <c r="AC161" s="782">
        <v>66828.209999999992</v>
      </c>
      <c r="AD161" s="782">
        <f t="shared" si="7"/>
        <v>78998.839999999982</v>
      </c>
      <c r="AE161" s="782">
        <f t="shared" si="7"/>
        <v>61081.05000000001</v>
      </c>
      <c r="AF161" s="177"/>
    </row>
    <row r="162" spans="1:41">
      <c r="A162" s="124">
        <v>153</v>
      </c>
      <c r="B162" t="s">
        <v>1669</v>
      </c>
      <c r="C162" s="781" t="s">
        <v>1605</v>
      </c>
      <c r="D162" s="782">
        <v>62068.36</v>
      </c>
      <c r="E162" s="782">
        <v>66197</v>
      </c>
      <c r="F162" s="782">
        <v>62068.36</v>
      </c>
      <c r="G162" s="782">
        <v>66197</v>
      </c>
      <c r="H162" s="782">
        <v>62068.36</v>
      </c>
      <c r="I162" s="782">
        <v>66197</v>
      </c>
      <c r="J162" s="782">
        <v>62068.36</v>
      </c>
      <c r="K162" s="782">
        <v>66197</v>
      </c>
      <c r="L162" s="782">
        <v>62068.36</v>
      </c>
      <c r="M162" s="782">
        <v>66197</v>
      </c>
      <c r="N162" s="782">
        <v>62068.36</v>
      </c>
      <c r="O162" s="782">
        <v>66197</v>
      </c>
      <c r="P162" s="782">
        <v>62068.36</v>
      </c>
      <c r="Q162" s="782">
        <v>66197</v>
      </c>
      <c r="R162" s="782">
        <v>62068.36</v>
      </c>
      <c r="S162" s="782">
        <v>66197</v>
      </c>
      <c r="T162" s="782">
        <v>62068.36</v>
      </c>
      <c r="U162" s="782">
        <v>66197</v>
      </c>
      <c r="V162" s="782">
        <v>62068.36</v>
      </c>
      <c r="W162" s="782">
        <v>66197</v>
      </c>
      <c r="X162" s="782">
        <v>62068.36</v>
      </c>
      <c r="Y162" s="782">
        <v>66197</v>
      </c>
      <c r="Z162" s="782">
        <v>62068.36</v>
      </c>
      <c r="AA162" s="782">
        <v>66197</v>
      </c>
      <c r="AB162" s="782">
        <v>62068.36</v>
      </c>
      <c r="AC162" s="782">
        <v>66197</v>
      </c>
      <c r="AD162" s="782">
        <f t="shared" ref="AD162:AE170" si="8">+(D162+AB162+(+F162+H162+J162+L162+N162+P162+R162+T162+V162+X162+Z162)*2)/24</f>
        <v>62068.359999999993</v>
      </c>
      <c r="AE162" s="782">
        <f t="shared" si="8"/>
        <v>66197</v>
      </c>
      <c r="AF162" s="177"/>
    </row>
    <row r="163" spans="1:41">
      <c r="A163" s="124">
        <v>154</v>
      </c>
      <c r="B163" t="s">
        <v>1670</v>
      </c>
      <c r="C163" s="781" t="s">
        <v>1605</v>
      </c>
      <c r="D163" s="782">
        <v>929360.53</v>
      </c>
      <c r="E163" s="782">
        <v>22515.69</v>
      </c>
      <c r="F163" s="782">
        <v>929856.63</v>
      </c>
      <c r="G163" s="782">
        <v>26659.09</v>
      </c>
      <c r="H163" s="782">
        <v>929856.63</v>
      </c>
      <c r="I163" s="782">
        <v>30804.7</v>
      </c>
      <c r="J163" s="782">
        <v>929856.63</v>
      </c>
      <c r="K163" s="782">
        <v>34950.31</v>
      </c>
      <c r="L163" s="782">
        <v>929856.63</v>
      </c>
      <c r="M163" s="782">
        <v>39095.919999999998</v>
      </c>
      <c r="N163" s="782">
        <v>929856.63</v>
      </c>
      <c r="O163" s="782">
        <v>43241.53</v>
      </c>
      <c r="P163" s="782">
        <v>929856.63</v>
      </c>
      <c r="Q163" s="782">
        <v>47387.14</v>
      </c>
      <c r="R163" s="782">
        <v>929856.63</v>
      </c>
      <c r="S163" s="782">
        <v>51532.75</v>
      </c>
      <c r="T163" s="782">
        <v>929856.63</v>
      </c>
      <c r="U163" s="782">
        <v>55678.36</v>
      </c>
      <c r="V163" s="782">
        <v>929856.63</v>
      </c>
      <c r="W163" s="782">
        <v>59823.97</v>
      </c>
      <c r="X163" s="782">
        <v>929856.63</v>
      </c>
      <c r="Y163" s="782">
        <v>63969.58</v>
      </c>
      <c r="Z163" s="782">
        <v>929856.63</v>
      </c>
      <c r="AA163" s="782">
        <v>68115.19</v>
      </c>
      <c r="AB163" s="782">
        <v>3378859.96</v>
      </c>
      <c r="AC163" s="782">
        <v>72260.800000000003</v>
      </c>
      <c r="AD163" s="782">
        <f t="shared" si="8"/>
        <v>1031877.7645833334</v>
      </c>
      <c r="AE163" s="782">
        <f t="shared" si="8"/>
        <v>47387.232083333336</v>
      </c>
      <c r="AF163" s="177"/>
    </row>
    <row r="164" spans="1:41">
      <c r="A164" s="124">
        <v>155</v>
      </c>
      <c r="B164" t="s">
        <v>1671</v>
      </c>
      <c r="C164" s="781" t="s">
        <v>1605</v>
      </c>
      <c r="D164" s="782">
        <v>20020.550000000003</v>
      </c>
      <c r="E164" s="782">
        <v>7895.56</v>
      </c>
      <c r="F164" s="782">
        <v>20020.55</v>
      </c>
      <c r="G164" s="782">
        <v>8012.18</v>
      </c>
      <c r="H164" s="782">
        <v>20020.55</v>
      </c>
      <c r="I164" s="782">
        <v>8128.8</v>
      </c>
      <c r="J164" s="782">
        <v>20020.55</v>
      </c>
      <c r="K164" s="782">
        <v>8245.42</v>
      </c>
      <c r="L164" s="782">
        <v>20020.55</v>
      </c>
      <c r="M164" s="782">
        <v>8362.0400000000009</v>
      </c>
      <c r="N164" s="782">
        <v>20020.55</v>
      </c>
      <c r="O164" s="782">
        <v>8478.66</v>
      </c>
      <c r="P164" s="782">
        <v>20020.55</v>
      </c>
      <c r="Q164" s="782">
        <v>8595.2800000000007</v>
      </c>
      <c r="R164" s="782">
        <v>20020.55</v>
      </c>
      <c r="S164" s="782">
        <v>8711.9</v>
      </c>
      <c r="T164" s="782">
        <v>20020.55</v>
      </c>
      <c r="U164" s="782">
        <v>8828.52</v>
      </c>
      <c r="V164" s="782">
        <v>20020.55</v>
      </c>
      <c r="W164" s="782">
        <v>8945.1400000000012</v>
      </c>
      <c r="X164" s="782">
        <v>20020.55</v>
      </c>
      <c r="Y164" s="782">
        <v>9061.76</v>
      </c>
      <c r="Z164" s="782">
        <v>20020.55</v>
      </c>
      <c r="AA164" s="782">
        <v>9178.380000000001</v>
      </c>
      <c r="AB164" s="782">
        <v>20020.55</v>
      </c>
      <c r="AC164" s="782">
        <v>9295</v>
      </c>
      <c r="AD164" s="782">
        <f t="shared" si="8"/>
        <v>20020.55</v>
      </c>
      <c r="AE164" s="782">
        <f t="shared" si="8"/>
        <v>8595.2800000000007</v>
      </c>
      <c r="AF164" s="177"/>
    </row>
    <row r="165" spans="1:41">
      <c r="A165" s="124">
        <v>156</v>
      </c>
      <c r="B165" t="s">
        <v>1672</v>
      </c>
      <c r="C165" s="781" t="s">
        <v>1605</v>
      </c>
      <c r="D165" s="782">
        <v>674433.33000000007</v>
      </c>
      <c r="E165" s="782">
        <v>84446.25</v>
      </c>
      <c r="F165" s="782">
        <v>674433.33000000007</v>
      </c>
      <c r="G165" s="782">
        <v>87554.26</v>
      </c>
      <c r="H165" s="782">
        <v>674433.33000000007</v>
      </c>
      <c r="I165" s="782">
        <v>90662.27</v>
      </c>
      <c r="J165" s="782">
        <v>674433.33000000007</v>
      </c>
      <c r="K165" s="782">
        <v>93770.28</v>
      </c>
      <c r="L165" s="782">
        <v>674433.33000000007</v>
      </c>
      <c r="M165" s="782">
        <v>96878.290000000008</v>
      </c>
      <c r="N165" s="782">
        <v>674433.33000000007</v>
      </c>
      <c r="O165" s="782">
        <v>99986.3</v>
      </c>
      <c r="P165" s="782">
        <v>674433.33000000007</v>
      </c>
      <c r="Q165" s="782">
        <v>103094.31</v>
      </c>
      <c r="R165" s="782">
        <v>674433.33000000007</v>
      </c>
      <c r="S165" s="782">
        <v>106202.32</v>
      </c>
      <c r="T165" s="782">
        <v>674433.33000000007</v>
      </c>
      <c r="U165" s="782">
        <v>109310.33</v>
      </c>
      <c r="V165" s="782">
        <v>674433.33000000007</v>
      </c>
      <c r="W165" s="782">
        <v>112418.34</v>
      </c>
      <c r="X165" s="782">
        <v>674433.33000000007</v>
      </c>
      <c r="Y165" s="782">
        <v>115526.35</v>
      </c>
      <c r="Z165" s="782">
        <v>674433.33000000007</v>
      </c>
      <c r="AA165" s="782">
        <v>118634.36</v>
      </c>
      <c r="AB165" s="782">
        <v>875836.56</v>
      </c>
      <c r="AC165" s="782">
        <v>121742.37000000001</v>
      </c>
      <c r="AD165" s="782">
        <f t="shared" si="8"/>
        <v>682825.13125000009</v>
      </c>
      <c r="AE165" s="782">
        <f t="shared" si="8"/>
        <v>103094.31</v>
      </c>
      <c r="AF165" s="177"/>
    </row>
    <row r="166" spans="1:41">
      <c r="A166" s="124">
        <v>157</v>
      </c>
      <c r="B166" t="s">
        <v>1673</v>
      </c>
      <c r="C166" s="781" t="s">
        <v>1605</v>
      </c>
      <c r="D166" s="782">
        <v>74374.23000000001</v>
      </c>
      <c r="E166" s="782">
        <v>4018.62</v>
      </c>
      <c r="F166" s="782">
        <v>74374.23000000001</v>
      </c>
      <c r="G166" s="782">
        <v>5358.6</v>
      </c>
      <c r="H166" s="782">
        <v>74374.23000000001</v>
      </c>
      <c r="I166" s="782">
        <v>6698.58</v>
      </c>
      <c r="J166" s="782">
        <v>74374.23000000001</v>
      </c>
      <c r="K166" s="782">
        <v>8038.56</v>
      </c>
      <c r="L166" s="782">
        <v>74374.23000000001</v>
      </c>
      <c r="M166" s="782">
        <v>9378.5400000000009</v>
      </c>
      <c r="N166" s="782">
        <v>74374.23000000001</v>
      </c>
      <c r="O166" s="782">
        <v>-44238.11</v>
      </c>
      <c r="P166" s="782">
        <v>74374.23000000001</v>
      </c>
      <c r="Q166" s="782">
        <v>-42898.130000000005</v>
      </c>
      <c r="R166" s="782">
        <v>74374.23000000001</v>
      </c>
      <c r="S166" s="782">
        <v>-41558.15</v>
      </c>
      <c r="T166" s="782">
        <v>74374.23000000001</v>
      </c>
      <c r="U166" s="782">
        <v>-40218.17</v>
      </c>
      <c r="V166" s="782">
        <v>74374.23000000001</v>
      </c>
      <c r="W166" s="782">
        <v>-59322.090000000004</v>
      </c>
      <c r="X166" s="782">
        <v>74374.23000000001</v>
      </c>
      <c r="Y166" s="782">
        <v>-57982.11</v>
      </c>
      <c r="Z166" s="782">
        <v>74374.23000000001</v>
      </c>
      <c r="AA166" s="782">
        <v>-56642.13</v>
      </c>
      <c r="AB166" s="782">
        <v>74374.23000000001</v>
      </c>
      <c r="AC166" s="782">
        <v>-55302.15</v>
      </c>
      <c r="AD166" s="782">
        <f t="shared" si="8"/>
        <v>74374.23</v>
      </c>
      <c r="AE166" s="782">
        <f t="shared" si="8"/>
        <v>-28252.197916666672</v>
      </c>
      <c r="AF166" s="177"/>
    </row>
    <row r="167" spans="1:41">
      <c r="A167" s="124">
        <v>158</v>
      </c>
      <c r="B167" t="s">
        <v>1674</v>
      </c>
      <c r="C167" s="781" t="s">
        <v>1605</v>
      </c>
      <c r="D167" s="782">
        <v>84452.06</v>
      </c>
      <c r="E167" s="782">
        <v>35852.53</v>
      </c>
      <c r="F167" s="782">
        <v>84452.06</v>
      </c>
      <c r="G167" s="782">
        <v>36158.67</v>
      </c>
      <c r="H167" s="782">
        <v>84452.06</v>
      </c>
      <c r="I167" s="782">
        <v>36464.81</v>
      </c>
      <c r="J167" s="782">
        <v>84452.06</v>
      </c>
      <c r="K167" s="782">
        <v>36770.949999999997</v>
      </c>
      <c r="L167" s="782">
        <v>84452.06</v>
      </c>
      <c r="M167" s="782">
        <v>37077.089999999997</v>
      </c>
      <c r="N167" s="782">
        <v>84452.06</v>
      </c>
      <c r="O167" s="782">
        <v>37383.229999999996</v>
      </c>
      <c r="P167" s="782">
        <v>84452.06</v>
      </c>
      <c r="Q167" s="782">
        <v>37689.369999999995</v>
      </c>
      <c r="R167" s="782">
        <v>84452.06</v>
      </c>
      <c r="S167" s="782">
        <v>37995.51</v>
      </c>
      <c r="T167" s="782">
        <v>84452.06</v>
      </c>
      <c r="U167" s="782">
        <v>38301.65</v>
      </c>
      <c r="V167" s="782">
        <v>84452.06</v>
      </c>
      <c r="W167" s="782">
        <v>38607.79</v>
      </c>
      <c r="X167" s="782">
        <v>84452.06</v>
      </c>
      <c r="Y167" s="782">
        <v>38913.93</v>
      </c>
      <c r="Z167" s="782">
        <v>84452.06</v>
      </c>
      <c r="AA167" s="782">
        <v>39220.07</v>
      </c>
      <c r="AB167" s="782">
        <v>84452.06</v>
      </c>
      <c r="AC167" s="782">
        <v>39526.21</v>
      </c>
      <c r="AD167" s="782">
        <f t="shared" si="8"/>
        <v>84452.060000000012</v>
      </c>
      <c r="AE167" s="782">
        <f t="shared" si="8"/>
        <v>37689.370000000003</v>
      </c>
      <c r="AF167" s="177"/>
    </row>
    <row r="168" spans="1:41">
      <c r="A168" s="124">
        <v>159</v>
      </c>
      <c r="B168" t="s">
        <v>1675</v>
      </c>
      <c r="C168" s="781" t="s">
        <v>1676</v>
      </c>
      <c r="D168" s="782">
        <v>67845.75</v>
      </c>
      <c r="E168" s="782">
        <v>31946.18</v>
      </c>
      <c r="F168" s="782">
        <v>67845.75</v>
      </c>
      <c r="G168" s="782">
        <v>32093.739999999998</v>
      </c>
      <c r="H168" s="782">
        <v>67845.75</v>
      </c>
      <c r="I168" s="782">
        <v>32241.300000000003</v>
      </c>
      <c r="J168" s="782">
        <v>71867.5</v>
      </c>
      <c r="K168" s="782">
        <v>32388.86</v>
      </c>
      <c r="L168" s="782">
        <v>71867.5</v>
      </c>
      <c r="M168" s="782">
        <v>32545.170000000002</v>
      </c>
      <c r="N168" s="782">
        <v>72316.97</v>
      </c>
      <c r="O168" s="782">
        <v>32701.480000000003</v>
      </c>
      <c r="P168" s="782">
        <v>72036.459999999992</v>
      </c>
      <c r="Q168" s="782">
        <v>32858.770000000004</v>
      </c>
      <c r="R168" s="782">
        <v>73588.66</v>
      </c>
      <c r="S168" s="782">
        <v>33015.449999999997</v>
      </c>
      <c r="T168" s="782">
        <v>71105.13</v>
      </c>
      <c r="U168" s="782">
        <v>33175.51</v>
      </c>
      <c r="V168" s="782">
        <v>71580.87</v>
      </c>
      <c r="W168" s="782">
        <v>33330.160000000003</v>
      </c>
      <c r="X168" s="782">
        <v>71580.87</v>
      </c>
      <c r="Y168" s="782">
        <v>33485.85</v>
      </c>
      <c r="Z168" s="782">
        <v>71864.53</v>
      </c>
      <c r="AA168" s="782">
        <v>33641.54</v>
      </c>
      <c r="AB168" s="782">
        <v>68036.100000000006</v>
      </c>
      <c r="AC168" s="782">
        <v>33797.850000000006</v>
      </c>
      <c r="AD168" s="782">
        <f t="shared" si="8"/>
        <v>70953.409583333341</v>
      </c>
      <c r="AE168" s="782">
        <f t="shared" si="8"/>
        <v>32862.487083333333</v>
      </c>
      <c r="AF168" s="177"/>
    </row>
    <row r="169" spans="1:41">
      <c r="A169" s="124">
        <v>160</v>
      </c>
      <c r="B169" t="s">
        <v>1677</v>
      </c>
      <c r="C169" s="781" t="s">
        <v>1676</v>
      </c>
      <c r="D169" s="782">
        <v>111705713.81</v>
      </c>
      <c r="E169" s="782">
        <v>22678557.050000001</v>
      </c>
      <c r="F169" s="782">
        <v>112546732.26000001</v>
      </c>
      <c r="G169" s="782">
        <v>22897561.82</v>
      </c>
      <c r="H169" s="782">
        <v>112574749.46000001</v>
      </c>
      <c r="I169" s="782">
        <v>22842979</v>
      </c>
      <c r="J169" s="782">
        <v>113099933.34999999</v>
      </c>
      <c r="K169" s="782">
        <v>22942188.469999999</v>
      </c>
      <c r="L169" s="782">
        <v>113295515.23</v>
      </c>
      <c r="M169" s="782">
        <v>23093781.279999997</v>
      </c>
      <c r="N169" s="782">
        <v>113847700.28999999</v>
      </c>
      <c r="O169" s="782">
        <v>23264854.800000001</v>
      </c>
      <c r="P169" s="782">
        <v>113974134.59</v>
      </c>
      <c r="Q169" s="782">
        <v>23324444.969999999</v>
      </c>
      <c r="R169" s="782">
        <v>113923557.91</v>
      </c>
      <c r="S169" s="782">
        <v>23116941.52</v>
      </c>
      <c r="T169" s="782">
        <v>114185423.14999999</v>
      </c>
      <c r="U169" s="782">
        <v>23284244.800000001</v>
      </c>
      <c r="V169" s="782">
        <v>114755707.27</v>
      </c>
      <c r="W169" s="782">
        <v>23312277.789999999</v>
      </c>
      <c r="X169" s="782">
        <v>114996564.11</v>
      </c>
      <c r="Y169" s="782">
        <v>23485948.690000001</v>
      </c>
      <c r="Z169" s="782">
        <v>115273537.69</v>
      </c>
      <c r="AA169" s="782">
        <v>23657169.920000002</v>
      </c>
      <c r="AB169" s="782">
        <v>114840666.17</v>
      </c>
      <c r="AC169" s="782">
        <v>23714788.560000002</v>
      </c>
      <c r="AD169" s="782">
        <f t="shared" si="8"/>
        <v>113812228.77499999</v>
      </c>
      <c r="AE169" s="782">
        <f t="shared" si="8"/>
        <v>23201588.822083335</v>
      </c>
      <c r="AF169" s="177"/>
    </row>
    <row r="170" spans="1:41">
      <c r="A170" s="124">
        <v>161</v>
      </c>
      <c r="B170" t="s">
        <v>1678</v>
      </c>
      <c r="C170" s="781" t="s">
        <v>1676</v>
      </c>
      <c r="D170" s="782">
        <v>13133821.42</v>
      </c>
      <c r="E170" s="782">
        <v>4121993.9299999997</v>
      </c>
      <c r="F170" s="782">
        <v>13156346.09</v>
      </c>
      <c r="G170" s="782">
        <v>4143226.62</v>
      </c>
      <c r="H170" s="782">
        <v>13205584.050000001</v>
      </c>
      <c r="I170" s="782">
        <v>4164148.6</v>
      </c>
      <c r="J170" s="782">
        <v>13243128.279999999</v>
      </c>
      <c r="K170" s="782">
        <v>4178399.24</v>
      </c>
      <c r="L170" s="782">
        <v>13326762.399999999</v>
      </c>
      <c r="M170" s="782">
        <v>4197997.5200000005</v>
      </c>
      <c r="N170" s="782">
        <v>13359810.16</v>
      </c>
      <c r="O170" s="782">
        <v>4217959.63</v>
      </c>
      <c r="P170" s="782">
        <v>13458248.26</v>
      </c>
      <c r="Q170" s="782">
        <v>4233043.91</v>
      </c>
      <c r="R170" s="782">
        <v>13499242.91</v>
      </c>
      <c r="S170" s="782">
        <v>4254619.47</v>
      </c>
      <c r="T170" s="782">
        <v>13549016.58</v>
      </c>
      <c r="U170" s="782">
        <v>4271296.66</v>
      </c>
      <c r="V170" s="782">
        <v>13654253.99</v>
      </c>
      <c r="W170" s="782">
        <v>4288325.5199999996</v>
      </c>
      <c r="X170" s="782">
        <v>13694738.919999998</v>
      </c>
      <c r="Y170" s="782">
        <v>4309727.1899999995</v>
      </c>
      <c r="Z170" s="782">
        <v>13729019.170000002</v>
      </c>
      <c r="AA170" s="782">
        <v>4301387.43</v>
      </c>
      <c r="AB170" s="782">
        <v>13800384.82</v>
      </c>
      <c r="AC170" s="782">
        <v>4308553.3600000003</v>
      </c>
      <c r="AD170" s="782">
        <f t="shared" si="8"/>
        <v>13445271.160833335</v>
      </c>
      <c r="AE170" s="782">
        <f t="shared" si="8"/>
        <v>4231283.7862499999</v>
      </c>
      <c r="AF170" s="177"/>
    </row>
    <row r="171" spans="1:41">
      <c r="A171" s="124">
        <v>162</v>
      </c>
      <c r="B171" s="515" t="s">
        <v>1679</v>
      </c>
      <c r="C171" s="515" t="s">
        <v>1066</v>
      </c>
      <c r="D171" s="516">
        <f>SUM(D98:D170)</f>
        <v>191283380.97999999</v>
      </c>
      <c r="E171" s="516">
        <f t="shared" ref="E171:AC171" si="9">SUM(E98:E170)</f>
        <v>71382884.199999988</v>
      </c>
      <c r="F171" s="516">
        <f t="shared" si="9"/>
        <v>192129888.41</v>
      </c>
      <c r="G171" s="516">
        <f t="shared" si="9"/>
        <v>72029931.850000024</v>
      </c>
      <c r="H171" s="516">
        <f t="shared" si="9"/>
        <v>192213074.75999999</v>
      </c>
      <c r="I171" s="516">
        <f t="shared" si="9"/>
        <v>72449392.939999998</v>
      </c>
      <c r="J171" s="516">
        <f t="shared" si="9"/>
        <v>192972454.97999999</v>
      </c>
      <c r="K171" s="516">
        <f t="shared" si="9"/>
        <v>72999481.74000001</v>
      </c>
      <c r="L171" s="516">
        <f t="shared" si="9"/>
        <v>193325060.38</v>
      </c>
      <c r="M171" s="516">
        <f t="shared" si="9"/>
        <v>73629559.920000002</v>
      </c>
      <c r="N171" s="516">
        <f t="shared" si="9"/>
        <v>193890550.48999998</v>
      </c>
      <c r="O171" s="516">
        <f t="shared" si="9"/>
        <v>74190170.649999976</v>
      </c>
      <c r="P171" s="516">
        <f t="shared" si="9"/>
        <v>194251545.45999998</v>
      </c>
      <c r="Q171" s="516">
        <f t="shared" si="9"/>
        <v>74712559.709999993</v>
      </c>
      <c r="R171" s="516">
        <f t="shared" si="9"/>
        <v>194154183.33999997</v>
      </c>
      <c r="S171" s="516">
        <f t="shared" si="9"/>
        <v>74906980.949999988</v>
      </c>
      <c r="T171" s="516">
        <f t="shared" si="9"/>
        <v>194416550.85999998</v>
      </c>
      <c r="U171" s="516">
        <f t="shared" si="9"/>
        <v>75503552.36999999</v>
      </c>
      <c r="V171" s="516">
        <f t="shared" si="9"/>
        <v>195088184.04999998</v>
      </c>
      <c r="W171" s="516">
        <f t="shared" si="9"/>
        <v>75832671.799999997</v>
      </c>
      <c r="X171" s="516">
        <f t="shared" si="9"/>
        <v>195394893.96999997</v>
      </c>
      <c r="Y171" s="516">
        <f t="shared" si="9"/>
        <v>76401495.859999985</v>
      </c>
      <c r="Z171" s="516">
        <f t="shared" si="9"/>
        <v>196321582.53000003</v>
      </c>
      <c r="AA171" s="516">
        <f t="shared" si="9"/>
        <v>76925749.150000006</v>
      </c>
      <c r="AB171" s="516">
        <f t="shared" si="9"/>
        <v>199016877.77999997</v>
      </c>
      <c r="AC171" s="516">
        <f t="shared" si="9"/>
        <v>77124443.530000001</v>
      </c>
      <c r="AD171" s="516">
        <f>SUM(AD98:AD170)</f>
        <v>194109008.21749997</v>
      </c>
      <c r="AE171" s="516">
        <f>SUM(AE98:AE170)</f>
        <v>74486267.567083329</v>
      </c>
      <c r="AF171" s="315"/>
    </row>
    <row r="172" spans="1:41">
      <c r="A172" s="124">
        <v>163</v>
      </c>
      <c r="B172" s="698" t="s">
        <v>1680</v>
      </c>
      <c r="C172" s="264"/>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M172" s="178"/>
      <c r="AO172" s="178"/>
    </row>
    <row r="173" spans="1:41">
      <c r="A173" s="124">
        <v>164</v>
      </c>
      <c r="B173" t="s">
        <v>1681</v>
      </c>
      <c r="D173" s="186">
        <v>30466.74</v>
      </c>
      <c r="E173" s="186">
        <v>11218.09</v>
      </c>
      <c r="F173" s="186">
        <v>30466.74</v>
      </c>
      <c r="G173" s="186">
        <v>11240.69</v>
      </c>
      <c r="H173" s="186">
        <v>30466.74</v>
      </c>
      <c r="I173" s="186">
        <v>11263.29</v>
      </c>
      <c r="J173" s="186">
        <v>28215.66</v>
      </c>
      <c r="K173" s="186">
        <v>10522.91</v>
      </c>
      <c r="L173" s="186">
        <v>28215.66</v>
      </c>
      <c r="M173" s="186">
        <v>10543.84</v>
      </c>
      <c r="N173" s="186">
        <v>28215.66</v>
      </c>
      <c r="O173" s="186">
        <v>10564.77</v>
      </c>
      <c r="P173" s="186">
        <v>28215.66</v>
      </c>
      <c r="Q173" s="186">
        <v>10585.7</v>
      </c>
      <c r="R173" s="186">
        <v>28215.66</v>
      </c>
      <c r="S173" s="186">
        <v>10606.630000000001</v>
      </c>
      <c r="T173" s="186">
        <v>28215.66</v>
      </c>
      <c r="U173" s="186">
        <v>10627.56</v>
      </c>
      <c r="V173" s="186">
        <v>28215.66</v>
      </c>
      <c r="W173" s="186">
        <v>10648.49</v>
      </c>
      <c r="X173" s="186">
        <v>28126.49</v>
      </c>
      <c r="Y173" s="186">
        <v>10634.01</v>
      </c>
      <c r="Z173" s="186">
        <v>28126.71</v>
      </c>
      <c r="AA173" s="186">
        <v>10654.87</v>
      </c>
      <c r="AB173" s="186">
        <v>28126.71</v>
      </c>
      <c r="AC173" s="186">
        <v>10675.73</v>
      </c>
      <c r="AD173" s="186">
        <f t="shared" ref="AD173:AE175" si="10">+(D173+AB173+(+F173+H173+J173+L173+N173+P173+R173+T173+V173+X173+Z173)*2)/24</f>
        <v>28666.085416666669</v>
      </c>
      <c r="AE173" s="186">
        <f t="shared" si="10"/>
        <v>10736.639166666666</v>
      </c>
      <c r="AF173" s="177"/>
      <c r="AM173" s="178"/>
      <c r="AO173" s="178"/>
    </row>
    <row r="174" spans="1:41">
      <c r="A174" s="124">
        <v>165</v>
      </c>
      <c r="B174" t="s">
        <v>1682</v>
      </c>
      <c r="D174" s="186">
        <v>0</v>
      </c>
      <c r="E174" s="186">
        <v>0</v>
      </c>
      <c r="F174" s="186">
        <v>0</v>
      </c>
      <c r="G174" s="186">
        <v>0</v>
      </c>
      <c r="H174" s="186">
        <v>0</v>
      </c>
      <c r="I174" s="186">
        <v>0</v>
      </c>
      <c r="J174" s="186">
        <v>0</v>
      </c>
      <c r="K174" s="186">
        <v>0</v>
      </c>
      <c r="L174" s="186">
        <v>0</v>
      </c>
      <c r="M174" s="186">
        <v>0</v>
      </c>
      <c r="N174" s="186">
        <v>0</v>
      </c>
      <c r="O174" s="186">
        <v>0</v>
      </c>
      <c r="P174" s="186">
        <v>0</v>
      </c>
      <c r="Q174" s="186">
        <v>0</v>
      </c>
      <c r="R174" s="186">
        <v>0</v>
      </c>
      <c r="S174" s="186">
        <v>0</v>
      </c>
      <c r="T174" s="186">
        <v>0</v>
      </c>
      <c r="U174" s="186">
        <v>0</v>
      </c>
      <c r="V174" s="186">
        <v>0</v>
      </c>
      <c r="W174" s="186">
        <v>0</v>
      </c>
      <c r="X174" s="186">
        <v>0</v>
      </c>
      <c r="Y174" s="186">
        <v>0</v>
      </c>
      <c r="Z174" s="186"/>
      <c r="AA174" s="186"/>
      <c r="AB174" s="186"/>
      <c r="AC174" s="186"/>
      <c r="AD174" s="186">
        <f t="shared" si="10"/>
        <v>0</v>
      </c>
      <c r="AE174" s="186">
        <f t="shared" si="10"/>
        <v>0</v>
      </c>
      <c r="AF174" s="177"/>
      <c r="AM174" s="178"/>
      <c r="AO174" s="178"/>
    </row>
    <row r="175" spans="1:41">
      <c r="A175" s="124">
        <v>166</v>
      </c>
      <c r="B175" t="s">
        <v>1683</v>
      </c>
      <c r="D175" s="186">
        <v>26000147.359999999</v>
      </c>
      <c r="E175" s="186">
        <v>5112814.0999999996</v>
      </c>
      <c r="F175" s="186">
        <v>26000147.359999999</v>
      </c>
      <c r="G175" s="186">
        <v>5144041.95</v>
      </c>
      <c r="H175" s="186">
        <v>26000147.359999999</v>
      </c>
      <c r="I175" s="186">
        <v>5175269.8499999996</v>
      </c>
      <c r="J175" s="186">
        <v>26190631.52</v>
      </c>
      <c r="K175" s="186">
        <v>5159655.45</v>
      </c>
      <c r="L175" s="186">
        <v>26190631.52</v>
      </c>
      <c r="M175" s="186">
        <v>5191136.29</v>
      </c>
      <c r="N175" s="186">
        <v>26190631.52</v>
      </c>
      <c r="O175" s="186">
        <v>5222617.13</v>
      </c>
      <c r="P175" s="186">
        <v>26190631.52</v>
      </c>
      <c r="Q175" s="186">
        <v>5254098.01</v>
      </c>
      <c r="R175" s="186">
        <v>26190631.52</v>
      </c>
      <c r="S175" s="186">
        <v>5285578.83</v>
      </c>
      <c r="T175" s="186">
        <v>26190631.52</v>
      </c>
      <c r="U175" s="186">
        <v>5317059.6100000003</v>
      </c>
      <c r="V175" s="186">
        <v>26190631.52</v>
      </c>
      <c r="W175" s="186">
        <v>5348540.43</v>
      </c>
      <c r="X175" s="186">
        <v>26043632.280000001</v>
      </c>
      <c r="Y175" s="186">
        <v>5345846.93</v>
      </c>
      <c r="Z175" s="186">
        <v>26185902.75</v>
      </c>
      <c r="AA175" s="186">
        <v>5377197.25</v>
      </c>
      <c r="AB175" s="186">
        <v>26185902.75</v>
      </c>
      <c r="AC175" s="186">
        <v>5408665.3499999996</v>
      </c>
      <c r="AD175" s="186">
        <f t="shared" si="10"/>
        <v>26138106.287083331</v>
      </c>
      <c r="AE175" s="186">
        <f t="shared" si="10"/>
        <v>5256815.1212499999</v>
      </c>
      <c r="AF175" s="177"/>
      <c r="AM175" s="178"/>
      <c r="AO175" s="178"/>
    </row>
    <row r="176" spans="1:41">
      <c r="A176" s="124">
        <v>169</v>
      </c>
      <c r="B176" s="515" t="s">
        <v>1680</v>
      </c>
      <c r="C176" s="515"/>
      <c r="D176" s="516">
        <f t="shared" ref="D176:AE176" si="11">SUM(D173:D175)</f>
        <v>26030614.099999998</v>
      </c>
      <c r="E176" s="516">
        <f t="shared" si="11"/>
        <v>5124032.1899999995</v>
      </c>
      <c r="F176" s="516">
        <f t="shared" si="11"/>
        <v>26030614.099999998</v>
      </c>
      <c r="G176" s="516">
        <f t="shared" si="11"/>
        <v>5155282.6400000006</v>
      </c>
      <c r="H176" s="516">
        <f t="shared" si="11"/>
        <v>26030614.099999998</v>
      </c>
      <c r="I176" s="516">
        <f t="shared" si="11"/>
        <v>5186533.1399999997</v>
      </c>
      <c r="J176" s="516">
        <f t="shared" si="11"/>
        <v>26218847.18</v>
      </c>
      <c r="K176" s="516">
        <f t="shared" si="11"/>
        <v>5170178.3600000003</v>
      </c>
      <c r="L176" s="516">
        <f t="shared" si="11"/>
        <v>26218847.18</v>
      </c>
      <c r="M176" s="516">
        <f t="shared" si="11"/>
        <v>5201680.13</v>
      </c>
      <c r="N176" s="516">
        <f t="shared" si="11"/>
        <v>26218847.18</v>
      </c>
      <c r="O176" s="516">
        <f t="shared" si="11"/>
        <v>5233181.8999999994</v>
      </c>
      <c r="P176" s="516">
        <f t="shared" si="11"/>
        <v>26218847.18</v>
      </c>
      <c r="Q176" s="516">
        <f t="shared" si="11"/>
        <v>5264683.71</v>
      </c>
      <c r="R176" s="516">
        <f t="shared" si="11"/>
        <v>26218847.18</v>
      </c>
      <c r="S176" s="516">
        <f t="shared" si="11"/>
        <v>5296185.46</v>
      </c>
      <c r="T176" s="516">
        <f t="shared" si="11"/>
        <v>26218847.18</v>
      </c>
      <c r="U176" s="516">
        <f t="shared" si="11"/>
        <v>5327687.17</v>
      </c>
      <c r="V176" s="516">
        <f t="shared" si="11"/>
        <v>26218847.18</v>
      </c>
      <c r="W176" s="516">
        <f t="shared" si="11"/>
        <v>5359188.92</v>
      </c>
      <c r="X176" s="516">
        <f t="shared" si="11"/>
        <v>26071758.77</v>
      </c>
      <c r="Y176" s="516">
        <f t="shared" si="11"/>
        <v>5356480.9399999995</v>
      </c>
      <c r="Z176" s="516">
        <f t="shared" si="11"/>
        <v>26214029.460000001</v>
      </c>
      <c r="AA176" s="516">
        <f t="shared" si="11"/>
        <v>5387852.1200000001</v>
      </c>
      <c r="AB176" s="516">
        <f t="shared" si="11"/>
        <v>26214029.460000001</v>
      </c>
      <c r="AC176" s="516">
        <f t="shared" si="11"/>
        <v>5419341.0800000001</v>
      </c>
      <c r="AD176" s="516">
        <f t="shared" si="11"/>
        <v>26166772.372499999</v>
      </c>
      <c r="AE176" s="516">
        <f t="shared" si="11"/>
        <v>5267551.760416667</v>
      </c>
      <c r="AF176" s="315"/>
    </row>
    <row r="177" spans="1:41">
      <c r="A177" s="124">
        <v>170</v>
      </c>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row>
    <row r="178" spans="1:41" ht="15.75" thickBot="1">
      <c r="A178" s="124">
        <v>171</v>
      </c>
      <c r="B178" s="321" t="s">
        <v>1684</v>
      </c>
      <c r="C178" s="265"/>
      <c r="D178" s="316">
        <f t="shared" ref="D178:AE178" si="12">SUM(D176,D171,D96,D50)</f>
        <v>1388180409.4400001</v>
      </c>
      <c r="E178" s="316">
        <f t="shared" si="12"/>
        <v>591819393.31999993</v>
      </c>
      <c r="F178" s="316">
        <f t="shared" si="12"/>
        <v>1393082601.6800001</v>
      </c>
      <c r="G178" s="316">
        <f t="shared" si="12"/>
        <v>595076463.28999996</v>
      </c>
      <c r="H178" s="316">
        <f t="shared" si="12"/>
        <v>1398464902.98</v>
      </c>
      <c r="I178" s="316">
        <f t="shared" si="12"/>
        <v>597977044.94999993</v>
      </c>
      <c r="J178" s="316">
        <f t="shared" si="12"/>
        <v>1407368523.28</v>
      </c>
      <c r="K178" s="316">
        <f t="shared" si="12"/>
        <v>601047123.13999999</v>
      </c>
      <c r="L178" s="316">
        <f t="shared" si="12"/>
        <v>1410702832.1199999</v>
      </c>
      <c r="M178" s="316">
        <f t="shared" si="12"/>
        <v>604200297.75999987</v>
      </c>
      <c r="N178" s="316">
        <f t="shared" si="12"/>
        <v>1416005449.2399998</v>
      </c>
      <c r="O178" s="316">
        <f t="shared" si="12"/>
        <v>607243023.53999984</v>
      </c>
      <c r="P178" s="316">
        <f t="shared" si="12"/>
        <v>1419425625.8199995</v>
      </c>
      <c r="Q178" s="316">
        <f t="shared" si="12"/>
        <v>609538535.15999997</v>
      </c>
      <c r="R178" s="316">
        <f t="shared" si="12"/>
        <v>1433463645.4399996</v>
      </c>
      <c r="S178" s="316">
        <f t="shared" si="12"/>
        <v>612262802.28999996</v>
      </c>
      <c r="T178" s="316">
        <f t="shared" si="12"/>
        <v>1441769119.4199998</v>
      </c>
      <c r="U178" s="316">
        <f t="shared" si="12"/>
        <v>615386616.11999989</v>
      </c>
      <c r="V178" s="316">
        <f t="shared" si="12"/>
        <v>1461624860.1299996</v>
      </c>
      <c r="W178" s="316">
        <f t="shared" si="12"/>
        <v>618326889.9000001</v>
      </c>
      <c r="X178" s="316">
        <f t="shared" si="12"/>
        <v>1467967654.0199997</v>
      </c>
      <c r="Y178" s="316">
        <f t="shared" si="12"/>
        <v>620592262.37999988</v>
      </c>
      <c r="Z178" s="316">
        <f t="shared" si="12"/>
        <v>1474114945.1300001</v>
      </c>
      <c r="AA178" s="316">
        <f t="shared" si="12"/>
        <v>623615785.83999991</v>
      </c>
      <c r="AB178" s="316">
        <f t="shared" si="12"/>
        <v>1488938072.1099999</v>
      </c>
      <c r="AC178" s="316">
        <f t="shared" si="12"/>
        <v>623679166.57999992</v>
      </c>
      <c r="AD178" s="316">
        <f t="shared" si="12"/>
        <v>1430212450.0029163</v>
      </c>
      <c r="AE178" s="316">
        <f t="shared" si="12"/>
        <v>609418010.36000001</v>
      </c>
      <c r="AF178" s="315"/>
    </row>
    <row r="179" spans="1:41" ht="15.75" thickTop="1">
      <c r="A179" s="124">
        <v>172</v>
      </c>
      <c r="E179" s="121"/>
      <c r="G179" s="121"/>
      <c r="I179" s="121"/>
      <c r="K179" s="121"/>
      <c r="M179" s="121"/>
      <c r="O179" s="121"/>
      <c r="Q179" s="121"/>
      <c r="S179" s="121"/>
    </row>
    <row r="180" spans="1:41">
      <c r="A180" s="124">
        <v>173</v>
      </c>
      <c r="E180" s="121"/>
      <c r="G180" s="121"/>
      <c r="H180" s="121"/>
      <c r="I180" s="121"/>
      <c r="J180" s="121"/>
      <c r="K180" s="121"/>
      <c r="L180" s="121"/>
      <c r="M180" s="121"/>
      <c r="N180" s="121"/>
      <c r="O180" s="121"/>
      <c r="P180" s="121"/>
      <c r="Q180" s="121"/>
      <c r="R180" s="121"/>
      <c r="S180" s="121"/>
      <c r="W180" s="14"/>
      <c r="X180" s="14"/>
      <c r="Y180" s="14"/>
      <c r="AB180" s="266"/>
      <c r="AC180" s="266"/>
      <c r="AD180" s="121"/>
    </row>
    <row r="181" spans="1:41">
      <c r="A181" s="124">
        <v>174</v>
      </c>
      <c r="B181" s="267" t="s">
        <v>1685</v>
      </c>
      <c r="C181" s="176"/>
      <c r="W181" s="14"/>
      <c r="Z181" s="11"/>
      <c r="AA181" s="11"/>
      <c r="AB181" s="266"/>
      <c r="AC181" s="266"/>
      <c r="AD181" s="121"/>
      <c r="AE181" s="121"/>
      <c r="AF181" s="121"/>
    </row>
    <row r="182" spans="1:41">
      <c r="A182" s="124">
        <v>175</v>
      </c>
      <c r="AM182" s="178"/>
      <c r="AO182" s="178"/>
    </row>
    <row r="183" spans="1:41">
      <c r="A183" s="124">
        <v>176</v>
      </c>
      <c r="P183" s="121"/>
      <c r="Z183" s="135"/>
      <c r="AB183" s="135"/>
      <c r="AD183" s="135"/>
      <c r="AM183" s="178"/>
      <c r="AO183" s="178"/>
    </row>
    <row r="184" spans="1:41">
      <c r="A184" s="124">
        <v>177</v>
      </c>
      <c r="B184" s="11" t="s">
        <v>1686</v>
      </c>
      <c r="D184"/>
      <c r="E184" s="177">
        <f>D96</f>
        <v>916350715.05000019</v>
      </c>
      <c r="G184" s="177">
        <f>F96</f>
        <v>920310387.10000014</v>
      </c>
      <c r="H184" s="121"/>
      <c r="I184" s="177">
        <f>H96</f>
        <v>925231487.79000008</v>
      </c>
      <c r="J184" s="121"/>
      <c r="K184" s="177">
        <f>J96</f>
        <v>932519611.97000015</v>
      </c>
      <c r="L184" s="121"/>
      <c r="M184" s="177">
        <f>L96</f>
        <v>934510606.23000002</v>
      </c>
      <c r="N184" s="121"/>
      <c r="O184" s="177">
        <f>N96</f>
        <v>938344994.63999987</v>
      </c>
      <c r="P184" s="121"/>
      <c r="Q184" s="177">
        <f>P96</f>
        <v>940142325.93999958</v>
      </c>
      <c r="R184" s="121"/>
      <c r="S184" s="177">
        <f>R96</f>
        <v>952334810.27999985</v>
      </c>
      <c r="T184" s="121"/>
      <c r="U184" s="177">
        <f>T96</f>
        <v>957061384.29999995</v>
      </c>
      <c r="V184" s="121"/>
      <c r="W184" s="177">
        <f>V96</f>
        <v>973561481.58999979</v>
      </c>
      <c r="X184" s="121"/>
      <c r="Y184" s="177">
        <f>X96</f>
        <v>978500804.25999987</v>
      </c>
      <c r="AA184" s="177">
        <f>Z96</f>
        <v>982396381.74000001</v>
      </c>
      <c r="AC184" s="177">
        <f>AB96</f>
        <v>993143149.00999999</v>
      </c>
      <c r="AM184" s="178"/>
      <c r="AO184" s="178"/>
    </row>
    <row r="185" spans="1:41">
      <c r="A185" s="124">
        <v>178</v>
      </c>
      <c r="B185" s="11" t="s">
        <v>1687</v>
      </c>
      <c r="D185" s="57"/>
      <c r="E185" s="177">
        <v>49901476.789999999</v>
      </c>
      <c r="F185" s="57"/>
      <c r="G185" s="177">
        <v>49815674.509999998</v>
      </c>
      <c r="H185" s="57"/>
      <c r="I185" s="177">
        <v>49820127.060000002</v>
      </c>
      <c r="J185" s="57"/>
      <c r="K185" s="177">
        <v>49964734.659999996</v>
      </c>
      <c r="L185" s="57"/>
      <c r="M185" s="177">
        <v>50019828.07</v>
      </c>
      <c r="N185" s="57"/>
      <c r="O185" s="177">
        <v>50004669.810000002</v>
      </c>
      <c r="P185" s="57"/>
      <c r="Q185" s="177">
        <v>50107067.609999999</v>
      </c>
      <c r="R185" s="57"/>
      <c r="S185" s="177">
        <v>50040005.859999999</v>
      </c>
      <c r="T185" s="57"/>
      <c r="U185" s="177">
        <v>50004882.219999999</v>
      </c>
      <c r="V185" s="57"/>
      <c r="W185" s="177">
        <v>50001606.100000001</v>
      </c>
      <c r="X185" s="57"/>
      <c r="Y185" s="177">
        <v>50020649.969999999</v>
      </c>
      <c r="Z185" s="57"/>
      <c r="AA185" s="177">
        <v>50482443.880000003</v>
      </c>
      <c r="AB185" s="57"/>
      <c r="AC185" s="177">
        <v>53698983.439999998</v>
      </c>
      <c r="AD185" s="121"/>
      <c r="AM185" s="178"/>
      <c r="AO185" s="178"/>
    </row>
    <row r="186" spans="1:41">
      <c r="A186" s="124">
        <v>179</v>
      </c>
      <c r="B186" s="11" t="s">
        <v>1688</v>
      </c>
      <c r="D186" s="57"/>
      <c r="E186" s="177">
        <v>92319045.280000001</v>
      </c>
      <c r="F186" s="57"/>
      <c r="G186" s="177">
        <v>92756056.519999996</v>
      </c>
      <c r="H186" s="57"/>
      <c r="I186" s="177">
        <v>92813032.209999993</v>
      </c>
      <c r="J186" s="57"/>
      <c r="K186" s="177">
        <v>93231010.239999995</v>
      </c>
      <c r="L186" s="57"/>
      <c r="M186" s="177">
        <v>93436932.030000001</v>
      </c>
      <c r="N186" s="57"/>
      <c r="O186" s="177">
        <v>93868872.719999999</v>
      </c>
      <c r="P186" s="57"/>
      <c r="Q186" s="177">
        <v>94034509.239999995</v>
      </c>
      <c r="R186" s="57"/>
      <c r="S186" s="177">
        <v>94028587.25</v>
      </c>
      <c r="T186" s="57"/>
      <c r="U186" s="177">
        <v>94256589.329999998</v>
      </c>
      <c r="V186" s="57"/>
      <c r="W186" s="177">
        <v>94755137.319999993</v>
      </c>
      <c r="X186" s="57"/>
      <c r="Y186" s="177">
        <v>94962626.870000005</v>
      </c>
      <c r="Z186" s="57"/>
      <c r="AA186" s="177">
        <v>95192385.780000001</v>
      </c>
      <c r="AB186" s="57"/>
      <c r="AC186" s="177">
        <v>94922951.719999999</v>
      </c>
      <c r="AM186" s="178"/>
      <c r="AO186" s="178"/>
    </row>
    <row r="187" spans="1:41">
      <c r="A187" s="124">
        <v>180</v>
      </c>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35"/>
      <c r="AD187" s="135"/>
      <c r="AE187" s="177"/>
      <c r="AF187" s="177"/>
      <c r="AM187" s="178"/>
      <c r="AO187" s="178"/>
    </row>
    <row r="188" spans="1:41" ht="30">
      <c r="A188" s="124">
        <v>181</v>
      </c>
      <c r="B188" s="11" t="s">
        <v>1689</v>
      </c>
      <c r="E188" s="177">
        <f>SUM(E184:E186)</f>
        <v>1058571237.1200001</v>
      </c>
      <c r="F188" s="177"/>
      <c r="G188" s="177">
        <f>SUM(G184:G186)</f>
        <v>1062882118.1300001</v>
      </c>
      <c r="H188" s="177"/>
      <c r="I188" s="177">
        <f>SUM(I184:I186)</f>
        <v>1067864647.0600002</v>
      </c>
      <c r="J188" s="177"/>
      <c r="K188" s="177">
        <f>SUM(K184:K187)</f>
        <v>1075715356.8700001</v>
      </c>
      <c r="L188" s="177"/>
      <c r="M188" s="177">
        <f>SUM(M184:M187)</f>
        <v>1077967366.3300002</v>
      </c>
      <c r="N188" s="177"/>
      <c r="O188" s="177">
        <f>SUM(O184:O187)</f>
        <v>1082218537.1699998</v>
      </c>
      <c r="P188" s="177"/>
      <c r="Q188" s="177">
        <f>SUM(Q184:Q187)</f>
        <v>1084283902.7899995</v>
      </c>
      <c r="R188" s="177"/>
      <c r="S188" s="177">
        <f>SUM(S184:S187)</f>
        <v>1096403403.3899999</v>
      </c>
      <c r="T188" s="177"/>
      <c r="U188" s="177">
        <f>SUM(U184:U187)</f>
        <v>1101322855.8499999</v>
      </c>
      <c r="V188" s="177"/>
      <c r="W188" s="177">
        <f>SUM(W184:W187)</f>
        <v>1118318225.0099998</v>
      </c>
      <c r="X188" s="177"/>
      <c r="Y188" s="177">
        <f>SUM(Y184:Y187)</f>
        <v>1123484081.0999999</v>
      </c>
      <c r="Z188" s="177"/>
      <c r="AA188" s="177">
        <f>SUM(AA184:AA186)</f>
        <v>1128071211.4000001</v>
      </c>
      <c r="AB188" s="177"/>
      <c r="AC188" s="177">
        <f>SUM(AC184:AC186)</f>
        <v>1141765084.1700001</v>
      </c>
      <c r="AD188" s="319" t="s">
        <v>1690</v>
      </c>
      <c r="AE188" s="177">
        <f>+(E188+AC188+(+G188+I188+K188+M188+O188+Q188+S188+U188+W188+Y188+AA188)*2)/24</f>
        <v>1093224988.8120835</v>
      </c>
      <c r="AF188" s="177"/>
      <c r="AM188" s="178"/>
      <c r="AO188" s="178"/>
    </row>
    <row r="189" spans="1:41">
      <c r="A189" s="124">
        <v>182</v>
      </c>
      <c r="E189" s="177"/>
      <c r="F189" s="177"/>
      <c r="G189" s="177"/>
      <c r="H189" s="177"/>
      <c r="I189" s="177"/>
      <c r="J189" s="317"/>
      <c r="K189" s="317"/>
      <c r="L189" s="317"/>
      <c r="M189" s="317"/>
      <c r="N189" s="317"/>
      <c r="O189" s="317"/>
      <c r="P189" s="317"/>
      <c r="Q189" s="317"/>
      <c r="R189" s="317"/>
      <c r="S189" s="317"/>
      <c r="T189" s="317"/>
      <c r="U189" s="317"/>
      <c r="V189" s="317"/>
      <c r="W189" s="317"/>
      <c r="X189" s="317"/>
      <c r="Y189" s="317"/>
      <c r="Z189" s="177"/>
      <c r="AA189" s="177"/>
      <c r="AB189" s="177"/>
      <c r="AC189" s="177"/>
      <c r="AD189" s="320"/>
      <c r="AE189" s="177"/>
      <c r="AF189" s="177"/>
      <c r="AM189" s="178"/>
      <c r="AO189" s="178"/>
    </row>
    <row r="190" spans="1:41">
      <c r="A190" s="124">
        <v>183</v>
      </c>
      <c r="B190" s="11" t="s">
        <v>1686</v>
      </c>
      <c r="E190" s="177">
        <f>E96</f>
        <v>405259790.75999999</v>
      </c>
      <c r="F190" s="177"/>
      <c r="G190" s="177">
        <f>G96</f>
        <v>407238521.03999996</v>
      </c>
      <c r="H190" s="177"/>
      <c r="I190" s="177">
        <f>I96</f>
        <v>409071983.22999996</v>
      </c>
      <c r="J190" s="177"/>
      <c r="K190" s="177">
        <f>K96</f>
        <v>410747903.37999994</v>
      </c>
      <c r="L190" s="177"/>
      <c r="M190" s="177">
        <f>M96</f>
        <v>412667606.9799999</v>
      </c>
      <c r="N190" s="177"/>
      <c r="O190" s="177">
        <f>O96</f>
        <v>414759131.80999988</v>
      </c>
      <c r="P190" s="177"/>
      <c r="Q190" s="177">
        <f>Q96</f>
        <v>415947818.57999998</v>
      </c>
      <c r="R190" s="177"/>
      <c r="S190" s="177">
        <f>S96</f>
        <v>417766684.40999997</v>
      </c>
      <c r="T190" s="177"/>
      <c r="U190" s="177">
        <f>U96</f>
        <v>419650770.16999996</v>
      </c>
      <c r="V190" s="177"/>
      <c r="W190" s="177">
        <f>W96</f>
        <v>421581365.18000007</v>
      </c>
      <c r="X190" s="177"/>
      <c r="Y190" s="177">
        <f>Y96</f>
        <v>422860182.54999989</v>
      </c>
      <c r="Z190" s="177"/>
      <c r="AA190" s="177">
        <f>AA96</f>
        <v>424735755.4799999</v>
      </c>
      <c r="AB190" s="177"/>
      <c r="AC190" s="177">
        <f>AC96</f>
        <v>424923291.92999983</v>
      </c>
      <c r="AD190" s="320"/>
      <c r="AE190" s="177"/>
      <c r="AF190" s="177"/>
      <c r="AM190" s="178"/>
      <c r="AO190" s="178"/>
    </row>
    <row r="191" spans="1:41">
      <c r="A191" s="124">
        <v>184</v>
      </c>
      <c r="B191" s="11" t="s">
        <v>1687</v>
      </c>
      <c r="D191" s="179"/>
      <c r="E191" s="522">
        <v>33496523.66</v>
      </c>
      <c r="F191" s="522"/>
      <c r="G191" s="522">
        <v>33752927.32</v>
      </c>
      <c r="H191" s="522"/>
      <c r="I191" s="522">
        <v>34092971.960000001</v>
      </c>
      <c r="J191" s="522"/>
      <c r="K191" s="522">
        <v>34420635.420000002</v>
      </c>
      <c r="L191" s="522"/>
      <c r="M191" s="522">
        <v>34765001.399999999</v>
      </c>
      <c r="N191" s="522"/>
      <c r="O191" s="522">
        <v>35042298.710000001</v>
      </c>
      <c r="P191" s="522"/>
      <c r="Q191" s="522">
        <v>35378280.020000003</v>
      </c>
      <c r="R191" s="522"/>
      <c r="S191" s="522">
        <v>35663690.509999998</v>
      </c>
      <c r="T191" s="522"/>
      <c r="U191" s="522">
        <v>35973302.399999999</v>
      </c>
      <c r="V191" s="522"/>
      <c r="W191" s="522">
        <v>36186428.350000001</v>
      </c>
      <c r="X191" s="522"/>
      <c r="Y191" s="522">
        <v>36466886.75</v>
      </c>
      <c r="Z191" s="522"/>
      <c r="AA191" s="522">
        <v>36738051.719999999</v>
      </c>
      <c r="AB191" s="522"/>
      <c r="AC191" s="522">
        <v>36842381.149999999</v>
      </c>
      <c r="AD191" s="320"/>
      <c r="AE191" s="177"/>
      <c r="AF191" s="177"/>
      <c r="AM191" s="178"/>
      <c r="AO191" s="178"/>
    </row>
    <row r="192" spans="1:41">
      <c r="A192" s="124">
        <v>185</v>
      </c>
      <c r="B192" s="11" t="s">
        <v>1688</v>
      </c>
      <c r="D192" s="179"/>
      <c r="E192" s="522">
        <v>19823899.48</v>
      </c>
      <c r="F192" s="522"/>
      <c r="G192" s="522">
        <v>19956739.350000001</v>
      </c>
      <c r="H192" s="522"/>
      <c r="I192" s="522">
        <v>19932023.309999999</v>
      </c>
      <c r="J192" s="522"/>
      <c r="K192" s="522">
        <v>20015808.969999999</v>
      </c>
      <c r="L192" s="522"/>
      <c r="M192" s="522">
        <v>20142177.649999999</v>
      </c>
      <c r="N192" s="522"/>
      <c r="O192" s="522">
        <v>20283181.739999998</v>
      </c>
      <c r="P192" s="522"/>
      <c r="Q192" s="522">
        <v>20338370.149999999</v>
      </c>
      <c r="R192" s="522"/>
      <c r="S192" s="522">
        <v>20201363.879999999</v>
      </c>
      <c r="T192" s="522"/>
      <c r="U192" s="522">
        <v>20337167.52</v>
      </c>
      <c r="V192" s="522"/>
      <c r="W192" s="522">
        <v>20370514.68</v>
      </c>
      <c r="X192" s="522"/>
      <c r="Y192" s="522">
        <v>20514495.510000002</v>
      </c>
      <c r="Z192" s="522"/>
      <c r="AA192" s="522">
        <v>20634735.420000002</v>
      </c>
      <c r="AB192" s="522"/>
      <c r="AC192" s="522">
        <v>20682629.32</v>
      </c>
      <c r="AD192" s="320"/>
      <c r="AE192" s="177"/>
      <c r="AF192" s="177"/>
      <c r="AM192" s="178"/>
      <c r="AO192" s="178"/>
    </row>
    <row r="193" spans="1:41">
      <c r="A193" s="124">
        <v>186</v>
      </c>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320"/>
      <c r="AE193" s="177"/>
      <c r="AF193" s="177"/>
      <c r="AM193" s="178"/>
      <c r="AO193" s="178"/>
    </row>
    <row r="194" spans="1:41" ht="30">
      <c r="A194" s="124">
        <v>187</v>
      </c>
      <c r="B194" s="11" t="s">
        <v>1691</v>
      </c>
      <c r="E194" s="177">
        <f>SUM(E190:E192)</f>
        <v>458580213.90000004</v>
      </c>
      <c r="F194" s="177"/>
      <c r="G194" s="177">
        <f>SUM(G190:G192)</f>
        <v>460948187.70999998</v>
      </c>
      <c r="H194" s="177"/>
      <c r="I194" s="177">
        <f>SUM(I190:I192)</f>
        <v>463096978.49999994</v>
      </c>
      <c r="J194" s="177"/>
      <c r="K194" s="177">
        <f>SUM(K190:K193)</f>
        <v>465184347.76999998</v>
      </c>
      <c r="L194" s="177"/>
      <c r="M194" s="177">
        <f>SUM(M190:M193)</f>
        <v>467574786.02999985</v>
      </c>
      <c r="N194" s="177"/>
      <c r="O194" s="177">
        <f>SUM(O190:O193)</f>
        <v>470084612.25999987</v>
      </c>
      <c r="P194" s="177"/>
      <c r="Q194" s="177">
        <f>SUM(Q190:Q193)</f>
        <v>471664468.74999994</v>
      </c>
      <c r="R194" s="177"/>
      <c r="S194" s="177">
        <f>SUM(S190:S193)</f>
        <v>473631738.79999995</v>
      </c>
      <c r="T194" s="177"/>
      <c r="U194" s="177">
        <f>SUM(U190:U193)</f>
        <v>475961240.08999991</v>
      </c>
      <c r="V194" s="177"/>
      <c r="W194" s="177">
        <f>SUM(W190:W193)</f>
        <v>478138308.2100001</v>
      </c>
      <c r="X194" s="177"/>
      <c r="Y194" s="177">
        <f>SUM(Y190:Y193)</f>
        <v>479841564.80999988</v>
      </c>
      <c r="Z194" s="177"/>
      <c r="AA194" s="177">
        <f>SUM(AA190:AA192)</f>
        <v>482108542.61999995</v>
      </c>
      <c r="AB194" s="177"/>
      <c r="AC194" s="177">
        <f>SUM(AC190:AC192)</f>
        <v>482448302.3999998</v>
      </c>
      <c r="AD194" s="319" t="s">
        <v>1692</v>
      </c>
      <c r="AE194" s="177">
        <f>+(E194+AC194+(+G194+I194+K194+M194+O194+Q194+S194+U194+W194+Y194+AA194)*2)/24</f>
        <v>471562419.4749999</v>
      </c>
      <c r="AF194" s="177"/>
      <c r="AM194" s="178"/>
      <c r="AO194" s="178"/>
    </row>
    <row r="195" spans="1:41">
      <c r="A195" s="124">
        <v>188</v>
      </c>
      <c r="E195" s="177"/>
      <c r="F195" s="177"/>
      <c r="G195" s="177"/>
      <c r="H195" s="177"/>
      <c r="I195" s="177"/>
      <c r="J195" s="317"/>
      <c r="K195" s="177"/>
      <c r="L195" s="317"/>
      <c r="M195" s="177"/>
      <c r="N195" s="177"/>
      <c r="O195" s="177"/>
      <c r="P195" s="177"/>
      <c r="Q195" s="177"/>
      <c r="R195" s="177"/>
      <c r="S195" s="177"/>
      <c r="T195" s="317"/>
      <c r="U195" s="177"/>
      <c r="V195" s="317"/>
      <c r="W195" s="177"/>
      <c r="X195" s="317"/>
      <c r="Y195" s="177"/>
      <c r="Z195" s="177"/>
      <c r="AA195" s="177"/>
      <c r="AB195" s="177"/>
      <c r="AC195" s="177"/>
      <c r="AD195" s="177"/>
      <c r="AE195" s="177"/>
      <c r="AF195" s="177"/>
      <c r="AM195" s="178"/>
      <c r="AO195" s="178"/>
    </row>
    <row r="196" spans="1:41">
      <c r="A196" s="124">
        <v>189</v>
      </c>
      <c r="B196" s="702" t="s">
        <v>1693</v>
      </c>
      <c r="E196" s="177">
        <v>458547641.08999997</v>
      </c>
      <c r="F196" s="177"/>
      <c r="G196" s="177">
        <v>460462849.19999999</v>
      </c>
      <c r="H196" s="177"/>
      <c r="I196" s="177">
        <v>462558071.64999998</v>
      </c>
      <c r="J196" s="177"/>
      <c r="K196" s="177">
        <v>464172609.29000002</v>
      </c>
      <c r="L196" s="177"/>
      <c r="M196" s="177">
        <v>466651476.36000001</v>
      </c>
      <c r="N196" s="177"/>
      <c r="O196" s="177">
        <v>469000216.18000001</v>
      </c>
      <c r="P196" s="177"/>
      <c r="Q196" s="177">
        <v>470735150.42000002</v>
      </c>
      <c r="R196" s="177"/>
      <c r="S196" s="177">
        <v>472034861.10000002</v>
      </c>
      <c r="T196" s="177"/>
      <c r="U196" s="177">
        <v>474366230.49000001</v>
      </c>
      <c r="V196" s="177"/>
      <c r="W196" s="177">
        <v>476092689.51999998</v>
      </c>
      <c r="X196" s="177"/>
      <c r="Y196" s="177">
        <v>477833193</v>
      </c>
      <c r="Z196" s="177"/>
      <c r="AA196" s="177">
        <v>480494744.41000003</v>
      </c>
      <c r="AB196" s="177"/>
      <c r="AC196" s="177">
        <v>482855822.85000002</v>
      </c>
      <c r="AD196" s="177"/>
      <c r="AE196" s="177">
        <f>+(E196+AC196+(+G196+I196+K196+M196+O196+Q196+S196+U196+W196+Y196+AA196)*2)/24</f>
        <v>470425318.63249993</v>
      </c>
      <c r="AF196" s="177"/>
      <c r="AM196" s="178"/>
      <c r="AO196" s="178"/>
    </row>
    <row r="197" spans="1:41">
      <c r="A197" s="124">
        <v>190</v>
      </c>
      <c r="B197" s="61" t="s">
        <v>1694</v>
      </c>
      <c r="E197" s="177">
        <f>+E196-E194</f>
        <v>-32572.810000061989</v>
      </c>
      <c r="F197" s="177"/>
      <c r="G197" s="177">
        <f>+G196-G194</f>
        <v>-485338.50999999046</v>
      </c>
      <c r="H197" s="177"/>
      <c r="I197" s="177">
        <f t="shared" ref="I197:AC197" si="13">+I196-I194</f>
        <v>-538906.84999996424</v>
      </c>
      <c r="J197" s="177"/>
      <c r="K197" s="177">
        <f t="shared" si="13"/>
        <v>-1011738.4799999595</v>
      </c>
      <c r="L197" s="177"/>
      <c r="M197" s="177">
        <f t="shared" si="13"/>
        <v>-923309.66999983788</v>
      </c>
      <c r="N197" s="177"/>
      <c r="O197" s="177">
        <f t="shared" si="13"/>
        <v>-1084396.0799998641</v>
      </c>
      <c r="P197" s="177"/>
      <c r="Q197" s="177">
        <f t="shared" si="13"/>
        <v>-929318.32999992371</v>
      </c>
      <c r="R197" s="177"/>
      <c r="S197" s="177">
        <f t="shared" si="13"/>
        <v>-1596877.6999999285</v>
      </c>
      <c r="T197" s="177"/>
      <c r="U197" s="177">
        <f t="shared" si="13"/>
        <v>-1595009.5999999046</v>
      </c>
      <c r="V197" s="177"/>
      <c r="W197" s="177">
        <f t="shared" si="13"/>
        <v>-2045618.6900001168</v>
      </c>
      <c r="X197" s="177"/>
      <c r="Y197" s="177">
        <f t="shared" si="13"/>
        <v>-2008371.8099998832</v>
      </c>
      <c r="Z197" s="177"/>
      <c r="AA197" s="177">
        <f t="shared" si="13"/>
        <v>-1613798.2099999189</v>
      </c>
      <c r="AB197" s="177"/>
      <c r="AC197" s="177">
        <f t="shared" si="13"/>
        <v>407520.4500002265</v>
      </c>
      <c r="AD197" s="177"/>
      <c r="AE197" s="177">
        <f>+(E197+AC197+(+G197+I197+K197+M197+O197+Q197+S197+U197+W197+Y197+AA197)*2)/24</f>
        <v>-1137100.8424999341</v>
      </c>
      <c r="AF197" s="177"/>
      <c r="AM197" s="178"/>
      <c r="AO197" s="178"/>
    </row>
    <row r="198" spans="1:41">
      <c r="A198" s="124">
        <v>191</v>
      </c>
      <c r="F198" s="701" t="s">
        <v>1695</v>
      </c>
      <c r="H198" s="701" t="s">
        <v>1695</v>
      </c>
      <c r="J198" s="701" t="s">
        <v>1695</v>
      </c>
      <c r="L198" s="701" t="s">
        <v>1695</v>
      </c>
      <c r="N198" s="701" t="s">
        <v>1695</v>
      </c>
      <c r="P198" s="701" t="s">
        <v>1695</v>
      </c>
      <c r="R198" s="701" t="s">
        <v>1695</v>
      </c>
      <c r="T198" s="701" t="s">
        <v>1695</v>
      </c>
      <c r="V198" s="701" t="s">
        <v>1695</v>
      </c>
      <c r="X198" s="701" t="s">
        <v>1695</v>
      </c>
      <c r="Z198" s="701" t="s">
        <v>1695</v>
      </c>
      <c r="AB198" s="701" t="s">
        <v>1695</v>
      </c>
      <c r="AD198" s="701" t="s">
        <v>1695</v>
      </c>
      <c r="AE198" s="567">
        <f>+AE196-AE194</f>
        <v>-1137100.8424999714</v>
      </c>
      <c r="AF198" s="567"/>
      <c r="AM198" s="178"/>
      <c r="AO198" s="178"/>
    </row>
    <row r="199" spans="1:41" ht="18.75" customHeight="1">
      <c r="A199" s="124">
        <v>192</v>
      </c>
      <c r="D199" s="318">
        <v>47.108199999999997</v>
      </c>
      <c r="E199" s="135">
        <f>+'Working Capital (AMA)'!F32</f>
        <v>-302404905.22000003</v>
      </c>
      <c r="F199" s="135">
        <v>-302404905.22000003</v>
      </c>
      <c r="G199" s="177">
        <f>+'Working Capital (AMA)'!G32</f>
        <v>-303750832.12</v>
      </c>
      <c r="H199" s="177">
        <v>-303750832.12</v>
      </c>
      <c r="I199" s="177">
        <f>+'Working Capital (AMA)'!H32</f>
        <v>-304906096.18000001</v>
      </c>
      <c r="J199" s="177">
        <v>-304906096.18000001</v>
      </c>
      <c r="K199" s="177">
        <f>+'Working Capital (AMA)'!I32</f>
        <v>-306024413.48000002</v>
      </c>
      <c r="L199" s="177">
        <v>-306024413.48000002</v>
      </c>
      <c r="M199" s="177">
        <f>+'Working Capital (AMA)'!J32</f>
        <v>-307407001.25</v>
      </c>
      <c r="N199" s="177">
        <v>-307407001.25</v>
      </c>
      <c r="O199" s="177">
        <f>+'Working Capital (AMA)'!K32</f>
        <v>-308926878.52999997</v>
      </c>
      <c r="P199" s="177">
        <v>-308926878.52999997</v>
      </c>
      <c r="Q199" s="177">
        <f>+'Working Capital (AMA)'!L32</f>
        <v>-309625822.44999999</v>
      </c>
      <c r="R199" s="177">
        <v>-309625822.44999999</v>
      </c>
      <c r="S199" s="177">
        <f>+'Working Capital (AMA)'!M32</f>
        <v>-310630119.52999997</v>
      </c>
      <c r="T199" s="177">
        <v>-310630119.52999997</v>
      </c>
      <c r="U199" s="177">
        <f>+'Working Capital (AMA)'!N32</f>
        <v>-311968390.06</v>
      </c>
      <c r="V199" s="177">
        <v>-311968390.06</v>
      </c>
      <c r="W199" s="177">
        <f>+'Working Capital (AMA)'!O32</f>
        <v>-313083822.56</v>
      </c>
      <c r="X199" s="177">
        <v>-313083822.56</v>
      </c>
      <c r="Y199" s="177">
        <f>+'Working Capital (AMA)'!P32</f>
        <v>-313990284.43000001</v>
      </c>
      <c r="Z199" s="177">
        <v>-313990284.43000001</v>
      </c>
      <c r="AA199" s="177">
        <f>+'Working Capital (AMA)'!Q32</f>
        <v>-315466965.18000001</v>
      </c>
      <c r="AB199" s="177">
        <v>-315466965.18000001</v>
      </c>
      <c r="AC199" s="177">
        <f>+'Working Capital (AMA)'!R32</f>
        <v>-315860028.54000002</v>
      </c>
      <c r="AD199" s="177">
        <v>-315860028.54000002</v>
      </c>
      <c r="AE199" s="177"/>
      <c r="AF199" s="177"/>
      <c r="AM199" s="178"/>
      <c r="AO199" s="178"/>
    </row>
    <row r="200" spans="1:41">
      <c r="A200" s="124">
        <v>193</v>
      </c>
      <c r="D200" s="226">
        <v>47.108400000000003</v>
      </c>
      <c r="E200" s="177">
        <f>-E176</f>
        <v>-5124032.1899999995</v>
      </c>
      <c r="F200" s="177">
        <v>-5124032.1899999995</v>
      </c>
      <c r="G200" s="177">
        <f>-G176</f>
        <v>-5155282.6400000006</v>
      </c>
      <c r="H200" s="177">
        <v>-5155282.6400000006</v>
      </c>
      <c r="I200" s="177">
        <f>-I176</f>
        <v>-5186533.1399999997</v>
      </c>
      <c r="J200" s="177">
        <v>-5186533.1399999997</v>
      </c>
      <c r="K200" s="177">
        <f>-K176</f>
        <v>-5170178.3600000003</v>
      </c>
      <c r="L200" s="177">
        <v>-5170178.3600000003</v>
      </c>
      <c r="M200" s="177">
        <f>-M176</f>
        <v>-5201680.13</v>
      </c>
      <c r="N200" s="177">
        <v>-5201680.13</v>
      </c>
      <c r="O200" s="177">
        <f>-O176</f>
        <v>-5233181.8999999994</v>
      </c>
      <c r="P200" s="177">
        <v>-5233181.9000000004</v>
      </c>
      <c r="Q200" s="177">
        <f>-Q176</f>
        <v>-5264683.71</v>
      </c>
      <c r="R200" s="177">
        <v>-5264683.71</v>
      </c>
      <c r="S200" s="177">
        <f>-S176</f>
        <v>-5296185.46</v>
      </c>
      <c r="T200" s="177">
        <v>-5296185.46</v>
      </c>
      <c r="U200" s="177">
        <f>-U176</f>
        <v>-5327687.17</v>
      </c>
      <c r="V200" s="177">
        <v>-5327687.17</v>
      </c>
      <c r="W200" s="177">
        <f>-W176</f>
        <v>-5359188.92</v>
      </c>
      <c r="X200" s="177">
        <v>-5359188.92</v>
      </c>
      <c r="Y200" s="177">
        <f>-Y176</f>
        <v>-5356480.9399999995</v>
      </c>
      <c r="Z200" s="177">
        <v>-5356480.9400000004</v>
      </c>
      <c r="AA200" s="177">
        <f>-AA176</f>
        <v>-5387852.1200000001</v>
      </c>
      <c r="AB200" s="177">
        <f>+AA200</f>
        <v>-5387852.1200000001</v>
      </c>
      <c r="AC200" s="177">
        <f>-AC176</f>
        <v>-5419341.0800000001</v>
      </c>
      <c r="AD200" s="177">
        <f>+AC200</f>
        <v>-5419341.0800000001</v>
      </c>
      <c r="AE200" s="177"/>
      <c r="AF200" s="177"/>
      <c r="AM200" s="178"/>
      <c r="AO200" s="178"/>
    </row>
    <row r="201" spans="1:41">
      <c r="A201" s="124">
        <v>194</v>
      </c>
      <c r="D201" s="226">
        <v>47.108699999999999</v>
      </c>
      <c r="E201" s="177">
        <f>+'Working Capital (AMA)'!F41</f>
        <v>339576.12</v>
      </c>
      <c r="F201" s="177">
        <v>339576.12</v>
      </c>
      <c r="G201" s="177">
        <f>+'Working Capital (AMA)'!G41</f>
        <v>320613.53000000003</v>
      </c>
      <c r="H201" s="177">
        <v>320613.53000000003</v>
      </c>
      <c r="I201" s="177">
        <f>+'Working Capital (AMA)'!H41</f>
        <v>376546.08</v>
      </c>
      <c r="J201" s="177">
        <v>376546.08</v>
      </c>
      <c r="K201" s="177">
        <f>+'Working Capital (AMA)'!I41</f>
        <v>367819.52000000002</v>
      </c>
      <c r="L201" s="177">
        <v>367819.52000000002</v>
      </c>
      <c r="M201" s="177">
        <f>+'Working Capital (AMA)'!J41</f>
        <v>345819.02</v>
      </c>
      <c r="N201" s="177">
        <v>345819.02</v>
      </c>
      <c r="O201" s="177">
        <f>+'Working Capital (AMA)'!K41</f>
        <v>374015.52</v>
      </c>
      <c r="P201" s="177">
        <v>374015.52</v>
      </c>
      <c r="Q201" s="177">
        <f>+'Working Capital (AMA)'!L41</f>
        <v>362038.18</v>
      </c>
      <c r="R201" s="177">
        <v>362038.18</v>
      </c>
      <c r="S201" s="177">
        <f>+'Working Capital (AMA)'!M41</f>
        <v>346199.63</v>
      </c>
      <c r="T201" s="177">
        <v>346199.63</v>
      </c>
      <c r="U201" s="177">
        <f>+'Working Capital (AMA)'!N41</f>
        <v>338732.67</v>
      </c>
      <c r="V201" s="177">
        <v>338732.67</v>
      </c>
      <c r="W201" s="177">
        <f>+'Working Capital (AMA)'!O41</f>
        <v>316009.2</v>
      </c>
      <c r="X201" s="177">
        <v>316009.2</v>
      </c>
      <c r="Y201" s="177">
        <f>+'Working Capital (AMA)'!P41</f>
        <v>292844.59999999998</v>
      </c>
      <c r="Z201" s="177">
        <v>292844.59999999998</v>
      </c>
      <c r="AA201" s="177">
        <f>+'Working Capital (AMA)'!Q41</f>
        <v>280874.90999999997</v>
      </c>
      <c r="AB201" s="177">
        <v>280874.90999999997</v>
      </c>
      <c r="AC201" s="177">
        <f>+'Working Capital (AMA)'!R41</f>
        <v>447451.77</v>
      </c>
      <c r="AD201" s="177">
        <v>447451.77</v>
      </c>
      <c r="AE201" s="177"/>
      <c r="AF201" s="177"/>
      <c r="AM201" s="178"/>
      <c r="AO201" s="178"/>
    </row>
    <row r="202" spans="1:41">
      <c r="A202" s="124">
        <v>195</v>
      </c>
      <c r="D202" s="226">
        <v>47.108800000000002</v>
      </c>
      <c r="E202" s="177">
        <f>+'Working Capital (AMA)'!F43</f>
        <v>-130029620.40000001</v>
      </c>
      <c r="F202" s="177">
        <v>-130029620.40000001</v>
      </c>
      <c r="G202" s="177">
        <f>+'Working Capital (AMA)'!G43</f>
        <v>-130794260.40000001</v>
      </c>
      <c r="H202" s="177">
        <v>-130794260.40000001</v>
      </c>
      <c r="I202" s="177">
        <f>+'Working Capital (AMA)'!H43</f>
        <v>-131568244.08</v>
      </c>
      <c r="J202" s="177">
        <v>-131568244.08</v>
      </c>
      <c r="K202" s="177">
        <f>+'Working Capital (AMA)'!I43</f>
        <v>-132253101.12</v>
      </c>
      <c r="L202" s="177">
        <v>-132253101.12</v>
      </c>
      <c r="M202" s="177">
        <f>+'Working Capital (AMA)'!J43</f>
        <v>-132960778.78</v>
      </c>
      <c r="N202" s="177">
        <v>-132960778.78</v>
      </c>
      <c r="O202" s="177">
        <f>+'Working Capital (AMA)'!K43</f>
        <v>-133700753.47</v>
      </c>
      <c r="P202" s="177">
        <v>-133700753.47</v>
      </c>
      <c r="Q202" s="177">
        <f>+'Working Capital (AMA)'!L43</f>
        <v>-134291517.96000001</v>
      </c>
      <c r="R202" s="177">
        <v>-134291517.96000001</v>
      </c>
      <c r="S202" s="177">
        <f>+'Working Capital (AMA)'!M43</f>
        <v>-134960481.63999999</v>
      </c>
      <c r="T202" s="177">
        <v>-134960481.63999999</v>
      </c>
      <c r="U202" s="177">
        <f>+'Working Capital (AMA)'!N43</f>
        <v>-135666074.69999999</v>
      </c>
      <c r="V202" s="177">
        <v>-135666074.69999999</v>
      </c>
      <c r="W202" s="177">
        <f>+'Working Capital (AMA)'!O43</f>
        <v>-136426810.59</v>
      </c>
      <c r="X202" s="177">
        <v>-136426810.59</v>
      </c>
      <c r="Y202" s="177">
        <f>+'Working Capital (AMA)'!P43</f>
        <v>-136922264.46000001</v>
      </c>
      <c r="Z202" s="177">
        <v>-136922264.46000001</v>
      </c>
      <c r="AA202" s="177">
        <f>+'Working Capital (AMA)'!Q43</f>
        <v>-137421098.12</v>
      </c>
      <c r="AB202" s="177">
        <v>-137421098.12</v>
      </c>
      <c r="AC202" s="177">
        <f>+'Working Capital (AMA)'!R43</f>
        <v>-137250590.81999999</v>
      </c>
      <c r="AD202" s="177">
        <v>-137250590.81999999</v>
      </c>
      <c r="AE202" s="177"/>
      <c r="AF202" s="177"/>
      <c r="AM202" s="178"/>
      <c r="AO202" s="178"/>
    </row>
    <row r="203" spans="1:41">
      <c r="A203" s="124">
        <v>196</v>
      </c>
      <c r="D203" s="226">
        <v>47.111199999999997</v>
      </c>
      <c r="E203" s="214">
        <f>+'Working Capital (AMA)'!F36</f>
        <v>-26485264.699999999</v>
      </c>
      <c r="F203" s="214">
        <v>-26485264.699999999</v>
      </c>
      <c r="G203" s="214">
        <f>+'Working Capital (AMA)'!G36</f>
        <v>-26723709.010000002</v>
      </c>
      <c r="H203" s="214">
        <v>-26723709.010000002</v>
      </c>
      <c r="I203" s="214">
        <f>+'Working Capital (AMA)'!H36</f>
        <v>-26999184.609999999</v>
      </c>
      <c r="J203" s="214">
        <v>-26999184.609999999</v>
      </c>
      <c r="K203" s="214">
        <f>+'Working Capital (AMA)'!I36</f>
        <v>-27274652.989999998</v>
      </c>
      <c r="L203" s="214">
        <v>-27274652.989999998</v>
      </c>
      <c r="M203" s="214">
        <f>+'Working Capital (AMA)'!J36</f>
        <v>-27552825.350000001</v>
      </c>
      <c r="N203" s="214">
        <v>-27552825.350000001</v>
      </c>
      <c r="O203" s="214">
        <f>+'Working Capital (AMA)'!K36</f>
        <v>-27830996.09</v>
      </c>
      <c r="P203" s="214">
        <v>-27830996.09</v>
      </c>
      <c r="Q203" s="214">
        <f>+'Working Capital (AMA)'!L36</f>
        <v>-28109166.829999998</v>
      </c>
      <c r="R203" s="214">
        <v>-28109166.829999998</v>
      </c>
      <c r="S203" s="214">
        <f>+'Working Capital (AMA)'!M36</f>
        <v>-28387337.57</v>
      </c>
      <c r="T203" s="214">
        <v>-28387337.57</v>
      </c>
      <c r="U203" s="214">
        <f>+'Working Capital (AMA)'!N36</f>
        <v>-28665508.309999999</v>
      </c>
      <c r="V203" s="214">
        <v>-28665508.309999999</v>
      </c>
      <c r="W203" s="214">
        <f>+'Working Capital (AMA)'!O36</f>
        <v>-28943684.57</v>
      </c>
      <c r="X203" s="214">
        <v>-28943684.57</v>
      </c>
      <c r="Y203" s="311">
        <f>+'Working Capital (AMA)'!P36</f>
        <v>-29221860.829999998</v>
      </c>
      <c r="Z203" s="311">
        <v>-29221860.829999998</v>
      </c>
      <c r="AA203" s="214">
        <f>+'Working Capital (AMA)'!Q36</f>
        <v>-29501354.539999999</v>
      </c>
      <c r="AB203" s="214">
        <v>-29501354.539999999</v>
      </c>
      <c r="AC203" s="214">
        <f>+'Working Capital (AMA)'!R36</f>
        <v>-29785135.120000001</v>
      </c>
      <c r="AD203" s="214">
        <v>-29785135.120000001</v>
      </c>
      <c r="AE203" s="177"/>
      <c r="AF203" s="177"/>
      <c r="AM203" s="178"/>
      <c r="AO203" s="178"/>
    </row>
    <row r="204" spans="1:41">
      <c r="A204" s="124">
        <v>197</v>
      </c>
      <c r="D204" s="226" t="s">
        <v>1696</v>
      </c>
      <c r="E204" s="177">
        <f>SUM(E199:E203)</f>
        <v>-463704246.39000005</v>
      </c>
      <c r="F204" s="177">
        <f>SUM(F199:F203)</f>
        <v>-463704246.39000005</v>
      </c>
      <c r="G204" s="177">
        <f>SUM(G199:G203)</f>
        <v>-466103470.63999999</v>
      </c>
      <c r="H204" s="177">
        <f>SUM(H199:H203)</f>
        <v>-466103470.63999999</v>
      </c>
      <c r="I204" s="177">
        <f t="shared" ref="I204:AD204" si="14">SUM(I199:I203)</f>
        <v>-468283511.93000001</v>
      </c>
      <c r="J204" s="177">
        <f t="shared" si="14"/>
        <v>-468283511.93000001</v>
      </c>
      <c r="K204" s="177">
        <f t="shared" si="14"/>
        <v>-470354526.43000007</v>
      </c>
      <c r="L204" s="177">
        <f t="shared" si="14"/>
        <v>-470354526.43000007</v>
      </c>
      <c r="M204" s="177">
        <f t="shared" si="14"/>
        <v>-472776466.49000001</v>
      </c>
      <c r="N204" s="177">
        <f t="shared" si="14"/>
        <v>-472776466.49000001</v>
      </c>
      <c r="O204" s="177">
        <f t="shared" si="14"/>
        <v>-475317794.46999997</v>
      </c>
      <c r="P204" s="177">
        <f t="shared" si="14"/>
        <v>-475317794.46999997</v>
      </c>
      <c r="Q204" s="177">
        <f t="shared" si="14"/>
        <v>-476929152.76999992</v>
      </c>
      <c r="R204" s="177">
        <f t="shared" si="14"/>
        <v>-476929152.76999992</v>
      </c>
      <c r="S204" s="177">
        <f t="shared" si="14"/>
        <v>-478927924.56999993</v>
      </c>
      <c r="T204" s="177">
        <f t="shared" si="14"/>
        <v>-478927924.56999993</v>
      </c>
      <c r="U204" s="177">
        <f t="shared" si="14"/>
        <v>-481288927.56999999</v>
      </c>
      <c r="V204" s="177">
        <f t="shared" si="14"/>
        <v>-481288927.56999999</v>
      </c>
      <c r="W204" s="177">
        <f t="shared" si="14"/>
        <v>-483497497.44</v>
      </c>
      <c r="X204" s="177">
        <f t="shared" si="14"/>
        <v>-483497497.44</v>
      </c>
      <c r="Y204" s="177">
        <f t="shared" si="14"/>
        <v>-485198046.06</v>
      </c>
      <c r="Z204" s="177">
        <f t="shared" si="14"/>
        <v>-485198046.06</v>
      </c>
      <c r="AA204" s="177">
        <f t="shared" si="14"/>
        <v>-487496395.05000001</v>
      </c>
      <c r="AB204" s="177">
        <f t="shared" si="14"/>
        <v>-487496395.05000001</v>
      </c>
      <c r="AC204" s="177">
        <f t="shared" si="14"/>
        <v>-487867643.79000002</v>
      </c>
      <c r="AD204" s="177">
        <f t="shared" si="14"/>
        <v>-487867643.79000002</v>
      </c>
      <c r="AE204" s="177"/>
      <c r="AF204" s="177"/>
      <c r="AM204" s="178"/>
      <c r="AO204" s="178"/>
    </row>
    <row r="205" spans="1:41">
      <c r="A205" s="124">
        <v>198</v>
      </c>
      <c r="B205" s="61" t="s">
        <v>1697</v>
      </c>
      <c r="D205" s="700" t="s">
        <v>1698</v>
      </c>
      <c r="E205" s="121">
        <f>+'Working Capital (AMA)'!F30</f>
        <v>32573.109999999899</v>
      </c>
      <c r="F205" s="177">
        <v>32573.109999999899</v>
      </c>
      <c r="G205" s="177">
        <f>+'Working Capital (AMA)'!G30</f>
        <v>485338.8</v>
      </c>
      <c r="H205" s="177">
        <v>485338.8</v>
      </c>
      <c r="I205" s="177">
        <f>+'Working Capital (AMA)'!H30</f>
        <v>538907.14</v>
      </c>
      <c r="J205" s="177">
        <v>538907.14</v>
      </c>
      <c r="K205" s="177">
        <f>+'Working Capital (AMA)'!I30</f>
        <v>1011738.78</v>
      </c>
      <c r="L205" s="177">
        <v>1011738.78</v>
      </c>
      <c r="M205" s="177">
        <f>+'Working Capital (AMA)'!J30</f>
        <v>923310</v>
      </c>
      <c r="N205" s="177">
        <v>923310</v>
      </c>
      <c r="O205" s="177">
        <f>+'Working Capital (AMA)'!K30</f>
        <v>1084396.3899999999</v>
      </c>
      <c r="P205" s="177">
        <v>1084396.3899999999</v>
      </c>
      <c r="Q205" s="177">
        <f>+'Working Capital (AMA)'!L30</f>
        <v>929318.64</v>
      </c>
      <c r="R205" s="177">
        <v>929318.64</v>
      </c>
      <c r="S205" s="350">
        <f>+'Working Capital (AMA)'!M30</f>
        <v>1596878.01</v>
      </c>
      <c r="T205" s="350">
        <v>1596878.01</v>
      </c>
      <c r="U205" s="350">
        <f>+'Working Capital (AMA)'!N30</f>
        <v>1595009.91</v>
      </c>
      <c r="V205" s="350">
        <v>1595009.91</v>
      </c>
      <c r="W205" s="350">
        <f>+'Working Capital (AMA)'!O30</f>
        <v>2045619</v>
      </c>
      <c r="X205" s="350">
        <v>2045619</v>
      </c>
      <c r="Y205" s="350">
        <f>+'Working Capital (AMA)'!P30</f>
        <v>2008372.49</v>
      </c>
      <c r="Z205" s="350">
        <v>2008372</v>
      </c>
      <c r="AA205" s="350">
        <f>+'Working Capital (AMA)'!Q30</f>
        <v>1613798.52</v>
      </c>
      <c r="AB205" s="350">
        <v>1613798.52</v>
      </c>
      <c r="AC205" s="350">
        <f>+'Working Capital (AMA)'!R30</f>
        <v>-407520.14</v>
      </c>
      <c r="AD205" s="177">
        <v>-407520.14</v>
      </c>
      <c r="AE205" s="177">
        <f>+(F205+AD205+(+H205+J205+L205+N205+P205+R205+T205+V205+X205+Z205+AB205)*2)/24</f>
        <v>1137101.1395833332</v>
      </c>
      <c r="AF205" s="177"/>
      <c r="AM205" s="178"/>
      <c r="AO205" s="178"/>
    </row>
    <row r="206" spans="1:41">
      <c r="A206" s="124">
        <v>199</v>
      </c>
      <c r="E206" s="177">
        <f>+E200</f>
        <v>-5124032.1899999995</v>
      </c>
      <c r="F206" s="177">
        <f>+F200</f>
        <v>-5124032.1899999995</v>
      </c>
      <c r="G206" s="177">
        <f>+G200</f>
        <v>-5155282.6400000006</v>
      </c>
      <c r="H206" s="177">
        <f t="shared" ref="H206:AD206" si="15">+H200</f>
        <v>-5155282.6400000006</v>
      </c>
      <c r="I206" s="177">
        <f t="shared" si="15"/>
        <v>-5186533.1399999997</v>
      </c>
      <c r="J206" s="177">
        <f t="shared" si="15"/>
        <v>-5186533.1399999997</v>
      </c>
      <c r="K206" s="177">
        <f t="shared" si="15"/>
        <v>-5170178.3600000003</v>
      </c>
      <c r="L206" s="177">
        <f t="shared" si="15"/>
        <v>-5170178.3600000003</v>
      </c>
      <c r="M206" s="177">
        <f t="shared" si="15"/>
        <v>-5201680.13</v>
      </c>
      <c r="N206" s="177">
        <f t="shared" si="15"/>
        <v>-5201680.13</v>
      </c>
      <c r="O206" s="177">
        <f t="shared" si="15"/>
        <v>-5233181.8999999994</v>
      </c>
      <c r="P206" s="177">
        <f t="shared" si="15"/>
        <v>-5233181.9000000004</v>
      </c>
      <c r="Q206" s="177">
        <f t="shared" si="15"/>
        <v>-5264683.71</v>
      </c>
      <c r="R206" s="177">
        <f t="shared" si="15"/>
        <v>-5264683.71</v>
      </c>
      <c r="S206" s="177">
        <f t="shared" si="15"/>
        <v>-5296185.46</v>
      </c>
      <c r="T206" s="177">
        <f t="shared" si="15"/>
        <v>-5296185.46</v>
      </c>
      <c r="U206" s="177">
        <f t="shared" si="15"/>
        <v>-5327687.17</v>
      </c>
      <c r="V206" s="177">
        <f t="shared" si="15"/>
        <v>-5327687.17</v>
      </c>
      <c r="W206" s="177">
        <f t="shared" si="15"/>
        <v>-5359188.92</v>
      </c>
      <c r="X206" s="177">
        <f t="shared" si="15"/>
        <v>-5359188.92</v>
      </c>
      <c r="Y206" s="177">
        <f t="shared" si="15"/>
        <v>-5356480.9399999995</v>
      </c>
      <c r="Z206" s="177">
        <f t="shared" si="15"/>
        <v>-5356480.9400000004</v>
      </c>
      <c r="AA206" s="177">
        <f t="shared" si="15"/>
        <v>-5387852.1200000001</v>
      </c>
      <c r="AB206" s="177">
        <f t="shared" si="15"/>
        <v>-5387852.1200000001</v>
      </c>
      <c r="AC206" s="177">
        <f t="shared" si="15"/>
        <v>-5419341.0800000001</v>
      </c>
      <c r="AD206" s="177">
        <f t="shared" si="15"/>
        <v>-5419341.0800000001</v>
      </c>
      <c r="AE206" s="177"/>
      <c r="AF206" s="177"/>
      <c r="AM206" s="178"/>
      <c r="AO206" s="178"/>
    </row>
    <row r="207" spans="1:41">
      <c r="A207" s="124">
        <v>200</v>
      </c>
      <c r="D207" s="226" t="s">
        <v>1699</v>
      </c>
      <c r="E207" s="177">
        <f>+E204-E206+E205</f>
        <v>-458547641.09000003</v>
      </c>
      <c r="F207" s="177">
        <f>+F204-F206+F205</f>
        <v>-458547641.09000003</v>
      </c>
      <c r="G207" s="177">
        <f>+G204-G206+G205</f>
        <v>-460462849.19999999</v>
      </c>
      <c r="H207" s="177">
        <f t="shared" ref="H207:AD207" si="16">+H204-H206+H205</f>
        <v>-460462849.19999999</v>
      </c>
      <c r="I207" s="177">
        <f t="shared" si="16"/>
        <v>-462558071.65000004</v>
      </c>
      <c r="J207" s="177">
        <f t="shared" si="16"/>
        <v>-462558071.65000004</v>
      </c>
      <c r="K207" s="177">
        <f t="shared" si="16"/>
        <v>-464172609.29000008</v>
      </c>
      <c r="L207" s="177">
        <f t="shared" si="16"/>
        <v>-464172609.29000008</v>
      </c>
      <c r="M207" s="177">
        <f t="shared" si="16"/>
        <v>-466651476.36000001</v>
      </c>
      <c r="N207" s="177">
        <f t="shared" si="16"/>
        <v>-466651476.36000001</v>
      </c>
      <c r="O207" s="177">
        <f t="shared" si="16"/>
        <v>-469000216.18000001</v>
      </c>
      <c r="P207" s="177">
        <f t="shared" si="16"/>
        <v>-469000216.18000001</v>
      </c>
      <c r="Q207" s="177">
        <f t="shared" si="16"/>
        <v>-470735150.41999996</v>
      </c>
      <c r="R207" s="177">
        <f t="shared" si="16"/>
        <v>-470735150.41999996</v>
      </c>
      <c r="S207" s="177">
        <f t="shared" si="16"/>
        <v>-472034861.09999996</v>
      </c>
      <c r="T207" s="177">
        <f t="shared" si="16"/>
        <v>-472034861.09999996</v>
      </c>
      <c r="U207" s="177">
        <f t="shared" si="16"/>
        <v>-474366230.48999995</v>
      </c>
      <c r="V207" s="177">
        <f t="shared" si="16"/>
        <v>-474366230.48999995</v>
      </c>
      <c r="W207" s="177">
        <f t="shared" si="16"/>
        <v>-476092689.51999998</v>
      </c>
      <c r="X207" s="177">
        <f t="shared" si="16"/>
        <v>-476092689.51999998</v>
      </c>
      <c r="Y207" s="177">
        <f t="shared" si="16"/>
        <v>-477833192.63</v>
      </c>
      <c r="Z207" s="177">
        <f t="shared" si="16"/>
        <v>-477833193.12</v>
      </c>
      <c r="AA207" s="177">
        <f t="shared" si="16"/>
        <v>-480494744.41000003</v>
      </c>
      <c r="AB207" s="177">
        <f t="shared" si="16"/>
        <v>-480494744.41000003</v>
      </c>
      <c r="AC207" s="177">
        <f>+AC204-AC206+AC205</f>
        <v>-482855822.85000002</v>
      </c>
      <c r="AD207" s="177">
        <f t="shared" si="16"/>
        <v>-482855822.85000002</v>
      </c>
      <c r="AE207" s="177"/>
      <c r="AF207" s="177"/>
      <c r="AM207" s="178"/>
      <c r="AO207" s="178"/>
    </row>
    <row r="208" spans="1:41">
      <c r="A208" s="124">
        <v>201</v>
      </c>
    </row>
    <row r="209" spans="5:30">
      <c r="E209" s="135">
        <f>+E207+E196</f>
        <v>0</v>
      </c>
      <c r="F209" s="135"/>
      <c r="G209" s="135">
        <f>+G207+G196</f>
        <v>0</v>
      </c>
      <c r="H209" s="135"/>
      <c r="I209" s="135">
        <f>+I207+I196</f>
        <v>0</v>
      </c>
      <c r="J209" s="135"/>
      <c r="K209" s="135">
        <f>+K207+K196</f>
        <v>0</v>
      </c>
      <c r="L209" s="135"/>
      <c r="M209" s="135">
        <f>+M207+M196</f>
        <v>0</v>
      </c>
      <c r="N209" s="135"/>
      <c r="O209" s="135">
        <f>+O207+O196</f>
        <v>0</v>
      </c>
      <c r="P209" s="135"/>
      <c r="Q209" s="135">
        <f>+Q207+Q196</f>
        <v>0</v>
      </c>
      <c r="R209" s="135"/>
      <c r="S209" s="135">
        <f>+S207+S196</f>
        <v>0</v>
      </c>
      <c r="T209" s="135"/>
      <c r="U209" s="135">
        <f>+U207+U196</f>
        <v>0</v>
      </c>
      <c r="V209" s="135"/>
      <c r="W209" s="135">
        <f>+W207+W196</f>
        <v>0</v>
      </c>
      <c r="X209" s="135"/>
      <c r="Y209" s="135">
        <f>+Y207+Y196</f>
        <v>0.37000000476837158</v>
      </c>
      <c r="Z209" s="135"/>
      <c r="AA209" s="135">
        <f>+AA207+AA196</f>
        <v>0</v>
      </c>
      <c r="AB209" s="135"/>
      <c r="AC209" s="135">
        <f>+AC207+AC196</f>
        <v>0</v>
      </c>
      <c r="AD209" s="135"/>
    </row>
    <row r="214" spans="5:30">
      <c r="AA214" s="135"/>
    </row>
  </sheetData>
  <mergeCells count="6">
    <mergeCell ref="A6:AE6"/>
    <mergeCell ref="A1:AE1"/>
    <mergeCell ref="A2:AE2"/>
    <mergeCell ref="A3:AE3"/>
    <mergeCell ref="A4:AE4"/>
    <mergeCell ref="A5:AE5"/>
  </mergeCells>
  <phoneticPr fontId="122" type="noConversion"/>
  <printOptions horizontalCentered="1"/>
  <pageMargins left="0.7" right="0.7" top="0.75" bottom="0.75" header="0.3" footer="0.3"/>
  <pageSetup scale="23" fitToHeight="0" orientation="landscape" r:id="rId1"/>
  <headerFooter scaleWithDoc="0" alignWithMargins="0">
    <oddHeader>&amp;RPage &amp;P of &amp;N</oddHeader>
    <oddFooter>&amp;LElectronic Tab Name:&amp;A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AE158"/>
  <sheetViews>
    <sheetView view="pageBreakPreview" topLeftCell="A81" zoomScale="60" zoomScaleNormal="100" workbookViewId="0">
      <selection activeCell="K111" sqref="K111"/>
    </sheetView>
  </sheetViews>
  <sheetFormatPr defaultColWidth="9.140625" defaultRowHeight="15" outlineLevelRow="1"/>
  <cols>
    <col min="1" max="1" width="6.7109375" style="124" bestFit="1" customWidth="1"/>
    <col min="2" max="2" width="57.140625" style="53" customWidth="1"/>
    <col min="3" max="3" width="48.28515625" style="53" customWidth="1"/>
    <col min="4" max="4" width="15.42578125" style="53" bestFit="1" customWidth="1"/>
    <col min="5" max="5" width="14.42578125" style="53" bestFit="1" customWidth="1"/>
    <col min="6" max="6" width="15" style="53" bestFit="1" customWidth="1"/>
    <col min="7" max="7" width="35.42578125" style="53" bestFit="1" customWidth="1"/>
    <col min="8" max="13" width="12" style="53" bestFit="1" customWidth="1"/>
    <col min="14" max="14" width="8" style="53" bestFit="1" customWidth="1"/>
    <col min="15" max="16" width="9" style="53" bestFit="1" customWidth="1"/>
    <col min="17" max="18" width="10" style="53" bestFit="1" customWidth="1"/>
    <col min="19" max="19" width="8.5703125" bestFit="1" customWidth="1"/>
    <col min="20" max="23" width="9" style="53" bestFit="1" customWidth="1"/>
    <col min="24" max="27" width="8" style="53" bestFit="1" customWidth="1"/>
    <col min="28" max="29" width="9" style="53" bestFit="1" customWidth="1"/>
    <col min="30" max="31" width="10" style="53" bestFit="1" customWidth="1"/>
    <col min="32" max="16384" width="9.140625" style="53"/>
  </cols>
  <sheetData>
    <row r="1" spans="1:31">
      <c r="A1" s="1402" t="str">
        <f>Company</f>
        <v>Cascade Natural Gas Corp.</v>
      </c>
      <c r="B1" s="1402"/>
      <c r="C1" s="1402"/>
      <c r="D1" s="91"/>
      <c r="E1" s="91"/>
    </row>
    <row r="2" spans="1:31">
      <c r="A2" s="1402" t="str">
        <f>Title1</f>
        <v>Washington Jurisdiction</v>
      </c>
      <c r="B2" s="1402"/>
      <c r="C2" s="1402"/>
      <c r="D2" s="91"/>
      <c r="E2" s="91"/>
    </row>
    <row r="3" spans="1:31">
      <c r="A3" s="1402" t="str">
        <f>Title2</f>
        <v>Twelve-Months ended December 31, 2023</v>
      </c>
      <c r="B3" s="1402"/>
      <c r="C3" s="1402"/>
      <c r="D3" s="91"/>
      <c r="E3" s="91"/>
    </row>
    <row r="4" spans="1:31">
      <c r="A4" s="1402" t="str">
        <f>Title8</f>
        <v>UG-240008</v>
      </c>
      <c r="B4" s="1402"/>
      <c r="C4" s="1402"/>
      <c r="D4" s="91"/>
      <c r="E4" s="91"/>
    </row>
    <row r="5" spans="1:31">
      <c r="A5" s="1402" t="s">
        <v>705</v>
      </c>
      <c r="B5" s="1402"/>
      <c r="C5" s="1402"/>
      <c r="D5" s="91"/>
      <c r="E5" s="91"/>
    </row>
    <row r="6" spans="1:31">
      <c r="A6" s="1402" t="s">
        <v>704</v>
      </c>
      <c r="B6" s="1402"/>
      <c r="C6" s="1402"/>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30"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403" t="s">
        <v>1700</v>
      </c>
      <c r="C10" s="1403"/>
      <c r="D10" s="449"/>
    </row>
    <row r="11" spans="1:31" outlineLevel="1">
      <c r="A11" s="124">
        <f>MAX($A$10:A10)+1</f>
        <v>2</v>
      </c>
      <c r="B11" s="53" t="s">
        <v>1701</v>
      </c>
      <c r="C11" s="745">
        <f>+'24-25 Plant Additions'!G262</f>
        <v>140193437.58551073</v>
      </c>
      <c r="D11" s="449"/>
    </row>
    <row r="12" spans="1:31" outlineLevel="1">
      <c r="A12" s="124">
        <f>MAX($A$10:A11)+1</f>
        <v>3</v>
      </c>
      <c r="B12" s="424" t="s">
        <v>1702</v>
      </c>
      <c r="C12" s="746">
        <f>ROUND(C11*-2.9%,0)</f>
        <v>-4065610</v>
      </c>
      <c r="D12" s="254"/>
    </row>
    <row r="13" spans="1:31" outlineLevel="1">
      <c r="A13" s="124">
        <f>MAX($A$10:A12)+1</f>
        <v>4</v>
      </c>
      <c r="B13" s="424" t="s">
        <v>1703</v>
      </c>
      <c r="C13" s="745">
        <f>SUM(C11:C12)</f>
        <v>136127827.58551073</v>
      </c>
    </row>
    <row r="14" spans="1:31" outlineLevel="1">
      <c r="A14" s="124">
        <f>MAX($A$10:A13)+1</f>
        <v>5</v>
      </c>
      <c r="B14" s="424"/>
      <c r="C14" s="447"/>
    </row>
    <row r="15" spans="1:31" outlineLevel="1">
      <c r="A15" s="124">
        <f>MAX($A$10:A14)+1</f>
        <v>6</v>
      </c>
      <c r="B15" s="424" t="s">
        <v>1704</v>
      </c>
      <c r="C15" s="177">
        <f>-((C31/2)+'EOP Depn Exp Adj'!E55)</f>
        <v>-34181120.015377395</v>
      </c>
    </row>
    <row r="16" spans="1:31" outlineLevel="1">
      <c r="A16" s="124">
        <f>MAX($A$10:A15)+1</f>
        <v>7</v>
      </c>
      <c r="B16" s="424" t="s">
        <v>1702</v>
      </c>
      <c r="C16" s="747">
        <f>-C12</f>
        <v>4065610</v>
      </c>
    </row>
    <row r="17" spans="1:5" outlineLevel="1">
      <c r="A17" s="124">
        <f>MAX($A$10:A16)+1</f>
        <v>8</v>
      </c>
      <c r="B17" s="424" t="s">
        <v>1705</v>
      </c>
      <c r="C17" s="749">
        <f>'24-25 Cost of Removal'!F101</f>
        <v>-1530560.75</v>
      </c>
    </row>
    <row r="18" spans="1:5" outlineLevel="1">
      <c r="A18" s="124">
        <f>MAX($A$10:A17)+1</f>
        <v>9</v>
      </c>
      <c r="B18" s="424" t="s">
        <v>1706</v>
      </c>
      <c r="C18" s="747">
        <f>SUM(C15:C17)</f>
        <v>-31646070.765377395</v>
      </c>
    </row>
    <row r="19" spans="1:5" outlineLevel="1">
      <c r="A19" s="124">
        <f>MAX($A$10:A18)+1</f>
        <v>10</v>
      </c>
      <c r="B19" s="424"/>
      <c r="C19" s="447"/>
      <c r="D19" s="216"/>
    </row>
    <row r="20" spans="1:5" outlineLevel="1">
      <c r="A20" s="124">
        <f>MAX($A$10:A19)+1</f>
        <v>11</v>
      </c>
      <c r="B20" s="424" t="s">
        <v>1707</v>
      </c>
      <c r="C20" s="177">
        <f>'24-25 ADIT'!D16</f>
        <v>68761.561904037371</v>
      </c>
    </row>
    <row r="21" spans="1:5" outlineLevel="1">
      <c r="A21" s="124">
        <f>MAX($A$10:A20)+1</f>
        <v>12</v>
      </c>
      <c r="B21" s="60"/>
      <c r="C21" s="60"/>
    </row>
    <row r="22" spans="1:5" outlineLevel="1">
      <c r="A22" s="124">
        <f>MAX($A$10:A21)+1</f>
        <v>13</v>
      </c>
      <c r="B22" s="1403" t="s">
        <v>1708</v>
      </c>
      <c r="C22" s="1403"/>
      <c r="D22"/>
    </row>
    <row r="23" spans="1:5" outlineLevel="1">
      <c r="A23" s="124">
        <f>MAX($A$10:A22)+1</f>
        <v>14</v>
      </c>
      <c r="B23" s="53" t="s">
        <v>1709</v>
      </c>
      <c r="C23" s="565">
        <f>SUM(C110:N110,C115:N115,C122:N122)</f>
        <v>1571477.0432382778</v>
      </c>
    </row>
    <row r="24" spans="1:5" outlineLevel="1">
      <c r="A24" s="124">
        <f>MAX($A$10:A23)+1</f>
        <v>15</v>
      </c>
    </row>
    <row r="25" spans="1:5" outlineLevel="1">
      <c r="A25" s="124">
        <f>MAX($A$10:A24)+1</f>
        <v>16</v>
      </c>
      <c r="B25" s="424" t="s">
        <v>1710</v>
      </c>
      <c r="C25" s="177">
        <f>'Operating Report'!AG54</f>
        <v>66819.203878491579</v>
      </c>
      <c r="D25" s="121"/>
    </row>
    <row r="26" spans="1:5" outlineLevel="1">
      <c r="A26" s="124">
        <f>MAX($A$10:A25)+1</f>
        <v>17</v>
      </c>
      <c r="B26" s="424"/>
      <c r="C26" s="177"/>
    </row>
    <row r="27" spans="1:5" outlineLevel="1">
      <c r="A27" s="124">
        <f>MAX($A$10:A26)+1</f>
        <v>18</v>
      </c>
      <c r="B27" s="53" t="s">
        <v>1711</v>
      </c>
      <c r="C27" s="135">
        <f>'Operating Report'!AG94</f>
        <v>10558.529677620663</v>
      </c>
    </row>
    <row r="28" spans="1:5" outlineLevel="1">
      <c r="A28" s="124">
        <f>MAX($A$10:A27)+1</f>
        <v>19</v>
      </c>
    </row>
    <row r="29" spans="1:5" outlineLevel="1">
      <c r="A29" s="124">
        <f>MAX($A$10:A28)+1</f>
        <v>20</v>
      </c>
      <c r="B29" s="53" t="s">
        <v>1712</v>
      </c>
      <c r="C29" s="177">
        <f>+'24-25 Plant Additions'!H302-'24-25 Plant Additions'!H289-'24-25 Plant Additions'!H295-'24-25 Plant Additions'!H288-'24-25 Plant Additions'!H294</f>
        <v>3915989.1024727817</v>
      </c>
    </row>
    <row r="30" spans="1:5" outlineLevel="1">
      <c r="A30" s="124">
        <f>MAX($A$10:A29)+1</f>
        <v>21</v>
      </c>
      <c r="B30" s="53" t="s">
        <v>1713</v>
      </c>
      <c r="C30" s="214">
        <f>ROUND(C12*0.0306,2)</f>
        <v>-124407.67</v>
      </c>
      <c r="E30" s="121"/>
    </row>
    <row r="31" spans="1:5" outlineLevel="1">
      <c r="A31" s="124">
        <f>MAX($A$10:A30)+1</f>
        <v>22</v>
      </c>
      <c r="B31" s="53" t="s">
        <v>1714</v>
      </c>
      <c r="C31" s="177">
        <f>C29+C30</f>
        <v>3791581.4324727817</v>
      </c>
      <c r="E31" s="121"/>
    </row>
    <row r="32" spans="1:5"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330312.59999999998</v>
      </c>
      <c r="E34" s="121"/>
      <c r="F34" s="112"/>
    </row>
    <row r="35" spans="1:7" outlineLevel="1">
      <c r="A35" s="124">
        <f>MAX($A$10:A34)+1</f>
        <v>26</v>
      </c>
      <c r="C35" s="177"/>
    </row>
    <row r="36" spans="1:7" outlineLevel="1">
      <c r="A36" s="124">
        <f>MAX($A$10:A35)+1</f>
        <v>27</v>
      </c>
      <c r="B36" t="s">
        <v>1716</v>
      </c>
      <c r="C36" s="177">
        <f>-'24-25 Plant Additions'!L10-'24-25 Plant Additions'!L11-'24-25 Plant Additions'!L25-'24-25 Plant Additions'!L240</f>
        <v>-292500</v>
      </c>
      <c r="D36" s="53" t="s">
        <v>1717</v>
      </c>
      <c r="E36" s="121">
        <f>C36-E37</f>
        <v>-280000</v>
      </c>
      <c r="F36" s="121"/>
    </row>
    <row r="37" spans="1:7" outlineLevel="1">
      <c r="A37" s="124">
        <f>MAX($A$10:A36)+1</f>
        <v>28</v>
      </c>
      <c r="C37" s="177"/>
      <c r="D37" s="53" t="s">
        <v>1718</v>
      </c>
      <c r="E37" s="121">
        <f>-'24-25 Plant Additions'!L11</f>
        <v>-12500</v>
      </c>
      <c r="G37" s="121"/>
    </row>
    <row r="38" spans="1:7" outlineLevel="1">
      <c r="A38" s="124">
        <f>MAX($A$10:A37)+1</f>
        <v>29</v>
      </c>
      <c r="B38" s="53" t="s">
        <v>1719</v>
      </c>
      <c r="C38" s="565">
        <f>((C23-SUM(C25,C27,C34,C31,C36))*'Exh JAD-6, Conversion Factor'!$C$33)</f>
        <v>-490411.89178602945</v>
      </c>
      <c r="E38" s="216"/>
      <c r="G38" s="123"/>
    </row>
    <row r="39" spans="1:7" outlineLevel="1">
      <c r="A39" s="124">
        <f>MAX($A$10:A38)+1</f>
        <v>30</v>
      </c>
      <c r="B39" t="s">
        <v>1720</v>
      </c>
      <c r="C39" s="177">
        <f>-'24-25 ADIT'!D13-'24-25 ADIT'!D14-(-1722565.5-30063.81+27635)</f>
        <v>-54882.381833999883</v>
      </c>
      <c r="E39" s="216"/>
      <c r="G39" s="121"/>
    </row>
    <row r="40" spans="1:7">
      <c r="A40" s="124">
        <f>MAX($A$10:A39)+1</f>
        <v>31</v>
      </c>
      <c r="B40" s="1403" t="s">
        <v>1721</v>
      </c>
      <c r="C40" s="1403"/>
      <c r="D40"/>
    </row>
    <row r="41" spans="1:7">
      <c r="A41" s="124">
        <f>MAX($A$10:A40)+1</f>
        <v>32</v>
      </c>
      <c r="B41" s="53" t="s">
        <v>1701</v>
      </c>
      <c r="C41" s="177">
        <f>+'24-25 Plant Additions'!J262</f>
        <v>107258633.47050501</v>
      </c>
    </row>
    <row r="42" spans="1:7">
      <c r="A42" s="124">
        <f>MAX($A$10:A41)+1</f>
        <v>33</v>
      </c>
      <c r="B42" s="424" t="s">
        <v>1702</v>
      </c>
      <c r="C42" s="746">
        <f>ROUND(C41*-2.9%,0)</f>
        <v>-3110500</v>
      </c>
      <c r="D42" s="254"/>
    </row>
    <row r="43" spans="1:7">
      <c r="A43" s="124">
        <f>MAX($A$10:A42)+1</f>
        <v>34</v>
      </c>
      <c r="B43" s="424" t="s">
        <v>1703</v>
      </c>
      <c r="C43" s="745">
        <f>SUM(C41:C42)</f>
        <v>104148133.47050501</v>
      </c>
    </row>
    <row r="44" spans="1:7">
      <c r="A44" s="124">
        <f>MAX($A$10:A43)+1</f>
        <v>35</v>
      </c>
      <c r="B44" s="424"/>
    </row>
    <row r="45" spans="1:7">
      <c r="A45" s="124">
        <f>MAX($A$10:A44)+1</f>
        <v>36</v>
      </c>
      <c r="B45" s="424" t="s">
        <v>1704</v>
      </c>
      <c r="C45" s="177">
        <f>-((C61/2)+'EOP Depn Exp Adj'!E55+C31)</f>
        <v>-37896908.399198055</v>
      </c>
    </row>
    <row r="46" spans="1:7">
      <c r="A46" s="124">
        <f>MAX($A$10:A45)+1</f>
        <v>37</v>
      </c>
      <c r="B46" s="424" t="s">
        <v>1702</v>
      </c>
      <c r="C46" s="135">
        <f>-C42</f>
        <v>3110500</v>
      </c>
    </row>
    <row r="47" spans="1:7">
      <c r="A47" s="124">
        <f>MAX($A$10:A46)+1</f>
        <v>38</v>
      </c>
      <c r="B47" s="424" t="s">
        <v>1705</v>
      </c>
      <c r="C47" s="256">
        <f>'24-25 Cost of Removal'!H101</f>
        <v>590288.46</v>
      </c>
    </row>
    <row r="48" spans="1:7">
      <c r="A48" s="124">
        <f>MAX($A$10:A47)+1</f>
        <v>39</v>
      </c>
      <c r="B48" s="424" t="s">
        <v>1706</v>
      </c>
      <c r="C48" s="747">
        <f>SUM(C45:C47)</f>
        <v>-34196119.939198054</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403" t="s">
        <v>1722</v>
      </c>
      <c r="C52" s="1403"/>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Additions'!M302-'24-25 Plant Additions'!M289-'24-25 Plant Additions'!M295-'24-25 Plant Additions'!M288-'24-25 Plant Additions'!M294</f>
        <v>3735176.6351685347</v>
      </c>
    </row>
    <row r="60" spans="1:6">
      <c r="A60" s="124">
        <f>MAX($A$10:A59)+1</f>
        <v>51</v>
      </c>
      <c r="B60" s="53" t="s">
        <v>1713</v>
      </c>
      <c r="C60" s="214">
        <f>ROUND(C42*0.0306,2)</f>
        <v>-95181.3</v>
      </c>
    </row>
    <row r="61" spans="1:6">
      <c r="A61" s="124">
        <f>MAX($A$10:A60)+1</f>
        <v>52</v>
      </c>
      <c r="B61" s="53" t="s">
        <v>1714</v>
      </c>
      <c r="C61" s="177">
        <f>C59+C60</f>
        <v>3639995.3351685349</v>
      </c>
      <c r="F61" s="121"/>
    </row>
    <row r="62" spans="1:6">
      <c r="A62" s="124">
        <f>MAX($A$10:A61)+1</f>
        <v>53</v>
      </c>
    </row>
    <row r="63" spans="1:6">
      <c r="A63" s="124">
        <f>MAX($A$10:A62)+1</f>
        <v>54</v>
      </c>
      <c r="B63" s="53" t="s">
        <v>1417</v>
      </c>
      <c r="C63" s="750">
        <f>'Property Tax Increase'!C12</f>
        <v>2.4264884559949754E-3</v>
      </c>
    </row>
    <row r="64" spans="1:6">
      <c r="A64" s="124">
        <f>MAX($A$10:A63)+1</f>
        <v>55</v>
      </c>
      <c r="B64" s="53" t="s">
        <v>1715</v>
      </c>
      <c r="C64" s="177">
        <f>ROUND(C43*C63,2)</f>
        <v>252714.23999999999</v>
      </c>
      <c r="D64"/>
    </row>
    <row r="65" spans="1:26">
      <c r="A65" s="124">
        <f>MAX($A$10:A64)+1</f>
        <v>56</v>
      </c>
      <c r="C65" s="177"/>
    </row>
    <row r="66" spans="1:26">
      <c r="A66" s="124">
        <f>MAX($A$10:A65)+1</f>
        <v>57</v>
      </c>
      <c r="B66" t="s">
        <v>1716</v>
      </c>
      <c r="C66" s="177">
        <f>-'24-25 Plant Additions'!L12-'24-25 Plant Additions'!L21-'24-25 Plant Additions'!L242</f>
        <v>-455000</v>
      </c>
      <c r="D66" s="53" t="s">
        <v>1717</v>
      </c>
      <c r="E66" s="121">
        <f>C66-E67</f>
        <v>-280000</v>
      </c>
    </row>
    <row r="67" spans="1:26">
      <c r="A67" s="124">
        <f>MAX($A$10:A66)+1</f>
        <v>58</v>
      </c>
      <c r="D67" s="53" t="s">
        <v>1718</v>
      </c>
      <c r="E67" s="121">
        <f>-'24-25 Plant Additions'!L21</f>
        <v>-175000</v>
      </c>
      <c r="G67" s="121"/>
    </row>
    <row r="68" spans="1:26">
      <c r="A68" s="124">
        <f>MAX($A$10:A67)+1</f>
        <v>59</v>
      </c>
      <c r="B68" s="53" t="s">
        <v>1719</v>
      </c>
      <c r="C68" s="565">
        <f>((C53-SUM(C55,C57,C64,C61,C66))*'Exh JAD-6, Conversion Factor'!$C$33)</f>
        <v>-313199.76393299759</v>
      </c>
      <c r="G68" s="123"/>
    </row>
    <row r="69" spans="1:26">
      <c r="A69" s="124">
        <f>MAX($A$10:A68)+1</f>
        <v>60</v>
      </c>
      <c r="B69" t="s">
        <v>1724</v>
      </c>
      <c r="C69" s="177">
        <f>-'24-25 ADIT'!F13-'24-25 ADIT'!F14-(-'24-25 ADIT'!D13-'24-25 ADIT'!D14)</f>
        <v>141668.42040000018</v>
      </c>
      <c r="G69" s="121"/>
    </row>
    <row r="70" spans="1:26">
      <c r="A70" s="124">
        <f>MAX($A$10:A69)+1</f>
        <v>61</v>
      </c>
      <c r="B70" s="1404" t="s">
        <v>1725</v>
      </c>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1" t="s">
        <v>208</v>
      </c>
      <c r="D72" s="751" t="s">
        <v>209</v>
      </c>
      <c r="E72" s="751" t="s">
        <v>440</v>
      </c>
      <c r="F72" s="751" t="s">
        <v>441</v>
      </c>
      <c r="G72" s="751" t="s">
        <v>442</v>
      </c>
      <c r="H72" s="751" t="s">
        <v>443</v>
      </c>
      <c r="I72" s="751" t="s">
        <v>444</v>
      </c>
      <c r="J72" s="751" t="s">
        <v>445</v>
      </c>
      <c r="K72" s="751" t="s">
        <v>446</v>
      </c>
      <c r="L72" s="751" t="s">
        <v>447</v>
      </c>
      <c r="M72" s="751" t="s">
        <v>448</v>
      </c>
      <c r="N72" s="751" t="s">
        <v>449</v>
      </c>
      <c r="O72" s="751" t="s">
        <v>450</v>
      </c>
      <c r="P72" s="751" t="s">
        <v>451</v>
      </c>
      <c r="Q72" s="751" t="s">
        <v>452</v>
      </c>
      <c r="R72" s="751" t="s">
        <v>1502</v>
      </c>
      <c r="S72" s="751" t="s">
        <v>1503</v>
      </c>
      <c r="T72" s="751" t="s">
        <v>1504</v>
      </c>
      <c r="U72" s="751" t="s">
        <v>1505</v>
      </c>
      <c r="V72" s="751" t="s">
        <v>1506</v>
      </c>
      <c r="W72" s="751" t="s">
        <v>1507</v>
      </c>
      <c r="X72" s="751" t="s">
        <v>1508</v>
      </c>
      <c r="Y72" s="751" t="s">
        <v>1509</v>
      </c>
      <c r="Z72" s="751"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N90"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ref="O90:Z90" si="7">O78*O83</f>
        <v>385491.19998866279</v>
      </c>
      <c r="P90" s="227">
        <f t="shared" si="7"/>
        <v>302531.08998857351</v>
      </c>
      <c r="Q90" s="227">
        <f t="shared" si="7"/>
        <v>258359.36310493672</v>
      </c>
      <c r="R90" s="227">
        <f t="shared" si="7"/>
        <v>166989.45714193527</v>
      </c>
      <c r="S90" s="227">
        <f t="shared" si="7"/>
        <v>105889.04837542165</v>
      </c>
      <c r="T90" s="227">
        <f t="shared" si="7"/>
        <v>55094.697291316523</v>
      </c>
      <c r="U90" s="227">
        <f t="shared" si="7"/>
        <v>56920.540896655511</v>
      </c>
      <c r="V90" s="227">
        <f t="shared" si="7"/>
        <v>29875.01268982593</v>
      </c>
      <c r="W90" s="227">
        <f t="shared" si="7"/>
        <v>65064.277468612738</v>
      </c>
      <c r="X90" s="227">
        <f t="shared" si="7"/>
        <v>158403.32068045993</v>
      </c>
      <c r="Y90" s="227">
        <f t="shared" si="7"/>
        <v>297252.83165960899</v>
      </c>
      <c r="Z90" s="227">
        <f t="shared" si="7"/>
        <v>383972.72520805482</v>
      </c>
    </row>
    <row r="91" spans="1:26">
      <c r="A91" s="124">
        <f>MAX($A$10:A90)+1</f>
        <v>82</v>
      </c>
      <c r="B91" s="53" t="s">
        <v>87</v>
      </c>
      <c r="C91" s="227">
        <f t="shared" ref="C91:N91" si="8">C79*C84</f>
        <v>239442.76957331412</v>
      </c>
      <c r="D91" s="227">
        <f t="shared" si="8"/>
        <v>190330.92276753276</v>
      </c>
      <c r="E91" s="227">
        <f t="shared" si="8"/>
        <v>155444.97708893236</v>
      </c>
      <c r="F91" s="227">
        <f t="shared" si="8"/>
        <v>99850.831062116151</v>
      </c>
      <c r="G91" s="227">
        <f t="shared" si="8"/>
        <v>69528.979308284062</v>
      </c>
      <c r="H91" s="227">
        <f t="shared" si="8"/>
        <v>44348.077901978504</v>
      </c>
      <c r="I91" s="227">
        <f t="shared" si="8"/>
        <v>45824.736200325831</v>
      </c>
      <c r="J91" s="227">
        <f t="shared" si="8"/>
        <v>45825.385737094039</v>
      </c>
      <c r="K91" s="227">
        <f t="shared" si="8"/>
        <v>64398.460924924628</v>
      </c>
      <c r="L91" s="227">
        <f t="shared" si="8"/>
        <v>117469.42760722029</v>
      </c>
      <c r="M91" s="227">
        <f t="shared" si="8"/>
        <v>174087.01507093274</v>
      </c>
      <c r="N91" s="227">
        <f t="shared" si="8"/>
        <v>235919.03655076443</v>
      </c>
      <c r="O91" s="227">
        <f t="shared" ref="O91:Z91" si="9">O79*O84</f>
        <v>235147.83200249233</v>
      </c>
      <c r="P91" s="227">
        <f t="shared" si="9"/>
        <v>186916.91518425863</v>
      </c>
      <c r="Q91" s="227">
        <f t="shared" si="9"/>
        <v>152656.72637881699</v>
      </c>
      <c r="R91" s="227">
        <f t="shared" si="9"/>
        <v>98059.784765037839</v>
      </c>
      <c r="S91" s="227">
        <f t="shared" si="9"/>
        <v>68281.822728763262</v>
      </c>
      <c r="T91" s="227">
        <f t="shared" si="9"/>
        <v>43552.596684005795</v>
      </c>
      <c r="U91" s="227">
        <f t="shared" si="9"/>
        <v>45002.767837988147</v>
      </c>
      <c r="V91" s="227">
        <f t="shared" si="9"/>
        <v>45003.405723872624</v>
      </c>
      <c r="W91" s="227">
        <f t="shared" si="9"/>
        <v>63243.331580979793</v>
      </c>
      <c r="X91" s="227">
        <f t="shared" si="9"/>
        <v>115362.35267256162</v>
      </c>
      <c r="Y91" s="227">
        <f t="shared" si="9"/>
        <v>170964.37802930168</v>
      </c>
      <c r="Z91" s="227">
        <f t="shared" si="9"/>
        <v>231687.30495344131</v>
      </c>
    </row>
    <row r="92" spans="1:26">
      <c r="A92" s="124">
        <f>MAX($A$10:A91)+1</f>
        <v>83</v>
      </c>
      <c r="B92" s="53" t="s">
        <v>1729</v>
      </c>
      <c r="C92" s="227">
        <f t="shared" ref="C92:Z92" si="10">C$80*C85</f>
        <v>2968.4233870967741</v>
      </c>
      <c r="D92" s="227">
        <f t="shared" si="10"/>
        <v>2768.4435483870966</v>
      </c>
      <c r="E92" s="227">
        <f t="shared" si="10"/>
        <v>2899.541414141414</v>
      </c>
      <c r="F92" s="227">
        <f t="shared" si="10"/>
        <v>2674.0570264765784</v>
      </c>
      <c r="G92" s="227">
        <f t="shared" si="10"/>
        <v>2264.957142857143</v>
      </c>
      <c r="H92" s="227">
        <f t="shared" si="10"/>
        <v>1450.6</v>
      </c>
      <c r="I92" s="227">
        <f t="shared" si="10"/>
        <v>1242.5214723926381</v>
      </c>
      <c r="J92" s="227">
        <f t="shared" si="10"/>
        <v>1189.0245901639344</v>
      </c>
      <c r="K92" s="227">
        <f t="shared" si="10"/>
        <v>1257.3463114754097</v>
      </c>
      <c r="L92" s="227">
        <f t="shared" si="10"/>
        <v>1558.7714285714287</v>
      </c>
      <c r="M92" s="227">
        <f t="shared" si="10"/>
        <v>2270.2576064908721</v>
      </c>
      <c r="N92" s="227">
        <f t="shared" si="10"/>
        <v>2721.0060606060606</v>
      </c>
      <c r="O92" s="227">
        <f t="shared" si="10"/>
        <v>2544.3629032258063</v>
      </c>
      <c r="P92" s="227">
        <f t="shared" si="10"/>
        <v>2372.9516129032259</v>
      </c>
      <c r="Q92" s="227">
        <f t="shared" si="10"/>
        <v>2485.3212121212118</v>
      </c>
      <c r="R92" s="227">
        <f t="shared" si="10"/>
        <v>2292.048879837067</v>
      </c>
      <c r="S92" s="227">
        <f t="shared" si="10"/>
        <v>1941.3918367346939</v>
      </c>
      <c r="T92" s="227">
        <f t="shared" si="10"/>
        <v>1243.3714285714286</v>
      </c>
      <c r="U92" s="227">
        <f t="shared" si="10"/>
        <v>1065.0184049079755</v>
      </c>
      <c r="V92" s="227">
        <f t="shared" si="10"/>
        <v>1019.1639344262295</v>
      </c>
      <c r="W92" s="227">
        <f t="shared" si="10"/>
        <v>1077.7254098360654</v>
      </c>
      <c r="X92" s="227">
        <f t="shared" si="10"/>
        <v>1336.0897959183674</v>
      </c>
      <c r="Y92" s="227">
        <f t="shared" si="10"/>
        <v>1945.9350912778905</v>
      </c>
      <c r="Z92" s="227">
        <f t="shared" si="10"/>
        <v>2332.2909090909088</v>
      </c>
    </row>
    <row r="93" spans="1:26">
      <c r="A93" s="124">
        <f>MAX($A$10:A92)+1</f>
        <v>84</v>
      </c>
      <c r="B93" s="53" t="s">
        <v>1730</v>
      </c>
      <c r="C93" s="227">
        <f t="shared" ref="C93:Z93" si="11">C$80*C86</f>
        <v>11561.925403225807</v>
      </c>
      <c r="D93" s="227">
        <f t="shared" si="11"/>
        <v>9565.104838709678</v>
      </c>
      <c r="E93" s="227">
        <f t="shared" si="11"/>
        <v>10462.270707070707</v>
      </c>
      <c r="F93" s="227">
        <f t="shared" si="11"/>
        <v>8109.8635437881876</v>
      </c>
      <c r="G93" s="227">
        <f t="shared" si="11"/>
        <v>6412.1</v>
      </c>
      <c r="H93" s="227">
        <f t="shared" si="11"/>
        <v>3953.4428571428571</v>
      </c>
      <c r="I93" s="227">
        <f t="shared" si="11"/>
        <v>3180.6625766871166</v>
      </c>
      <c r="J93" s="227">
        <f t="shared" si="11"/>
        <v>3328.9733606557375</v>
      </c>
      <c r="K93" s="227">
        <f t="shared" si="11"/>
        <v>3472.5881147540981</v>
      </c>
      <c r="L93" s="227">
        <f t="shared" si="11"/>
        <v>4507.9285714285716</v>
      </c>
      <c r="M93" s="227">
        <f t="shared" si="11"/>
        <v>6303.0385395537523</v>
      </c>
      <c r="N93" s="227">
        <f t="shared" si="11"/>
        <v>9025.7292929292926</v>
      </c>
      <c r="O93" s="227">
        <f t="shared" si="11"/>
        <v>9910.2217741935492</v>
      </c>
      <c r="P93" s="227">
        <f t="shared" si="11"/>
        <v>8198.6612903225814</v>
      </c>
      <c r="Q93" s="227">
        <f t="shared" si="11"/>
        <v>8967.6606060606064</v>
      </c>
      <c r="R93" s="227">
        <f t="shared" si="11"/>
        <v>6951.311608961304</v>
      </c>
      <c r="S93" s="227">
        <f t="shared" si="11"/>
        <v>5496.0857142857149</v>
      </c>
      <c r="T93" s="227">
        <f t="shared" si="11"/>
        <v>3388.6653061224488</v>
      </c>
      <c r="U93" s="227">
        <f t="shared" si="11"/>
        <v>2726.282208588957</v>
      </c>
      <c r="V93" s="227">
        <f t="shared" si="11"/>
        <v>2853.405737704918</v>
      </c>
      <c r="W93" s="227">
        <f t="shared" si="11"/>
        <v>2976.5040983606555</v>
      </c>
      <c r="X93" s="227">
        <f t="shared" si="11"/>
        <v>3863.9387755102043</v>
      </c>
      <c r="Y93" s="227">
        <f t="shared" si="11"/>
        <v>5402.6044624746446</v>
      </c>
      <c r="Z93" s="227">
        <f t="shared" si="11"/>
        <v>7736.3393939393936</v>
      </c>
    </row>
    <row r="94" spans="1:26">
      <c r="A94" s="124">
        <f>MAX($A$10:A93)+1</f>
        <v>85</v>
      </c>
      <c r="B94" s="53" t="s">
        <v>1731</v>
      </c>
      <c r="C94" s="227">
        <f t="shared" ref="C94:Z94" si="12">C$80*C87</f>
        <v>11548.800403225807</v>
      </c>
      <c r="D94" s="227">
        <f t="shared" si="12"/>
        <v>6506.1189516129034</v>
      </c>
      <c r="E94" s="227">
        <f t="shared" si="12"/>
        <v>9960.2222222222226</v>
      </c>
      <c r="F94" s="227">
        <f t="shared" si="12"/>
        <v>5435.9775967413443</v>
      </c>
      <c r="G94" s="227">
        <f t="shared" si="12"/>
        <v>4004.7142857142853</v>
      </c>
      <c r="H94" s="227">
        <f t="shared" si="12"/>
        <v>2302.3142857142857</v>
      </c>
      <c r="I94" s="227">
        <f t="shared" si="12"/>
        <v>1870.7464212678938</v>
      </c>
      <c r="J94" s="227">
        <f t="shared" si="12"/>
        <v>2444.405737704918</v>
      </c>
      <c r="K94" s="227">
        <f t="shared" si="12"/>
        <v>2941.219262295082</v>
      </c>
      <c r="L94" s="227">
        <f t="shared" si="12"/>
        <v>7069.7857142857147</v>
      </c>
      <c r="M94" s="227">
        <f t="shared" si="12"/>
        <v>5475.050709939148</v>
      </c>
      <c r="N94" s="227">
        <f t="shared" si="12"/>
        <v>7451.7474747474753</v>
      </c>
      <c r="O94" s="227">
        <f t="shared" si="12"/>
        <v>9898.9717741935492</v>
      </c>
      <c r="P94" s="227">
        <f t="shared" si="12"/>
        <v>5576.6733870967746</v>
      </c>
      <c r="Q94" s="227">
        <f t="shared" si="12"/>
        <v>8537.3333333333339</v>
      </c>
      <c r="R94" s="227">
        <f t="shared" si="12"/>
        <v>4659.4093686354381</v>
      </c>
      <c r="S94" s="227">
        <f t="shared" si="12"/>
        <v>3432.612244897959</v>
      </c>
      <c r="T94" s="227">
        <f t="shared" si="12"/>
        <v>1973.4122448979592</v>
      </c>
      <c r="U94" s="227">
        <f t="shared" si="12"/>
        <v>1603.4969325153374</v>
      </c>
      <c r="V94" s="227">
        <f t="shared" si="12"/>
        <v>2095.2049180327867</v>
      </c>
      <c r="W94" s="227">
        <f t="shared" si="12"/>
        <v>2521.0450819672133</v>
      </c>
      <c r="X94" s="227">
        <f t="shared" si="12"/>
        <v>6059.8163265306121</v>
      </c>
      <c r="Y94" s="227">
        <f t="shared" si="12"/>
        <v>4692.9006085192696</v>
      </c>
      <c r="Z94" s="227">
        <f t="shared" si="12"/>
        <v>6387.2121212121219</v>
      </c>
    </row>
    <row r="95" spans="1:26">
      <c r="A95" s="124">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24">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24">
        <f>MAX($A$10:A96)+1</f>
        <v>88</v>
      </c>
      <c r="B97" s="53" t="s">
        <v>3744</v>
      </c>
      <c r="C97" s="1018">
        <f>'Exh JAD-2, TY Revenues'!$P$11</f>
        <v>5</v>
      </c>
      <c r="D97" s="1018">
        <f>'Exh JAD-2, TY Revenues'!$P$11</f>
        <v>5</v>
      </c>
      <c r="E97" s="1018">
        <f>'Exh JAD-2, TY Revenues'!$P$11</f>
        <v>5</v>
      </c>
      <c r="F97" s="1018">
        <f>'Exh JAD-2, TY Revenues'!$P$11</f>
        <v>5</v>
      </c>
      <c r="G97" s="1018">
        <f>'Exh JAD-2, TY Revenues'!$P$11</f>
        <v>5</v>
      </c>
      <c r="H97" s="1018">
        <f>'Exh JAD-2, TY Revenues'!$P$11</f>
        <v>5</v>
      </c>
      <c r="I97" s="1018">
        <f>'Exh JAD-2, TY Revenues'!$P$11</f>
        <v>5</v>
      </c>
      <c r="J97" s="1018">
        <f>'Exh JAD-2, TY Revenues'!$P$11</f>
        <v>5</v>
      </c>
      <c r="K97" s="1018">
        <f>'Exh JAD-2, TY Revenues'!$P$11</f>
        <v>5</v>
      </c>
      <c r="L97" s="1018">
        <f>'Exh JAD-2, TY Revenues'!$P$11</f>
        <v>5</v>
      </c>
      <c r="M97" s="1018">
        <f>'Exh JAD-2, TY Revenues'!$P$11</f>
        <v>5</v>
      </c>
      <c r="N97" s="1018">
        <f>'Exh JAD-2, TY Revenues'!$P$11</f>
        <v>5</v>
      </c>
      <c r="O97" s="1018">
        <v>10</v>
      </c>
      <c r="P97" s="1018">
        <v>10</v>
      </c>
      <c r="Q97" s="1018">
        <v>10</v>
      </c>
      <c r="R97" s="1018">
        <v>10</v>
      </c>
      <c r="S97" s="1018">
        <v>10</v>
      </c>
      <c r="T97" s="1018">
        <v>10</v>
      </c>
      <c r="U97" s="1018">
        <v>10</v>
      </c>
      <c r="V97" s="1018">
        <v>10</v>
      </c>
      <c r="W97" s="1018">
        <v>10</v>
      </c>
      <c r="X97" s="1018">
        <v>10</v>
      </c>
      <c r="Y97" s="1018">
        <v>10</v>
      </c>
      <c r="Z97" s="1018">
        <v>10</v>
      </c>
    </row>
    <row r="98" spans="1:26">
      <c r="A98" s="124">
        <f>MAX($A$10:A97)+1</f>
        <v>89</v>
      </c>
      <c r="B98" s="53" t="s">
        <v>3745</v>
      </c>
      <c r="C98" s="907">
        <f>'Exh JAD-2, TY Revenues'!$P$12+'Exh JAD-2, TY Revenues'!$T$12</f>
        <v>0.35719999999999996</v>
      </c>
      <c r="D98" s="907">
        <f>'Exh JAD-2, TY Revenues'!$P$12+'Exh JAD-2, TY Revenues'!$T$12</f>
        <v>0.35719999999999996</v>
      </c>
      <c r="E98" s="907">
        <f>'Exh JAD-2, TY Revenues'!$P$12+'Exh JAD-2, TY Revenues'!$T$12</f>
        <v>0.35719999999999996</v>
      </c>
      <c r="F98" s="907">
        <f>'Exh JAD-2, TY Revenues'!$P$12+'Exh JAD-2, TY Revenues'!$T$12</f>
        <v>0.35719999999999996</v>
      </c>
      <c r="G98" s="907">
        <f>'Exh JAD-2, TY Revenues'!$P$12+'Exh JAD-2, TY Revenues'!$T$12</f>
        <v>0.35719999999999996</v>
      </c>
      <c r="H98" s="907">
        <f>'Exh JAD-2, TY Revenues'!$P$12+'Exh JAD-2, TY Revenues'!$T$12</f>
        <v>0.35719999999999996</v>
      </c>
      <c r="I98" s="907">
        <f>'Exh JAD-2, TY Revenues'!$P$12+'Exh JAD-2, TY Revenues'!$T$12</f>
        <v>0.35719999999999996</v>
      </c>
      <c r="J98" s="907">
        <f>'Exh JAD-2, TY Revenues'!$P$12+'Exh JAD-2, TY Revenues'!$T$12</f>
        <v>0.35719999999999996</v>
      </c>
      <c r="K98" s="907">
        <f>'Exh JAD-2, TY Revenues'!$P$12+'Exh JAD-2, TY Revenues'!$T$12</f>
        <v>0.35719999999999996</v>
      </c>
      <c r="L98" s="907">
        <f>'Exh JAD-2, TY Revenues'!$P$12+'Exh JAD-2, TY Revenues'!$T$12</f>
        <v>0.35719999999999996</v>
      </c>
      <c r="M98" s="907">
        <f>'Exh JAD-2, TY Revenues'!$P$12+'Exh JAD-2, TY Revenues'!$T$12</f>
        <v>0.35719999999999996</v>
      </c>
      <c r="N98" s="907">
        <f>'Exh JAD-2, TY Revenues'!$P$12+'Exh JAD-2, TY Revenues'!$T$12</f>
        <v>0.35719999999999996</v>
      </c>
      <c r="O98" s="907">
        <v>0.44046999999999997</v>
      </c>
      <c r="P98" s="907">
        <v>0.44046999999999997</v>
      </c>
      <c r="Q98" s="907">
        <v>0.44046999999999997</v>
      </c>
      <c r="R98" s="907">
        <v>0.44046999999999997</v>
      </c>
      <c r="S98" s="907">
        <v>0.44046999999999997</v>
      </c>
      <c r="T98" s="907">
        <v>0.44046999999999997</v>
      </c>
      <c r="U98" s="907">
        <v>0.44046999999999997</v>
      </c>
      <c r="V98" s="907">
        <v>0.44046999999999997</v>
      </c>
      <c r="W98" s="907">
        <v>0.44046999999999997</v>
      </c>
      <c r="X98" s="907">
        <v>0.44046999999999997</v>
      </c>
      <c r="Y98" s="907">
        <v>0.44046999999999997</v>
      </c>
      <c r="Z98" s="907">
        <v>0.44046999999999997</v>
      </c>
    </row>
    <row r="99" spans="1:26">
      <c r="A99" s="124">
        <f>MAX($A$10:A98)+1</f>
        <v>90</v>
      </c>
      <c r="B99" s="53" t="s">
        <v>3746</v>
      </c>
      <c r="C99" s="1018">
        <f>'Exh JAD-2, TY Revenues'!$P$33</f>
        <v>13</v>
      </c>
      <c r="D99" s="1018">
        <f>'Exh JAD-2, TY Revenues'!$P$33</f>
        <v>13</v>
      </c>
      <c r="E99" s="1018">
        <f>'Exh JAD-2, TY Revenues'!$P$33</f>
        <v>13</v>
      </c>
      <c r="F99" s="1018">
        <f>'Exh JAD-2, TY Revenues'!$P$33</f>
        <v>13</v>
      </c>
      <c r="G99" s="1018">
        <f>'Exh JAD-2, TY Revenues'!$P$33</f>
        <v>13</v>
      </c>
      <c r="H99" s="1018">
        <f>'Exh JAD-2, TY Revenues'!$P$33</f>
        <v>13</v>
      </c>
      <c r="I99" s="1018">
        <f>'Exh JAD-2, TY Revenues'!$P$33</f>
        <v>13</v>
      </c>
      <c r="J99" s="1018">
        <f>'Exh JAD-2, TY Revenues'!$P$33</f>
        <v>13</v>
      </c>
      <c r="K99" s="1018">
        <f>'Exh JAD-2, TY Revenues'!$P$33</f>
        <v>13</v>
      </c>
      <c r="L99" s="1018">
        <f>'Exh JAD-2, TY Revenues'!$P$33</f>
        <v>13</v>
      </c>
      <c r="M99" s="1018">
        <f>'Exh JAD-2, TY Revenues'!$P$33</f>
        <v>13</v>
      </c>
      <c r="N99" s="1018">
        <f>'Exh JAD-2, TY Revenues'!$P$33</f>
        <v>13</v>
      </c>
      <c r="O99" s="1018">
        <v>20</v>
      </c>
      <c r="P99" s="1018">
        <v>20</v>
      </c>
      <c r="Q99" s="1018">
        <v>20</v>
      </c>
      <c r="R99" s="1018">
        <v>20</v>
      </c>
      <c r="S99" s="1018">
        <v>20</v>
      </c>
      <c r="T99" s="1018">
        <v>20</v>
      </c>
      <c r="U99" s="1018">
        <v>20</v>
      </c>
      <c r="V99" s="1018">
        <v>20</v>
      </c>
      <c r="W99" s="1018">
        <v>20</v>
      </c>
      <c r="X99" s="1018">
        <v>20</v>
      </c>
      <c r="Y99" s="1018">
        <v>20</v>
      </c>
      <c r="Z99" s="1018">
        <v>20</v>
      </c>
    </row>
    <row r="100" spans="1:26">
      <c r="A100" s="124">
        <f>MAX($A$10:A99)+1</f>
        <v>91</v>
      </c>
      <c r="B100" s="53" t="s">
        <v>3747</v>
      </c>
      <c r="C100" s="907">
        <f>'Exh JAD-2, TY Revenues'!$P$34+'Exh JAD-2, TY Revenues'!$T$34</f>
        <v>0.29528000000000004</v>
      </c>
      <c r="D100" s="907">
        <f>'Exh JAD-2, TY Revenues'!$P$34+'Exh JAD-2, TY Revenues'!$T$34</f>
        <v>0.29528000000000004</v>
      </c>
      <c r="E100" s="907">
        <f>'Exh JAD-2, TY Revenues'!$P$34+'Exh JAD-2, TY Revenues'!$T$34</f>
        <v>0.29528000000000004</v>
      </c>
      <c r="F100" s="907">
        <f>'Exh JAD-2, TY Revenues'!$P$34+'Exh JAD-2, TY Revenues'!$T$34</f>
        <v>0.29528000000000004</v>
      </c>
      <c r="G100" s="907">
        <f>'Exh JAD-2, TY Revenues'!$P$34+'Exh JAD-2, TY Revenues'!$T$34</f>
        <v>0.29528000000000004</v>
      </c>
      <c r="H100" s="907">
        <f>'Exh JAD-2, TY Revenues'!$P$34+'Exh JAD-2, TY Revenues'!$T$34</f>
        <v>0.29528000000000004</v>
      </c>
      <c r="I100" s="907">
        <f>'Exh JAD-2, TY Revenues'!$P$34+'Exh JAD-2, TY Revenues'!$T$34</f>
        <v>0.29528000000000004</v>
      </c>
      <c r="J100" s="907">
        <f>'Exh JAD-2, TY Revenues'!$P$34+'Exh JAD-2, TY Revenues'!$T$34</f>
        <v>0.29528000000000004</v>
      </c>
      <c r="K100" s="907">
        <f>'Exh JAD-2, TY Revenues'!$P$34+'Exh JAD-2, TY Revenues'!$T$34</f>
        <v>0.29528000000000004</v>
      </c>
      <c r="L100" s="907">
        <f>'Exh JAD-2, TY Revenues'!$P$34+'Exh JAD-2, TY Revenues'!$T$34</f>
        <v>0.29528000000000004</v>
      </c>
      <c r="M100" s="907">
        <f>'Exh JAD-2, TY Revenues'!$P$34+'Exh JAD-2, TY Revenues'!$T$34</f>
        <v>0.29528000000000004</v>
      </c>
      <c r="N100" s="907">
        <f>'Exh JAD-2, TY Revenues'!$P$34+'Exh JAD-2, TY Revenues'!$T$34</f>
        <v>0.29528000000000004</v>
      </c>
      <c r="O100" s="907">
        <v>0.32666000000000001</v>
      </c>
      <c r="P100" s="907">
        <v>0.32666000000000001</v>
      </c>
      <c r="Q100" s="907">
        <v>0.32666000000000001</v>
      </c>
      <c r="R100" s="907">
        <v>0.32666000000000001</v>
      </c>
      <c r="S100" s="907">
        <v>0.32666000000000001</v>
      </c>
      <c r="T100" s="907">
        <v>0.32666000000000001</v>
      </c>
      <c r="U100" s="907">
        <v>0.32666000000000001</v>
      </c>
      <c r="V100" s="907">
        <v>0.32666000000000001</v>
      </c>
      <c r="W100" s="907">
        <v>0.32666000000000001</v>
      </c>
      <c r="X100" s="907">
        <v>0.32666000000000001</v>
      </c>
      <c r="Y100" s="907">
        <v>0.32666000000000001</v>
      </c>
      <c r="Z100" s="907">
        <v>0.32666000000000001</v>
      </c>
    </row>
    <row r="101" spans="1:26">
      <c r="A101" s="124">
        <f>MAX($A$10:A100)+1</f>
        <v>92</v>
      </c>
      <c r="B101" s="53" t="s">
        <v>3748</v>
      </c>
      <c r="C101" s="1018">
        <f>'Exh JAD-2, TY Revenues'!$P$55</f>
        <v>60</v>
      </c>
      <c r="D101" s="1018">
        <f>'Exh JAD-2, TY Revenues'!$P$55</f>
        <v>60</v>
      </c>
      <c r="E101" s="1018">
        <f>'Exh JAD-2, TY Revenues'!$P$55</f>
        <v>60</v>
      </c>
      <c r="F101" s="1018">
        <f>'Exh JAD-2, TY Revenues'!$P$55</f>
        <v>60</v>
      </c>
      <c r="G101" s="1018">
        <f>'Exh JAD-2, TY Revenues'!$P$55</f>
        <v>60</v>
      </c>
      <c r="H101" s="1018">
        <f>'Exh JAD-2, TY Revenues'!$P$55</f>
        <v>60</v>
      </c>
      <c r="I101" s="1018">
        <f>'Exh JAD-2, TY Revenues'!$P$55</f>
        <v>60</v>
      </c>
      <c r="J101" s="1018">
        <f>'Exh JAD-2, TY Revenues'!$P$55</f>
        <v>60</v>
      </c>
      <c r="K101" s="1018">
        <f>'Exh JAD-2, TY Revenues'!$P$55</f>
        <v>60</v>
      </c>
      <c r="L101" s="1018">
        <f>'Exh JAD-2, TY Revenues'!$P$55</f>
        <v>60</v>
      </c>
      <c r="M101" s="1018">
        <f>'Exh JAD-2, TY Revenues'!$P$55</f>
        <v>60</v>
      </c>
      <c r="N101" s="1018">
        <f>'Exh JAD-2, TY Revenues'!$P$55</f>
        <v>60</v>
      </c>
      <c r="O101" s="1018">
        <v>100</v>
      </c>
      <c r="P101" s="1018">
        <v>100</v>
      </c>
      <c r="Q101" s="1018">
        <v>100</v>
      </c>
      <c r="R101" s="1018">
        <v>100</v>
      </c>
      <c r="S101" s="1018">
        <v>100</v>
      </c>
      <c r="T101" s="1018">
        <v>100</v>
      </c>
      <c r="U101" s="1018">
        <v>100</v>
      </c>
      <c r="V101" s="1018">
        <v>100</v>
      </c>
      <c r="W101" s="1018">
        <v>100</v>
      </c>
      <c r="X101" s="1018">
        <v>100</v>
      </c>
      <c r="Y101" s="1018">
        <v>100</v>
      </c>
      <c r="Z101" s="1018">
        <v>100</v>
      </c>
    </row>
    <row r="102" spans="1:26">
      <c r="A102" s="124">
        <f>MAX($A$10:A101)+1</f>
        <v>93</v>
      </c>
      <c r="B102" s="53" t="s">
        <v>3749</v>
      </c>
      <c r="C102" s="907">
        <f>'Exh JAD-2, TY Revenues'!$P$56+'Exh JAD-2, TY Revenues'!$T$56</f>
        <v>0.22844</v>
      </c>
      <c r="D102" s="907">
        <f>'Exh JAD-2, TY Revenues'!$P$56+'Exh JAD-2, TY Revenues'!$T$56</f>
        <v>0.22844</v>
      </c>
      <c r="E102" s="907">
        <f>'Exh JAD-2, TY Revenues'!$P$56+'Exh JAD-2, TY Revenues'!$T$56</f>
        <v>0.22844</v>
      </c>
      <c r="F102" s="907">
        <f>'Exh JAD-2, TY Revenues'!$P$56+'Exh JAD-2, TY Revenues'!$T$56</f>
        <v>0.22844</v>
      </c>
      <c r="G102" s="907">
        <f>'Exh JAD-2, TY Revenues'!$P$56+'Exh JAD-2, TY Revenues'!$T$56</f>
        <v>0.22844</v>
      </c>
      <c r="H102" s="907">
        <f>'Exh JAD-2, TY Revenues'!$P$56+'Exh JAD-2, TY Revenues'!$T$56</f>
        <v>0.22844</v>
      </c>
      <c r="I102" s="907">
        <f>'Exh JAD-2, TY Revenues'!$P$56+'Exh JAD-2, TY Revenues'!$T$56</f>
        <v>0.22844</v>
      </c>
      <c r="J102" s="907">
        <f>'Exh JAD-2, TY Revenues'!$P$56+'Exh JAD-2, TY Revenues'!$T$56</f>
        <v>0.22844</v>
      </c>
      <c r="K102" s="907">
        <f>'Exh JAD-2, TY Revenues'!$P$56+'Exh JAD-2, TY Revenues'!$T$56</f>
        <v>0.22844</v>
      </c>
      <c r="L102" s="907">
        <f>'Exh JAD-2, TY Revenues'!$P$56+'Exh JAD-2, TY Revenues'!$T$56</f>
        <v>0.22844</v>
      </c>
      <c r="M102" s="907">
        <f>'Exh JAD-2, TY Revenues'!$P$56+'Exh JAD-2, TY Revenues'!$T$56</f>
        <v>0.22844</v>
      </c>
      <c r="N102" s="907">
        <f>'Exh JAD-2, TY Revenues'!$P$56+'Exh JAD-2, TY Revenues'!$T$56</f>
        <v>0.22844</v>
      </c>
      <c r="O102" s="907">
        <v>0.2661</v>
      </c>
      <c r="P102" s="907">
        <v>0.2661</v>
      </c>
      <c r="Q102" s="907">
        <v>0.2661</v>
      </c>
      <c r="R102" s="907">
        <v>0.2661</v>
      </c>
      <c r="S102" s="907">
        <v>0.2661</v>
      </c>
      <c r="T102" s="907">
        <v>0.2661</v>
      </c>
      <c r="U102" s="907">
        <v>0.2661</v>
      </c>
      <c r="V102" s="907">
        <v>0.2661</v>
      </c>
      <c r="W102" s="907">
        <v>0.2661</v>
      </c>
      <c r="X102" s="907">
        <v>0.2661</v>
      </c>
      <c r="Y102" s="907">
        <v>0.2661</v>
      </c>
      <c r="Z102" s="907">
        <v>0.2661</v>
      </c>
    </row>
    <row r="103" spans="1:26">
      <c r="A103" s="124">
        <f>MAX($A$10:A102)+1</f>
        <v>94</v>
      </c>
      <c r="B103" s="53" t="s">
        <v>3750</v>
      </c>
      <c r="C103" s="907">
        <f>'Exh JAD-2, TY Revenues'!$P$57+'Exh JAD-2, TY Revenues'!$T$57</f>
        <v>0.18912999999999999</v>
      </c>
      <c r="D103" s="907">
        <f>'Exh JAD-2, TY Revenues'!$P$57+'Exh JAD-2, TY Revenues'!$T$57</f>
        <v>0.18912999999999999</v>
      </c>
      <c r="E103" s="907">
        <f>'Exh JAD-2, TY Revenues'!$P$57+'Exh JAD-2, TY Revenues'!$T$57</f>
        <v>0.18912999999999999</v>
      </c>
      <c r="F103" s="907">
        <f>'Exh JAD-2, TY Revenues'!$P$57+'Exh JAD-2, TY Revenues'!$T$57</f>
        <v>0.18912999999999999</v>
      </c>
      <c r="G103" s="907">
        <f>'Exh JAD-2, TY Revenues'!$P$57+'Exh JAD-2, TY Revenues'!$T$57</f>
        <v>0.18912999999999999</v>
      </c>
      <c r="H103" s="907">
        <f>'Exh JAD-2, TY Revenues'!$P$57+'Exh JAD-2, TY Revenues'!$T$57</f>
        <v>0.18912999999999999</v>
      </c>
      <c r="I103" s="907">
        <f>'Exh JAD-2, TY Revenues'!$P$57+'Exh JAD-2, TY Revenues'!$T$57</f>
        <v>0.18912999999999999</v>
      </c>
      <c r="J103" s="907">
        <f>'Exh JAD-2, TY Revenues'!$P$57+'Exh JAD-2, TY Revenues'!$T$57</f>
        <v>0.18912999999999999</v>
      </c>
      <c r="K103" s="907">
        <f>'Exh JAD-2, TY Revenues'!$P$57+'Exh JAD-2, TY Revenues'!$T$57</f>
        <v>0.18912999999999999</v>
      </c>
      <c r="L103" s="907">
        <f>'Exh JAD-2, TY Revenues'!$P$57+'Exh JAD-2, TY Revenues'!$T$57</f>
        <v>0.18912999999999999</v>
      </c>
      <c r="M103" s="907">
        <f>'Exh JAD-2, TY Revenues'!$P$57+'Exh JAD-2, TY Revenues'!$T$57</f>
        <v>0.18912999999999999</v>
      </c>
      <c r="N103" s="907">
        <f>'Exh JAD-2, TY Revenues'!$P$57+'Exh JAD-2, TY Revenues'!$T$57</f>
        <v>0.18912999999999999</v>
      </c>
      <c r="O103" s="907">
        <v>0.22031000000000001</v>
      </c>
      <c r="P103" s="907">
        <v>0.22031000000000001</v>
      </c>
      <c r="Q103" s="907">
        <v>0.22031000000000001</v>
      </c>
      <c r="R103" s="907">
        <v>0.22031000000000001</v>
      </c>
      <c r="S103" s="907">
        <v>0.22031000000000001</v>
      </c>
      <c r="T103" s="907">
        <v>0.22031000000000001</v>
      </c>
      <c r="U103" s="907">
        <v>0.22031000000000001</v>
      </c>
      <c r="V103" s="907">
        <v>0.22031000000000001</v>
      </c>
      <c r="W103" s="907">
        <v>0.22031000000000001</v>
      </c>
      <c r="X103" s="907">
        <v>0.22031000000000001</v>
      </c>
      <c r="Y103" s="907">
        <v>0.22031000000000001</v>
      </c>
      <c r="Z103" s="907">
        <v>0.22031000000000001</v>
      </c>
    </row>
    <row r="104" spans="1:26">
      <c r="A104" s="124">
        <f>MAX($A$10:A103)+1</f>
        <v>95</v>
      </c>
      <c r="B104" s="53" t="s">
        <v>3751</v>
      </c>
      <c r="C104" s="907">
        <f>'Exh JAD-2, TY Revenues'!$P$58+'Exh JAD-2, TY Revenues'!$T$58</f>
        <v>0.18318999999999999</v>
      </c>
      <c r="D104" s="907">
        <f>'Exh JAD-2, TY Revenues'!$P$58+'Exh JAD-2, TY Revenues'!$T$58</f>
        <v>0.18318999999999999</v>
      </c>
      <c r="E104" s="907">
        <f>'Exh JAD-2, TY Revenues'!$P$58+'Exh JAD-2, TY Revenues'!$T$58</f>
        <v>0.18318999999999999</v>
      </c>
      <c r="F104" s="907">
        <f>'Exh JAD-2, TY Revenues'!$P$58+'Exh JAD-2, TY Revenues'!$T$58</f>
        <v>0.18318999999999999</v>
      </c>
      <c r="G104" s="907">
        <f>'Exh JAD-2, TY Revenues'!$P$58+'Exh JAD-2, TY Revenues'!$T$58</f>
        <v>0.18318999999999999</v>
      </c>
      <c r="H104" s="907">
        <f>'Exh JAD-2, TY Revenues'!$P$58+'Exh JAD-2, TY Revenues'!$T$58</f>
        <v>0.18318999999999999</v>
      </c>
      <c r="I104" s="907">
        <f>'Exh JAD-2, TY Revenues'!$P$58+'Exh JAD-2, TY Revenues'!$T$58</f>
        <v>0.18318999999999999</v>
      </c>
      <c r="J104" s="907">
        <f>'Exh JAD-2, TY Revenues'!$P$58+'Exh JAD-2, TY Revenues'!$T$58</f>
        <v>0.18318999999999999</v>
      </c>
      <c r="K104" s="907">
        <f>'Exh JAD-2, TY Revenues'!$P$58+'Exh JAD-2, TY Revenues'!$T$58</f>
        <v>0.18318999999999999</v>
      </c>
      <c r="L104" s="907">
        <f>'Exh JAD-2, TY Revenues'!$P$58+'Exh JAD-2, TY Revenues'!$T$58</f>
        <v>0.18318999999999999</v>
      </c>
      <c r="M104" s="907">
        <f>'Exh JAD-2, TY Revenues'!$P$58+'Exh JAD-2, TY Revenues'!$T$58</f>
        <v>0.18318999999999999</v>
      </c>
      <c r="N104" s="907">
        <f>'Exh JAD-2, TY Revenues'!$P$58+'Exh JAD-2, TY Revenues'!$T$58</f>
        <v>0.18318999999999999</v>
      </c>
      <c r="O104" s="907">
        <v>0.21339</v>
      </c>
      <c r="P104" s="907">
        <v>0.21339</v>
      </c>
      <c r="Q104" s="907">
        <v>0.21339</v>
      </c>
      <c r="R104" s="907">
        <v>0.21339</v>
      </c>
      <c r="S104" s="907">
        <v>0.21339</v>
      </c>
      <c r="T104" s="907">
        <v>0.21339</v>
      </c>
      <c r="U104" s="907">
        <v>0.21339</v>
      </c>
      <c r="V104" s="907">
        <v>0.21339</v>
      </c>
      <c r="W104" s="907">
        <v>0.21339</v>
      </c>
      <c r="X104" s="907">
        <v>0.21339</v>
      </c>
      <c r="Y104" s="907">
        <v>0.21339</v>
      </c>
      <c r="Z104" s="907">
        <v>0.21339</v>
      </c>
    </row>
    <row r="105" spans="1:26">
      <c r="A105" s="449">
        <f>MAX($A$10:A104)+1</f>
        <v>96</v>
      </c>
      <c r="S105" s="53"/>
    </row>
    <row r="106" spans="1:26">
      <c r="A106" s="449">
        <f>MAX($A$10:A105)+1</f>
        <v>97</v>
      </c>
      <c r="B106" t="s">
        <v>1733</v>
      </c>
      <c r="S106" s="53"/>
    </row>
    <row r="107" spans="1:26">
      <c r="A107" s="124">
        <f>MAX($A$10:A106)+1</f>
        <v>98</v>
      </c>
      <c r="B107" s="53" t="s">
        <v>86</v>
      </c>
      <c r="S107" s="53"/>
    </row>
    <row r="108" spans="1:26">
      <c r="A108" s="124">
        <f>MAX($A$10:A107)+1</f>
        <v>99</v>
      </c>
      <c r="B108" t="s">
        <v>141</v>
      </c>
      <c r="C108" s="566">
        <f t="shared" ref="C108:Z108" si="13">C97*C78</f>
        <v>17880</v>
      </c>
      <c r="D108" s="566">
        <f t="shared" si="13"/>
        <v>17880</v>
      </c>
      <c r="E108" s="566">
        <f t="shared" si="13"/>
        <v>17880</v>
      </c>
      <c r="F108" s="566">
        <f t="shared" si="13"/>
        <v>17880</v>
      </c>
      <c r="G108" s="566">
        <f t="shared" si="13"/>
        <v>17880</v>
      </c>
      <c r="H108" s="566">
        <f t="shared" si="13"/>
        <v>17880</v>
      </c>
      <c r="I108" s="566">
        <f t="shared" si="13"/>
        <v>17880</v>
      </c>
      <c r="J108" s="566">
        <f t="shared" si="13"/>
        <v>17880</v>
      </c>
      <c r="K108" s="566">
        <f t="shared" si="13"/>
        <v>17880</v>
      </c>
      <c r="L108" s="566">
        <f t="shared" si="13"/>
        <v>17880</v>
      </c>
      <c r="M108" s="566">
        <f t="shared" si="13"/>
        <v>17880</v>
      </c>
      <c r="N108" s="566">
        <f t="shared" si="13"/>
        <v>17880</v>
      </c>
      <c r="O108" s="566">
        <f t="shared" si="13"/>
        <v>35670</v>
      </c>
      <c r="P108" s="566">
        <f t="shared" si="13"/>
        <v>35670</v>
      </c>
      <c r="Q108" s="566">
        <f t="shared" si="13"/>
        <v>35670</v>
      </c>
      <c r="R108" s="566">
        <f t="shared" si="13"/>
        <v>35670</v>
      </c>
      <c r="S108" s="566">
        <f t="shared" si="13"/>
        <v>35670</v>
      </c>
      <c r="T108" s="566">
        <f t="shared" si="13"/>
        <v>35670</v>
      </c>
      <c r="U108" s="566">
        <f t="shared" si="13"/>
        <v>35670</v>
      </c>
      <c r="V108" s="566">
        <f t="shared" si="13"/>
        <v>35670</v>
      </c>
      <c r="W108" s="566">
        <f t="shared" si="13"/>
        <v>35670</v>
      </c>
      <c r="X108" s="566">
        <f t="shared" si="13"/>
        <v>35670</v>
      </c>
      <c r="Y108" s="566">
        <f t="shared" si="13"/>
        <v>35670</v>
      </c>
      <c r="Z108" s="566">
        <f t="shared" si="13"/>
        <v>35670</v>
      </c>
    </row>
    <row r="109" spans="1:26">
      <c r="A109" s="124">
        <f>MAX($A$10:A108)+1</f>
        <v>100</v>
      </c>
      <c r="B109" t="s">
        <v>142</v>
      </c>
      <c r="C109" s="256">
        <f t="shared" ref="C109:Z109" si="14">C90*C98</f>
        <v>138044.88503789133</v>
      </c>
      <c r="D109" s="256">
        <f t="shared" si="14"/>
        <v>108336.76498734298</v>
      </c>
      <c r="E109" s="256">
        <f t="shared" si="14"/>
        <v>92518.813864837168</v>
      </c>
      <c r="F109" s="256">
        <f t="shared" si="14"/>
        <v>59799.13527047127</v>
      </c>
      <c r="G109" s="256">
        <f t="shared" si="14"/>
        <v>37919.001809085894</v>
      </c>
      <c r="H109" s="256">
        <f t="shared" si="14"/>
        <v>19729.48060552586</v>
      </c>
      <c r="I109" s="256">
        <f t="shared" si="14"/>
        <v>20383.317504016934</v>
      </c>
      <c r="J109" s="256">
        <f t="shared" si="14"/>
        <v>10698.279733477324</v>
      </c>
      <c r="K109" s="256">
        <f t="shared" si="14"/>
        <v>23299.599844282468</v>
      </c>
      <c r="L109" s="256">
        <f t="shared" si="14"/>
        <v>56724.428971653375</v>
      </c>
      <c r="M109" s="256">
        <f t="shared" si="14"/>
        <v>106446.61402087827</v>
      </c>
      <c r="N109" s="256">
        <f t="shared" si="14"/>
        <v>137501.11730330199</v>
      </c>
      <c r="O109" s="256">
        <f t="shared" si="14"/>
        <v>169797.3088590063</v>
      </c>
      <c r="P109" s="256">
        <f t="shared" si="14"/>
        <v>133255.86920726698</v>
      </c>
      <c r="Q109" s="256">
        <f t="shared" si="14"/>
        <v>113799.54866683147</v>
      </c>
      <c r="R109" s="256">
        <f t="shared" si="14"/>
        <v>73553.846187308227</v>
      </c>
      <c r="S109" s="256">
        <f t="shared" si="14"/>
        <v>46640.949137921976</v>
      </c>
      <c r="T109" s="256">
        <f t="shared" si="14"/>
        <v>24267.561315906187</v>
      </c>
      <c r="U109" s="256">
        <f t="shared" si="14"/>
        <v>25071.790648749851</v>
      </c>
      <c r="V109" s="256">
        <f t="shared" si="14"/>
        <v>13159.046839487626</v>
      </c>
      <c r="W109" s="256">
        <f t="shared" si="14"/>
        <v>28658.862296599851</v>
      </c>
      <c r="X109" s="256">
        <f t="shared" si="14"/>
        <v>69771.910660122187</v>
      </c>
      <c r="Y109" s="256">
        <f t="shared" si="14"/>
        <v>130930.95476110796</v>
      </c>
      <c r="Z109" s="256">
        <f t="shared" si="14"/>
        <v>169128.4662723919</v>
      </c>
    </row>
    <row r="110" spans="1:26">
      <c r="A110" s="124">
        <f>MAX($A$10:A109)+1</f>
        <v>101</v>
      </c>
      <c r="B110" t="s">
        <v>1734</v>
      </c>
      <c r="C110" s="254">
        <f t="shared" ref="C110:N110" si="15">SUM(C108:C109)</f>
        <v>155924.88503789133</v>
      </c>
      <c r="D110" s="254">
        <f t="shared" si="15"/>
        <v>126216.76498734298</v>
      </c>
      <c r="E110" s="254">
        <f t="shared" si="15"/>
        <v>110398.81386483717</v>
      </c>
      <c r="F110" s="254">
        <f t="shared" si="15"/>
        <v>77679.135270471277</v>
      </c>
      <c r="G110" s="254">
        <f t="shared" si="15"/>
        <v>55799.001809085894</v>
      </c>
      <c r="H110" s="254">
        <f t="shared" si="15"/>
        <v>37609.48060552586</v>
      </c>
      <c r="I110" s="254">
        <f t="shared" si="15"/>
        <v>38263.31750401693</v>
      </c>
      <c r="J110" s="254">
        <f t="shared" si="15"/>
        <v>28578.279733477324</v>
      </c>
      <c r="K110" s="254">
        <f t="shared" si="15"/>
        <v>41179.599844282464</v>
      </c>
      <c r="L110" s="254">
        <f t="shared" si="15"/>
        <v>74604.428971653368</v>
      </c>
      <c r="M110" s="254">
        <f t="shared" si="15"/>
        <v>124326.61402087827</v>
      </c>
      <c r="N110" s="254">
        <f t="shared" si="15"/>
        <v>155381.11730330199</v>
      </c>
      <c r="O110" s="254">
        <f t="shared" ref="O110:Z110" si="16">SUM(O108:O109)</f>
        <v>205467.3088590063</v>
      </c>
      <c r="P110" s="254">
        <f t="shared" si="16"/>
        <v>168925.86920726698</v>
      </c>
      <c r="Q110" s="254">
        <f t="shared" si="16"/>
        <v>149469.54866683146</v>
      </c>
      <c r="R110" s="254">
        <f t="shared" si="16"/>
        <v>109223.84618730823</v>
      </c>
      <c r="S110" s="254">
        <f t="shared" si="16"/>
        <v>82310.949137921969</v>
      </c>
      <c r="T110" s="254">
        <f t="shared" si="16"/>
        <v>59937.56131590619</v>
      </c>
      <c r="U110" s="254">
        <f t="shared" si="16"/>
        <v>60741.790648749855</v>
      </c>
      <c r="V110" s="254">
        <f t="shared" si="16"/>
        <v>48829.046839487622</v>
      </c>
      <c r="W110" s="254">
        <f t="shared" si="16"/>
        <v>64328.862296599851</v>
      </c>
      <c r="X110" s="254">
        <f t="shared" si="16"/>
        <v>105441.91066012219</v>
      </c>
      <c r="Y110" s="254">
        <f t="shared" si="16"/>
        <v>166600.95476110798</v>
      </c>
      <c r="Z110" s="254">
        <f t="shared" si="16"/>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7">C79*C99</f>
        <v>5798</v>
      </c>
      <c r="D113" s="566">
        <f t="shared" si="17"/>
        <v>5798</v>
      </c>
      <c r="E113" s="566">
        <f t="shared" si="17"/>
        <v>5798</v>
      </c>
      <c r="F113" s="566">
        <f t="shared" si="17"/>
        <v>5798</v>
      </c>
      <c r="G113" s="566">
        <f t="shared" si="17"/>
        <v>5798</v>
      </c>
      <c r="H113" s="566">
        <f t="shared" si="17"/>
        <v>5798</v>
      </c>
      <c r="I113" s="566">
        <f t="shared" si="17"/>
        <v>5798</v>
      </c>
      <c r="J113" s="566">
        <f t="shared" si="17"/>
        <v>5798</v>
      </c>
      <c r="K113" s="566">
        <f t="shared" si="17"/>
        <v>5798</v>
      </c>
      <c r="L113" s="566">
        <f t="shared" si="17"/>
        <v>5798</v>
      </c>
      <c r="M113" s="566">
        <f t="shared" si="17"/>
        <v>5798</v>
      </c>
      <c r="N113" s="566">
        <f t="shared" si="17"/>
        <v>5798</v>
      </c>
      <c r="O113" s="566">
        <f t="shared" si="17"/>
        <v>8760</v>
      </c>
      <c r="P113" s="566">
        <f t="shared" si="17"/>
        <v>8760</v>
      </c>
      <c r="Q113" s="566">
        <f t="shared" si="17"/>
        <v>8760</v>
      </c>
      <c r="R113" s="566">
        <f t="shared" si="17"/>
        <v>8760</v>
      </c>
      <c r="S113" s="566">
        <f t="shared" si="17"/>
        <v>8760</v>
      </c>
      <c r="T113" s="566">
        <f t="shared" si="17"/>
        <v>8760</v>
      </c>
      <c r="U113" s="566">
        <f t="shared" si="17"/>
        <v>8760</v>
      </c>
      <c r="V113" s="566">
        <f t="shared" si="17"/>
        <v>8760</v>
      </c>
      <c r="W113" s="566">
        <f t="shared" si="17"/>
        <v>8760</v>
      </c>
      <c r="X113" s="566">
        <f t="shared" si="17"/>
        <v>8760</v>
      </c>
      <c r="Y113" s="566">
        <f t="shared" si="17"/>
        <v>8760</v>
      </c>
      <c r="Z113" s="566">
        <f t="shared" si="17"/>
        <v>8760</v>
      </c>
    </row>
    <row r="114" spans="1:26">
      <c r="A114" s="124">
        <f>MAX($A$10:A113)+1</f>
        <v>105</v>
      </c>
      <c r="B114" t="s">
        <v>142</v>
      </c>
      <c r="C114" s="256">
        <f t="shared" ref="C114:Z114" si="18">C91*C100</f>
        <v>70702.660999608197</v>
      </c>
      <c r="D114" s="256">
        <f t="shared" si="18"/>
        <v>56200.914874797083</v>
      </c>
      <c r="E114" s="256">
        <f t="shared" si="18"/>
        <v>45899.792834819949</v>
      </c>
      <c r="F114" s="256">
        <f t="shared" si="18"/>
        <v>29483.953396021661</v>
      </c>
      <c r="G114" s="256">
        <f t="shared" si="18"/>
        <v>20530.517010150121</v>
      </c>
      <c r="H114" s="256">
        <f t="shared" si="18"/>
        <v>13095.100442896215</v>
      </c>
      <c r="I114" s="256">
        <f t="shared" si="18"/>
        <v>13531.128105232214</v>
      </c>
      <c r="J114" s="256">
        <f t="shared" si="18"/>
        <v>13531.319900449129</v>
      </c>
      <c r="K114" s="256">
        <f t="shared" si="18"/>
        <v>19015.577541911745</v>
      </c>
      <c r="L114" s="256">
        <f t="shared" si="18"/>
        <v>34686.372583860015</v>
      </c>
      <c r="M114" s="256">
        <f t="shared" si="18"/>
        <v>51404.41381014503</v>
      </c>
      <c r="N114" s="256">
        <f t="shared" si="18"/>
        <v>69662.17311270973</v>
      </c>
      <c r="O114" s="256">
        <f t="shared" si="18"/>
        <v>76813.390801934147</v>
      </c>
      <c r="P114" s="256">
        <f t="shared" si="18"/>
        <v>61058.279514089925</v>
      </c>
      <c r="Q114" s="256">
        <f t="shared" si="18"/>
        <v>49866.846238904363</v>
      </c>
      <c r="R114" s="256">
        <f t="shared" si="18"/>
        <v>32032.209291347262</v>
      </c>
      <c r="S114" s="256">
        <f t="shared" si="18"/>
        <v>22304.940212577807</v>
      </c>
      <c r="T114" s="256">
        <f t="shared" si="18"/>
        <v>14226.891232797334</v>
      </c>
      <c r="U114" s="256">
        <f t="shared" si="18"/>
        <v>14700.604141957208</v>
      </c>
      <c r="V114" s="256">
        <f t="shared" si="18"/>
        <v>14700.812513760231</v>
      </c>
      <c r="W114" s="256">
        <f t="shared" si="18"/>
        <v>20659.066694242858</v>
      </c>
      <c r="X114" s="256">
        <f t="shared" si="18"/>
        <v>37684.266124018985</v>
      </c>
      <c r="Y114" s="256">
        <f t="shared" si="18"/>
        <v>55847.223727051685</v>
      </c>
      <c r="Z114" s="256">
        <f t="shared" si="18"/>
        <v>75682.975036091142</v>
      </c>
    </row>
    <row r="115" spans="1:26">
      <c r="A115" s="124">
        <f>MAX($A$10:A114)+1</f>
        <v>106</v>
      </c>
      <c r="B115" t="s">
        <v>1735</v>
      </c>
      <c r="C115" s="254">
        <f t="shared" ref="C115:N115" si="19">SUM(C113:C114)</f>
        <v>76500.660999608197</v>
      </c>
      <c r="D115" s="254">
        <f t="shared" si="19"/>
        <v>61998.914874797083</v>
      </c>
      <c r="E115" s="254">
        <f t="shared" si="19"/>
        <v>51697.792834819949</v>
      </c>
      <c r="F115" s="254">
        <f t="shared" si="19"/>
        <v>35281.953396021665</v>
      </c>
      <c r="G115" s="254">
        <f t="shared" si="19"/>
        <v>26328.517010150121</v>
      </c>
      <c r="H115" s="254">
        <f t="shared" si="19"/>
        <v>18893.100442896215</v>
      </c>
      <c r="I115" s="254">
        <f t="shared" si="19"/>
        <v>19329.128105232216</v>
      </c>
      <c r="J115" s="254">
        <f t="shared" si="19"/>
        <v>19329.319900449129</v>
      </c>
      <c r="K115" s="254">
        <f t="shared" si="19"/>
        <v>24813.577541911745</v>
      </c>
      <c r="L115" s="254">
        <f t="shared" si="19"/>
        <v>40484.372583860015</v>
      </c>
      <c r="M115" s="254">
        <f t="shared" si="19"/>
        <v>57202.41381014503</v>
      </c>
      <c r="N115" s="254">
        <f t="shared" si="19"/>
        <v>75460.17311270973</v>
      </c>
      <c r="O115" s="254">
        <f t="shared" ref="O115:Z115" si="20">SUM(O113:O114)</f>
        <v>85573.390801934147</v>
      </c>
      <c r="P115" s="254">
        <f t="shared" si="20"/>
        <v>69818.279514089925</v>
      </c>
      <c r="Q115" s="254">
        <f t="shared" si="20"/>
        <v>58626.846238904363</v>
      </c>
      <c r="R115" s="254">
        <f t="shared" si="20"/>
        <v>40792.209291347259</v>
      </c>
      <c r="S115" s="254">
        <f t="shared" si="20"/>
        <v>31064.940212577807</v>
      </c>
      <c r="T115" s="254">
        <f t="shared" si="20"/>
        <v>22986.891232797334</v>
      </c>
      <c r="U115" s="254">
        <f t="shared" si="20"/>
        <v>23460.604141957207</v>
      </c>
      <c r="V115" s="254">
        <f t="shared" si="20"/>
        <v>23460.812513760233</v>
      </c>
      <c r="W115" s="254">
        <f t="shared" si="20"/>
        <v>29419.066694242858</v>
      </c>
      <c r="X115" s="254">
        <f t="shared" si="20"/>
        <v>46444.266124018985</v>
      </c>
      <c r="Y115" s="254">
        <f t="shared" si="20"/>
        <v>64607.223727051685</v>
      </c>
      <c r="Z115" s="254">
        <f t="shared" si="20"/>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21">C80*C101</f>
        <v>420</v>
      </c>
      <c r="D118" s="566">
        <f t="shared" si="21"/>
        <v>420</v>
      </c>
      <c r="E118" s="566">
        <f t="shared" si="21"/>
        <v>420</v>
      </c>
      <c r="F118" s="566">
        <f t="shared" si="21"/>
        <v>420</v>
      </c>
      <c r="G118" s="566">
        <f t="shared" si="21"/>
        <v>420</v>
      </c>
      <c r="H118" s="566">
        <f t="shared" si="21"/>
        <v>420</v>
      </c>
      <c r="I118" s="566">
        <f t="shared" si="21"/>
        <v>420</v>
      </c>
      <c r="J118" s="566">
        <f t="shared" si="21"/>
        <v>420</v>
      </c>
      <c r="K118" s="566">
        <f t="shared" si="21"/>
        <v>420</v>
      </c>
      <c r="L118" s="566">
        <f t="shared" si="21"/>
        <v>420</v>
      </c>
      <c r="M118" s="566">
        <f t="shared" si="21"/>
        <v>420</v>
      </c>
      <c r="N118" s="566">
        <f t="shared" si="21"/>
        <v>420</v>
      </c>
      <c r="O118" s="566">
        <f t="shared" si="21"/>
        <v>600</v>
      </c>
      <c r="P118" s="566">
        <f t="shared" si="21"/>
        <v>600</v>
      </c>
      <c r="Q118" s="566">
        <f t="shared" si="21"/>
        <v>600</v>
      </c>
      <c r="R118" s="566">
        <f t="shared" si="21"/>
        <v>600</v>
      </c>
      <c r="S118" s="566">
        <f t="shared" si="21"/>
        <v>600</v>
      </c>
      <c r="T118" s="566">
        <f t="shared" si="21"/>
        <v>600</v>
      </c>
      <c r="U118" s="566">
        <f t="shared" si="21"/>
        <v>600</v>
      </c>
      <c r="V118" s="566">
        <f t="shared" si="21"/>
        <v>600</v>
      </c>
      <c r="W118" s="566">
        <f t="shared" si="21"/>
        <v>600</v>
      </c>
      <c r="X118" s="566">
        <f t="shared" si="21"/>
        <v>600</v>
      </c>
      <c r="Y118" s="566">
        <f t="shared" si="21"/>
        <v>600</v>
      </c>
      <c r="Z118" s="566">
        <f t="shared" si="21"/>
        <v>600</v>
      </c>
    </row>
    <row r="119" spans="1:26">
      <c r="A119" s="124">
        <f>MAX($A$10:A118)+1</f>
        <v>110</v>
      </c>
      <c r="B119" t="s">
        <v>160</v>
      </c>
      <c r="C119" s="227">
        <f t="shared" ref="C119:Z119" si="22">C92*C102</f>
        <v>678.10663854838708</v>
      </c>
      <c r="D119" s="227">
        <f t="shared" si="22"/>
        <v>632.42324419354838</v>
      </c>
      <c r="E119" s="227">
        <f t="shared" si="22"/>
        <v>662.37124064646457</v>
      </c>
      <c r="F119" s="227">
        <f t="shared" si="22"/>
        <v>610.86158712830957</v>
      </c>
      <c r="G119" s="227">
        <f t="shared" si="22"/>
        <v>517.40680971428571</v>
      </c>
      <c r="H119" s="227">
        <f t="shared" si="22"/>
        <v>331.37506400000001</v>
      </c>
      <c r="I119" s="227">
        <f t="shared" si="22"/>
        <v>283.84160515337425</v>
      </c>
      <c r="J119" s="227">
        <f t="shared" si="22"/>
        <v>271.62077737704919</v>
      </c>
      <c r="K119" s="227">
        <f t="shared" si="22"/>
        <v>287.22819139344261</v>
      </c>
      <c r="L119" s="227">
        <f t="shared" si="22"/>
        <v>356.08574514285721</v>
      </c>
      <c r="M119" s="227">
        <f t="shared" si="22"/>
        <v>518.6176476267749</v>
      </c>
      <c r="N119" s="227">
        <f t="shared" si="22"/>
        <v>621.58662448484847</v>
      </c>
      <c r="O119" s="227">
        <f t="shared" si="22"/>
        <v>677.05496854838702</v>
      </c>
      <c r="P119" s="227">
        <f t="shared" si="22"/>
        <v>631.44242419354839</v>
      </c>
      <c r="Q119" s="227">
        <f t="shared" si="22"/>
        <v>661.34397454545444</v>
      </c>
      <c r="R119" s="227">
        <f t="shared" si="22"/>
        <v>609.91420692464351</v>
      </c>
      <c r="S119" s="227">
        <f t="shared" si="22"/>
        <v>516.60436775510209</v>
      </c>
      <c r="T119" s="227">
        <f t="shared" si="22"/>
        <v>330.86113714285716</v>
      </c>
      <c r="U119" s="227">
        <f t="shared" si="22"/>
        <v>283.40139754601228</v>
      </c>
      <c r="V119" s="227">
        <f t="shared" si="22"/>
        <v>271.1995229508197</v>
      </c>
      <c r="W119" s="227">
        <f t="shared" si="22"/>
        <v>286.78273155737702</v>
      </c>
      <c r="X119" s="227">
        <f t="shared" si="22"/>
        <v>355.53349469387757</v>
      </c>
      <c r="Y119" s="227">
        <f t="shared" si="22"/>
        <v>517.81332778904664</v>
      </c>
      <c r="Z119" s="227">
        <f t="shared" si="22"/>
        <v>620.62261090909089</v>
      </c>
    </row>
    <row r="120" spans="1:26">
      <c r="A120" s="124">
        <f>MAX($A$10:A119)+1</f>
        <v>111</v>
      </c>
      <c r="B120" t="s">
        <v>161</v>
      </c>
      <c r="C120" s="227">
        <f t="shared" ref="C120:Z120" si="23">C93*C103</f>
        <v>2186.7069515120966</v>
      </c>
      <c r="D120" s="227">
        <f t="shared" si="23"/>
        <v>1809.0482781451612</v>
      </c>
      <c r="E120" s="227">
        <f t="shared" si="23"/>
        <v>1978.7292588282828</v>
      </c>
      <c r="F120" s="227">
        <f t="shared" si="23"/>
        <v>1533.8184920366598</v>
      </c>
      <c r="G120" s="227">
        <f t="shared" si="23"/>
        <v>1212.7204730000001</v>
      </c>
      <c r="H120" s="227">
        <f t="shared" si="23"/>
        <v>747.71464757142849</v>
      </c>
      <c r="I120" s="227">
        <f t="shared" si="23"/>
        <v>601.55871312883437</v>
      </c>
      <c r="J120" s="227">
        <f t="shared" si="23"/>
        <v>629.60873170081959</v>
      </c>
      <c r="K120" s="227">
        <f t="shared" si="23"/>
        <v>656.77059014344252</v>
      </c>
      <c r="L120" s="227">
        <f t="shared" si="23"/>
        <v>852.58453071428573</v>
      </c>
      <c r="M120" s="227">
        <f t="shared" si="23"/>
        <v>1192.093678985801</v>
      </c>
      <c r="N120" s="227">
        <f t="shared" si="23"/>
        <v>1707.0361811717171</v>
      </c>
      <c r="O120" s="227">
        <f t="shared" si="23"/>
        <v>2183.320959072581</v>
      </c>
      <c r="P120" s="227">
        <f t="shared" si="23"/>
        <v>1806.247068870968</v>
      </c>
      <c r="Q120" s="227">
        <f t="shared" si="23"/>
        <v>1975.6653081212123</v>
      </c>
      <c r="R120" s="227">
        <f t="shared" si="23"/>
        <v>1531.443460570265</v>
      </c>
      <c r="S120" s="227">
        <f t="shared" si="23"/>
        <v>1210.8426437142859</v>
      </c>
      <c r="T120" s="227">
        <f t="shared" si="23"/>
        <v>746.55685359183667</v>
      </c>
      <c r="U120" s="227">
        <f t="shared" si="23"/>
        <v>600.62723337423313</v>
      </c>
      <c r="V120" s="227">
        <f t="shared" si="23"/>
        <v>628.6338180737705</v>
      </c>
      <c r="W120" s="227">
        <f t="shared" si="23"/>
        <v>655.75361790983607</v>
      </c>
      <c r="X120" s="227">
        <f t="shared" si="23"/>
        <v>851.26435163265319</v>
      </c>
      <c r="Y120" s="227">
        <f t="shared" si="23"/>
        <v>1190.247789127789</v>
      </c>
      <c r="Z120" s="227">
        <f t="shared" si="23"/>
        <v>1704.3929318787877</v>
      </c>
    </row>
    <row r="121" spans="1:26">
      <c r="A121" s="124">
        <f>MAX($A$10:A120)+1</f>
        <v>112</v>
      </c>
      <c r="B121" t="s">
        <v>162</v>
      </c>
      <c r="C121" s="256">
        <f t="shared" ref="C121:Z121" si="24">C94*C104</f>
        <v>2115.6247458669354</v>
      </c>
      <c r="D121" s="256">
        <f t="shared" si="24"/>
        <v>1191.8559307459677</v>
      </c>
      <c r="E121" s="256">
        <f t="shared" si="24"/>
        <v>1824.613108888889</v>
      </c>
      <c r="F121" s="256">
        <f t="shared" si="24"/>
        <v>995.81673594704682</v>
      </c>
      <c r="G121" s="256">
        <f t="shared" si="24"/>
        <v>733.62360999999987</v>
      </c>
      <c r="H121" s="256">
        <f t="shared" si="24"/>
        <v>421.76095399999997</v>
      </c>
      <c r="I121" s="256">
        <f t="shared" si="24"/>
        <v>342.70203691206547</v>
      </c>
      <c r="J121" s="256">
        <f t="shared" si="24"/>
        <v>447.79068709016389</v>
      </c>
      <c r="K121" s="256">
        <f t="shared" si="24"/>
        <v>538.80195665983604</v>
      </c>
      <c r="L121" s="256">
        <f t="shared" si="24"/>
        <v>1295.114045</v>
      </c>
      <c r="M121" s="256">
        <f t="shared" si="24"/>
        <v>1002.9745395537525</v>
      </c>
      <c r="N121" s="256">
        <f t="shared" si="24"/>
        <v>1365.08561989899</v>
      </c>
      <c r="O121" s="256">
        <f t="shared" si="24"/>
        <v>2112.3415868951615</v>
      </c>
      <c r="P121" s="256">
        <f t="shared" si="24"/>
        <v>1190.0063340725808</v>
      </c>
      <c r="Q121" s="256">
        <f t="shared" si="24"/>
        <v>1821.7815600000001</v>
      </c>
      <c r="R121" s="256">
        <f t="shared" si="24"/>
        <v>994.27136517311612</v>
      </c>
      <c r="S121" s="256">
        <f t="shared" si="24"/>
        <v>732.48512693877547</v>
      </c>
      <c r="T121" s="256">
        <f t="shared" si="24"/>
        <v>421.10643893877551</v>
      </c>
      <c r="U121" s="256">
        <f t="shared" si="24"/>
        <v>342.17021042944788</v>
      </c>
      <c r="V121" s="256">
        <f t="shared" si="24"/>
        <v>447.09577745901635</v>
      </c>
      <c r="W121" s="256">
        <f t="shared" si="24"/>
        <v>537.96581004098368</v>
      </c>
      <c r="X121" s="256">
        <f t="shared" si="24"/>
        <v>1293.1042059183674</v>
      </c>
      <c r="Y121" s="256">
        <f t="shared" si="24"/>
        <v>1001.418060851927</v>
      </c>
      <c r="Z121" s="256">
        <f t="shared" si="24"/>
        <v>1362.9671945454547</v>
      </c>
    </row>
    <row r="122" spans="1:26">
      <c r="A122" s="124">
        <f>MAX($A$10:A121)+1</f>
        <v>113</v>
      </c>
      <c r="B122" t="s">
        <v>1736</v>
      </c>
      <c r="C122" s="254">
        <f t="shared" ref="C122:N122" si="25">SUM(C118:C121)</f>
        <v>5400.4383359274198</v>
      </c>
      <c r="D122" s="254">
        <f t="shared" si="25"/>
        <v>4053.327453084677</v>
      </c>
      <c r="E122" s="254">
        <f t="shared" si="25"/>
        <v>4885.713608363636</v>
      </c>
      <c r="F122" s="254">
        <f t="shared" si="25"/>
        <v>3560.4968151120161</v>
      </c>
      <c r="G122" s="254">
        <f t="shared" si="25"/>
        <v>2883.7508927142853</v>
      </c>
      <c r="H122" s="254">
        <f t="shared" si="25"/>
        <v>1920.8506655714286</v>
      </c>
      <c r="I122" s="254">
        <f t="shared" si="25"/>
        <v>1648.1023551942742</v>
      </c>
      <c r="J122" s="254">
        <f t="shared" si="25"/>
        <v>1769.0201961680327</v>
      </c>
      <c r="K122" s="254">
        <f t="shared" si="25"/>
        <v>1902.8007381967209</v>
      </c>
      <c r="L122" s="254">
        <f t="shared" si="25"/>
        <v>2923.784320857143</v>
      </c>
      <c r="M122" s="254">
        <f t="shared" si="25"/>
        <v>3133.6858661663287</v>
      </c>
      <c r="N122" s="254">
        <f t="shared" si="25"/>
        <v>4113.7084255555556</v>
      </c>
      <c r="O122" s="254">
        <f t="shared" ref="O122:Z122" si="26">SUM(O118:O121)</f>
        <v>5572.7175145161291</v>
      </c>
      <c r="P122" s="254">
        <f t="shared" si="26"/>
        <v>4227.6958271370977</v>
      </c>
      <c r="Q122" s="254">
        <f t="shared" si="26"/>
        <v>5058.7908426666672</v>
      </c>
      <c r="R122" s="254">
        <f t="shared" si="26"/>
        <v>3735.6290326680246</v>
      </c>
      <c r="S122" s="254">
        <f t="shared" si="26"/>
        <v>3059.9321384081632</v>
      </c>
      <c r="T122" s="254">
        <f t="shared" si="26"/>
        <v>2098.5244296734695</v>
      </c>
      <c r="U122" s="254">
        <f t="shared" si="26"/>
        <v>1826.1988413496933</v>
      </c>
      <c r="V122" s="254">
        <f t="shared" si="26"/>
        <v>1946.9291184836065</v>
      </c>
      <c r="W122" s="254">
        <f t="shared" si="26"/>
        <v>2080.5021595081967</v>
      </c>
      <c r="X122" s="254">
        <f t="shared" si="26"/>
        <v>3099.9020522448982</v>
      </c>
      <c r="Y122" s="254">
        <f t="shared" si="26"/>
        <v>3309.4791777687624</v>
      </c>
      <c r="Z122" s="254">
        <f t="shared" si="26"/>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A6:C6"/>
    <mergeCell ref="A1:C1"/>
    <mergeCell ref="A2:C2"/>
    <mergeCell ref="A3:C3"/>
    <mergeCell ref="A4:C4"/>
    <mergeCell ref="A5:C5"/>
    <mergeCell ref="B70:Z70"/>
    <mergeCell ref="B10:C10"/>
    <mergeCell ref="B22:C22"/>
    <mergeCell ref="B40:C40"/>
    <mergeCell ref="B52:C52"/>
  </mergeCells>
  <phoneticPr fontId="122" type="noConversion"/>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F646-D214-4D85-8660-D9ECACEC8268}">
  <sheetPr codeName="Sheet76">
    <pageSetUpPr fitToPage="1"/>
  </sheetPr>
  <dimension ref="A1:AY368"/>
  <sheetViews>
    <sheetView view="pageBreakPreview" zoomScale="60" zoomScaleNormal="100" workbookViewId="0">
      <selection activeCell="K111" sqref="K111"/>
    </sheetView>
  </sheetViews>
  <sheetFormatPr defaultColWidth="9.140625" defaultRowHeight="15" outlineLevelRow="1"/>
  <cols>
    <col min="1" max="1" width="6.28515625" style="2" customWidth="1"/>
    <col min="2" max="2" width="14.140625" style="1" bestFit="1" customWidth="1"/>
    <col min="3" max="3" width="17.42578125" style="1" customWidth="1"/>
    <col min="4" max="4" width="60.140625" style="1" bestFit="1" customWidth="1"/>
    <col min="5" max="5" width="13.5703125" style="2" bestFit="1" customWidth="1"/>
    <col min="6" max="6" width="18.85546875" style="1" bestFit="1" customWidth="1"/>
    <col min="7" max="8" width="18.85546875" style="1" customWidth="1"/>
    <col min="9" max="9" width="16.7109375" style="722" bestFit="1" customWidth="1"/>
    <col min="10" max="12" width="18" style="1" customWidth="1"/>
    <col min="13" max="13" width="15.140625" style="1" bestFit="1" customWidth="1"/>
    <col min="14" max="14" width="16.5703125" style="1" bestFit="1" customWidth="1"/>
    <col min="15" max="15" width="39.140625" style="1" bestFit="1" customWidth="1"/>
    <col min="16" max="16" width="36.42578125" style="1" bestFit="1" customWidth="1"/>
    <col min="17" max="17" width="24.28515625" style="1" customWidth="1"/>
    <col min="18" max="30" width="18.5703125" style="1" customWidth="1"/>
    <col min="31" max="31" width="15" style="1" bestFit="1" customWidth="1"/>
    <col min="32" max="32" width="15" style="1" customWidth="1"/>
    <col min="33" max="33" width="9.140625" style="1"/>
    <col min="34" max="34" width="13.28515625" style="1" customWidth="1"/>
    <col min="35" max="36" width="16.140625" style="1" customWidth="1"/>
    <col min="37" max="37" width="9.140625" style="1"/>
    <col min="38" max="38" width="10.85546875" style="1" customWidth="1"/>
    <col min="39" max="39" width="9.140625" style="1"/>
    <col min="40" max="40" width="15.28515625" style="1" customWidth="1"/>
    <col min="41" max="41" width="14.7109375" style="1" customWidth="1"/>
    <col min="42" max="42" width="9.140625" style="1" customWidth="1"/>
    <col min="43" max="43" width="9.140625" style="1"/>
    <col min="44" max="44" width="13.5703125" style="1" customWidth="1"/>
    <col min="45" max="45" width="15.140625" style="1" customWidth="1"/>
    <col min="46" max="46" width="11.28515625" style="1" bestFit="1" customWidth="1"/>
    <col min="47" max="48" width="9.140625" style="1"/>
    <col min="49" max="49" width="15.7109375" style="1" customWidth="1"/>
    <col min="50" max="50" width="16.85546875" style="1" bestFit="1" customWidth="1"/>
    <col min="51" max="52" width="9.140625" style="1"/>
    <col min="53" max="53" width="9.7109375" style="1" bestFit="1" customWidth="1"/>
    <col min="54" max="16384" width="9.140625" style="1"/>
  </cols>
  <sheetData>
    <row r="1" spans="1:50">
      <c r="A1" s="1405" t="str">
        <f>Company</f>
        <v>Cascade Natural Gas Corp.</v>
      </c>
      <c r="B1" s="1405"/>
      <c r="C1" s="1405"/>
      <c r="D1" s="1405"/>
      <c r="E1" s="1405"/>
      <c r="F1" s="1405"/>
      <c r="G1" s="1405"/>
      <c r="H1" s="1405"/>
      <c r="I1" s="1405"/>
      <c r="J1" s="1405"/>
      <c r="K1" s="1405"/>
      <c r="L1" s="1405"/>
      <c r="M1" s="1275"/>
      <c r="N1" s="1" t="s">
        <v>1737</v>
      </c>
    </row>
    <row r="2" spans="1:50">
      <c r="A2" s="1405" t="str">
        <f>Title1</f>
        <v>Washington Jurisdiction</v>
      </c>
      <c r="B2" s="1405"/>
      <c r="C2" s="1405"/>
      <c r="D2" s="1405"/>
      <c r="E2" s="1405"/>
      <c r="F2" s="1405"/>
      <c r="G2" s="1405"/>
      <c r="H2" s="1405"/>
      <c r="I2" s="1405"/>
      <c r="J2" s="1405"/>
      <c r="K2" s="1405"/>
      <c r="L2" s="1405"/>
      <c r="M2" s="1275"/>
    </row>
    <row r="3" spans="1:50">
      <c r="A3" s="1405" t="str">
        <f>Title2</f>
        <v>Twelve-Months ended December 31, 2023</v>
      </c>
      <c r="B3" s="1405"/>
      <c r="C3" s="1405"/>
      <c r="D3" s="1405"/>
      <c r="E3" s="1405"/>
      <c r="F3" s="1405"/>
      <c r="G3" s="1405"/>
      <c r="H3" s="1405"/>
      <c r="I3" s="1405"/>
      <c r="J3" s="1405"/>
      <c r="K3" s="1405"/>
      <c r="L3" s="1405"/>
      <c r="M3" s="1275"/>
    </row>
    <row r="4" spans="1:50">
      <c r="A4" s="1405" t="str">
        <f>Title8</f>
        <v>UG-240008</v>
      </c>
      <c r="B4" s="1405"/>
      <c r="C4" s="1405"/>
      <c r="D4" s="1405"/>
      <c r="E4" s="1405"/>
      <c r="F4" s="1405"/>
      <c r="G4" s="1405"/>
      <c r="H4" s="1405"/>
      <c r="I4" s="1405"/>
      <c r="J4" s="1405"/>
      <c r="K4" s="1405"/>
      <c r="L4" s="1405"/>
      <c r="M4" s="1275"/>
    </row>
    <row r="5" spans="1:50">
      <c r="A5" s="1405" t="s">
        <v>708</v>
      </c>
      <c r="B5" s="1405"/>
      <c r="C5" s="1405"/>
      <c r="D5" s="1405"/>
      <c r="E5" s="1405"/>
      <c r="F5" s="1405"/>
      <c r="G5" s="1405"/>
      <c r="H5" s="1405"/>
      <c r="I5" s="1405"/>
      <c r="J5" s="1405"/>
      <c r="K5" s="1405"/>
      <c r="L5" s="1405"/>
      <c r="M5" s="1275"/>
    </row>
    <row r="6" spans="1:50">
      <c r="A6" s="1405" t="s">
        <v>1738</v>
      </c>
      <c r="B6" s="1405"/>
      <c r="C6" s="1405"/>
      <c r="D6" s="1405"/>
      <c r="E6" s="1405"/>
      <c r="F6" s="1405"/>
      <c r="G6" s="1405"/>
      <c r="H6" s="1405"/>
      <c r="I6" s="1405"/>
      <c r="J6" s="1405"/>
      <c r="K6" s="1405"/>
      <c r="L6" s="1405"/>
      <c r="M6" s="1275"/>
    </row>
    <row r="7" spans="1:50">
      <c r="D7" s="1274"/>
    </row>
    <row r="8" spans="1:50" ht="45" outlineLevel="1">
      <c r="A8" s="67" t="s">
        <v>504</v>
      </c>
      <c r="B8" s="725" t="s">
        <v>1739</v>
      </c>
      <c r="C8" s="725" t="s">
        <v>1740</v>
      </c>
      <c r="D8" s="725" t="s">
        <v>1741</v>
      </c>
      <c r="E8" s="104" t="s">
        <v>1742</v>
      </c>
      <c r="F8" s="104" t="s">
        <v>1743</v>
      </c>
      <c r="G8" s="725" t="s">
        <v>1744</v>
      </c>
      <c r="H8" s="725" t="s">
        <v>1745</v>
      </c>
      <c r="I8" s="710" t="s">
        <v>1746</v>
      </c>
      <c r="J8" s="725" t="s">
        <v>1747</v>
      </c>
      <c r="K8" s="725" t="s">
        <v>1748</v>
      </c>
      <c r="L8" s="725" t="s">
        <v>1749</v>
      </c>
      <c r="M8"/>
      <c r="N8"/>
      <c r="Q8"/>
      <c r="R8" s="556"/>
      <c r="S8" s="556"/>
      <c r="T8" s="556"/>
      <c r="U8" s="556"/>
      <c r="V8" s="556"/>
      <c r="W8" s="556"/>
      <c r="X8" s="556"/>
      <c r="Y8" s="556"/>
      <c r="Z8" s="556"/>
      <c r="AA8" s="556"/>
      <c r="AB8" s="556"/>
      <c r="AC8" s="556"/>
      <c r="AD8" s="556"/>
      <c r="AF8" s="1273" t="s">
        <v>1750</v>
      </c>
      <c r="AL8" s="2"/>
    </row>
    <row r="9" spans="1:50" outlineLevel="1">
      <c r="A9" s="67"/>
      <c r="B9" s="725" t="s">
        <v>439</v>
      </c>
      <c r="C9" s="725" t="s">
        <v>208</v>
      </c>
      <c r="D9" s="725" t="s">
        <v>209</v>
      </c>
      <c r="E9" s="104" t="s">
        <v>440</v>
      </c>
      <c r="F9" s="104" t="s">
        <v>441</v>
      </c>
      <c r="G9" s="725" t="s">
        <v>442</v>
      </c>
      <c r="H9" s="725" t="s">
        <v>443</v>
      </c>
      <c r="I9" s="726" t="s">
        <v>444</v>
      </c>
      <c r="J9" s="725" t="s">
        <v>445</v>
      </c>
      <c r="K9" s="725" t="s">
        <v>446</v>
      </c>
      <c r="L9" s="725" t="s">
        <v>447</v>
      </c>
      <c r="M9"/>
      <c r="N9"/>
      <c r="AF9" s="1272" t="s">
        <v>1751</v>
      </c>
      <c r="AL9" s="2"/>
    </row>
    <row r="10" spans="1:50" ht="14.25" customHeight="1" outlineLevel="1">
      <c r="A10" s="545">
        <v>1</v>
      </c>
      <c r="B10" s="716" t="s">
        <v>1752</v>
      </c>
      <c r="C10" s="727" t="s">
        <v>1753</v>
      </c>
      <c r="D10" s="727" t="s">
        <v>1754</v>
      </c>
      <c r="E10" s="559">
        <v>303</v>
      </c>
      <c r="F10" s="556">
        <v>3980874.52</v>
      </c>
      <c r="G10" s="103">
        <f>+F10</f>
        <v>3980874.52</v>
      </c>
      <c r="H10" s="990">
        <v>45657</v>
      </c>
      <c r="I10" s="722">
        <v>1038161.99</v>
      </c>
      <c r="J10" s="103">
        <f t="shared" ref="J10:J30" si="0">+I10</f>
        <v>1038161.99</v>
      </c>
      <c r="K10" s="575">
        <v>46022</v>
      </c>
      <c r="L10" s="6">
        <v>250000</v>
      </c>
      <c r="M10"/>
      <c r="N10"/>
      <c r="O10" s="2"/>
      <c r="P10" s="728"/>
      <c r="AF10" s="1272"/>
      <c r="AL10" s="2"/>
    </row>
    <row r="11" spans="1:50" outlineLevel="1">
      <c r="A11" s="545">
        <f>MAX($A$10:A10)+1</f>
        <v>2</v>
      </c>
      <c r="B11" s="716" t="s">
        <v>1752</v>
      </c>
      <c r="C11" s="716" t="s">
        <v>1755</v>
      </c>
      <c r="D11" s="716" t="s">
        <v>1756</v>
      </c>
      <c r="E11" s="559">
        <v>303</v>
      </c>
      <c r="F11" s="103">
        <v>148544.66</v>
      </c>
      <c r="G11" s="103">
        <f>+F11</f>
        <v>148544.66</v>
      </c>
      <c r="H11" s="575">
        <v>45657</v>
      </c>
      <c r="I11" s="722">
        <v>185337.55</v>
      </c>
      <c r="J11" s="103">
        <f t="shared" si="0"/>
        <v>185337.55</v>
      </c>
      <c r="K11" s="575">
        <v>46022</v>
      </c>
      <c r="L11" s="6">
        <v>12500</v>
      </c>
      <c r="M11"/>
      <c r="N11"/>
      <c r="O11" s="2"/>
      <c r="P11" s="728"/>
      <c r="R11" s="721"/>
      <c r="S11" s="721"/>
      <c r="T11" s="721"/>
      <c r="U11" s="721"/>
      <c r="V11" s="721"/>
      <c r="W11" s="721"/>
      <c r="X11" s="721"/>
      <c r="Y11" s="721"/>
      <c r="Z11" s="721"/>
      <c r="AA11" s="721"/>
      <c r="AB11" s="721"/>
      <c r="AC11" s="721"/>
      <c r="AD11" s="721"/>
      <c r="AF11" s="720"/>
      <c r="AI11" s="105"/>
      <c r="AJ11" s="105"/>
      <c r="AL11" s="2"/>
      <c r="AN11" s="105"/>
      <c r="AO11" s="105"/>
      <c r="AP11" s="105"/>
      <c r="AS11" s="105"/>
      <c r="AT11" s="721"/>
      <c r="AW11" s="105"/>
      <c r="AX11" s="721"/>
    </row>
    <row r="12" spans="1:50" outlineLevel="1">
      <c r="A12" s="545">
        <f>MAX($A$10:A11)+1</f>
        <v>3</v>
      </c>
      <c r="B12" s="716" t="s">
        <v>1752</v>
      </c>
      <c r="C12" s="14" t="s">
        <v>1757</v>
      </c>
      <c r="D12" s="14" t="s">
        <v>1758</v>
      </c>
      <c r="E12" s="559">
        <v>303</v>
      </c>
      <c r="F12" s="103"/>
      <c r="G12" s="103"/>
      <c r="H12" s="103"/>
      <c r="I12" s="722">
        <v>2616181.56</v>
      </c>
      <c r="J12" s="103">
        <f t="shared" si="0"/>
        <v>2616181.56</v>
      </c>
      <c r="K12" s="575">
        <v>45839</v>
      </c>
      <c r="L12" s="6">
        <v>20000</v>
      </c>
      <c r="M12"/>
      <c r="N12"/>
      <c r="O12" s="2"/>
      <c r="P12" s="728"/>
      <c r="R12" s="721"/>
      <c r="S12" s="721"/>
      <c r="T12" s="721"/>
      <c r="U12" s="721"/>
      <c r="V12" s="721"/>
      <c r="W12" s="721"/>
      <c r="X12" s="721"/>
      <c r="Y12" s="721"/>
      <c r="Z12" s="721"/>
      <c r="AA12" s="721"/>
      <c r="AB12" s="721"/>
      <c r="AC12" s="721"/>
      <c r="AD12" s="721"/>
      <c r="AF12" s="720"/>
      <c r="AI12" s="105"/>
      <c r="AJ12" s="105"/>
      <c r="AL12" s="2"/>
      <c r="AN12" s="105"/>
      <c r="AO12" s="105"/>
      <c r="AP12" s="105"/>
      <c r="AS12" s="105"/>
      <c r="AT12" s="721"/>
      <c r="AW12" s="105"/>
      <c r="AX12" s="721"/>
    </row>
    <row r="13" spans="1:50" outlineLevel="1">
      <c r="A13" s="545">
        <f>MAX($A$10:A12)+1</f>
        <v>4</v>
      </c>
      <c r="B13" s="716" t="s">
        <v>1752</v>
      </c>
      <c r="C13" s="716" t="s">
        <v>1759</v>
      </c>
      <c r="D13" s="716" t="s">
        <v>1760</v>
      </c>
      <c r="E13" s="559">
        <v>303</v>
      </c>
      <c r="F13" s="103">
        <v>109304.13</v>
      </c>
      <c r="G13" s="103">
        <f>+F13</f>
        <v>109304.13</v>
      </c>
      <c r="H13" s="575">
        <v>45657</v>
      </c>
      <c r="I13" s="722">
        <v>20571.150000000001</v>
      </c>
      <c r="J13" s="103">
        <f t="shared" si="0"/>
        <v>20571.150000000001</v>
      </c>
      <c r="K13" s="575">
        <v>46022</v>
      </c>
      <c r="L13" s="6"/>
      <c r="M13"/>
      <c r="N13"/>
      <c r="O13" s="2"/>
      <c r="P13" s="728"/>
      <c r="R13" s="721"/>
      <c r="S13" s="721"/>
      <c r="T13" s="721"/>
      <c r="U13" s="721"/>
      <c r="V13" s="721"/>
      <c r="W13" s="721"/>
      <c r="X13" s="721"/>
      <c r="Y13" s="721"/>
      <c r="Z13" s="721"/>
      <c r="AA13" s="721"/>
      <c r="AB13" s="721"/>
      <c r="AC13" s="721"/>
      <c r="AD13" s="721"/>
      <c r="AF13" s="720"/>
      <c r="AI13" s="105"/>
      <c r="AJ13" s="105"/>
      <c r="AN13" s="105"/>
      <c r="AO13" s="105"/>
      <c r="AP13" s="105"/>
      <c r="AS13" s="105"/>
      <c r="AT13" s="721"/>
      <c r="AW13" s="105"/>
      <c r="AX13" s="721"/>
    </row>
    <row r="14" spans="1:50" outlineLevel="1">
      <c r="A14" s="545">
        <f>MAX($A$10:A13)+1</f>
        <v>5</v>
      </c>
      <c r="B14" s="716" t="s">
        <v>1752</v>
      </c>
      <c r="C14" s="716" t="s">
        <v>1761</v>
      </c>
      <c r="D14" s="716" t="s">
        <v>1762</v>
      </c>
      <c r="E14" s="559">
        <v>303</v>
      </c>
      <c r="F14" s="103">
        <v>3016751.45</v>
      </c>
      <c r="G14" s="103">
        <f>+F14</f>
        <v>3016751.45</v>
      </c>
      <c r="H14" s="575">
        <v>45595</v>
      </c>
      <c r="I14" s="722">
        <v>0</v>
      </c>
      <c r="J14" s="103">
        <f t="shared" si="0"/>
        <v>0</v>
      </c>
      <c r="K14" s="103"/>
      <c r="L14" s="6"/>
      <c r="M14"/>
      <c r="N14"/>
      <c r="P14" s="728"/>
      <c r="R14" s="721"/>
      <c r="S14" s="721"/>
      <c r="T14" s="721"/>
      <c r="U14" s="721"/>
      <c r="V14" s="721"/>
      <c r="W14" s="721"/>
      <c r="X14" s="721"/>
      <c r="Y14" s="721"/>
      <c r="Z14" s="721"/>
      <c r="AA14" s="721"/>
      <c r="AB14" s="721"/>
      <c r="AC14" s="721"/>
      <c r="AD14" s="721"/>
      <c r="AF14" s="720"/>
      <c r="AI14" s="105"/>
      <c r="AJ14" s="105"/>
      <c r="AN14" s="105"/>
      <c r="AO14" s="105"/>
      <c r="AP14" s="105"/>
      <c r="AS14" s="105"/>
      <c r="AT14" s="721"/>
      <c r="AW14" s="105"/>
      <c r="AX14" s="721"/>
    </row>
    <row r="15" spans="1:50" outlineLevel="1">
      <c r="A15" s="545">
        <f>MAX($A$10:A14)+1</f>
        <v>6</v>
      </c>
      <c r="B15" s="716" t="s">
        <v>1752</v>
      </c>
      <c r="C15" s="14" t="s">
        <v>1763</v>
      </c>
      <c r="D15" s="14" t="s">
        <v>1764</v>
      </c>
      <c r="E15" s="559">
        <v>303</v>
      </c>
      <c r="F15" s="103"/>
      <c r="G15" s="103"/>
      <c r="I15" s="722">
        <v>5054117.12</v>
      </c>
      <c r="J15" s="103">
        <f t="shared" si="0"/>
        <v>5054117.12</v>
      </c>
      <c r="K15" s="717">
        <v>45962</v>
      </c>
      <c r="L15" s="6"/>
      <c r="M15"/>
      <c r="N15"/>
      <c r="P15" s="728"/>
      <c r="R15" s="721"/>
      <c r="S15" s="721"/>
      <c r="T15" s="721"/>
      <c r="U15" s="721"/>
      <c r="V15" s="721"/>
      <c r="W15" s="721"/>
      <c r="X15" s="721"/>
      <c r="Y15" s="721"/>
      <c r="Z15" s="721"/>
      <c r="AA15" s="721"/>
      <c r="AB15" s="721"/>
      <c r="AC15" s="721"/>
      <c r="AD15" s="721"/>
      <c r="AF15" s="720"/>
      <c r="AI15" s="105"/>
      <c r="AJ15" s="105"/>
      <c r="AN15" s="105"/>
      <c r="AO15" s="105"/>
      <c r="AP15" s="105"/>
      <c r="AS15" s="105"/>
      <c r="AT15" s="721"/>
      <c r="AW15" s="105"/>
      <c r="AX15" s="721"/>
    </row>
    <row r="16" spans="1:50" outlineLevel="1">
      <c r="A16" s="545">
        <f>MAX($A$10:A15)+1</f>
        <v>7</v>
      </c>
      <c r="B16" s="716" t="s">
        <v>1752</v>
      </c>
      <c r="C16" s="716" t="s">
        <v>1765</v>
      </c>
      <c r="D16" s="716" t="s">
        <v>1766</v>
      </c>
      <c r="E16" s="559">
        <v>303</v>
      </c>
      <c r="F16" s="103">
        <v>44563.44</v>
      </c>
      <c r="G16" s="103">
        <f t="shared" ref="G16:G25" si="1">+F16</f>
        <v>44563.44</v>
      </c>
      <c r="H16" s="717">
        <v>45657</v>
      </c>
      <c r="I16" s="722">
        <v>48576.72</v>
      </c>
      <c r="J16" s="103">
        <f t="shared" si="0"/>
        <v>48576.72</v>
      </c>
      <c r="K16" s="575">
        <v>46022</v>
      </c>
      <c r="L16" s="6"/>
      <c r="M16"/>
      <c r="N16"/>
      <c r="O16" s="2"/>
      <c r="P16" s="728"/>
      <c r="R16" s="721"/>
      <c r="S16" s="721"/>
      <c r="T16" s="721"/>
      <c r="U16" s="721"/>
      <c r="V16" s="721"/>
      <c r="W16" s="721"/>
      <c r="X16" s="721"/>
      <c r="Y16" s="721"/>
      <c r="Z16" s="721"/>
      <c r="AA16" s="721"/>
      <c r="AB16" s="721"/>
      <c r="AC16" s="721"/>
      <c r="AD16" s="721"/>
      <c r="AF16" s="720"/>
      <c r="AI16" s="105"/>
      <c r="AJ16" s="105"/>
      <c r="AN16" s="105"/>
      <c r="AO16" s="105"/>
      <c r="AP16" s="105"/>
      <c r="AS16" s="105"/>
      <c r="AT16" s="721"/>
      <c r="AW16" s="105"/>
      <c r="AX16" s="721"/>
    </row>
    <row r="17" spans="1:50" outlineLevel="1">
      <c r="A17" s="545">
        <f>MAX($A$10:A16)+1</f>
        <v>8</v>
      </c>
      <c r="B17" s="716" t="s">
        <v>1752</v>
      </c>
      <c r="C17" s="716" t="s">
        <v>1767</v>
      </c>
      <c r="D17" s="716" t="s">
        <v>1768</v>
      </c>
      <c r="E17" s="559">
        <v>303</v>
      </c>
      <c r="F17" s="103">
        <v>395808.65</v>
      </c>
      <c r="G17" s="103">
        <f t="shared" si="1"/>
        <v>395808.65</v>
      </c>
      <c r="H17" s="717">
        <v>45505</v>
      </c>
      <c r="I17" s="722">
        <v>0</v>
      </c>
      <c r="J17" s="103">
        <f t="shared" si="0"/>
        <v>0</v>
      </c>
      <c r="K17" s="103"/>
      <c r="L17" s="6"/>
      <c r="M17"/>
      <c r="N17"/>
      <c r="P17" s="728"/>
      <c r="R17" s="721"/>
      <c r="S17" s="721"/>
      <c r="T17" s="721"/>
      <c r="U17" s="721"/>
      <c r="V17" s="721"/>
      <c r="W17" s="721"/>
      <c r="X17" s="721"/>
      <c r="Y17" s="721"/>
      <c r="Z17" s="721"/>
      <c r="AA17" s="721"/>
      <c r="AB17" s="721"/>
      <c r="AC17" s="721"/>
      <c r="AD17" s="721"/>
      <c r="AF17" s="720"/>
      <c r="AI17" s="105"/>
      <c r="AJ17" s="105"/>
      <c r="AL17" s="2"/>
      <c r="AN17" s="105"/>
      <c r="AO17" s="105"/>
      <c r="AP17" s="105"/>
      <c r="AS17" s="105"/>
      <c r="AT17" s="721"/>
      <c r="AW17" s="105"/>
      <c r="AX17" s="721"/>
    </row>
    <row r="18" spans="1:50" outlineLevel="1">
      <c r="A18" s="545">
        <f>MAX($A$10:A17)+1</f>
        <v>9</v>
      </c>
      <c r="B18" s="716" t="s">
        <v>1752</v>
      </c>
      <c r="C18" s="716" t="s">
        <v>1769</v>
      </c>
      <c r="D18" s="716" t="s">
        <v>1770</v>
      </c>
      <c r="E18" s="559">
        <v>303</v>
      </c>
      <c r="F18" s="103">
        <v>249076.76</v>
      </c>
      <c r="G18" s="103">
        <f t="shared" si="1"/>
        <v>249076.76</v>
      </c>
      <c r="H18" s="717">
        <v>45565</v>
      </c>
      <c r="I18" s="718"/>
      <c r="J18" s="103">
        <f t="shared" si="0"/>
        <v>0</v>
      </c>
      <c r="K18" s="103"/>
      <c r="L18" s="6"/>
      <c r="M18"/>
      <c r="N18"/>
      <c r="P18" s="728"/>
      <c r="R18" s="721"/>
      <c r="S18" s="721"/>
      <c r="T18" s="721"/>
      <c r="U18" s="721"/>
      <c r="V18" s="721"/>
      <c r="W18" s="721"/>
      <c r="X18" s="721"/>
      <c r="Y18" s="721"/>
      <c r="Z18" s="721"/>
      <c r="AA18" s="721"/>
      <c r="AB18" s="721"/>
      <c r="AC18" s="721"/>
      <c r="AD18" s="721"/>
      <c r="AF18" s="720"/>
      <c r="AI18" s="105"/>
      <c r="AJ18" s="105"/>
      <c r="AL18" s="2"/>
      <c r="AN18" s="105"/>
      <c r="AO18" s="105"/>
      <c r="AP18" s="105"/>
      <c r="AS18" s="105"/>
      <c r="AT18" s="721"/>
      <c r="AW18" s="105"/>
      <c r="AX18" s="721"/>
    </row>
    <row r="19" spans="1:50" outlineLevel="1">
      <c r="A19" s="545">
        <f>MAX($A$10:A18)+1</f>
        <v>10</v>
      </c>
      <c r="B19" s="716" t="s">
        <v>1752</v>
      </c>
      <c r="C19" s="14" t="s">
        <v>1771</v>
      </c>
      <c r="D19" s="14" t="s">
        <v>1772</v>
      </c>
      <c r="E19" s="559">
        <v>303</v>
      </c>
      <c r="F19" s="103">
        <v>0</v>
      </c>
      <c r="G19" s="103">
        <f t="shared" si="1"/>
        <v>0</v>
      </c>
      <c r="I19" s="722">
        <v>870373.19</v>
      </c>
      <c r="J19" s="103">
        <f t="shared" si="0"/>
        <v>870373.19</v>
      </c>
      <c r="K19" s="717">
        <v>45991</v>
      </c>
      <c r="L19" s="6"/>
      <c r="M19"/>
      <c r="N19"/>
      <c r="O19" s="2"/>
      <c r="P19" s="728"/>
      <c r="Q19" s="722"/>
      <c r="R19" s="721"/>
      <c r="S19" s="721"/>
      <c r="T19" s="721"/>
      <c r="U19" s="721"/>
      <c r="V19" s="721"/>
      <c r="W19" s="721"/>
      <c r="X19" s="721"/>
      <c r="Y19" s="721"/>
      <c r="Z19" s="721"/>
      <c r="AA19" s="721"/>
      <c r="AB19" s="721"/>
      <c r="AC19" s="721"/>
      <c r="AD19" s="721"/>
      <c r="AF19" s="720"/>
      <c r="AI19" s="105"/>
      <c r="AJ19" s="105"/>
      <c r="AL19" s="2"/>
      <c r="AN19" s="105"/>
      <c r="AO19" s="105"/>
      <c r="AP19" s="105"/>
      <c r="AS19" s="105"/>
      <c r="AT19" s="721"/>
      <c r="AW19" s="105"/>
      <c r="AX19" s="721"/>
    </row>
    <row r="20" spans="1:50" outlineLevel="1">
      <c r="A20" s="545">
        <f>MAX($A$10:A19)+1</f>
        <v>11</v>
      </c>
      <c r="B20" s="716" t="s">
        <v>1752</v>
      </c>
      <c r="C20" s="716" t="s">
        <v>1773</v>
      </c>
      <c r="D20" s="1" t="s">
        <v>1774</v>
      </c>
      <c r="E20" s="559">
        <v>303</v>
      </c>
      <c r="F20" s="103">
        <v>0</v>
      </c>
      <c r="G20" s="103">
        <f t="shared" si="1"/>
        <v>0</v>
      </c>
      <c r="H20" s="717"/>
      <c r="I20" s="718">
        <v>52427.32</v>
      </c>
      <c r="J20" s="103">
        <f t="shared" si="0"/>
        <v>52427.32</v>
      </c>
      <c r="K20" s="575">
        <v>45809</v>
      </c>
      <c r="L20" s="6"/>
      <c r="M20"/>
      <c r="N20"/>
      <c r="O20" s="2"/>
      <c r="P20" s="722"/>
      <c r="R20" s="721"/>
      <c r="S20" s="721"/>
      <c r="T20" s="721"/>
      <c r="U20" s="721"/>
      <c r="V20" s="721"/>
      <c r="W20" s="721"/>
      <c r="X20" s="721"/>
      <c r="Y20" s="721"/>
      <c r="Z20" s="721"/>
      <c r="AA20" s="721"/>
      <c r="AB20" s="721"/>
      <c r="AC20" s="721"/>
      <c r="AD20" s="721"/>
      <c r="AF20" s="720"/>
      <c r="AI20" s="105"/>
      <c r="AJ20" s="105"/>
      <c r="AL20" s="2"/>
      <c r="AN20" s="105"/>
      <c r="AO20" s="105"/>
      <c r="AP20" s="105"/>
      <c r="AS20" s="105"/>
      <c r="AT20" s="721"/>
      <c r="AW20" s="105"/>
      <c r="AX20" s="721"/>
    </row>
    <row r="21" spans="1:50" outlineLevel="1">
      <c r="A21" s="545">
        <f>MAX($A$10:A20)+1</f>
        <v>12</v>
      </c>
      <c r="B21" s="716" t="s">
        <v>1752</v>
      </c>
      <c r="C21" s="716" t="s">
        <v>1775</v>
      </c>
      <c r="D21" s="1" t="s">
        <v>1776</v>
      </c>
      <c r="E21" s="559">
        <v>303</v>
      </c>
      <c r="F21" s="103">
        <v>0</v>
      </c>
      <c r="G21" s="103">
        <f t="shared" si="1"/>
        <v>0</v>
      </c>
      <c r="I21" s="711">
        <v>267463.90999999997</v>
      </c>
      <c r="J21" s="103">
        <f t="shared" si="0"/>
        <v>267463.90999999997</v>
      </c>
      <c r="K21" s="717">
        <v>46022</v>
      </c>
      <c r="L21" s="6">
        <v>175000</v>
      </c>
      <c r="M21"/>
      <c r="N21"/>
      <c r="O21" s="2"/>
      <c r="P21" s="722"/>
      <c r="R21" s="721"/>
      <c r="S21" s="721"/>
      <c r="T21" s="721"/>
      <c r="U21" s="721"/>
      <c r="V21" s="721"/>
      <c r="W21" s="721"/>
      <c r="X21" s="721"/>
      <c r="Y21" s="721"/>
      <c r="Z21" s="721"/>
      <c r="AA21" s="721"/>
      <c r="AB21" s="721"/>
      <c r="AC21" s="721"/>
      <c r="AD21" s="721"/>
      <c r="AF21" s="720"/>
      <c r="AI21" s="105"/>
      <c r="AJ21" s="105"/>
      <c r="AL21" s="2"/>
      <c r="AN21" s="105"/>
      <c r="AO21" s="105"/>
      <c r="AP21" s="105"/>
      <c r="AS21" s="105"/>
      <c r="AT21" s="721"/>
      <c r="AW21" s="105"/>
      <c r="AX21" s="721"/>
    </row>
    <row r="22" spans="1:50" outlineLevel="1">
      <c r="A22" s="545">
        <f>MAX($A$10:A21)+1</f>
        <v>13</v>
      </c>
      <c r="B22" s="716" t="s">
        <v>1752</v>
      </c>
      <c r="C22" s="716" t="s">
        <v>1777</v>
      </c>
      <c r="D22" s="716" t="s">
        <v>1778</v>
      </c>
      <c r="E22" s="559">
        <v>303</v>
      </c>
      <c r="F22" s="103">
        <v>41466.040550000005</v>
      </c>
      <c r="G22" s="103">
        <f t="shared" si="1"/>
        <v>41466.040550000005</v>
      </c>
      <c r="H22" s="717">
        <v>45651</v>
      </c>
      <c r="I22" s="718"/>
      <c r="J22" s="103">
        <f t="shared" si="0"/>
        <v>0</v>
      </c>
      <c r="K22" s="103"/>
      <c r="L22" s="6"/>
      <c r="M22"/>
      <c r="N22"/>
      <c r="R22" s="721"/>
      <c r="S22" s="721"/>
      <c r="T22" s="721"/>
      <c r="U22" s="721"/>
      <c r="V22" s="721"/>
      <c r="W22" s="721"/>
      <c r="X22" s="721"/>
      <c r="Y22" s="721"/>
      <c r="Z22" s="721"/>
      <c r="AA22" s="721"/>
      <c r="AB22" s="721"/>
      <c r="AC22" s="721"/>
      <c r="AD22" s="721"/>
      <c r="AF22" s="720"/>
      <c r="AI22" s="105"/>
      <c r="AJ22" s="105"/>
      <c r="AN22" s="105"/>
      <c r="AO22" s="105"/>
      <c r="AP22" s="105"/>
      <c r="AS22" s="105"/>
      <c r="AT22" s="721"/>
      <c r="AW22" s="105"/>
      <c r="AX22" s="721"/>
    </row>
    <row r="23" spans="1:50" outlineLevel="1">
      <c r="A23" s="545">
        <f>MAX($A$10:A22)+1</f>
        <v>14</v>
      </c>
      <c r="B23" s="716" t="s">
        <v>1752</v>
      </c>
      <c r="C23" s="716" t="s">
        <v>1779</v>
      </c>
      <c r="D23" s="716" t="s">
        <v>1780</v>
      </c>
      <c r="E23" s="559">
        <v>303</v>
      </c>
      <c r="F23" s="103">
        <v>7539.2800999999999</v>
      </c>
      <c r="G23" s="103">
        <f t="shared" si="1"/>
        <v>7539.2800999999999</v>
      </c>
      <c r="H23" s="717">
        <v>45444</v>
      </c>
      <c r="I23" s="718"/>
      <c r="J23" s="103">
        <f t="shared" si="0"/>
        <v>0</v>
      </c>
      <c r="K23" s="103"/>
      <c r="L23" s="6"/>
      <c r="M23"/>
      <c r="N23"/>
      <c r="R23" s="721"/>
      <c r="S23" s="721"/>
      <c r="T23" s="721"/>
      <c r="U23" s="721"/>
      <c r="V23" s="721"/>
      <c r="W23" s="721"/>
      <c r="X23" s="721"/>
      <c r="Y23" s="721"/>
      <c r="Z23" s="721"/>
      <c r="AA23" s="721"/>
      <c r="AB23" s="721"/>
      <c r="AC23" s="721"/>
      <c r="AD23" s="721"/>
      <c r="AF23" s="720"/>
      <c r="AI23" s="105"/>
      <c r="AJ23" s="105"/>
      <c r="AN23" s="105"/>
      <c r="AO23" s="105"/>
      <c r="AP23" s="105"/>
      <c r="AS23" s="105"/>
      <c r="AT23" s="721"/>
      <c r="AW23" s="105"/>
      <c r="AX23" s="721"/>
    </row>
    <row r="24" spans="1:50" outlineLevel="1">
      <c r="A24" s="545">
        <f>MAX($A$10:A23)+1</f>
        <v>15</v>
      </c>
      <c r="B24" s="716" t="s">
        <v>1752</v>
      </c>
      <c r="C24" s="716" t="s">
        <v>1781</v>
      </c>
      <c r="D24" s="716" t="s">
        <v>1782</v>
      </c>
      <c r="E24" s="559">
        <v>303</v>
      </c>
      <c r="F24" s="103">
        <v>0</v>
      </c>
      <c r="G24" s="103">
        <f t="shared" si="1"/>
        <v>0</v>
      </c>
      <c r="H24" s="717"/>
      <c r="I24" s="718">
        <v>24020.778488</v>
      </c>
      <c r="J24" s="103">
        <f t="shared" si="0"/>
        <v>24020.778488</v>
      </c>
      <c r="K24" s="575">
        <v>45992</v>
      </c>
      <c r="L24" s="6"/>
      <c r="M24"/>
      <c r="N24"/>
      <c r="R24" s="721"/>
      <c r="S24" s="721"/>
      <c r="T24" s="721"/>
      <c r="U24" s="721"/>
      <c r="V24" s="721"/>
      <c r="W24" s="721"/>
      <c r="X24" s="721"/>
      <c r="Y24" s="721"/>
      <c r="Z24" s="721"/>
      <c r="AA24" s="721"/>
      <c r="AB24" s="721"/>
      <c r="AC24" s="721"/>
      <c r="AD24" s="721"/>
      <c r="AF24" s="720"/>
      <c r="AI24" s="105"/>
      <c r="AJ24" s="105"/>
      <c r="AN24" s="105"/>
      <c r="AO24" s="105"/>
      <c r="AP24" s="105"/>
      <c r="AS24" s="105"/>
      <c r="AT24" s="721"/>
      <c r="AW24" s="105"/>
      <c r="AX24" s="721"/>
    </row>
    <row r="25" spans="1:50" outlineLevel="1">
      <c r="A25" s="545">
        <f>MAX($A$10:A24)+1</f>
        <v>16</v>
      </c>
      <c r="B25" s="716" t="s">
        <v>1752</v>
      </c>
      <c r="C25" s="716" t="s">
        <v>1783</v>
      </c>
      <c r="D25" s="716" t="s">
        <v>1784</v>
      </c>
      <c r="E25" s="559">
        <v>303</v>
      </c>
      <c r="F25" s="103">
        <v>810507.85611499997</v>
      </c>
      <c r="G25" s="103">
        <f t="shared" si="1"/>
        <v>810507.85611499997</v>
      </c>
      <c r="H25" s="717">
        <v>45382</v>
      </c>
      <c r="I25" s="718">
        <v>0</v>
      </c>
      <c r="J25" s="103">
        <f t="shared" si="0"/>
        <v>0</v>
      </c>
      <c r="K25" s="103"/>
      <c r="L25" s="6">
        <v>10000</v>
      </c>
      <c r="M25"/>
      <c r="N25"/>
      <c r="O25" s="2"/>
      <c r="P25" s="728"/>
      <c r="Q25" s="722" t="str">
        <f>IFERROR(VLOOKUP(AH25, $AR$11:$AT$37, 3, FALSE), "")</f>
        <v/>
      </c>
      <c r="R25" s="721"/>
      <c r="S25" s="721"/>
      <c r="T25" s="721"/>
      <c r="U25" s="721"/>
      <c r="V25" s="721"/>
      <c r="W25" s="721"/>
      <c r="X25" s="721"/>
      <c r="Y25" s="721"/>
      <c r="Z25" s="721"/>
      <c r="AA25" s="721"/>
      <c r="AB25" s="721"/>
      <c r="AC25" s="721"/>
      <c r="AD25" s="721"/>
      <c r="AF25" s="720"/>
      <c r="AI25" s="105"/>
      <c r="AJ25" s="105"/>
      <c r="AN25" s="105"/>
      <c r="AO25" s="105"/>
      <c r="AP25" s="105"/>
      <c r="AS25" s="105"/>
      <c r="AT25" s="721"/>
      <c r="AW25" s="105"/>
      <c r="AX25" s="721"/>
    </row>
    <row r="26" spans="1:50" outlineLevel="1">
      <c r="A26" s="545">
        <f>MAX($A$10:A25)+1</f>
        <v>17</v>
      </c>
      <c r="B26" s="716" t="s">
        <v>1752</v>
      </c>
      <c r="C26" s="14" t="s">
        <v>1785</v>
      </c>
      <c r="D26" s="14" t="s">
        <v>1786</v>
      </c>
      <c r="E26" s="559">
        <v>303</v>
      </c>
      <c r="F26" s="103">
        <v>0</v>
      </c>
      <c r="G26" s="103"/>
      <c r="I26" s="722">
        <v>61073.288584000002</v>
      </c>
      <c r="J26" s="103">
        <f t="shared" si="0"/>
        <v>61073.288584000002</v>
      </c>
      <c r="K26" s="717">
        <v>46022</v>
      </c>
      <c r="L26" s="6"/>
      <c r="M26"/>
      <c r="N26"/>
      <c r="O26" s="2"/>
      <c r="P26" s="728"/>
      <c r="Q26" s="722"/>
      <c r="R26" s="721"/>
      <c r="S26" s="721"/>
      <c r="T26" s="721"/>
      <c r="U26" s="721"/>
      <c r="V26" s="721"/>
      <c r="W26" s="721"/>
      <c r="X26" s="721"/>
      <c r="Y26" s="721"/>
      <c r="Z26" s="721"/>
      <c r="AA26" s="721"/>
      <c r="AB26" s="721"/>
      <c r="AC26" s="721"/>
      <c r="AD26" s="721"/>
      <c r="AF26" s="720"/>
      <c r="AI26" s="105"/>
      <c r="AJ26" s="105"/>
      <c r="AN26" s="105"/>
      <c r="AO26" s="105"/>
      <c r="AP26" s="105"/>
      <c r="AS26" s="105"/>
      <c r="AT26" s="721"/>
      <c r="AW26" s="105"/>
      <c r="AX26" s="721"/>
    </row>
    <row r="27" spans="1:50" outlineLevel="1">
      <c r="A27" s="545">
        <f>MAX($A$10:A26)+1</f>
        <v>18</v>
      </c>
      <c r="B27" s="716" t="s">
        <v>1752</v>
      </c>
      <c r="C27" s="716" t="s">
        <v>1787</v>
      </c>
      <c r="D27" s="716" t="s">
        <v>1788</v>
      </c>
      <c r="E27" s="559">
        <v>303</v>
      </c>
      <c r="F27" s="103">
        <v>52501.443155000008</v>
      </c>
      <c r="G27" s="103">
        <f>+F27</f>
        <v>52501.443155000008</v>
      </c>
      <c r="H27" s="717">
        <v>45657</v>
      </c>
      <c r="I27" s="712">
        <v>34898.571628000005</v>
      </c>
      <c r="J27" s="103">
        <f t="shared" si="0"/>
        <v>34898.571628000005</v>
      </c>
      <c r="K27" s="717">
        <v>46022</v>
      </c>
      <c r="L27" s="6"/>
      <c r="M27"/>
      <c r="N27"/>
      <c r="O27" s="2"/>
      <c r="P27" s="728"/>
      <c r="R27" s="721"/>
      <c r="S27" s="721"/>
      <c r="T27" s="721"/>
      <c r="U27" s="721"/>
      <c r="V27" s="721"/>
      <c r="W27" s="721"/>
      <c r="X27" s="721"/>
      <c r="Y27" s="721"/>
      <c r="Z27" s="721"/>
      <c r="AA27" s="721"/>
      <c r="AB27" s="721"/>
      <c r="AC27" s="721"/>
      <c r="AD27" s="721"/>
      <c r="AF27" s="720"/>
      <c r="AI27" s="105"/>
      <c r="AJ27" s="105"/>
      <c r="AN27" s="105"/>
      <c r="AO27" s="105"/>
      <c r="AP27" s="105"/>
      <c r="AS27" s="105"/>
      <c r="AT27" s="721"/>
      <c r="AW27" s="105"/>
      <c r="AX27" s="721"/>
    </row>
    <row r="28" spans="1:50" outlineLevel="1">
      <c r="A28" s="545">
        <f>MAX($A$10:A27)+1</f>
        <v>19</v>
      </c>
      <c r="B28" s="716" t="s">
        <v>1752</v>
      </c>
      <c r="C28" s="716" t="s">
        <v>1789</v>
      </c>
      <c r="D28" s="716" t="s">
        <v>1790</v>
      </c>
      <c r="E28" s="559">
        <v>303</v>
      </c>
      <c r="F28" s="103">
        <v>149733.94637000002</v>
      </c>
      <c r="G28" s="103">
        <f>+F28</f>
        <v>149733.94637000002</v>
      </c>
      <c r="H28" s="717">
        <v>45383</v>
      </c>
      <c r="I28" s="718">
        <v>0</v>
      </c>
      <c r="J28" s="103">
        <f t="shared" si="0"/>
        <v>0</v>
      </c>
      <c r="K28" s="103"/>
      <c r="L28" s="6"/>
      <c r="M28"/>
      <c r="N28"/>
      <c r="R28" s="721"/>
      <c r="S28" s="721"/>
      <c r="T28" s="721"/>
      <c r="U28" s="721"/>
      <c r="V28" s="721"/>
      <c r="W28" s="721"/>
      <c r="X28" s="721"/>
      <c r="Y28" s="721"/>
      <c r="Z28" s="721"/>
      <c r="AA28" s="721"/>
      <c r="AB28" s="721"/>
      <c r="AC28" s="721"/>
      <c r="AD28" s="721"/>
      <c r="AF28" s="720"/>
      <c r="AI28" s="105"/>
      <c r="AJ28" s="105"/>
      <c r="AN28" s="105"/>
      <c r="AO28" s="105"/>
      <c r="AP28" s="105"/>
      <c r="AS28" s="105"/>
      <c r="AT28" s="721"/>
      <c r="AW28" s="105"/>
      <c r="AX28" s="721"/>
    </row>
    <row r="29" spans="1:50" outlineLevel="1">
      <c r="A29" s="545">
        <f>MAX($A$10:A28)+1</f>
        <v>20</v>
      </c>
      <c r="B29" s="716" t="s">
        <v>1752</v>
      </c>
      <c r="C29" s="14" t="s">
        <v>1791</v>
      </c>
      <c r="D29" s="14" t="s">
        <v>1792</v>
      </c>
      <c r="E29" s="559">
        <v>303</v>
      </c>
      <c r="F29" s="103">
        <v>0</v>
      </c>
      <c r="G29" s="103">
        <f>+F29</f>
        <v>0</v>
      </c>
      <c r="I29" s="722">
        <v>345851.46120300004</v>
      </c>
      <c r="J29" s="103">
        <f t="shared" si="0"/>
        <v>345851.46120300004</v>
      </c>
      <c r="K29" s="717">
        <v>45992</v>
      </c>
      <c r="L29" s="6"/>
      <c r="M29"/>
      <c r="N29"/>
      <c r="R29" s="721"/>
      <c r="S29" s="721"/>
      <c r="T29" s="721"/>
      <c r="U29" s="721"/>
      <c r="V29" s="721"/>
      <c r="W29" s="721"/>
      <c r="X29" s="721"/>
      <c r="Y29" s="721"/>
      <c r="Z29" s="721"/>
      <c r="AA29" s="721"/>
      <c r="AB29" s="721"/>
      <c r="AC29" s="721"/>
      <c r="AD29" s="721"/>
      <c r="AF29" s="720"/>
      <c r="AI29" s="105"/>
      <c r="AJ29" s="105"/>
      <c r="AN29" s="105"/>
      <c r="AO29" s="105"/>
      <c r="AP29" s="105"/>
      <c r="AS29" s="105"/>
      <c r="AT29" s="721"/>
      <c r="AW29" s="105"/>
      <c r="AX29" s="721"/>
    </row>
    <row r="30" spans="1:50" outlineLevel="1">
      <c r="A30" s="545">
        <f>MAX($A$10:A29)+1</f>
        <v>21</v>
      </c>
      <c r="B30" s="716" t="s">
        <v>1752</v>
      </c>
      <c r="C30" s="14" t="s">
        <v>1793</v>
      </c>
      <c r="D30" s="14" t="s">
        <v>1794</v>
      </c>
      <c r="E30" s="559">
        <v>303</v>
      </c>
      <c r="F30" s="103">
        <v>0</v>
      </c>
      <c r="G30" s="103">
        <f>+F30</f>
        <v>0</v>
      </c>
      <c r="I30" s="722">
        <v>221968.01196600002</v>
      </c>
      <c r="J30" s="103">
        <f t="shared" si="0"/>
        <v>221968.01196600002</v>
      </c>
      <c r="K30" s="717">
        <v>45992</v>
      </c>
      <c r="L30" s="6"/>
      <c r="M30"/>
      <c r="N30"/>
      <c r="O30" s="105"/>
      <c r="P30" s="105"/>
      <c r="Q30" s="721"/>
      <c r="R30" s="721"/>
      <c r="S30" s="721"/>
      <c r="T30" s="721"/>
      <c r="U30" s="721"/>
      <c r="V30" s="721"/>
      <c r="W30" s="721"/>
      <c r="X30" s="721"/>
      <c r="Y30" s="721"/>
      <c r="Z30" s="721"/>
      <c r="AA30" s="721"/>
      <c r="AB30" s="721"/>
      <c r="AC30" s="721"/>
      <c r="AD30" s="721"/>
      <c r="AF30" s="720"/>
      <c r="AI30" s="105"/>
      <c r="AJ30" s="105"/>
      <c r="AN30" s="105"/>
      <c r="AO30" s="105"/>
      <c r="AP30" s="105"/>
      <c r="AS30" s="105"/>
      <c r="AT30" s="721"/>
      <c r="AW30" s="105"/>
      <c r="AX30" s="721"/>
    </row>
    <row r="31" spans="1:50" outlineLevel="1">
      <c r="A31" s="545">
        <f>MAX($A$10:A30)+1</f>
        <v>22</v>
      </c>
      <c r="B31" s="729"/>
      <c r="C31" s="729"/>
      <c r="D31" s="730" t="s">
        <v>1795</v>
      </c>
      <c r="E31" s="560"/>
      <c r="F31" s="495">
        <f>SUM(F10:F30)</f>
        <v>9006672.1762900017</v>
      </c>
      <c r="G31" s="495">
        <f>SUM(G10:G30)</f>
        <v>9006672.1762900017</v>
      </c>
      <c r="H31" s="495"/>
      <c r="I31" s="713">
        <f>SUM(I10:I30)</f>
        <v>10841022.621869002</v>
      </c>
      <c r="J31" s="495">
        <f>SUM(J10:J30)</f>
        <v>10841022.621869002</v>
      </c>
      <c r="K31" s="495"/>
      <c r="L31" s="507">
        <f>SUM(L10:L30)</f>
        <v>467500</v>
      </c>
      <c r="M31"/>
      <c r="N31"/>
      <c r="O31" s="105"/>
      <c r="P31" s="105"/>
      <c r="Q31" s="722"/>
      <c r="R31" s="721"/>
      <c r="S31" s="721"/>
      <c r="T31" s="721"/>
      <c r="U31" s="721"/>
      <c r="V31" s="721"/>
      <c r="W31" s="721"/>
      <c r="X31" s="721"/>
      <c r="Y31" s="721"/>
      <c r="Z31" s="721"/>
      <c r="AA31" s="721"/>
      <c r="AB31" s="721"/>
      <c r="AC31" s="721"/>
      <c r="AD31" s="721"/>
      <c r="AI31" s="105"/>
      <c r="AJ31" s="105"/>
      <c r="AN31" s="105"/>
      <c r="AO31" s="105"/>
      <c r="AP31" s="105"/>
      <c r="AS31" s="105"/>
      <c r="AT31" s="721"/>
      <c r="AW31" s="105"/>
      <c r="AX31" s="721"/>
    </row>
    <row r="32" spans="1:50" outlineLevel="1">
      <c r="A32" s="545">
        <f>MAX($A$10:A31)+1</f>
        <v>23</v>
      </c>
      <c r="B32" s="731"/>
      <c r="C32" s="731"/>
      <c r="D32" s="732"/>
      <c r="E32" s="561"/>
      <c r="F32" s="103"/>
      <c r="G32" s="103"/>
      <c r="H32" s="103"/>
      <c r="I32" s="711"/>
      <c r="J32" s="103"/>
      <c r="K32" s="103"/>
      <c r="L32" s="103"/>
      <c r="M32"/>
      <c r="N32"/>
      <c r="O32" s="105"/>
      <c r="P32" s="105"/>
      <c r="Q32" s="722"/>
      <c r="R32" s="721"/>
      <c r="S32" s="721"/>
      <c r="T32" s="721"/>
      <c r="U32" s="721"/>
      <c r="V32" s="721"/>
      <c r="W32" s="721"/>
      <c r="X32" s="721"/>
      <c r="Y32" s="721"/>
      <c r="Z32" s="721"/>
      <c r="AA32" s="721"/>
      <c r="AB32" s="721"/>
      <c r="AC32" s="721"/>
      <c r="AD32" s="721"/>
      <c r="AI32" s="105"/>
      <c r="AJ32" s="105"/>
      <c r="AN32" s="105"/>
      <c r="AO32" s="105"/>
      <c r="AP32" s="105"/>
      <c r="AS32" s="105"/>
      <c r="AT32" s="721"/>
      <c r="AW32" s="105"/>
      <c r="AX32" s="721"/>
    </row>
    <row r="33" spans="1:51" outlineLevel="1">
      <c r="A33" s="545">
        <f>MAX($A$10:A32)+1</f>
        <v>24</v>
      </c>
      <c r="B33" s="716" t="s">
        <v>1752</v>
      </c>
      <c r="C33" s="105" t="s">
        <v>1796</v>
      </c>
      <c r="D33" s="105" t="s">
        <v>1797</v>
      </c>
      <c r="E33" s="559">
        <v>333</v>
      </c>
      <c r="G33" s="103"/>
      <c r="I33" s="722">
        <v>17454194.260000002</v>
      </c>
      <c r="J33" s="103">
        <f>+I33</f>
        <v>17454194.260000002</v>
      </c>
      <c r="K33" s="717">
        <v>45823</v>
      </c>
      <c r="M33"/>
      <c r="N33"/>
      <c r="P33" s="728"/>
      <c r="R33" s="721"/>
      <c r="S33" s="721"/>
      <c r="T33" s="721"/>
      <c r="U33" s="721"/>
      <c r="V33" s="721"/>
      <c r="W33" s="721"/>
      <c r="X33" s="721"/>
      <c r="Y33" s="721"/>
      <c r="Z33" s="721"/>
      <c r="AA33" s="721"/>
      <c r="AB33" s="721"/>
      <c r="AC33" s="721"/>
      <c r="AD33" s="721"/>
      <c r="AF33" s="720"/>
      <c r="AI33" s="105"/>
      <c r="AJ33" s="105"/>
      <c r="AL33" s="2"/>
      <c r="AN33" s="105"/>
      <c r="AO33" s="105"/>
      <c r="AP33" s="105"/>
      <c r="AS33" s="105"/>
      <c r="AT33" s="721"/>
      <c r="AW33" s="105"/>
      <c r="AX33" s="721"/>
    </row>
    <row r="34" spans="1:51" outlineLevel="1">
      <c r="A34" s="545">
        <f>MAX($A$10:A33)+1</f>
        <v>25</v>
      </c>
      <c r="B34" s="729"/>
      <c r="C34" s="729"/>
      <c r="D34" s="730" t="s">
        <v>1798</v>
      </c>
      <c r="E34" s="560"/>
      <c r="F34" s="495">
        <f>F33</f>
        <v>0</v>
      </c>
      <c r="G34" s="495">
        <f>G33</f>
        <v>0</v>
      </c>
      <c r="H34" s="495"/>
      <c r="I34" s="713">
        <f>I33</f>
        <v>17454194.260000002</v>
      </c>
      <c r="J34" s="495">
        <f>J33</f>
        <v>17454194.260000002</v>
      </c>
      <c r="K34" s="495"/>
      <c r="L34" s="495">
        <f>L33</f>
        <v>0</v>
      </c>
      <c r="M34"/>
      <c r="N34"/>
      <c r="O34" s="105"/>
      <c r="P34" s="105"/>
      <c r="Q34" s="722"/>
      <c r="R34" s="721"/>
      <c r="S34" s="721"/>
      <c r="T34" s="721"/>
      <c r="U34" s="721"/>
      <c r="V34" s="721"/>
      <c r="W34" s="721"/>
      <c r="X34" s="721"/>
      <c r="Y34" s="721"/>
      <c r="Z34" s="721"/>
      <c r="AA34" s="721"/>
      <c r="AB34" s="721"/>
      <c r="AC34" s="721"/>
      <c r="AD34" s="721"/>
      <c r="AI34" s="105"/>
      <c r="AJ34" s="105"/>
      <c r="AN34" s="105"/>
      <c r="AO34" s="105"/>
      <c r="AP34" s="105"/>
      <c r="AS34" s="105"/>
      <c r="AT34" s="721"/>
      <c r="AW34" s="105"/>
      <c r="AX34" s="721"/>
    </row>
    <row r="35" spans="1:51" outlineLevel="1">
      <c r="A35" s="545">
        <f>MAX($A$10:A34)+1</f>
        <v>26</v>
      </c>
      <c r="B35" s="731"/>
      <c r="C35" s="731"/>
      <c r="D35" s="731"/>
      <c r="E35" s="561"/>
      <c r="F35" s="103"/>
      <c r="G35" s="103"/>
      <c r="H35" s="103"/>
      <c r="I35" s="733"/>
      <c r="J35" s="103"/>
      <c r="K35" s="103"/>
      <c r="L35" s="103"/>
      <c r="M35"/>
      <c r="N35"/>
      <c r="O35" s="105"/>
      <c r="P35" s="105"/>
      <c r="Q35" s="721"/>
      <c r="R35" s="721"/>
      <c r="S35" s="721"/>
      <c r="T35" s="721"/>
      <c r="U35" s="721"/>
      <c r="V35" s="721"/>
      <c r="W35" s="721"/>
      <c r="X35" s="721"/>
      <c r="Y35" s="721"/>
      <c r="Z35" s="721"/>
      <c r="AA35" s="721"/>
      <c r="AB35" s="721"/>
      <c r="AC35" s="721"/>
      <c r="AD35" s="721"/>
      <c r="AI35" s="105"/>
      <c r="AJ35" s="105"/>
      <c r="AN35" s="105"/>
      <c r="AO35" s="105"/>
      <c r="AP35" s="105"/>
      <c r="AS35" s="105"/>
      <c r="AT35" s="721"/>
      <c r="AW35" s="105"/>
      <c r="AX35" s="721"/>
    </row>
    <row r="36" spans="1:51" outlineLevel="1">
      <c r="A36" s="545">
        <f>MAX($A$10:A35)+1</f>
        <v>27</v>
      </c>
      <c r="B36" s="716" t="s">
        <v>1799</v>
      </c>
      <c r="C36" s="716" t="s">
        <v>1800</v>
      </c>
      <c r="D36" s="731" t="s">
        <v>1801</v>
      </c>
      <c r="E36" s="559">
        <v>378</v>
      </c>
      <c r="F36" s="103">
        <v>242320</v>
      </c>
      <c r="G36" s="103">
        <f t="shared" ref="G36:G67" si="2">+F36</f>
        <v>242320</v>
      </c>
      <c r="H36" s="575">
        <v>45657</v>
      </c>
      <c r="I36" s="733">
        <v>725580</v>
      </c>
      <c r="J36" s="103">
        <f t="shared" ref="J36:J41" si="3">+I36</f>
        <v>725580</v>
      </c>
      <c r="K36" s="575">
        <v>46022</v>
      </c>
      <c r="M36"/>
      <c r="N36"/>
      <c r="O36" s="105"/>
      <c r="P36" s="105"/>
      <c r="Q36" s="722"/>
      <c r="R36" s="721"/>
      <c r="S36" s="721"/>
      <c r="T36" s="721"/>
      <c r="U36" s="721"/>
      <c r="V36" s="721"/>
      <c r="W36" s="721"/>
      <c r="X36" s="721"/>
      <c r="Y36" s="721"/>
      <c r="Z36" s="721"/>
      <c r="AA36" s="721"/>
      <c r="AB36" s="721"/>
      <c r="AC36" s="721"/>
      <c r="AD36" s="721"/>
      <c r="AI36" s="105"/>
      <c r="AJ36" s="105"/>
      <c r="AN36" s="105"/>
      <c r="AO36" s="105"/>
      <c r="AP36" s="105"/>
      <c r="AS36" s="105"/>
      <c r="AT36" s="721"/>
      <c r="AW36" s="105"/>
      <c r="AX36" s="721"/>
    </row>
    <row r="37" spans="1:51" outlineLevel="1">
      <c r="A37" s="545">
        <f>MAX($A$10:A36)+1</f>
        <v>28</v>
      </c>
      <c r="B37" s="716" t="s">
        <v>1799</v>
      </c>
      <c r="C37" s="716" t="s">
        <v>1802</v>
      </c>
      <c r="D37" s="731" t="s">
        <v>1803</v>
      </c>
      <c r="E37" s="559">
        <v>378</v>
      </c>
      <c r="F37" s="103">
        <v>498617.42</v>
      </c>
      <c r="G37" s="103">
        <f t="shared" si="2"/>
        <v>498617.42</v>
      </c>
      <c r="H37" s="575">
        <v>45657</v>
      </c>
      <c r="I37" s="733">
        <v>460976.94</v>
      </c>
      <c r="J37" s="103">
        <f t="shared" si="3"/>
        <v>460976.94</v>
      </c>
      <c r="K37" s="575">
        <v>46022</v>
      </c>
      <c r="M37"/>
      <c r="N37"/>
      <c r="O37" s="105"/>
      <c r="P37" s="105"/>
      <c r="Q37" s="722"/>
      <c r="R37" s="721"/>
      <c r="S37" s="721"/>
      <c r="T37" s="721"/>
      <c r="U37" s="721"/>
      <c r="V37" s="721"/>
      <c r="W37" s="721"/>
      <c r="X37" s="721"/>
      <c r="Y37" s="721"/>
      <c r="Z37" s="721"/>
      <c r="AA37" s="721"/>
      <c r="AB37" s="721"/>
      <c r="AC37" s="721"/>
      <c r="AD37" s="721"/>
      <c r="AF37" s="720"/>
      <c r="AI37" s="105"/>
      <c r="AJ37" s="105"/>
      <c r="AN37" s="105"/>
      <c r="AO37" s="105"/>
      <c r="AP37" s="105"/>
      <c r="AS37" s="105"/>
      <c r="AT37" s="721"/>
      <c r="AW37" s="105"/>
      <c r="AX37" s="721"/>
    </row>
    <row r="38" spans="1:51" outlineLevel="1">
      <c r="A38" s="545">
        <f>MAX($A$10:A37)+1</f>
        <v>29</v>
      </c>
      <c r="B38" s="716" t="s">
        <v>1799</v>
      </c>
      <c r="C38" s="716" t="s">
        <v>1804</v>
      </c>
      <c r="D38" s="716" t="s">
        <v>1805</v>
      </c>
      <c r="E38" s="559">
        <v>381</v>
      </c>
      <c r="F38" s="103">
        <v>5937987.0246250005</v>
      </c>
      <c r="G38" s="103">
        <f t="shared" si="2"/>
        <v>5937987.0246250005</v>
      </c>
      <c r="H38" s="575">
        <v>45657</v>
      </c>
      <c r="I38" s="718">
        <v>6106833.2000000002</v>
      </c>
      <c r="J38" s="103">
        <f t="shared" si="3"/>
        <v>6106833.2000000002</v>
      </c>
      <c r="K38" s="575">
        <v>46022</v>
      </c>
      <c r="M38"/>
      <c r="N38"/>
      <c r="O38" s="105"/>
      <c r="P38" s="105"/>
      <c r="Q38" s="722"/>
      <c r="R38" s="721"/>
      <c r="S38" s="721"/>
      <c r="T38" s="721"/>
      <c r="U38" s="721"/>
      <c r="V38" s="721"/>
      <c r="W38" s="721"/>
      <c r="X38" s="721"/>
      <c r="Y38" s="721"/>
      <c r="Z38" s="721"/>
      <c r="AA38" s="721"/>
      <c r="AB38" s="721"/>
      <c r="AC38" s="721"/>
      <c r="AD38" s="721"/>
      <c r="AF38" s="720"/>
      <c r="AI38" s="105"/>
      <c r="AJ38" s="105"/>
      <c r="AN38" s="105"/>
      <c r="AO38" s="105"/>
      <c r="AP38" s="105"/>
    </row>
    <row r="39" spans="1:51" outlineLevel="1">
      <c r="A39" s="545">
        <f>MAX($A$10:A38)+1</f>
        <v>30</v>
      </c>
      <c r="B39" s="716" t="s">
        <v>1799</v>
      </c>
      <c r="C39" s="716" t="s">
        <v>1806</v>
      </c>
      <c r="D39" s="716" t="s">
        <v>1807</v>
      </c>
      <c r="E39" s="559">
        <v>383</v>
      </c>
      <c r="F39" s="103">
        <v>547264.69999999995</v>
      </c>
      <c r="G39" s="103">
        <f t="shared" si="2"/>
        <v>547264.69999999995</v>
      </c>
      <c r="H39" s="575">
        <v>45657</v>
      </c>
      <c r="I39" s="718">
        <v>562922.22</v>
      </c>
      <c r="J39" s="103">
        <f t="shared" si="3"/>
        <v>562922.22</v>
      </c>
      <c r="K39" s="575">
        <v>46022</v>
      </c>
      <c r="M39"/>
      <c r="N39"/>
      <c r="O39" s="105"/>
      <c r="P39" s="105"/>
      <c r="Q39" s="722"/>
      <c r="R39" s="721"/>
      <c r="S39" s="721"/>
      <c r="T39" s="721"/>
      <c r="U39" s="721"/>
      <c r="V39" s="721"/>
      <c r="W39" s="721"/>
      <c r="X39" s="721"/>
      <c r="Y39" s="721"/>
      <c r="Z39" s="721"/>
      <c r="AA39" s="721"/>
      <c r="AB39" s="721"/>
      <c r="AC39" s="721"/>
      <c r="AD39" s="721"/>
      <c r="AE39" s="716"/>
      <c r="AF39" s="720"/>
      <c r="AI39" s="105"/>
      <c r="AJ39" s="105"/>
      <c r="AN39" s="105"/>
      <c r="AO39" s="105"/>
      <c r="AP39" s="105"/>
      <c r="AS39" s="105"/>
      <c r="AU39" s="106"/>
      <c r="AW39" s="105"/>
      <c r="AY39" s="106"/>
    </row>
    <row r="40" spans="1:51" outlineLevel="1">
      <c r="A40" s="545">
        <f>MAX($A$10:A39)+1</f>
        <v>31</v>
      </c>
      <c r="B40" s="716" t="s">
        <v>1799</v>
      </c>
      <c r="C40" s="716" t="s">
        <v>1808</v>
      </c>
      <c r="D40" s="716" t="s">
        <v>1809</v>
      </c>
      <c r="E40" s="559">
        <v>376.1</v>
      </c>
      <c r="F40" s="103">
        <v>602782.14</v>
      </c>
      <c r="G40" s="103">
        <f t="shared" si="2"/>
        <v>602782.14</v>
      </c>
      <c r="H40" s="575">
        <v>45657</v>
      </c>
      <c r="I40" s="718">
        <v>576860.29</v>
      </c>
      <c r="J40" s="103">
        <f t="shared" si="3"/>
        <v>576860.29</v>
      </c>
      <c r="K40" s="575">
        <v>46022</v>
      </c>
      <c r="M40"/>
      <c r="N40"/>
      <c r="O40" s="105"/>
      <c r="P40" s="105"/>
      <c r="Q40" s="722"/>
      <c r="R40" s="721"/>
      <c r="S40" s="721"/>
      <c r="T40" s="721"/>
      <c r="U40" s="721"/>
      <c r="V40" s="721"/>
      <c r="W40" s="721"/>
      <c r="X40" s="721"/>
      <c r="Y40" s="721"/>
      <c r="Z40" s="721"/>
      <c r="AA40" s="721"/>
      <c r="AB40" s="721"/>
      <c r="AC40" s="721"/>
      <c r="AD40" s="721"/>
      <c r="AF40" s="720"/>
      <c r="AI40" s="105"/>
      <c r="AJ40" s="105"/>
      <c r="AK40" s="105"/>
      <c r="AN40" s="105"/>
      <c r="AO40" s="105"/>
      <c r="AP40" s="105"/>
      <c r="AW40" s="105"/>
      <c r="AY40" s="106"/>
    </row>
    <row r="41" spans="1:51" outlineLevel="1">
      <c r="A41" s="545">
        <f>MAX($A$10:A40)+1</f>
        <v>32</v>
      </c>
      <c r="B41" s="716" t="s">
        <v>1799</v>
      </c>
      <c r="C41" s="716" t="s">
        <v>1810</v>
      </c>
      <c r="D41" s="716" t="s">
        <v>1811</v>
      </c>
      <c r="E41" s="559">
        <v>376.2</v>
      </c>
      <c r="F41" s="103">
        <v>0</v>
      </c>
      <c r="G41" s="103">
        <f t="shared" si="2"/>
        <v>0</v>
      </c>
      <c r="I41" s="718">
        <v>5827349.1699999999</v>
      </c>
      <c r="J41" s="103">
        <f t="shared" si="3"/>
        <v>5827349.1699999999</v>
      </c>
      <c r="K41" s="717">
        <v>45961</v>
      </c>
      <c r="M41"/>
      <c r="N41"/>
      <c r="O41" s="105"/>
      <c r="P41" s="105"/>
      <c r="Q41" s="722"/>
      <c r="R41" s="721"/>
      <c r="S41" s="721"/>
      <c r="T41" s="721"/>
      <c r="U41" s="721"/>
      <c r="V41" s="721"/>
      <c r="W41" s="721"/>
      <c r="X41" s="721"/>
      <c r="Y41" s="721"/>
      <c r="Z41" s="721"/>
      <c r="AA41" s="721"/>
      <c r="AB41" s="721"/>
      <c r="AC41" s="721"/>
      <c r="AD41" s="721"/>
      <c r="AF41" s="720"/>
      <c r="AI41" s="105"/>
      <c r="AJ41" s="105"/>
      <c r="AK41" s="105"/>
      <c r="AN41" s="105"/>
      <c r="AO41" s="105"/>
      <c r="AP41" s="105"/>
      <c r="AW41" s="105"/>
      <c r="AY41" s="106"/>
    </row>
    <row r="42" spans="1:51" outlineLevel="1">
      <c r="A42" s="545">
        <f>MAX($A$10:A41)+1</f>
        <v>33</v>
      </c>
      <c r="B42" s="716" t="s">
        <v>1799</v>
      </c>
      <c r="C42" s="716" t="s">
        <v>1812</v>
      </c>
      <c r="D42" s="716" t="s">
        <v>1813</v>
      </c>
      <c r="E42" s="559">
        <v>376.2</v>
      </c>
      <c r="F42" s="103">
        <v>2430742.7749890001</v>
      </c>
      <c r="G42" s="103">
        <f t="shared" si="2"/>
        <v>2430742.7749890001</v>
      </c>
      <c r="H42" s="575">
        <v>45342</v>
      </c>
      <c r="I42" s="718"/>
      <c r="J42" s="103"/>
      <c r="K42" s="717"/>
      <c r="M42"/>
      <c r="N42"/>
      <c r="O42" s="105"/>
      <c r="P42" s="105"/>
      <c r="Q42" s="722"/>
      <c r="R42" s="721"/>
      <c r="S42" s="721"/>
      <c r="T42" s="721"/>
      <c r="U42" s="721"/>
      <c r="V42" s="721"/>
      <c r="W42" s="721"/>
      <c r="X42" s="721"/>
      <c r="Y42" s="721"/>
      <c r="Z42" s="721"/>
      <c r="AA42" s="721"/>
      <c r="AB42" s="721"/>
      <c r="AC42" s="721"/>
      <c r="AD42" s="721"/>
      <c r="AF42" s="720"/>
      <c r="AI42" s="105"/>
      <c r="AJ42" s="105"/>
      <c r="AK42" s="105"/>
      <c r="AN42" s="105"/>
      <c r="AO42" s="105"/>
      <c r="AP42" s="105"/>
      <c r="AW42" s="105"/>
      <c r="AY42" s="106"/>
    </row>
    <row r="43" spans="1:51" outlineLevel="1">
      <c r="A43" s="545">
        <f>MAX($A$10:A42)+1</f>
        <v>34</v>
      </c>
      <c r="B43" s="716" t="s">
        <v>1799</v>
      </c>
      <c r="C43" s="716" t="s">
        <v>1814</v>
      </c>
      <c r="D43" s="716" t="s">
        <v>1815</v>
      </c>
      <c r="E43" s="559">
        <v>376.2</v>
      </c>
      <c r="F43" s="103">
        <v>427000</v>
      </c>
      <c r="G43" s="103">
        <f t="shared" si="2"/>
        <v>427000</v>
      </c>
      <c r="H43" s="575">
        <v>45443</v>
      </c>
      <c r="I43" s="718"/>
      <c r="J43" s="103"/>
      <c r="K43" s="717"/>
      <c r="M43"/>
      <c r="N43"/>
      <c r="O43" s="105"/>
      <c r="P43" s="105"/>
      <c r="Q43" s="722"/>
      <c r="R43" s="721"/>
      <c r="S43" s="721"/>
      <c r="T43" s="721"/>
      <c r="U43" s="721"/>
      <c r="V43" s="721"/>
      <c r="W43" s="721"/>
      <c r="X43" s="721"/>
      <c r="Y43" s="721"/>
      <c r="Z43" s="721"/>
      <c r="AA43" s="721"/>
      <c r="AB43" s="721"/>
      <c r="AC43" s="721"/>
      <c r="AD43" s="721"/>
      <c r="AF43" s="720"/>
      <c r="AI43" s="105"/>
      <c r="AJ43" s="105"/>
      <c r="AK43" s="105"/>
      <c r="AN43" s="105"/>
      <c r="AO43" s="105"/>
      <c r="AP43" s="105"/>
      <c r="AW43" s="105"/>
      <c r="AY43" s="106"/>
    </row>
    <row r="44" spans="1:51" outlineLevel="1">
      <c r="A44" s="545">
        <f>MAX($A$10:A43)+1</f>
        <v>35</v>
      </c>
      <c r="B44" s="716" t="s">
        <v>1799</v>
      </c>
      <c r="C44" s="716" t="s">
        <v>1816</v>
      </c>
      <c r="D44" s="716" t="s">
        <v>1817</v>
      </c>
      <c r="E44" s="559">
        <v>376.2</v>
      </c>
      <c r="F44" s="103">
        <v>0</v>
      </c>
      <c r="G44" s="103">
        <f t="shared" si="2"/>
        <v>0</v>
      </c>
      <c r="H44" s="717">
        <v>0</v>
      </c>
      <c r="I44" s="718">
        <v>1191031.1399999999</v>
      </c>
      <c r="J44" s="103">
        <f>+I44</f>
        <v>1191031.1399999999</v>
      </c>
      <c r="K44" s="575">
        <v>45961</v>
      </c>
      <c r="M44"/>
      <c r="N44"/>
      <c r="O44" s="105"/>
      <c r="P44" s="105"/>
      <c r="Q44" s="722"/>
      <c r="R44" s="721"/>
      <c r="S44" s="721"/>
      <c r="T44" s="721"/>
      <c r="U44" s="721"/>
      <c r="V44" s="721"/>
      <c r="W44" s="721"/>
      <c r="X44" s="721"/>
      <c r="Y44" s="721"/>
      <c r="Z44" s="721"/>
      <c r="AA44" s="721"/>
      <c r="AB44" s="721"/>
      <c r="AC44" s="721"/>
      <c r="AD44" s="721"/>
      <c r="AF44" s="720"/>
      <c r="AI44" s="105"/>
      <c r="AJ44" s="105"/>
      <c r="AN44" s="105"/>
      <c r="AO44" s="105"/>
      <c r="AP44" s="105"/>
    </row>
    <row r="45" spans="1:51" outlineLevel="1">
      <c r="A45" s="545">
        <f>MAX($A$10:A44)+1</f>
        <v>36</v>
      </c>
      <c r="B45" s="716" t="s">
        <v>1799</v>
      </c>
      <c r="C45" s="716" t="s">
        <v>1818</v>
      </c>
      <c r="D45" s="716" t="s">
        <v>1819</v>
      </c>
      <c r="E45" s="559">
        <v>376.2</v>
      </c>
      <c r="F45" s="103">
        <v>3037182.6</v>
      </c>
      <c r="G45" s="103">
        <f t="shared" si="2"/>
        <v>3037182.6</v>
      </c>
      <c r="H45" s="717">
        <v>45566</v>
      </c>
      <c r="I45" s="718"/>
      <c r="J45" s="103">
        <f>+I45</f>
        <v>0</v>
      </c>
      <c r="K45" s="103"/>
      <c r="M45"/>
      <c r="N45"/>
      <c r="O45" s="105"/>
      <c r="R45" s="721"/>
      <c r="S45" s="721"/>
      <c r="T45" s="721"/>
      <c r="U45" s="721"/>
      <c r="V45" s="721"/>
      <c r="W45" s="721"/>
      <c r="X45" s="721"/>
      <c r="Y45" s="721"/>
      <c r="Z45" s="721"/>
      <c r="AA45" s="721"/>
      <c r="AB45" s="721"/>
      <c r="AC45" s="721"/>
      <c r="AD45" s="721"/>
      <c r="AF45" s="720"/>
      <c r="AI45" s="105"/>
      <c r="AJ45" s="105"/>
      <c r="AN45" s="105"/>
      <c r="AO45" s="105"/>
      <c r="AP45" s="105"/>
    </row>
    <row r="46" spans="1:51" outlineLevel="1">
      <c r="A46" s="545">
        <f>MAX($A$10:A45)+1</f>
        <v>37</v>
      </c>
      <c r="B46" s="716" t="s">
        <v>1799</v>
      </c>
      <c r="C46" s="716" t="s">
        <v>1820</v>
      </c>
      <c r="D46" s="716" t="s">
        <v>1821</v>
      </c>
      <c r="E46" s="559">
        <v>376.2</v>
      </c>
      <c r="F46" s="103">
        <v>750000</v>
      </c>
      <c r="G46" s="103">
        <f t="shared" si="2"/>
        <v>750000</v>
      </c>
      <c r="H46" s="717">
        <v>45535</v>
      </c>
      <c r="I46" s="718"/>
      <c r="J46" s="103"/>
      <c r="K46" s="103"/>
      <c r="M46"/>
      <c r="N46"/>
      <c r="O46" s="105"/>
      <c r="R46" s="721"/>
      <c r="S46" s="721"/>
      <c r="T46" s="721"/>
      <c r="U46" s="721"/>
      <c r="V46" s="721"/>
      <c r="W46" s="721"/>
      <c r="X46" s="721"/>
      <c r="Y46" s="721"/>
      <c r="Z46" s="721"/>
      <c r="AA46" s="721"/>
      <c r="AB46" s="721"/>
      <c r="AC46" s="721"/>
      <c r="AD46" s="721"/>
      <c r="AF46" s="720"/>
      <c r="AI46" s="105"/>
      <c r="AJ46" s="105"/>
      <c r="AN46" s="105"/>
      <c r="AO46" s="105"/>
      <c r="AP46" s="105"/>
    </row>
    <row r="47" spans="1:51" outlineLevel="1">
      <c r="A47" s="545">
        <f>MAX($A$10:A46)+1</f>
        <v>38</v>
      </c>
      <c r="B47" s="716" t="s">
        <v>1799</v>
      </c>
      <c r="C47" s="716" t="s">
        <v>1822</v>
      </c>
      <c r="D47" s="716" t="s">
        <v>1823</v>
      </c>
      <c r="E47" s="559">
        <v>376.3</v>
      </c>
      <c r="F47" s="103">
        <v>87598.680000000008</v>
      </c>
      <c r="G47" s="103">
        <f t="shared" si="2"/>
        <v>87598.680000000008</v>
      </c>
      <c r="H47" s="575">
        <v>45657</v>
      </c>
      <c r="I47" s="722">
        <v>90059.04</v>
      </c>
      <c r="J47" s="103">
        <f t="shared" ref="J47:J85" si="4">+I47</f>
        <v>90059.04</v>
      </c>
      <c r="K47" s="575">
        <v>46022</v>
      </c>
      <c r="M47"/>
      <c r="N47"/>
      <c r="O47" s="105"/>
      <c r="R47" s="721"/>
      <c r="S47" s="721"/>
      <c r="T47" s="721"/>
      <c r="U47" s="721"/>
      <c r="V47" s="721"/>
      <c r="W47" s="721"/>
      <c r="X47" s="721"/>
      <c r="Y47" s="721"/>
      <c r="Z47" s="721"/>
      <c r="AA47" s="721"/>
      <c r="AB47" s="721"/>
      <c r="AC47" s="721"/>
      <c r="AD47" s="721"/>
      <c r="AF47" s="720"/>
      <c r="AI47" s="105"/>
      <c r="AJ47" s="105"/>
      <c r="AN47" s="105"/>
      <c r="AO47" s="105"/>
      <c r="AP47" s="105"/>
      <c r="AS47" s="105"/>
    </row>
    <row r="48" spans="1:51" outlineLevel="1">
      <c r="A48" s="545">
        <f>MAX($A$10:A47)+1</f>
        <v>39</v>
      </c>
      <c r="B48" s="716" t="s">
        <v>1799</v>
      </c>
      <c r="C48" s="716" t="s">
        <v>1824</v>
      </c>
      <c r="D48" s="716" t="s">
        <v>1825</v>
      </c>
      <c r="E48" s="559">
        <v>376.3</v>
      </c>
      <c r="F48" s="103">
        <v>260834.37784400009</v>
      </c>
      <c r="G48" s="103">
        <f t="shared" si="2"/>
        <v>260834.37784400009</v>
      </c>
      <c r="H48" s="575">
        <v>45657</v>
      </c>
      <c r="I48" s="722">
        <v>224689.91446899995</v>
      </c>
      <c r="J48" s="103">
        <f t="shared" si="4"/>
        <v>224689.91446899995</v>
      </c>
      <c r="K48" s="575">
        <v>46022</v>
      </c>
      <c r="M48"/>
      <c r="N48"/>
      <c r="O48" s="105"/>
      <c r="R48" s="721"/>
      <c r="S48" s="721"/>
      <c r="T48" s="721"/>
      <c r="U48" s="721"/>
      <c r="V48" s="721"/>
      <c r="W48" s="721"/>
      <c r="X48" s="721"/>
      <c r="Y48" s="721"/>
      <c r="Z48" s="721"/>
      <c r="AA48" s="721"/>
      <c r="AB48" s="721"/>
      <c r="AC48" s="721"/>
      <c r="AD48" s="721"/>
      <c r="AF48" s="720"/>
      <c r="AI48" s="105"/>
      <c r="AJ48" s="105"/>
      <c r="AN48" s="105"/>
      <c r="AO48" s="105"/>
      <c r="AP48" s="105"/>
      <c r="AS48" s="105"/>
    </row>
    <row r="49" spans="1:45" outlineLevel="1">
      <c r="A49" s="545">
        <f>MAX($A$10:A48)+1</f>
        <v>40</v>
      </c>
      <c r="B49" s="716" t="s">
        <v>1799</v>
      </c>
      <c r="C49" s="716" t="s">
        <v>1826</v>
      </c>
      <c r="D49" s="716" t="s">
        <v>1827</v>
      </c>
      <c r="E49" s="559">
        <v>380.3</v>
      </c>
      <c r="F49" s="103">
        <v>432802.92000000016</v>
      </c>
      <c r="G49" s="103">
        <f t="shared" si="2"/>
        <v>432802.92000000016</v>
      </c>
      <c r="H49" s="575">
        <v>45657</v>
      </c>
      <c r="I49" s="722">
        <v>444940.08000000013</v>
      </c>
      <c r="J49" s="103">
        <f t="shared" si="4"/>
        <v>444940.08000000013</v>
      </c>
      <c r="K49" s="575">
        <v>46022</v>
      </c>
      <c r="M49"/>
      <c r="N49"/>
      <c r="O49" s="105"/>
      <c r="R49" s="721"/>
      <c r="S49" s="721"/>
      <c r="T49" s="721"/>
      <c r="U49" s="721"/>
      <c r="V49" s="721"/>
      <c r="W49" s="721"/>
      <c r="X49" s="721"/>
      <c r="Y49" s="721"/>
      <c r="Z49" s="721"/>
      <c r="AA49" s="721"/>
      <c r="AB49" s="721"/>
      <c r="AC49" s="721"/>
      <c r="AD49" s="721"/>
      <c r="AF49" s="720"/>
      <c r="AI49" s="105"/>
      <c r="AJ49" s="105"/>
      <c r="AK49" s="105"/>
      <c r="AN49" s="105"/>
      <c r="AO49" s="105"/>
      <c r="AP49" s="105"/>
      <c r="AS49" s="105"/>
    </row>
    <row r="50" spans="1:45" outlineLevel="1">
      <c r="A50" s="545">
        <f>MAX($A$10:A49)+1</f>
        <v>41</v>
      </c>
      <c r="B50" s="716" t="s">
        <v>1799</v>
      </c>
      <c r="C50" s="716" t="s">
        <v>1828</v>
      </c>
      <c r="D50" s="716" t="s">
        <v>1829</v>
      </c>
      <c r="E50" s="559">
        <v>380.3</v>
      </c>
      <c r="F50" s="103">
        <v>230492.44047400006</v>
      </c>
      <c r="G50" s="103">
        <f t="shared" si="2"/>
        <v>230492.44047400006</v>
      </c>
      <c r="H50" s="575">
        <v>45657</v>
      </c>
      <c r="I50" s="722">
        <v>178839.24196299998</v>
      </c>
      <c r="J50" s="103">
        <f t="shared" si="4"/>
        <v>178839.24196299998</v>
      </c>
      <c r="K50" s="575">
        <v>46022</v>
      </c>
      <c r="M50"/>
      <c r="N50"/>
      <c r="O50" s="105"/>
      <c r="R50" s="721"/>
      <c r="S50" s="721"/>
      <c r="T50" s="721"/>
      <c r="U50" s="721"/>
      <c r="V50" s="721"/>
      <c r="W50" s="721"/>
      <c r="X50" s="721"/>
      <c r="Y50" s="721"/>
      <c r="Z50" s="721"/>
      <c r="AA50" s="721"/>
      <c r="AB50" s="721"/>
      <c r="AC50" s="721"/>
      <c r="AD50" s="721"/>
      <c r="AF50" s="720"/>
      <c r="AI50" s="105"/>
      <c r="AJ50" s="105"/>
      <c r="AN50" s="105"/>
      <c r="AO50" s="105"/>
      <c r="AP50" s="105"/>
      <c r="AS50" s="105"/>
    </row>
    <row r="51" spans="1:45" outlineLevel="1">
      <c r="A51" s="545">
        <f>MAX($A$10:A50)+1</f>
        <v>42</v>
      </c>
      <c r="B51" s="716" t="s">
        <v>1799</v>
      </c>
      <c r="C51" s="716" t="s">
        <v>1830</v>
      </c>
      <c r="D51" s="716" t="s">
        <v>1831</v>
      </c>
      <c r="E51" s="559">
        <v>376.3</v>
      </c>
      <c r="F51" s="103">
        <v>14539.2</v>
      </c>
      <c r="G51" s="103">
        <f t="shared" si="2"/>
        <v>14539.2</v>
      </c>
      <c r="H51" s="575">
        <v>45657</v>
      </c>
      <c r="I51" s="722">
        <v>14511.600000000002</v>
      </c>
      <c r="J51" s="103">
        <f t="shared" si="4"/>
        <v>14511.600000000002</v>
      </c>
      <c r="K51" s="575">
        <v>46022</v>
      </c>
      <c r="M51"/>
      <c r="N51"/>
      <c r="O51" s="105"/>
      <c r="R51" s="721"/>
      <c r="S51" s="721"/>
      <c r="T51" s="721"/>
      <c r="U51" s="721"/>
      <c r="V51" s="721"/>
      <c r="W51" s="721"/>
      <c r="X51" s="721"/>
      <c r="Y51" s="721"/>
      <c r="Z51" s="721"/>
      <c r="AA51" s="721"/>
      <c r="AB51" s="721"/>
      <c r="AC51" s="721"/>
      <c r="AD51" s="721"/>
      <c r="AF51" s="720"/>
      <c r="AI51" s="105"/>
      <c r="AJ51" s="105"/>
      <c r="AN51" s="105"/>
      <c r="AO51" s="105"/>
      <c r="AP51" s="105"/>
      <c r="AS51" s="105"/>
    </row>
    <row r="52" spans="1:45" outlineLevel="1">
      <c r="A52" s="545">
        <f>MAX($A$10:A51)+1</f>
        <v>43</v>
      </c>
      <c r="B52" s="716" t="s">
        <v>1799</v>
      </c>
      <c r="C52" s="716" t="s">
        <v>1832</v>
      </c>
      <c r="D52" s="716" t="s">
        <v>1833</v>
      </c>
      <c r="E52" s="559">
        <v>376.3</v>
      </c>
      <c r="F52" s="103">
        <v>19699.351382000001</v>
      </c>
      <c r="G52" s="103">
        <f t="shared" si="2"/>
        <v>19699.351382000001</v>
      </c>
      <c r="H52" s="575">
        <v>45657</v>
      </c>
      <c r="I52" s="722">
        <v>18350.622632999999</v>
      </c>
      <c r="J52" s="103">
        <f t="shared" si="4"/>
        <v>18350.622632999999</v>
      </c>
      <c r="K52" s="575">
        <v>46022</v>
      </c>
      <c r="M52"/>
      <c r="N52"/>
      <c r="O52" s="105"/>
      <c r="R52" s="721"/>
      <c r="S52" s="721"/>
      <c r="T52" s="721"/>
      <c r="U52" s="721"/>
      <c r="V52" s="721"/>
      <c r="W52" s="721"/>
      <c r="X52" s="721"/>
      <c r="Y52" s="721"/>
      <c r="Z52" s="721"/>
      <c r="AA52" s="721"/>
      <c r="AB52" s="721"/>
      <c r="AC52" s="721"/>
      <c r="AD52" s="721"/>
      <c r="AF52" s="720"/>
      <c r="AI52" s="105"/>
      <c r="AJ52" s="105"/>
      <c r="AN52" s="105"/>
      <c r="AO52" s="105"/>
      <c r="AP52" s="105"/>
      <c r="AS52" s="105"/>
    </row>
    <row r="53" spans="1:45" outlineLevel="1">
      <c r="A53" s="545">
        <f>MAX($A$10:A52)+1</f>
        <v>44</v>
      </c>
      <c r="B53" s="716" t="s">
        <v>1799</v>
      </c>
      <c r="C53" s="716" t="s">
        <v>1834</v>
      </c>
      <c r="D53" s="716" t="s">
        <v>1835</v>
      </c>
      <c r="E53" s="559">
        <v>380.3</v>
      </c>
      <c r="F53" s="103">
        <v>54194.889999999992</v>
      </c>
      <c r="G53" s="103">
        <f t="shared" si="2"/>
        <v>54194.889999999992</v>
      </c>
      <c r="H53" s="575">
        <v>45657</v>
      </c>
      <c r="I53" s="722">
        <v>58743</v>
      </c>
      <c r="J53" s="103">
        <f t="shared" si="4"/>
        <v>58743</v>
      </c>
      <c r="K53" s="575">
        <v>46022</v>
      </c>
      <c r="M53"/>
      <c r="N53"/>
      <c r="O53" s="105"/>
      <c r="R53" s="721"/>
      <c r="S53" s="721"/>
      <c r="T53" s="721"/>
      <c r="U53" s="721"/>
      <c r="V53" s="721"/>
      <c r="W53" s="721"/>
      <c r="X53" s="721"/>
      <c r="Y53" s="721"/>
      <c r="Z53" s="721"/>
      <c r="AA53" s="721"/>
      <c r="AB53" s="721"/>
      <c r="AC53" s="721"/>
      <c r="AD53" s="721"/>
      <c r="AF53" s="720"/>
      <c r="AI53" s="105"/>
      <c r="AJ53" s="105"/>
      <c r="AN53" s="105"/>
      <c r="AO53" s="105"/>
      <c r="AP53" s="105"/>
      <c r="AS53" s="105"/>
    </row>
    <row r="54" spans="1:45" outlineLevel="1">
      <c r="A54" s="545">
        <f>MAX($A$10:A53)+1</f>
        <v>45</v>
      </c>
      <c r="B54" s="716" t="s">
        <v>1799</v>
      </c>
      <c r="C54" s="716" t="s">
        <v>1836</v>
      </c>
      <c r="D54" s="716" t="s">
        <v>1837</v>
      </c>
      <c r="E54" s="559">
        <v>380.3</v>
      </c>
      <c r="F54" s="103">
        <v>64673.637801999997</v>
      </c>
      <c r="G54" s="103">
        <f t="shared" si="2"/>
        <v>64673.637801999997</v>
      </c>
      <c r="H54" s="575">
        <v>45657</v>
      </c>
      <c r="I54" s="722">
        <v>52841.280960999982</v>
      </c>
      <c r="J54" s="103">
        <f t="shared" si="4"/>
        <v>52841.280960999982</v>
      </c>
      <c r="K54" s="575">
        <v>46022</v>
      </c>
      <c r="M54"/>
      <c r="N54"/>
      <c r="O54" s="105"/>
      <c r="R54" s="721"/>
      <c r="S54" s="721"/>
      <c r="T54" s="721"/>
      <c r="U54" s="721"/>
      <c r="V54" s="721"/>
      <c r="W54" s="721"/>
      <c r="X54" s="721"/>
      <c r="Y54" s="721"/>
      <c r="Z54" s="721"/>
      <c r="AA54" s="721"/>
      <c r="AB54" s="721"/>
      <c r="AC54" s="721"/>
      <c r="AD54" s="721"/>
      <c r="AF54" s="720"/>
      <c r="AI54" s="105"/>
      <c r="AJ54" s="105"/>
      <c r="AN54" s="105"/>
      <c r="AO54" s="105"/>
      <c r="AP54" s="105"/>
      <c r="AS54" s="105"/>
    </row>
    <row r="55" spans="1:45" outlineLevel="1">
      <c r="A55" s="545">
        <f>MAX($A$10:A54)+1</f>
        <v>46</v>
      </c>
      <c r="B55" s="716" t="s">
        <v>1799</v>
      </c>
      <c r="C55" s="716" t="s">
        <v>1838</v>
      </c>
      <c r="D55" s="716" t="s">
        <v>1839</v>
      </c>
      <c r="E55" s="559">
        <v>376.3</v>
      </c>
      <c r="F55" s="103">
        <v>102137.88000000002</v>
      </c>
      <c r="G55" s="103">
        <f t="shared" si="2"/>
        <v>102137.88000000002</v>
      </c>
      <c r="H55" s="575">
        <v>45657</v>
      </c>
      <c r="I55" s="722">
        <v>104991.36</v>
      </c>
      <c r="J55" s="103">
        <f t="shared" si="4"/>
        <v>104991.36</v>
      </c>
      <c r="K55" s="575">
        <v>46022</v>
      </c>
      <c r="M55"/>
      <c r="N55"/>
      <c r="O55" s="105"/>
      <c r="R55" s="721"/>
      <c r="S55" s="721"/>
      <c r="T55" s="721"/>
      <c r="U55" s="721"/>
      <c r="V55" s="721"/>
      <c r="W55" s="721"/>
      <c r="X55" s="721"/>
      <c r="Y55" s="721"/>
      <c r="Z55" s="721"/>
      <c r="AA55" s="721"/>
      <c r="AB55" s="721"/>
      <c r="AC55" s="721"/>
      <c r="AD55" s="721"/>
      <c r="AF55" s="720"/>
      <c r="AI55" s="105"/>
      <c r="AJ55" s="105"/>
      <c r="AN55" s="105"/>
      <c r="AO55" s="105"/>
      <c r="AP55" s="105"/>
      <c r="AS55" s="105"/>
    </row>
    <row r="56" spans="1:45" outlineLevel="1">
      <c r="A56" s="545">
        <f>MAX($A$10:A55)+1</f>
        <v>47</v>
      </c>
      <c r="B56" s="716" t="s">
        <v>1799</v>
      </c>
      <c r="C56" s="716" t="s">
        <v>1840</v>
      </c>
      <c r="D56" s="716" t="s">
        <v>1841</v>
      </c>
      <c r="E56" s="559">
        <v>376.3</v>
      </c>
      <c r="F56" s="103">
        <v>183118.15119299997</v>
      </c>
      <c r="G56" s="103">
        <f t="shared" si="2"/>
        <v>183118.15119299997</v>
      </c>
      <c r="H56" s="575">
        <v>45657</v>
      </c>
      <c r="I56" s="722">
        <v>188332.45476299999</v>
      </c>
      <c r="J56" s="103">
        <f t="shared" si="4"/>
        <v>188332.45476299999</v>
      </c>
      <c r="K56" s="575">
        <v>46022</v>
      </c>
      <c r="M56"/>
      <c r="N56"/>
      <c r="O56" s="105"/>
      <c r="R56" s="721"/>
      <c r="S56" s="721"/>
      <c r="T56" s="721"/>
      <c r="U56" s="721"/>
      <c r="V56" s="721"/>
      <c r="W56" s="721"/>
      <c r="X56" s="721"/>
      <c r="Y56" s="721"/>
      <c r="Z56" s="721"/>
      <c r="AA56" s="721"/>
      <c r="AB56" s="721"/>
      <c r="AC56" s="721"/>
      <c r="AD56" s="721"/>
      <c r="AF56" s="720"/>
      <c r="AI56" s="105"/>
      <c r="AJ56" s="105"/>
      <c r="AN56" s="105"/>
      <c r="AO56" s="105"/>
      <c r="AP56" s="105"/>
      <c r="AS56" s="105"/>
    </row>
    <row r="57" spans="1:45" outlineLevel="1">
      <c r="A57" s="545">
        <f>MAX($A$10:A56)+1</f>
        <v>48</v>
      </c>
      <c r="B57" s="716" t="s">
        <v>1799</v>
      </c>
      <c r="C57" s="716" t="s">
        <v>1842</v>
      </c>
      <c r="D57" s="716" t="s">
        <v>1843</v>
      </c>
      <c r="E57" s="559">
        <v>380.3</v>
      </c>
      <c r="F57" s="103">
        <v>674851.56</v>
      </c>
      <c r="G57" s="103">
        <f t="shared" si="2"/>
        <v>674851.56</v>
      </c>
      <c r="H57" s="575">
        <v>45657</v>
      </c>
      <c r="I57" s="722">
        <v>693785.04</v>
      </c>
      <c r="J57" s="103">
        <f t="shared" si="4"/>
        <v>693785.04</v>
      </c>
      <c r="K57" s="575">
        <v>46022</v>
      </c>
      <c r="M57"/>
      <c r="N57"/>
      <c r="O57" s="720"/>
      <c r="R57" s="721"/>
      <c r="S57" s="721"/>
      <c r="T57" s="721"/>
      <c r="U57" s="721"/>
      <c r="V57" s="721"/>
      <c r="W57" s="721"/>
      <c r="X57" s="721"/>
      <c r="Y57" s="721"/>
      <c r="Z57" s="721"/>
      <c r="AA57" s="721"/>
      <c r="AB57" s="721"/>
      <c r="AC57" s="721"/>
      <c r="AD57" s="721"/>
      <c r="AF57" s="720"/>
      <c r="AI57" s="105"/>
      <c r="AJ57" s="105"/>
      <c r="AN57" s="105"/>
      <c r="AO57" s="105"/>
      <c r="AP57" s="105"/>
      <c r="AS57" s="105"/>
    </row>
    <row r="58" spans="1:45" outlineLevel="1">
      <c r="A58" s="545">
        <f>MAX($A$10:A57)+1</f>
        <v>49</v>
      </c>
      <c r="B58" s="716" t="s">
        <v>1799</v>
      </c>
      <c r="C58" s="716" t="s">
        <v>1844</v>
      </c>
      <c r="D58" s="716" t="s">
        <v>1845</v>
      </c>
      <c r="E58" s="559">
        <v>380.3</v>
      </c>
      <c r="F58" s="103">
        <v>315682.85518500005</v>
      </c>
      <c r="G58" s="103">
        <f t="shared" si="2"/>
        <v>315682.85518500005</v>
      </c>
      <c r="H58" s="575">
        <v>45657</v>
      </c>
      <c r="I58" s="722">
        <v>293445.8054769999</v>
      </c>
      <c r="J58" s="103">
        <f t="shared" si="4"/>
        <v>293445.8054769999</v>
      </c>
      <c r="K58" s="575">
        <v>46022</v>
      </c>
      <c r="M58"/>
      <c r="N58"/>
      <c r="O58" s="105"/>
      <c r="R58" s="721"/>
      <c r="S58" s="721"/>
      <c r="T58" s="721"/>
      <c r="U58" s="721"/>
      <c r="V58" s="721"/>
      <c r="W58" s="721"/>
      <c r="X58" s="721"/>
      <c r="Y58" s="721"/>
      <c r="Z58" s="721"/>
      <c r="AA58" s="721"/>
      <c r="AB58" s="721"/>
      <c r="AC58" s="721"/>
      <c r="AD58" s="721"/>
      <c r="AF58" s="720"/>
      <c r="AI58" s="105"/>
      <c r="AJ58" s="105"/>
      <c r="AN58" s="105"/>
      <c r="AO58" s="105"/>
      <c r="AP58" s="105"/>
      <c r="AS58" s="105"/>
    </row>
    <row r="59" spans="1:45" outlineLevel="1">
      <c r="A59" s="545">
        <f>MAX($A$10:A58)+1</f>
        <v>50</v>
      </c>
      <c r="B59" s="716" t="s">
        <v>1799</v>
      </c>
      <c r="C59" s="716" t="s">
        <v>1846</v>
      </c>
      <c r="D59" s="716" t="s">
        <v>1847</v>
      </c>
      <c r="E59" s="559">
        <v>376.3</v>
      </c>
      <c r="F59" s="103">
        <v>167040.84000000005</v>
      </c>
      <c r="G59" s="103">
        <f t="shared" si="2"/>
        <v>167040.84000000005</v>
      </c>
      <c r="H59" s="575">
        <v>45657</v>
      </c>
      <c r="I59" s="722">
        <v>171725.36000000002</v>
      </c>
      <c r="J59" s="103">
        <f t="shared" si="4"/>
        <v>171725.36000000002</v>
      </c>
      <c r="K59" s="575">
        <v>46022</v>
      </c>
      <c r="M59"/>
      <c r="N59"/>
      <c r="O59" s="105"/>
      <c r="R59" s="721"/>
      <c r="S59" s="721"/>
      <c r="T59" s="721"/>
      <c r="U59" s="721"/>
      <c r="V59" s="721"/>
      <c r="W59" s="721"/>
      <c r="X59" s="721"/>
      <c r="Y59" s="721"/>
      <c r="Z59" s="721"/>
      <c r="AA59" s="721"/>
      <c r="AB59" s="721"/>
      <c r="AC59" s="721"/>
      <c r="AD59" s="721"/>
      <c r="AF59" s="720"/>
      <c r="AI59" s="105"/>
      <c r="AJ59" s="105"/>
      <c r="AN59" s="105"/>
      <c r="AO59" s="105"/>
      <c r="AP59" s="105"/>
      <c r="AS59" s="105"/>
    </row>
    <row r="60" spans="1:45" outlineLevel="1">
      <c r="A60" s="545">
        <f>MAX($A$10:A59)+1</f>
        <v>51</v>
      </c>
      <c r="B60" s="716" t="s">
        <v>1799</v>
      </c>
      <c r="C60" s="716" t="s">
        <v>1848</v>
      </c>
      <c r="D60" s="1" t="s">
        <v>1849</v>
      </c>
      <c r="E60" s="559">
        <v>376.3</v>
      </c>
      <c r="F60" s="184">
        <v>53179.953616999999</v>
      </c>
      <c r="G60" s="103">
        <f t="shared" si="2"/>
        <v>53179.953616999999</v>
      </c>
      <c r="H60" s="575">
        <v>45657</v>
      </c>
      <c r="I60" s="722">
        <v>51291.966120000005</v>
      </c>
      <c r="J60" s="103">
        <f t="shared" si="4"/>
        <v>51291.966120000005</v>
      </c>
      <c r="K60" s="575">
        <v>46022</v>
      </c>
      <c r="M60"/>
      <c r="N60"/>
      <c r="O60" s="720"/>
      <c r="R60" s="721"/>
      <c r="S60" s="721"/>
      <c r="T60" s="721"/>
      <c r="U60" s="721"/>
      <c r="V60" s="721"/>
      <c r="W60" s="721"/>
      <c r="X60" s="721"/>
      <c r="Y60" s="721"/>
      <c r="Z60" s="721"/>
      <c r="AA60" s="721"/>
      <c r="AB60" s="721"/>
      <c r="AC60" s="721"/>
      <c r="AD60" s="721"/>
      <c r="AF60" s="720"/>
      <c r="AI60" s="105"/>
      <c r="AJ60" s="105"/>
      <c r="AN60" s="105"/>
      <c r="AO60" s="105"/>
      <c r="AP60" s="105"/>
      <c r="AS60" s="105"/>
    </row>
    <row r="61" spans="1:45" outlineLevel="1">
      <c r="A61" s="545">
        <f>MAX($A$10:A60)+1</f>
        <v>52</v>
      </c>
      <c r="B61" s="716" t="s">
        <v>1799</v>
      </c>
      <c r="C61" s="716" t="s">
        <v>1850</v>
      </c>
      <c r="D61" s="1" t="s">
        <v>1851</v>
      </c>
      <c r="E61" s="734">
        <v>380.3</v>
      </c>
      <c r="F61" s="184">
        <v>266465.95999999996</v>
      </c>
      <c r="G61" s="103">
        <f t="shared" si="2"/>
        <v>266465.95999999996</v>
      </c>
      <c r="H61" s="575">
        <v>45657</v>
      </c>
      <c r="I61" s="722">
        <v>273939.12000000005</v>
      </c>
      <c r="J61" s="103">
        <f t="shared" si="4"/>
        <v>273939.12000000005</v>
      </c>
      <c r="K61" s="575">
        <v>46022</v>
      </c>
      <c r="M61"/>
      <c r="N61"/>
      <c r="O61" s="720"/>
      <c r="R61" s="721"/>
      <c r="S61" s="721"/>
      <c r="T61" s="721"/>
      <c r="U61" s="721"/>
      <c r="V61" s="721"/>
      <c r="W61" s="721"/>
      <c r="X61" s="721"/>
      <c r="Y61" s="721"/>
      <c r="Z61" s="721"/>
      <c r="AA61" s="721"/>
      <c r="AB61" s="721"/>
      <c r="AC61" s="721"/>
      <c r="AD61" s="721"/>
      <c r="AF61" s="720"/>
      <c r="AI61" s="105"/>
      <c r="AJ61" s="105"/>
      <c r="AN61" s="105"/>
      <c r="AO61" s="105"/>
      <c r="AP61" s="105"/>
      <c r="AS61" s="105"/>
    </row>
    <row r="62" spans="1:45" outlineLevel="1">
      <c r="A62" s="545">
        <f>MAX($A$10:A61)+1</f>
        <v>53</v>
      </c>
      <c r="B62" s="716" t="s">
        <v>1799</v>
      </c>
      <c r="C62" s="716" t="s">
        <v>1852</v>
      </c>
      <c r="D62" s="716" t="s">
        <v>1853</v>
      </c>
      <c r="E62" s="559">
        <v>380.3</v>
      </c>
      <c r="F62" s="103">
        <v>282029.444426</v>
      </c>
      <c r="G62" s="103">
        <f t="shared" si="2"/>
        <v>282029.444426</v>
      </c>
      <c r="H62" s="575">
        <v>45657</v>
      </c>
      <c r="I62" s="722">
        <v>265057.40761200001</v>
      </c>
      <c r="J62" s="103">
        <f t="shared" si="4"/>
        <v>265057.40761200001</v>
      </c>
      <c r="K62" s="575">
        <v>46022</v>
      </c>
      <c r="M62"/>
      <c r="N62"/>
      <c r="O62" s="720"/>
      <c r="R62" s="721"/>
      <c r="S62" s="721"/>
      <c r="T62" s="721"/>
      <c r="U62" s="721"/>
      <c r="V62" s="721"/>
      <c r="W62" s="721"/>
      <c r="X62" s="721"/>
      <c r="Y62" s="721"/>
      <c r="Z62" s="721"/>
      <c r="AA62" s="721"/>
      <c r="AB62" s="721"/>
      <c r="AC62" s="721"/>
      <c r="AD62" s="721"/>
      <c r="AF62" s="720"/>
      <c r="AI62" s="105"/>
      <c r="AJ62" s="105"/>
      <c r="AN62" s="105"/>
      <c r="AO62" s="105"/>
      <c r="AP62" s="105"/>
      <c r="AS62" s="105"/>
    </row>
    <row r="63" spans="1:45" outlineLevel="1">
      <c r="A63" s="545">
        <f>MAX($A$10:A62)+1</f>
        <v>54</v>
      </c>
      <c r="B63" s="716" t="s">
        <v>1799</v>
      </c>
      <c r="C63" s="716" t="s">
        <v>1854</v>
      </c>
      <c r="D63" s="716" t="s">
        <v>1855</v>
      </c>
      <c r="E63" s="559">
        <v>376.3</v>
      </c>
      <c r="F63" s="103">
        <v>808875.54000000015</v>
      </c>
      <c r="G63" s="103">
        <f t="shared" si="2"/>
        <v>808875.54000000015</v>
      </c>
      <c r="H63" s="575">
        <v>45657</v>
      </c>
      <c r="I63" s="722">
        <v>802352.47</v>
      </c>
      <c r="J63" s="103">
        <f t="shared" si="4"/>
        <v>802352.47</v>
      </c>
      <c r="K63" s="575">
        <v>46022</v>
      </c>
      <c r="M63"/>
      <c r="N63"/>
      <c r="O63" s="720"/>
      <c r="R63" s="721"/>
      <c r="S63" s="721"/>
      <c r="T63" s="721"/>
      <c r="U63" s="721"/>
      <c r="V63" s="721"/>
      <c r="W63" s="721"/>
      <c r="X63" s="721"/>
      <c r="Y63" s="721"/>
      <c r="Z63" s="721"/>
      <c r="AA63" s="721"/>
      <c r="AB63" s="721"/>
      <c r="AC63" s="721"/>
      <c r="AD63" s="721"/>
      <c r="AF63" s="720"/>
      <c r="AI63" s="105"/>
      <c r="AJ63" s="105"/>
      <c r="AN63" s="105"/>
      <c r="AO63" s="105"/>
      <c r="AP63" s="105"/>
      <c r="AS63" s="105"/>
    </row>
    <row r="64" spans="1:45" outlineLevel="1">
      <c r="A64" s="545">
        <f>MAX($A$10:A63)+1</f>
        <v>55</v>
      </c>
      <c r="B64" s="716" t="s">
        <v>1799</v>
      </c>
      <c r="C64" s="716" t="s">
        <v>1856</v>
      </c>
      <c r="D64" s="716" t="s">
        <v>1857</v>
      </c>
      <c r="E64" s="559">
        <v>376.3</v>
      </c>
      <c r="F64" s="103">
        <v>386986.508164</v>
      </c>
      <c r="G64" s="103">
        <f t="shared" si="2"/>
        <v>386986.508164</v>
      </c>
      <c r="H64" s="575">
        <v>45657</v>
      </c>
      <c r="I64" s="722">
        <v>332380.73159999988</v>
      </c>
      <c r="J64" s="103">
        <f t="shared" si="4"/>
        <v>332380.73159999988</v>
      </c>
      <c r="K64" s="575">
        <v>46022</v>
      </c>
      <c r="M64"/>
      <c r="N64"/>
      <c r="O64" s="720"/>
      <c r="R64" s="721"/>
      <c r="S64" s="721"/>
      <c r="T64" s="721"/>
      <c r="U64" s="721"/>
      <c r="V64" s="721"/>
      <c r="W64" s="721"/>
      <c r="X64" s="721"/>
      <c r="Y64" s="721"/>
      <c r="Z64" s="721"/>
      <c r="AA64" s="721"/>
      <c r="AB64" s="721"/>
      <c r="AC64" s="721"/>
      <c r="AD64" s="721"/>
      <c r="AF64" s="720"/>
      <c r="AI64" s="105"/>
      <c r="AJ64" s="105"/>
      <c r="AN64" s="105"/>
      <c r="AO64" s="105"/>
      <c r="AP64" s="105"/>
      <c r="AS64" s="105"/>
    </row>
    <row r="65" spans="1:45" outlineLevel="1">
      <c r="A65" s="545">
        <f>MAX($A$10:A64)+1</f>
        <v>56</v>
      </c>
      <c r="B65" s="716" t="s">
        <v>1799</v>
      </c>
      <c r="C65" s="716" t="s">
        <v>1858</v>
      </c>
      <c r="D65" s="716" t="s">
        <v>1859</v>
      </c>
      <c r="E65" s="559">
        <v>380.3</v>
      </c>
      <c r="F65" s="103">
        <v>1278711.4899999998</v>
      </c>
      <c r="G65" s="103">
        <f t="shared" si="2"/>
        <v>1278711.4899999998</v>
      </c>
      <c r="H65" s="575">
        <v>45657</v>
      </c>
      <c r="I65" s="722">
        <v>1314530.92</v>
      </c>
      <c r="J65" s="103">
        <f t="shared" si="4"/>
        <v>1314530.92</v>
      </c>
      <c r="K65" s="575">
        <v>46022</v>
      </c>
      <c r="M65"/>
      <c r="N65"/>
      <c r="O65" s="720"/>
      <c r="R65" s="721"/>
      <c r="S65" s="721"/>
      <c r="T65" s="721"/>
      <c r="U65" s="721"/>
      <c r="V65" s="721"/>
      <c r="W65" s="721"/>
      <c r="X65" s="721"/>
      <c r="Y65" s="721"/>
      <c r="Z65" s="721"/>
      <c r="AA65" s="721"/>
      <c r="AB65" s="721"/>
      <c r="AC65" s="721"/>
      <c r="AD65" s="721"/>
      <c r="AF65" s="720"/>
      <c r="AI65" s="105"/>
      <c r="AJ65" s="105"/>
      <c r="AN65" s="105"/>
      <c r="AO65" s="105"/>
      <c r="AP65" s="105"/>
      <c r="AS65" s="105"/>
    </row>
    <row r="66" spans="1:45" outlineLevel="1">
      <c r="A66" s="545">
        <f>MAX($A$10:A65)+1</f>
        <v>57</v>
      </c>
      <c r="B66" s="716" t="s">
        <v>1799</v>
      </c>
      <c r="C66" s="716" t="s">
        <v>1860</v>
      </c>
      <c r="D66" s="716" t="s">
        <v>1861</v>
      </c>
      <c r="E66" s="559">
        <v>380.3</v>
      </c>
      <c r="F66" s="103">
        <v>338345.28705900005</v>
      </c>
      <c r="G66" s="103">
        <f t="shared" si="2"/>
        <v>338345.28705900005</v>
      </c>
      <c r="H66" s="575">
        <v>45657</v>
      </c>
      <c r="I66" s="722">
        <v>253990.75584</v>
      </c>
      <c r="J66" s="103">
        <f t="shared" si="4"/>
        <v>253990.75584</v>
      </c>
      <c r="K66" s="575">
        <v>46022</v>
      </c>
      <c r="M66"/>
      <c r="N66"/>
      <c r="O66" s="720"/>
      <c r="R66" s="721"/>
      <c r="S66" s="721"/>
      <c r="T66" s="721"/>
      <c r="U66" s="721"/>
      <c r="V66" s="721"/>
      <c r="W66" s="721"/>
      <c r="X66" s="721"/>
      <c r="Y66" s="721"/>
      <c r="Z66" s="721"/>
      <c r="AA66" s="721"/>
      <c r="AB66" s="721"/>
      <c r="AC66" s="721"/>
      <c r="AD66" s="721"/>
      <c r="AF66" s="720"/>
      <c r="AI66" s="105"/>
      <c r="AJ66" s="105"/>
      <c r="AN66" s="105"/>
      <c r="AO66" s="105"/>
      <c r="AP66" s="105"/>
      <c r="AS66" s="105"/>
    </row>
    <row r="67" spans="1:45" outlineLevel="1">
      <c r="A67" s="545">
        <f>MAX($A$10:A66)+1</f>
        <v>58</v>
      </c>
      <c r="B67" s="716" t="s">
        <v>1799</v>
      </c>
      <c r="C67" s="716" t="s">
        <v>1862</v>
      </c>
      <c r="D67" s="1" t="s">
        <v>1863</v>
      </c>
      <c r="E67" s="559">
        <v>376.3</v>
      </c>
      <c r="F67" s="103">
        <v>910308.31000000029</v>
      </c>
      <c r="G67" s="103">
        <f t="shared" si="2"/>
        <v>910308.31000000029</v>
      </c>
      <c r="H67" s="575">
        <v>45657</v>
      </c>
      <c r="I67" s="722">
        <v>989922.18000000017</v>
      </c>
      <c r="J67" s="103">
        <f t="shared" si="4"/>
        <v>989922.18000000017</v>
      </c>
      <c r="K67" s="575">
        <v>46022</v>
      </c>
      <c r="M67"/>
      <c r="N67"/>
      <c r="O67" s="105"/>
      <c r="R67" s="721"/>
      <c r="S67" s="721"/>
      <c r="T67" s="721"/>
      <c r="U67" s="721"/>
      <c r="V67" s="721"/>
      <c r="W67" s="721"/>
      <c r="X67" s="721"/>
      <c r="Y67" s="721"/>
      <c r="Z67" s="721"/>
      <c r="AA67" s="721"/>
      <c r="AB67" s="721"/>
      <c r="AC67" s="721"/>
      <c r="AD67" s="721"/>
      <c r="AI67" s="105"/>
      <c r="AJ67" s="105"/>
      <c r="AN67" s="105"/>
      <c r="AO67" s="105"/>
      <c r="AP67" s="105"/>
      <c r="AS67" s="105"/>
    </row>
    <row r="68" spans="1:45" outlineLevel="1">
      <c r="A68" s="545">
        <f>MAX($A$10:A67)+1</f>
        <v>59</v>
      </c>
      <c r="B68" s="716" t="s">
        <v>1799</v>
      </c>
      <c r="C68" s="716" t="s">
        <v>1864</v>
      </c>
      <c r="D68" s="716" t="s">
        <v>1865</v>
      </c>
      <c r="E68" s="559">
        <v>376.3</v>
      </c>
      <c r="F68" s="103">
        <v>209100.09783299998</v>
      </c>
      <c r="G68" s="103">
        <f t="shared" ref="G68:G86" si="5">+F68</f>
        <v>209100.09783299998</v>
      </c>
      <c r="H68" s="575">
        <v>45657</v>
      </c>
      <c r="I68" s="722">
        <v>191980.12066799999</v>
      </c>
      <c r="J68" s="103">
        <f t="shared" si="4"/>
        <v>191980.12066799999</v>
      </c>
      <c r="K68" s="575">
        <v>46022</v>
      </c>
      <c r="M68"/>
      <c r="N68"/>
      <c r="O68" s="105"/>
      <c r="R68" s="721"/>
      <c r="S68" s="721"/>
      <c r="T68" s="721"/>
      <c r="U68" s="721"/>
      <c r="V68" s="721"/>
      <c r="W68" s="721"/>
      <c r="X68" s="721"/>
      <c r="Y68" s="721"/>
      <c r="Z68" s="721"/>
      <c r="AA68" s="721"/>
      <c r="AB68" s="721"/>
      <c r="AC68" s="721"/>
      <c r="AD68" s="721"/>
      <c r="AF68" s="105"/>
      <c r="AI68" s="105"/>
      <c r="AJ68" s="105"/>
      <c r="AN68" s="105"/>
      <c r="AO68" s="105"/>
      <c r="AP68" s="105"/>
      <c r="AS68" s="105"/>
    </row>
    <row r="69" spans="1:45" outlineLevel="1">
      <c r="A69" s="545">
        <f>MAX($A$10:A68)+1</f>
        <v>60</v>
      </c>
      <c r="B69" s="716" t="s">
        <v>1799</v>
      </c>
      <c r="C69" s="716" t="s">
        <v>1866</v>
      </c>
      <c r="D69" s="716" t="s">
        <v>1867</v>
      </c>
      <c r="E69" s="559">
        <v>380.3</v>
      </c>
      <c r="F69" s="103">
        <v>1179967.52</v>
      </c>
      <c r="G69" s="103">
        <f t="shared" si="5"/>
        <v>1179967.52</v>
      </c>
      <c r="H69" s="575">
        <v>45657</v>
      </c>
      <c r="I69" s="722">
        <v>1213059.6800000004</v>
      </c>
      <c r="J69" s="103">
        <f t="shared" si="4"/>
        <v>1213059.6800000004</v>
      </c>
      <c r="K69" s="575">
        <v>46022</v>
      </c>
      <c r="M69"/>
      <c r="N69"/>
      <c r="O69" s="105"/>
      <c r="R69" s="721"/>
      <c r="S69" s="721"/>
      <c r="T69" s="721"/>
      <c r="U69" s="721"/>
      <c r="V69" s="721"/>
      <c r="W69" s="721"/>
      <c r="X69" s="721"/>
      <c r="Y69" s="721"/>
      <c r="Z69" s="721"/>
      <c r="AA69" s="721"/>
      <c r="AB69" s="721"/>
      <c r="AC69" s="721"/>
      <c r="AD69" s="721"/>
      <c r="AI69" s="105"/>
      <c r="AJ69" s="105"/>
      <c r="AN69" s="105"/>
      <c r="AO69" s="105"/>
      <c r="AP69" s="105"/>
      <c r="AS69" s="105"/>
    </row>
    <row r="70" spans="1:45" outlineLevel="1">
      <c r="A70" s="545">
        <f>MAX($A$10:A69)+1</f>
        <v>61</v>
      </c>
      <c r="B70" s="716" t="s">
        <v>1799</v>
      </c>
      <c r="C70" s="716" t="s">
        <v>1868</v>
      </c>
      <c r="D70" s="716" t="s">
        <v>1869</v>
      </c>
      <c r="E70" s="559">
        <v>380.3</v>
      </c>
      <c r="F70" s="103">
        <v>127046.58327200002</v>
      </c>
      <c r="G70" s="103">
        <f t="shared" si="5"/>
        <v>127046.58327200002</v>
      </c>
      <c r="H70" s="575">
        <v>45657</v>
      </c>
      <c r="I70" s="722">
        <v>94866.156276000023</v>
      </c>
      <c r="J70" s="103">
        <f t="shared" si="4"/>
        <v>94866.156276000023</v>
      </c>
      <c r="K70" s="575">
        <v>46022</v>
      </c>
      <c r="M70"/>
      <c r="N70"/>
      <c r="O70" s="105"/>
      <c r="R70" s="721"/>
      <c r="S70" s="721"/>
      <c r="T70" s="721"/>
      <c r="U70" s="721"/>
      <c r="V70" s="721"/>
      <c r="W70" s="721"/>
      <c r="X70" s="721"/>
      <c r="Y70" s="721"/>
      <c r="Z70" s="721"/>
      <c r="AA70" s="721"/>
      <c r="AB70" s="721"/>
      <c r="AC70" s="721"/>
      <c r="AD70" s="721"/>
      <c r="AI70" s="105"/>
      <c r="AJ70" s="105"/>
      <c r="AN70" s="105"/>
      <c r="AO70" s="105"/>
      <c r="AP70" s="105"/>
      <c r="AS70" s="105"/>
    </row>
    <row r="71" spans="1:45" outlineLevel="1">
      <c r="A71" s="545">
        <f>MAX($A$10:A70)+1</f>
        <v>62</v>
      </c>
      <c r="B71" s="716" t="s">
        <v>1799</v>
      </c>
      <c r="C71" s="716" t="s">
        <v>1870</v>
      </c>
      <c r="D71" s="716" t="s">
        <v>1871</v>
      </c>
      <c r="E71" s="559">
        <v>376.3</v>
      </c>
      <c r="F71" s="103">
        <v>6249.8099999999995</v>
      </c>
      <c r="G71" s="103">
        <f t="shared" si="5"/>
        <v>6249.8099999999995</v>
      </c>
      <c r="H71" s="575">
        <v>45657</v>
      </c>
      <c r="I71" s="722">
        <v>20139.649999999994</v>
      </c>
      <c r="J71" s="103">
        <f t="shared" si="4"/>
        <v>20139.649999999994</v>
      </c>
      <c r="K71" s="575">
        <v>46022</v>
      </c>
      <c r="M71"/>
      <c r="N71"/>
      <c r="O71" s="105"/>
      <c r="R71" s="721"/>
      <c r="S71" s="721"/>
      <c r="T71" s="721"/>
      <c r="U71" s="721"/>
      <c r="V71" s="721"/>
      <c r="W71" s="721"/>
      <c r="X71" s="721"/>
      <c r="Y71" s="721"/>
      <c r="Z71" s="721"/>
      <c r="AA71" s="721"/>
      <c r="AB71" s="721"/>
      <c r="AC71" s="721"/>
      <c r="AD71" s="721"/>
      <c r="AI71" s="105"/>
      <c r="AJ71" s="105"/>
      <c r="AN71" s="105"/>
      <c r="AO71" s="105"/>
      <c r="AP71" s="105"/>
      <c r="AS71" s="105"/>
    </row>
    <row r="72" spans="1:45" outlineLevel="1">
      <c r="A72" s="545">
        <f>MAX($A$10:A71)+1</f>
        <v>63</v>
      </c>
      <c r="B72" s="716" t="s">
        <v>1799</v>
      </c>
      <c r="C72" s="716" t="s">
        <v>1872</v>
      </c>
      <c r="D72" s="716" t="s">
        <v>1873</v>
      </c>
      <c r="E72" s="559">
        <v>376.3</v>
      </c>
      <c r="F72" s="103">
        <v>294068.29199999996</v>
      </c>
      <c r="G72" s="103">
        <f t="shared" si="5"/>
        <v>294068.29199999996</v>
      </c>
      <c r="H72" s="575">
        <v>45657</v>
      </c>
      <c r="I72" s="722">
        <v>300913.47839999996</v>
      </c>
      <c r="J72" s="103">
        <f t="shared" si="4"/>
        <v>300913.47839999996</v>
      </c>
      <c r="K72" s="575">
        <v>46022</v>
      </c>
      <c r="M72"/>
      <c r="N72"/>
      <c r="O72" s="105"/>
      <c r="R72" s="721"/>
      <c r="S72" s="721"/>
      <c r="T72" s="721"/>
      <c r="U72" s="721"/>
      <c r="V72" s="721"/>
      <c r="W72" s="721"/>
      <c r="X72" s="721"/>
      <c r="Y72" s="721"/>
      <c r="Z72" s="721"/>
      <c r="AA72" s="721"/>
      <c r="AB72" s="721"/>
      <c r="AC72" s="721"/>
      <c r="AD72" s="721"/>
      <c r="AI72" s="105"/>
      <c r="AJ72" s="105"/>
      <c r="AN72" s="105"/>
      <c r="AO72" s="105"/>
      <c r="AP72" s="105"/>
      <c r="AS72" s="105"/>
    </row>
    <row r="73" spans="1:45" outlineLevel="1">
      <c r="A73" s="545">
        <f>MAX($A$10:A72)+1</f>
        <v>64</v>
      </c>
      <c r="B73" s="716" t="s">
        <v>1799</v>
      </c>
      <c r="C73" s="716" t="s">
        <v>1874</v>
      </c>
      <c r="D73" s="716" t="s">
        <v>1875</v>
      </c>
      <c r="E73" s="559">
        <v>380.3</v>
      </c>
      <c r="F73" s="103">
        <v>344511.1700000001</v>
      </c>
      <c r="G73" s="103">
        <f t="shared" si="5"/>
        <v>344511.1700000001</v>
      </c>
      <c r="H73" s="575">
        <v>45657</v>
      </c>
      <c r="I73" s="722">
        <v>354172.51</v>
      </c>
      <c r="J73" s="103">
        <f t="shared" si="4"/>
        <v>354172.51</v>
      </c>
      <c r="K73" s="575">
        <v>46022</v>
      </c>
      <c r="M73"/>
      <c r="N73"/>
      <c r="O73" s="105"/>
      <c r="R73" s="721"/>
      <c r="S73" s="721"/>
      <c r="T73" s="721"/>
      <c r="U73" s="721"/>
      <c r="V73" s="721"/>
      <c r="W73" s="721"/>
      <c r="X73" s="721"/>
      <c r="Y73" s="721"/>
      <c r="Z73" s="721"/>
      <c r="AA73" s="721"/>
      <c r="AB73" s="721"/>
      <c r="AC73" s="721"/>
      <c r="AD73" s="721"/>
      <c r="AI73" s="105"/>
      <c r="AJ73" s="105"/>
      <c r="AN73" s="105"/>
      <c r="AO73" s="105"/>
      <c r="AP73" s="105"/>
      <c r="AS73" s="105"/>
    </row>
    <row r="74" spans="1:45" outlineLevel="1">
      <c r="A74" s="545">
        <f>MAX($A$10:A73)+1</f>
        <v>65</v>
      </c>
      <c r="B74" s="716" t="s">
        <v>1799</v>
      </c>
      <c r="C74" s="716" t="s">
        <v>1876</v>
      </c>
      <c r="D74" s="716" t="s">
        <v>1877</v>
      </c>
      <c r="E74" s="559">
        <v>380.3</v>
      </c>
      <c r="F74" s="103">
        <v>100146.05000999998</v>
      </c>
      <c r="G74" s="103">
        <f t="shared" si="5"/>
        <v>100146.05000999998</v>
      </c>
      <c r="H74" s="575">
        <v>45657</v>
      </c>
      <c r="I74" s="722">
        <v>94811.555040000021</v>
      </c>
      <c r="J74" s="103">
        <f t="shared" si="4"/>
        <v>94811.555040000021</v>
      </c>
      <c r="K74" s="575">
        <v>46022</v>
      </c>
      <c r="M74"/>
      <c r="N74"/>
      <c r="O74" s="105"/>
      <c r="R74" s="721"/>
      <c r="S74" s="721"/>
      <c r="T74" s="721"/>
      <c r="U74" s="721"/>
      <c r="V74" s="721"/>
      <c r="W74" s="721"/>
      <c r="X74" s="721"/>
      <c r="Y74" s="721"/>
      <c r="Z74" s="721"/>
      <c r="AA74" s="721"/>
      <c r="AB74" s="721"/>
      <c r="AC74" s="721"/>
      <c r="AD74" s="721"/>
      <c r="AI74" s="105"/>
      <c r="AJ74" s="105"/>
      <c r="AN74" s="105"/>
      <c r="AO74" s="105"/>
      <c r="AP74" s="105"/>
      <c r="AS74" s="105"/>
    </row>
    <row r="75" spans="1:45" outlineLevel="1">
      <c r="A75" s="545">
        <f>MAX($A$10:A74)+1</f>
        <v>66</v>
      </c>
      <c r="B75" s="716" t="s">
        <v>1799</v>
      </c>
      <c r="C75" s="716" t="s">
        <v>1878</v>
      </c>
      <c r="D75" s="716" t="s">
        <v>1879</v>
      </c>
      <c r="E75" s="559">
        <v>376.3</v>
      </c>
      <c r="F75" s="103">
        <v>502438.18999999989</v>
      </c>
      <c r="G75" s="103">
        <f t="shared" si="5"/>
        <v>502438.18999999989</v>
      </c>
      <c r="H75" s="575">
        <v>45657</v>
      </c>
      <c r="I75" s="722">
        <v>574643.58999999985</v>
      </c>
      <c r="J75" s="103">
        <f t="shared" si="4"/>
        <v>574643.58999999985</v>
      </c>
      <c r="K75" s="575">
        <v>46022</v>
      </c>
      <c r="M75"/>
      <c r="N75"/>
      <c r="O75" s="105"/>
      <c r="R75" s="721"/>
      <c r="S75" s="721"/>
      <c r="T75" s="721"/>
      <c r="U75" s="721"/>
      <c r="V75" s="721"/>
      <c r="W75" s="721"/>
      <c r="X75" s="721"/>
      <c r="Y75" s="721"/>
      <c r="Z75" s="721"/>
      <c r="AA75" s="721"/>
      <c r="AB75" s="721"/>
      <c r="AC75" s="721"/>
      <c r="AD75" s="721"/>
      <c r="AI75" s="105"/>
      <c r="AJ75" s="105"/>
      <c r="AN75" s="105"/>
      <c r="AO75" s="105"/>
      <c r="AP75" s="105"/>
      <c r="AS75" s="105"/>
    </row>
    <row r="76" spans="1:45" outlineLevel="1">
      <c r="A76" s="545">
        <f>MAX($A$10:A75)+1</f>
        <v>67</v>
      </c>
      <c r="B76" s="716" t="s">
        <v>1799</v>
      </c>
      <c r="C76" s="716" t="s">
        <v>1880</v>
      </c>
      <c r="D76" s="716" t="s">
        <v>1881</v>
      </c>
      <c r="E76" s="559">
        <v>376.3</v>
      </c>
      <c r="F76" s="103">
        <v>270192.07960999996</v>
      </c>
      <c r="G76" s="103">
        <f t="shared" si="5"/>
        <v>270192.07960999996</v>
      </c>
      <c r="H76" s="575">
        <v>45657</v>
      </c>
      <c r="I76" s="722">
        <v>199395.12877200003</v>
      </c>
      <c r="J76" s="103">
        <f t="shared" si="4"/>
        <v>199395.12877200003</v>
      </c>
      <c r="K76" s="575">
        <v>46022</v>
      </c>
      <c r="M76"/>
      <c r="N76"/>
      <c r="O76" s="105"/>
      <c r="R76" s="721"/>
      <c r="S76" s="721"/>
      <c r="T76" s="721"/>
      <c r="U76" s="721"/>
      <c r="V76" s="721"/>
      <c r="W76" s="721"/>
      <c r="X76" s="721"/>
      <c r="Y76" s="721"/>
      <c r="Z76" s="721"/>
      <c r="AA76" s="721"/>
      <c r="AB76" s="721"/>
      <c r="AC76" s="721"/>
      <c r="AD76" s="721"/>
      <c r="AI76" s="105"/>
      <c r="AJ76" s="105"/>
      <c r="AN76" s="105"/>
      <c r="AO76" s="105"/>
      <c r="AP76" s="105"/>
      <c r="AS76" s="105"/>
    </row>
    <row r="77" spans="1:45" outlineLevel="1">
      <c r="A77" s="545">
        <f>MAX($A$10:A76)+1</f>
        <v>68</v>
      </c>
      <c r="B77" s="716" t="s">
        <v>1799</v>
      </c>
      <c r="C77" s="716" t="s">
        <v>1882</v>
      </c>
      <c r="D77" s="716" t="s">
        <v>1883</v>
      </c>
      <c r="E77" s="559">
        <v>380.3</v>
      </c>
      <c r="F77" s="103">
        <v>1103684.1000000003</v>
      </c>
      <c r="G77" s="103">
        <f t="shared" si="5"/>
        <v>1103684.1000000003</v>
      </c>
      <c r="H77" s="575">
        <v>45657</v>
      </c>
      <c r="I77" s="722">
        <v>1123492.8500000001</v>
      </c>
      <c r="J77" s="103">
        <f t="shared" si="4"/>
        <v>1123492.8500000001</v>
      </c>
      <c r="K77" s="575">
        <v>46022</v>
      </c>
      <c r="M77"/>
      <c r="N77"/>
      <c r="O77" s="105"/>
      <c r="R77" s="721"/>
      <c r="S77" s="721"/>
      <c r="T77" s="721"/>
      <c r="U77" s="721"/>
      <c r="V77" s="721"/>
      <c r="W77" s="721"/>
      <c r="X77" s="721"/>
      <c r="Y77" s="721"/>
      <c r="Z77" s="721"/>
      <c r="AA77" s="721"/>
      <c r="AB77" s="721"/>
      <c r="AC77" s="721"/>
      <c r="AD77" s="721"/>
      <c r="AI77" s="105"/>
      <c r="AJ77" s="105"/>
      <c r="AN77" s="105"/>
      <c r="AO77" s="105"/>
      <c r="AP77" s="105"/>
      <c r="AS77" s="105"/>
    </row>
    <row r="78" spans="1:45" outlineLevel="1">
      <c r="A78" s="545">
        <f>MAX($A$10:A77)+1</f>
        <v>69</v>
      </c>
      <c r="B78" s="716" t="s">
        <v>1799</v>
      </c>
      <c r="C78" s="716" t="s">
        <v>1884</v>
      </c>
      <c r="D78" s="716" t="s">
        <v>1885</v>
      </c>
      <c r="E78" s="559">
        <v>380.3</v>
      </c>
      <c r="F78" s="103">
        <v>231192.58399599997</v>
      </c>
      <c r="G78" s="103">
        <f t="shared" si="5"/>
        <v>231192.58399599997</v>
      </c>
      <c r="H78" s="575">
        <v>45657</v>
      </c>
      <c r="I78" s="722">
        <v>207994.88067599997</v>
      </c>
      <c r="J78" s="103">
        <f t="shared" si="4"/>
        <v>207994.88067599997</v>
      </c>
      <c r="K78" s="575">
        <v>46022</v>
      </c>
      <c r="M78"/>
      <c r="N78"/>
      <c r="O78" s="105"/>
      <c r="R78" s="721"/>
      <c r="S78" s="721"/>
      <c r="T78" s="721"/>
      <c r="U78" s="721"/>
      <c r="V78" s="721"/>
      <c r="W78" s="721"/>
      <c r="X78" s="721"/>
      <c r="Y78" s="721"/>
      <c r="Z78" s="721"/>
      <c r="AA78" s="721"/>
      <c r="AB78" s="721"/>
      <c r="AC78" s="721"/>
      <c r="AD78" s="721"/>
      <c r="AI78" s="105"/>
      <c r="AJ78" s="105"/>
      <c r="AN78" s="105"/>
      <c r="AO78" s="105"/>
      <c r="AP78" s="105"/>
      <c r="AS78" s="105"/>
    </row>
    <row r="79" spans="1:45" outlineLevel="1">
      <c r="A79" s="545">
        <f>MAX($A$10:A78)+1</f>
        <v>70</v>
      </c>
      <c r="B79" s="716" t="s">
        <v>1799</v>
      </c>
      <c r="C79" s="716" t="s">
        <v>1886</v>
      </c>
      <c r="D79" s="716" t="s">
        <v>1887</v>
      </c>
      <c r="E79" s="559">
        <v>376.3</v>
      </c>
      <c r="F79" s="103">
        <v>1222711.99</v>
      </c>
      <c r="G79" s="103">
        <f t="shared" si="5"/>
        <v>1222711.99</v>
      </c>
      <c r="H79" s="575">
        <v>45657</v>
      </c>
      <c r="I79" s="722">
        <v>1161647.57</v>
      </c>
      <c r="J79" s="103">
        <f t="shared" si="4"/>
        <v>1161647.57</v>
      </c>
      <c r="K79" s="575">
        <v>46022</v>
      </c>
      <c r="M79"/>
      <c r="N79"/>
      <c r="O79" s="720"/>
      <c r="R79" s="721"/>
      <c r="S79" s="721"/>
      <c r="T79" s="721"/>
      <c r="U79" s="721"/>
      <c r="V79" s="721"/>
      <c r="W79" s="721"/>
      <c r="X79" s="721"/>
      <c r="Y79" s="721"/>
      <c r="Z79" s="721"/>
      <c r="AA79" s="721"/>
      <c r="AB79" s="721"/>
      <c r="AC79" s="721"/>
      <c r="AD79" s="721"/>
      <c r="AI79" s="105"/>
      <c r="AJ79" s="105"/>
      <c r="AN79" s="105"/>
      <c r="AO79" s="105"/>
      <c r="AP79" s="105"/>
      <c r="AS79" s="105"/>
    </row>
    <row r="80" spans="1:45" outlineLevel="1">
      <c r="A80" s="545">
        <f>MAX($A$10:A79)+1</f>
        <v>71</v>
      </c>
      <c r="B80" s="716" t="s">
        <v>1799</v>
      </c>
      <c r="C80" s="1" t="s">
        <v>1888</v>
      </c>
      <c r="D80" s="1" t="s">
        <v>1889</v>
      </c>
      <c r="E80" s="559">
        <v>376.3</v>
      </c>
      <c r="F80" s="184">
        <v>121240.83308500001</v>
      </c>
      <c r="G80" s="103">
        <f t="shared" si="5"/>
        <v>121240.83308500001</v>
      </c>
      <c r="H80" s="575">
        <v>45657</v>
      </c>
      <c r="I80" s="722">
        <v>124081.232498</v>
      </c>
      <c r="J80" s="103">
        <f t="shared" si="4"/>
        <v>124081.232498</v>
      </c>
      <c r="K80" s="575">
        <v>46022</v>
      </c>
      <c r="M80"/>
      <c r="N80"/>
      <c r="O80" s="105"/>
      <c r="R80" s="721"/>
      <c r="S80" s="721"/>
      <c r="T80" s="721"/>
      <c r="U80" s="721"/>
      <c r="V80" s="721"/>
      <c r="W80" s="721"/>
      <c r="X80" s="721"/>
      <c r="Y80" s="721"/>
      <c r="Z80" s="721"/>
      <c r="AA80" s="721"/>
      <c r="AB80" s="721"/>
      <c r="AC80" s="721"/>
      <c r="AD80" s="721"/>
      <c r="AI80" s="105"/>
      <c r="AJ80" s="105"/>
      <c r="AN80" s="105"/>
      <c r="AO80" s="105"/>
      <c r="AP80" s="105"/>
    </row>
    <row r="81" spans="1:45" outlineLevel="1">
      <c r="A81" s="545">
        <f>MAX($A$10:A80)+1</f>
        <v>72</v>
      </c>
      <c r="B81" s="716" t="s">
        <v>1799</v>
      </c>
      <c r="C81" s="716" t="s">
        <v>1890</v>
      </c>
      <c r="D81" s="716" t="s">
        <v>1891</v>
      </c>
      <c r="E81" s="559">
        <v>380.3</v>
      </c>
      <c r="F81" s="103">
        <v>1692514.2700000005</v>
      </c>
      <c r="G81" s="103">
        <f t="shared" si="5"/>
        <v>1692514.2700000005</v>
      </c>
      <c r="H81" s="575">
        <v>45657</v>
      </c>
      <c r="I81" s="722">
        <v>1739980.7999999996</v>
      </c>
      <c r="J81" s="103">
        <f t="shared" si="4"/>
        <v>1739980.7999999996</v>
      </c>
      <c r="K81" s="575">
        <v>46022</v>
      </c>
      <c r="M81"/>
      <c r="N81"/>
      <c r="O81" s="105"/>
      <c r="R81" s="721"/>
      <c r="S81" s="721"/>
      <c r="T81" s="721"/>
      <c r="U81" s="721"/>
      <c r="V81" s="721"/>
      <c r="W81" s="721"/>
      <c r="X81" s="721"/>
      <c r="Y81" s="721"/>
      <c r="Z81" s="721"/>
      <c r="AA81" s="721"/>
      <c r="AB81" s="721"/>
      <c r="AC81" s="721"/>
      <c r="AD81" s="721"/>
      <c r="AI81" s="105"/>
      <c r="AJ81" s="105"/>
      <c r="AN81" s="105"/>
      <c r="AO81" s="105"/>
      <c r="AP81" s="105"/>
      <c r="AS81" s="105"/>
    </row>
    <row r="82" spans="1:45" outlineLevel="1">
      <c r="A82" s="545">
        <f>MAX($A$10:A81)+1</f>
        <v>73</v>
      </c>
      <c r="B82" s="716" t="s">
        <v>1799</v>
      </c>
      <c r="C82" s="716" t="s">
        <v>1892</v>
      </c>
      <c r="D82" s="716" t="s">
        <v>1893</v>
      </c>
      <c r="E82" s="559">
        <v>380.3</v>
      </c>
      <c r="F82" s="103">
        <v>88759.269398000004</v>
      </c>
      <c r="G82" s="103">
        <f t="shared" si="5"/>
        <v>88759.269398000004</v>
      </c>
      <c r="H82" s="575">
        <v>45657</v>
      </c>
      <c r="I82" s="722">
        <v>86246.944812000016</v>
      </c>
      <c r="J82" s="103">
        <f t="shared" si="4"/>
        <v>86246.944812000016</v>
      </c>
      <c r="K82" s="575">
        <v>46022</v>
      </c>
      <c r="M82"/>
      <c r="N82"/>
      <c r="O82" s="720"/>
      <c r="R82" s="721"/>
      <c r="S82" s="721"/>
      <c r="T82" s="721"/>
      <c r="U82" s="721"/>
      <c r="V82" s="721"/>
      <c r="W82" s="721"/>
      <c r="X82" s="721"/>
      <c r="Y82" s="721"/>
      <c r="Z82" s="721"/>
      <c r="AA82" s="721"/>
      <c r="AB82" s="721"/>
      <c r="AC82" s="721"/>
      <c r="AD82" s="721"/>
      <c r="AI82" s="105"/>
      <c r="AJ82" s="105"/>
      <c r="AN82" s="105"/>
      <c r="AO82" s="105"/>
      <c r="AP82" s="105"/>
    </row>
    <row r="83" spans="1:45" outlineLevel="1">
      <c r="A83" s="545">
        <f>MAX($A$10:A82)+1</f>
        <v>74</v>
      </c>
      <c r="B83" s="716" t="s">
        <v>1799</v>
      </c>
      <c r="C83" s="716" t="s">
        <v>1894</v>
      </c>
      <c r="D83" s="716" t="s">
        <v>1895</v>
      </c>
      <c r="E83" s="559">
        <v>376.3</v>
      </c>
      <c r="F83" s="103">
        <v>111603.304754</v>
      </c>
      <c r="G83" s="103">
        <f t="shared" si="5"/>
        <v>111603.304754</v>
      </c>
      <c r="H83" s="575">
        <v>45657</v>
      </c>
      <c r="I83" s="722">
        <v>230710.25399999999</v>
      </c>
      <c r="J83" s="103">
        <f t="shared" si="4"/>
        <v>230710.25399999999</v>
      </c>
      <c r="K83" s="575">
        <v>46022</v>
      </c>
      <c r="M83"/>
      <c r="N83"/>
      <c r="O83" s="720"/>
      <c r="R83" s="721"/>
      <c r="S83" s="721"/>
      <c r="T83" s="721"/>
      <c r="U83" s="721"/>
      <c r="V83" s="721"/>
      <c r="W83" s="721"/>
      <c r="X83" s="721"/>
      <c r="Y83" s="721"/>
      <c r="Z83" s="721"/>
      <c r="AA83" s="721"/>
      <c r="AB83" s="721"/>
      <c r="AC83" s="721"/>
      <c r="AD83" s="721"/>
      <c r="AF83" s="105"/>
      <c r="AI83" s="105"/>
      <c r="AJ83" s="105"/>
      <c r="AN83" s="105"/>
      <c r="AO83" s="105"/>
      <c r="AP83" s="105"/>
    </row>
    <row r="84" spans="1:45" outlineLevel="1">
      <c r="A84" s="545">
        <f>MAX($A$10:A83)+1</f>
        <v>75</v>
      </c>
      <c r="B84" s="716" t="s">
        <v>1799</v>
      </c>
      <c r="C84" s="716" t="s">
        <v>1896</v>
      </c>
      <c r="D84" s="716" t="s">
        <v>1897</v>
      </c>
      <c r="E84" s="559">
        <v>376.3</v>
      </c>
      <c r="F84" s="103">
        <v>3504094.9597229999</v>
      </c>
      <c r="G84" s="103">
        <f t="shared" si="5"/>
        <v>3504094.9597229999</v>
      </c>
      <c r="H84" s="575">
        <v>45657</v>
      </c>
      <c r="I84" s="722">
        <v>3997962.8722509998</v>
      </c>
      <c r="J84" s="103">
        <f t="shared" si="4"/>
        <v>3997962.8722509998</v>
      </c>
      <c r="K84" s="575">
        <v>46022</v>
      </c>
      <c r="M84"/>
      <c r="N84"/>
      <c r="O84" s="720"/>
      <c r="R84" s="721"/>
      <c r="S84" s="721"/>
      <c r="T84" s="721"/>
      <c r="U84" s="721"/>
      <c r="V84" s="721"/>
      <c r="W84" s="721"/>
      <c r="X84" s="721"/>
      <c r="Y84" s="721"/>
      <c r="Z84" s="721"/>
      <c r="AA84" s="721"/>
      <c r="AB84" s="721"/>
      <c r="AC84" s="721"/>
      <c r="AD84" s="721"/>
      <c r="AE84" s="105"/>
      <c r="AI84" s="105"/>
      <c r="AJ84" s="105"/>
      <c r="AN84" s="105"/>
      <c r="AO84" s="105"/>
      <c r="AP84" s="105"/>
    </row>
    <row r="85" spans="1:45" outlineLevel="1">
      <c r="A85" s="545">
        <f>MAX($A$10:A84)+1</f>
        <v>76</v>
      </c>
      <c r="B85" s="716" t="s">
        <v>1799</v>
      </c>
      <c r="C85" s="716" t="s">
        <v>1898</v>
      </c>
      <c r="D85" s="716" t="s">
        <v>1899</v>
      </c>
      <c r="E85" s="559">
        <v>380.3</v>
      </c>
      <c r="F85" s="103">
        <v>3511692.4775140001</v>
      </c>
      <c r="G85" s="103">
        <f t="shared" si="5"/>
        <v>3511692.4775140001</v>
      </c>
      <c r="H85" s="575">
        <v>45657</v>
      </c>
      <c r="I85" s="722">
        <v>3997962.8722509998</v>
      </c>
      <c r="J85" s="103">
        <f t="shared" si="4"/>
        <v>3997962.8722509998</v>
      </c>
      <c r="K85" s="575">
        <v>46022</v>
      </c>
      <c r="M85"/>
      <c r="N85"/>
      <c r="R85" s="721"/>
      <c r="S85" s="721"/>
      <c r="T85" s="721"/>
      <c r="U85" s="721"/>
      <c r="V85" s="721"/>
      <c r="W85" s="721"/>
      <c r="X85" s="721"/>
      <c r="Y85" s="721"/>
      <c r="Z85" s="721"/>
      <c r="AA85" s="721"/>
      <c r="AB85" s="721"/>
      <c r="AC85" s="721"/>
      <c r="AD85" s="721"/>
      <c r="AE85" s="105"/>
      <c r="AI85" s="105"/>
      <c r="AJ85" s="105"/>
      <c r="AN85" s="105"/>
      <c r="AO85" s="105"/>
      <c r="AP85" s="105"/>
    </row>
    <row r="86" spans="1:45" outlineLevel="1">
      <c r="A86" s="545">
        <f>MAX($A$10:A85)+1</f>
        <v>77</v>
      </c>
      <c r="B86" s="716" t="s">
        <v>1799</v>
      </c>
      <c r="C86" s="716" t="s">
        <v>1900</v>
      </c>
      <c r="D86" s="716" t="s">
        <v>1901</v>
      </c>
      <c r="E86" s="559">
        <v>376.3</v>
      </c>
      <c r="F86" s="103">
        <v>1403134.75</v>
      </c>
      <c r="G86" s="103">
        <f t="shared" si="5"/>
        <v>1403134.75</v>
      </c>
      <c r="H86" s="575">
        <v>45626</v>
      </c>
      <c r="J86" s="103"/>
      <c r="K86" s="575"/>
      <c r="M86"/>
      <c r="N86"/>
      <c r="R86" s="721"/>
      <c r="S86" s="721"/>
      <c r="T86" s="721"/>
      <c r="U86" s="721"/>
      <c r="V86" s="721"/>
      <c r="W86" s="721"/>
      <c r="X86" s="721"/>
      <c r="Y86" s="721"/>
      <c r="Z86" s="721"/>
      <c r="AA86" s="721"/>
      <c r="AB86" s="721"/>
      <c r="AC86" s="721"/>
      <c r="AD86" s="721"/>
      <c r="AE86" s="105"/>
      <c r="AI86" s="105"/>
      <c r="AJ86" s="105"/>
      <c r="AN86" s="105"/>
      <c r="AO86" s="105"/>
      <c r="AP86" s="105"/>
    </row>
    <row r="87" spans="1:45" outlineLevel="1">
      <c r="A87" s="545">
        <f>MAX($A$10:A86)+1</f>
        <v>78</v>
      </c>
      <c r="B87" s="716" t="s">
        <v>1799</v>
      </c>
      <c r="C87" s="720" t="s">
        <v>1902</v>
      </c>
      <c r="D87" s="720" t="s">
        <v>1903</v>
      </c>
      <c r="E87" s="559">
        <v>376.1</v>
      </c>
      <c r="F87" s="103">
        <v>0</v>
      </c>
      <c r="G87" s="103"/>
      <c r="I87" s="722">
        <v>57633.22</v>
      </c>
      <c r="J87" s="103">
        <f t="shared" ref="J87:J95" si="6">+I87</f>
        <v>57633.22</v>
      </c>
      <c r="K87" s="717">
        <v>45961</v>
      </c>
      <c r="M87"/>
      <c r="N87"/>
      <c r="R87" s="721"/>
      <c r="S87" s="721"/>
      <c r="T87" s="721"/>
      <c r="U87" s="721"/>
      <c r="V87" s="721"/>
      <c r="W87" s="721"/>
      <c r="X87" s="721"/>
      <c r="Y87" s="721"/>
      <c r="Z87" s="721"/>
      <c r="AA87" s="721"/>
      <c r="AB87" s="721"/>
      <c r="AC87" s="721"/>
      <c r="AD87" s="721"/>
      <c r="AE87" s="105"/>
      <c r="AI87" s="105"/>
      <c r="AJ87" s="105"/>
      <c r="AN87" s="105"/>
      <c r="AO87" s="105"/>
      <c r="AP87" s="105"/>
    </row>
    <row r="88" spans="1:45" outlineLevel="1">
      <c r="A88" s="545">
        <f>MAX($A$10:A87)+1</f>
        <v>79</v>
      </c>
      <c r="B88" s="716" t="s">
        <v>1799</v>
      </c>
      <c r="C88" s="716" t="s">
        <v>1904</v>
      </c>
      <c r="D88" s="716" t="s">
        <v>1905</v>
      </c>
      <c r="E88" s="559">
        <v>367.1</v>
      </c>
      <c r="F88" s="103">
        <v>533956.21821900003</v>
      </c>
      <c r="G88" s="103">
        <f>+F88</f>
        <v>533956.21821900003</v>
      </c>
      <c r="H88" s="717">
        <v>45534</v>
      </c>
      <c r="I88" s="718"/>
      <c r="J88" s="103">
        <f t="shared" si="6"/>
        <v>0</v>
      </c>
      <c r="K88" s="103"/>
      <c r="M88"/>
      <c r="N88"/>
      <c r="R88" s="721"/>
      <c r="S88" s="721"/>
      <c r="T88" s="721"/>
      <c r="U88" s="721"/>
      <c r="V88" s="721"/>
      <c r="W88" s="721"/>
      <c r="X88" s="721"/>
      <c r="Y88" s="721"/>
      <c r="Z88" s="721"/>
      <c r="AA88" s="721"/>
      <c r="AB88" s="721"/>
      <c r="AC88" s="721"/>
      <c r="AD88" s="721"/>
      <c r="AE88" s="105"/>
      <c r="AI88" s="105"/>
      <c r="AJ88" s="105"/>
      <c r="AN88" s="105"/>
      <c r="AO88" s="105"/>
      <c r="AP88" s="105"/>
    </row>
    <row r="89" spans="1:45" outlineLevel="1">
      <c r="A89" s="545">
        <f>MAX($A$10:A88)+1</f>
        <v>80</v>
      </c>
      <c r="B89" s="716" t="s">
        <v>1799</v>
      </c>
      <c r="C89" s="716" t="s">
        <v>1906</v>
      </c>
      <c r="D89" s="716" t="s">
        <v>1907</v>
      </c>
      <c r="E89" s="559">
        <v>378</v>
      </c>
      <c r="F89" s="103">
        <v>1901518.06</v>
      </c>
      <c r="G89" s="103">
        <f>+F89</f>
        <v>1901518.06</v>
      </c>
      <c r="H89" s="717">
        <v>45626</v>
      </c>
      <c r="I89" s="718"/>
      <c r="J89" s="103">
        <f t="shared" si="6"/>
        <v>0</v>
      </c>
      <c r="K89" s="103"/>
      <c r="M89"/>
      <c r="N89"/>
      <c r="R89" s="721"/>
      <c r="S89" s="721"/>
      <c r="T89" s="721"/>
      <c r="U89" s="721"/>
      <c r="V89" s="721"/>
      <c r="W89" s="721"/>
      <c r="X89" s="721"/>
      <c r="Y89" s="721"/>
      <c r="Z89" s="721"/>
      <c r="AA89" s="721"/>
      <c r="AB89" s="721"/>
      <c r="AC89" s="721"/>
      <c r="AD89" s="721"/>
      <c r="AE89" s="105"/>
      <c r="AI89" s="105"/>
      <c r="AJ89" s="105"/>
      <c r="AN89" s="105"/>
      <c r="AO89" s="105"/>
      <c r="AP89" s="105"/>
    </row>
    <row r="90" spans="1:45" outlineLevel="1">
      <c r="A90" s="545">
        <f>MAX($A$10:A89)+1</f>
        <v>81</v>
      </c>
      <c r="B90" s="716" t="s">
        <v>1799</v>
      </c>
      <c r="C90" s="716" t="s">
        <v>1908</v>
      </c>
      <c r="D90" s="716" t="s">
        <v>1909</v>
      </c>
      <c r="E90" s="559">
        <v>376.3</v>
      </c>
      <c r="F90" s="103">
        <v>2258569</v>
      </c>
      <c r="G90" s="103">
        <f>+F90</f>
        <v>2258569</v>
      </c>
      <c r="H90" s="717">
        <v>45566</v>
      </c>
      <c r="I90" s="718"/>
      <c r="J90" s="103">
        <f t="shared" si="6"/>
        <v>0</v>
      </c>
      <c r="K90" s="103"/>
      <c r="M90"/>
      <c r="N90"/>
      <c r="R90" s="721"/>
      <c r="S90" s="721"/>
      <c r="T90" s="721"/>
      <c r="U90" s="721"/>
      <c r="V90" s="721"/>
      <c r="W90" s="721"/>
      <c r="X90" s="721"/>
      <c r="Y90" s="721"/>
      <c r="Z90" s="721"/>
      <c r="AA90" s="721"/>
      <c r="AB90" s="721"/>
      <c r="AC90" s="721"/>
      <c r="AD90" s="721"/>
      <c r="AE90" s="105"/>
      <c r="AI90" s="105"/>
      <c r="AJ90" s="105"/>
      <c r="AN90" s="105"/>
      <c r="AO90" s="105"/>
      <c r="AP90" s="105"/>
    </row>
    <row r="91" spans="1:45" outlineLevel="1">
      <c r="A91" s="545">
        <f>MAX($A$10:A90)+1</f>
        <v>82</v>
      </c>
      <c r="B91" s="716" t="s">
        <v>1799</v>
      </c>
      <c r="C91" s="720" t="s">
        <v>1910</v>
      </c>
      <c r="D91" s="720" t="s">
        <v>1911</v>
      </c>
      <c r="E91" s="559">
        <v>376.2</v>
      </c>
      <c r="F91" s="103">
        <v>0</v>
      </c>
      <c r="G91" s="103"/>
      <c r="I91" s="722">
        <v>543633.23800999997</v>
      </c>
      <c r="J91" s="103">
        <f t="shared" si="6"/>
        <v>543633.23800999997</v>
      </c>
      <c r="K91" s="717">
        <v>45991</v>
      </c>
      <c r="M91"/>
      <c r="N91"/>
      <c r="O91" s="720"/>
      <c r="P91" s="720"/>
      <c r="Q91" s="722"/>
      <c r="R91" s="721"/>
      <c r="S91" s="721"/>
      <c r="T91" s="721"/>
      <c r="U91" s="721"/>
      <c r="V91" s="721"/>
      <c r="W91" s="721"/>
      <c r="X91" s="721"/>
      <c r="Y91" s="721"/>
      <c r="Z91" s="721"/>
      <c r="AA91" s="721"/>
      <c r="AB91" s="721"/>
      <c r="AC91" s="721"/>
      <c r="AD91" s="721"/>
      <c r="AE91" s="105"/>
      <c r="AI91" s="105"/>
      <c r="AJ91" s="105"/>
      <c r="AN91" s="105"/>
      <c r="AO91" s="105"/>
      <c r="AP91" s="105"/>
    </row>
    <row r="92" spans="1:45" outlineLevel="1">
      <c r="A92" s="545">
        <f>MAX($A$10:A91)+1</f>
        <v>83</v>
      </c>
      <c r="B92" s="716" t="s">
        <v>1799</v>
      </c>
      <c r="C92" s="720" t="s">
        <v>1912</v>
      </c>
      <c r="D92" s="720" t="s">
        <v>1913</v>
      </c>
      <c r="E92" s="559">
        <v>378</v>
      </c>
      <c r="F92" s="103">
        <v>0</v>
      </c>
      <c r="G92" s="103"/>
      <c r="I92" s="722">
        <v>377211.26529000001</v>
      </c>
      <c r="J92" s="103">
        <f t="shared" si="6"/>
        <v>377211.26529000001</v>
      </c>
      <c r="K92" s="717">
        <v>45960</v>
      </c>
      <c r="M92"/>
      <c r="N92"/>
      <c r="O92" s="720"/>
      <c r="P92" s="720"/>
      <c r="Q92" s="722"/>
      <c r="R92" s="721"/>
      <c r="S92" s="721"/>
      <c r="T92" s="721"/>
      <c r="U92" s="721"/>
      <c r="V92" s="721"/>
      <c r="W92" s="721"/>
      <c r="X92" s="721"/>
      <c r="Y92" s="721"/>
      <c r="Z92" s="721"/>
      <c r="AA92" s="721"/>
      <c r="AB92" s="721"/>
      <c r="AC92" s="721"/>
      <c r="AD92" s="721"/>
      <c r="AE92" s="105"/>
      <c r="AI92" s="105"/>
      <c r="AJ92" s="105"/>
      <c r="AN92" s="105"/>
      <c r="AO92" s="105"/>
      <c r="AP92" s="105"/>
    </row>
    <row r="93" spans="1:45" outlineLevel="1">
      <c r="A93" s="545">
        <f>MAX($A$10:A92)+1</f>
        <v>84</v>
      </c>
      <c r="B93" s="716" t="s">
        <v>1799</v>
      </c>
      <c r="C93" s="716" t="s">
        <v>1914</v>
      </c>
      <c r="D93" s="716" t="s">
        <v>1915</v>
      </c>
      <c r="E93" s="559">
        <v>376.3</v>
      </c>
      <c r="F93" s="103">
        <v>3610320.72</v>
      </c>
      <c r="G93" s="103">
        <f t="shared" ref="G93:G99" si="7">+F93</f>
        <v>3610320.72</v>
      </c>
      <c r="H93" s="575">
        <v>45657</v>
      </c>
      <c r="I93" s="722">
        <v>5910841.3118439987</v>
      </c>
      <c r="J93" s="103">
        <f t="shared" si="6"/>
        <v>5910841.3118439987</v>
      </c>
      <c r="K93" s="575">
        <v>46022</v>
      </c>
      <c r="M93"/>
      <c r="N93"/>
      <c r="R93" s="721"/>
      <c r="S93" s="721"/>
      <c r="T93" s="721"/>
      <c r="U93" s="721"/>
      <c r="V93" s="721"/>
      <c r="W93" s="721"/>
      <c r="X93" s="721"/>
      <c r="Y93" s="721"/>
      <c r="Z93" s="721"/>
      <c r="AA93" s="721"/>
      <c r="AB93" s="721"/>
      <c r="AC93" s="721"/>
      <c r="AD93" s="721"/>
      <c r="AE93" s="105"/>
      <c r="AI93" s="105"/>
      <c r="AJ93" s="105"/>
      <c r="AN93" s="105"/>
      <c r="AO93" s="105"/>
      <c r="AP93" s="105"/>
    </row>
    <row r="94" spans="1:45" outlineLevel="1">
      <c r="A94" s="545">
        <f>MAX($A$10:A93)+1</f>
        <v>85</v>
      </c>
      <c r="B94" s="716" t="s">
        <v>1799</v>
      </c>
      <c r="C94" s="716" t="s">
        <v>1916</v>
      </c>
      <c r="D94" s="716" t="s">
        <v>1917</v>
      </c>
      <c r="E94" s="559">
        <v>380.3</v>
      </c>
      <c r="F94" s="103">
        <v>375340.57199999999</v>
      </c>
      <c r="G94" s="103">
        <f t="shared" si="7"/>
        <v>375340.57199999999</v>
      </c>
      <c r="H94" s="575">
        <v>45657</v>
      </c>
      <c r="I94" s="722">
        <v>912858.45250000001</v>
      </c>
      <c r="J94" s="103">
        <f t="shared" si="6"/>
        <v>912858.45250000001</v>
      </c>
      <c r="K94" s="575">
        <v>46022</v>
      </c>
      <c r="M94"/>
      <c r="N94"/>
      <c r="P94" s="720"/>
      <c r="R94" s="721"/>
      <c r="S94" s="721"/>
      <c r="T94" s="721"/>
      <c r="U94" s="721"/>
      <c r="V94" s="721"/>
      <c r="W94" s="721"/>
      <c r="X94" s="721"/>
      <c r="Y94" s="721"/>
      <c r="Z94" s="721"/>
      <c r="AA94" s="721"/>
      <c r="AB94" s="721"/>
      <c r="AC94" s="721"/>
      <c r="AD94" s="721"/>
      <c r="AE94" s="105"/>
      <c r="AI94" s="105"/>
      <c r="AJ94" s="105"/>
      <c r="AN94" s="105"/>
      <c r="AO94" s="105"/>
      <c r="AP94" s="105"/>
    </row>
    <row r="95" spans="1:45" outlineLevel="1">
      <c r="A95" s="545">
        <f>MAX($A$10:A94)+1</f>
        <v>86</v>
      </c>
      <c r="B95" s="716" t="s">
        <v>1799</v>
      </c>
      <c r="C95" s="720" t="s">
        <v>1918</v>
      </c>
      <c r="D95" s="720" t="s">
        <v>1919</v>
      </c>
      <c r="E95" s="559">
        <v>376.2</v>
      </c>
      <c r="F95" s="103">
        <v>0</v>
      </c>
      <c r="G95" s="103">
        <f t="shared" si="7"/>
        <v>0</v>
      </c>
      <c r="H95" s="103"/>
      <c r="I95" s="722">
        <v>1796668.1126259998</v>
      </c>
      <c r="J95" s="103">
        <f t="shared" si="6"/>
        <v>1796668.1126259998</v>
      </c>
      <c r="K95" s="717">
        <v>45961</v>
      </c>
      <c r="M95"/>
      <c r="N95"/>
      <c r="O95" s="720"/>
      <c r="P95" s="720"/>
      <c r="Q95" s="722"/>
      <c r="R95" s="721"/>
      <c r="S95" s="721"/>
      <c r="T95" s="721"/>
      <c r="U95" s="721"/>
      <c r="V95" s="721"/>
      <c r="W95" s="721"/>
      <c r="X95" s="721"/>
      <c r="Y95" s="721"/>
      <c r="Z95" s="721"/>
      <c r="AA95" s="721"/>
      <c r="AB95" s="721"/>
      <c r="AC95" s="721"/>
      <c r="AD95" s="721"/>
      <c r="AE95" s="105"/>
      <c r="AI95" s="105"/>
      <c r="AJ95" s="105"/>
      <c r="AN95" s="105"/>
      <c r="AO95" s="105"/>
      <c r="AP95" s="105"/>
    </row>
    <row r="96" spans="1:45" outlineLevel="1">
      <c r="A96" s="545">
        <f>MAX($A$10:A95)+1</f>
        <v>87</v>
      </c>
      <c r="B96" s="716" t="s">
        <v>1799</v>
      </c>
      <c r="C96" s="720" t="s">
        <v>1920</v>
      </c>
      <c r="D96" s="720" t="s">
        <v>1921</v>
      </c>
      <c r="E96" s="559">
        <v>376.2</v>
      </c>
      <c r="F96" s="103">
        <v>1069397.6499999999</v>
      </c>
      <c r="G96" s="103">
        <f t="shared" si="7"/>
        <v>1069397.6499999999</v>
      </c>
      <c r="H96" s="575">
        <v>45412</v>
      </c>
      <c r="J96" s="103"/>
      <c r="K96" s="717"/>
      <c r="M96"/>
      <c r="N96"/>
      <c r="O96" s="720"/>
      <c r="P96" s="720"/>
      <c r="Q96" s="722"/>
      <c r="R96" s="721"/>
      <c r="S96" s="721"/>
      <c r="T96" s="721"/>
      <c r="U96" s="721"/>
      <c r="V96" s="721"/>
      <c r="W96" s="721"/>
      <c r="X96" s="721"/>
      <c r="Y96" s="721"/>
      <c r="Z96" s="721"/>
      <c r="AA96" s="721"/>
      <c r="AB96" s="721"/>
      <c r="AC96" s="721"/>
      <c r="AD96" s="721"/>
      <c r="AE96" s="105"/>
      <c r="AI96" s="105"/>
      <c r="AJ96" s="105"/>
      <c r="AN96" s="105"/>
      <c r="AO96" s="105"/>
      <c r="AP96" s="105"/>
    </row>
    <row r="97" spans="1:42" outlineLevel="1">
      <c r="A97" s="545">
        <f>MAX($A$10:A96)+1</f>
        <v>88</v>
      </c>
      <c r="B97" s="716" t="s">
        <v>1799</v>
      </c>
      <c r="C97" s="716" t="s">
        <v>1922</v>
      </c>
      <c r="D97" s="716" t="s">
        <v>1923</v>
      </c>
      <c r="E97" s="559">
        <v>376.2</v>
      </c>
      <c r="F97" s="103">
        <v>930867.84602499998</v>
      </c>
      <c r="G97" s="103">
        <f t="shared" si="7"/>
        <v>930867.84602499998</v>
      </c>
      <c r="H97" s="575">
        <v>45412</v>
      </c>
      <c r="I97" s="718"/>
      <c r="J97" s="103">
        <f>+I97</f>
        <v>0</v>
      </c>
      <c r="K97" s="103"/>
      <c r="M97"/>
      <c r="N97"/>
      <c r="P97" s="720"/>
      <c r="R97" s="721"/>
      <c r="S97" s="721"/>
      <c r="T97" s="721"/>
      <c r="U97" s="721"/>
      <c r="V97" s="721"/>
      <c r="W97" s="721"/>
      <c r="X97" s="721"/>
      <c r="Y97" s="721"/>
      <c r="Z97" s="721"/>
      <c r="AA97" s="721"/>
      <c r="AB97" s="721"/>
      <c r="AC97" s="721"/>
      <c r="AD97" s="721"/>
      <c r="AE97" s="105"/>
      <c r="AI97" s="105"/>
      <c r="AJ97" s="105"/>
      <c r="AN97" s="105"/>
      <c r="AO97" s="105"/>
      <c r="AP97" s="105"/>
    </row>
    <row r="98" spans="1:42" outlineLevel="1">
      <c r="A98" s="545">
        <f>MAX($A$10:A97)+1</f>
        <v>89</v>
      </c>
      <c r="B98" s="716" t="s">
        <v>1799</v>
      </c>
      <c r="C98" s="716" t="s">
        <v>1924</v>
      </c>
      <c r="D98" s="520" t="s">
        <v>1925</v>
      </c>
      <c r="E98" s="559">
        <v>376.2</v>
      </c>
      <c r="F98" s="103">
        <v>1829249.22</v>
      </c>
      <c r="G98" s="103">
        <f t="shared" si="7"/>
        <v>1829249.22</v>
      </c>
      <c r="H98" s="575">
        <v>45597</v>
      </c>
      <c r="I98" s="718"/>
      <c r="J98" s="103"/>
      <c r="K98" s="103"/>
      <c r="M98"/>
      <c r="N98"/>
      <c r="P98" s="720"/>
      <c r="R98" s="721"/>
      <c r="S98" s="721"/>
      <c r="T98" s="721"/>
      <c r="U98" s="721"/>
      <c r="V98" s="721"/>
      <c r="W98" s="721"/>
      <c r="X98" s="721"/>
      <c r="Y98" s="721"/>
      <c r="Z98" s="721"/>
      <c r="AA98" s="721"/>
      <c r="AB98" s="721"/>
      <c r="AC98" s="721"/>
      <c r="AD98" s="721"/>
      <c r="AE98" s="105"/>
      <c r="AI98" s="105"/>
      <c r="AJ98" s="105"/>
      <c r="AN98" s="105"/>
      <c r="AO98" s="105"/>
      <c r="AP98" s="105"/>
    </row>
    <row r="99" spans="1:42" outlineLevel="1">
      <c r="A99" s="545">
        <f>MAX($A$10:A98)+1</f>
        <v>90</v>
      </c>
      <c r="B99" s="716" t="s">
        <v>1799</v>
      </c>
      <c r="C99" s="716" t="s">
        <v>1926</v>
      </c>
      <c r="D99" s="716" t="s">
        <v>1927</v>
      </c>
      <c r="E99" s="559">
        <v>378</v>
      </c>
      <c r="F99" s="103">
        <v>240690.43</v>
      </c>
      <c r="G99" s="103">
        <f t="shared" si="7"/>
        <v>240690.43</v>
      </c>
      <c r="H99" s="575">
        <v>45626</v>
      </c>
      <c r="I99" s="718"/>
      <c r="J99" s="103">
        <f>+I99</f>
        <v>0</v>
      </c>
      <c r="K99" s="103"/>
      <c r="M99"/>
      <c r="N99"/>
      <c r="O99" s="720"/>
      <c r="P99" s="720"/>
      <c r="R99" s="721"/>
      <c r="S99" s="721"/>
      <c r="T99" s="721"/>
      <c r="U99" s="721"/>
      <c r="V99" s="721"/>
      <c r="W99" s="721"/>
      <c r="X99" s="721"/>
      <c r="Y99" s="721"/>
      <c r="Z99" s="721"/>
      <c r="AA99" s="721"/>
      <c r="AB99" s="721"/>
      <c r="AC99" s="721"/>
      <c r="AD99" s="721"/>
      <c r="AE99" s="105"/>
      <c r="AI99" s="105"/>
      <c r="AJ99" s="105"/>
      <c r="AN99" s="105"/>
      <c r="AO99" s="105"/>
      <c r="AP99" s="105"/>
    </row>
    <row r="100" spans="1:42" outlineLevel="1">
      <c r="A100" s="545">
        <f>MAX($A$10:A99)+1</f>
        <v>91</v>
      </c>
      <c r="B100" s="716" t="s">
        <v>1799</v>
      </c>
      <c r="C100" s="720" t="s">
        <v>1928</v>
      </c>
      <c r="D100" s="720" t="s">
        <v>1929</v>
      </c>
      <c r="E100" s="559">
        <v>379</v>
      </c>
      <c r="F100" s="103"/>
      <c r="G100" s="103"/>
      <c r="I100" s="722">
        <v>2531049.7000000002</v>
      </c>
      <c r="J100" s="103">
        <f>+I100</f>
        <v>2531049.7000000002</v>
      </c>
      <c r="K100" s="717">
        <v>45991</v>
      </c>
      <c r="M100"/>
      <c r="N100"/>
      <c r="O100" s="720"/>
      <c r="P100" s="720"/>
      <c r="Q100" s="722"/>
      <c r="R100" s="721"/>
      <c r="S100" s="721"/>
      <c r="T100" s="721"/>
      <c r="U100" s="721"/>
      <c r="V100" s="721"/>
      <c r="W100" s="721"/>
      <c r="X100" s="721"/>
      <c r="Y100" s="721"/>
      <c r="Z100" s="721"/>
      <c r="AA100" s="721"/>
      <c r="AB100" s="721"/>
      <c r="AC100" s="721"/>
      <c r="AD100" s="721"/>
      <c r="AE100" s="105"/>
      <c r="AI100" s="105"/>
      <c r="AJ100" s="105"/>
      <c r="AN100" s="105"/>
      <c r="AO100" s="105"/>
      <c r="AP100" s="105"/>
    </row>
    <row r="101" spans="1:42" outlineLevel="1">
      <c r="A101" s="545">
        <f>MAX($A$10:A100)+1</f>
        <v>92</v>
      </c>
      <c r="B101" s="716" t="s">
        <v>1799</v>
      </c>
      <c r="C101" s="720" t="s">
        <v>1930</v>
      </c>
      <c r="D101" s="720" t="s">
        <v>1931</v>
      </c>
      <c r="E101" s="559">
        <v>376.2</v>
      </c>
      <c r="F101" s="103">
        <v>0</v>
      </c>
      <c r="G101" s="103"/>
      <c r="I101" s="722">
        <v>8810449.4399999995</v>
      </c>
      <c r="J101" s="103">
        <f>+I101</f>
        <v>8810449.4399999995</v>
      </c>
      <c r="K101" s="717">
        <v>45991</v>
      </c>
      <c r="M101"/>
      <c r="N101"/>
      <c r="O101" s="720"/>
      <c r="P101" s="720"/>
      <c r="Q101" s="722"/>
      <c r="R101" s="721"/>
      <c r="S101" s="721"/>
      <c r="T101" s="721"/>
      <c r="U101" s="721"/>
      <c r="V101" s="721"/>
      <c r="W101" s="721"/>
      <c r="X101" s="721"/>
      <c r="Y101" s="721"/>
      <c r="Z101" s="721"/>
      <c r="AA101" s="721"/>
      <c r="AB101" s="721"/>
      <c r="AC101" s="721"/>
      <c r="AD101" s="721"/>
      <c r="AE101" s="105"/>
      <c r="AI101" s="105"/>
      <c r="AJ101" s="105"/>
      <c r="AN101" s="105"/>
      <c r="AO101" s="105"/>
      <c r="AP101" s="105"/>
    </row>
    <row r="102" spans="1:42" outlineLevel="1">
      <c r="A102" s="545">
        <f>MAX($A$10:A101)+1</f>
        <v>93</v>
      </c>
      <c r="B102" s="716" t="s">
        <v>1799</v>
      </c>
      <c r="C102" s="716" t="s">
        <v>1932</v>
      </c>
      <c r="D102" s="716" t="s">
        <v>1933</v>
      </c>
      <c r="E102" s="559">
        <v>385</v>
      </c>
      <c r="F102" s="103">
        <v>63609</v>
      </c>
      <c r="G102" s="103">
        <f t="shared" ref="G102:G148" si="8">+F102</f>
        <v>63609</v>
      </c>
      <c r="H102" s="575">
        <v>45657</v>
      </c>
      <c r="I102" s="722">
        <v>63488.280000000021</v>
      </c>
      <c r="J102" s="103">
        <f>+I102</f>
        <v>63488.280000000021</v>
      </c>
      <c r="K102" s="575">
        <v>46022</v>
      </c>
      <c r="M102"/>
      <c r="N102"/>
      <c r="P102" s="720"/>
      <c r="R102" s="721"/>
      <c r="S102" s="721"/>
      <c r="T102" s="721"/>
      <c r="U102" s="721"/>
      <c r="V102" s="721"/>
      <c r="W102" s="721"/>
      <c r="X102" s="721"/>
      <c r="Y102" s="721"/>
      <c r="Z102" s="721"/>
      <c r="AA102" s="721"/>
      <c r="AB102" s="721"/>
      <c r="AC102" s="721"/>
      <c r="AD102" s="721"/>
      <c r="AE102" s="105"/>
      <c r="AI102" s="105"/>
      <c r="AJ102" s="105"/>
      <c r="AN102" s="105"/>
      <c r="AO102" s="105"/>
      <c r="AP102" s="105"/>
    </row>
    <row r="103" spans="1:42" outlineLevel="1">
      <c r="A103" s="545">
        <f>MAX($A$10:A102)+1</f>
        <v>94</v>
      </c>
      <c r="B103" s="716" t="s">
        <v>1799</v>
      </c>
      <c r="C103" s="716" t="s">
        <v>1934</v>
      </c>
      <c r="D103" s="716" t="s">
        <v>1935</v>
      </c>
      <c r="E103" s="559">
        <v>385</v>
      </c>
      <c r="F103" s="103">
        <v>60676.625099999997</v>
      </c>
      <c r="G103" s="103">
        <f t="shared" si="8"/>
        <v>60676.625099999997</v>
      </c>
      <c r="H103" s="575">
        <v>45657</v>
      </c>
      <c r="I103" s="722">
        <v>60561.47029200002</v>
      </c>
      <c r="J103" s="103">
        <f>+I103</f>
        <v>60561.47029200002</v>
      </c>
      <c r="K103" s="575">
        <v>46022</v>
      </c>
      <c r="M103"/>
      <c r="N103"/>
      <c r="R103" s="721"/>
      <c r="S103" s="721"/>
      <c r="T103" s="721"/>
      <c r="U103" s="721"/>
      <c r="V103" s="721"/>
      <c r="W103" s="721"/>
      <c r="X103" s="721"/>
      <c r="Y103" s="721"/>
      <c r="Z103" s="721"/>
      <c r="AA103" s="721"/>
      <c r="AB103" s="721"/>
      <c r="AC103" s="721"/>
      <c r="AD103" s="721"/>
      <c r="AE103" s="105"/>
      <c r="AI103" s="105"/>
      <c r="AJ103" s="105"/>
      <c r="AN103" s="105"/>
      <c r="AO103" s="105"/>
      <c r="AP103" s="105"/>
    </row>
    <row r="104" spans="1:42" outlineLevel="1">
      <c r="A104" s="545">
        <f>MAX($A$10:A103)+1</f>
        <v>95</v>
      </c>
      <c r="B104" s="716" t="s">
        <v>1799</v>
      </c>
      <c r="C104" s="716" t="s">
        <v>1936</v>
      </c>
      <c r="D104" s="716" t="s">
        <v>1937</v>
      </c>
      <c r="E104" s="559">
        <v>376.2</v>
      </c>
      <c r="F104" s="103">
        <v>16645248.84</v>
      </c>
      <c r="G104" s="103">
        <f t="shared" si="8"/>
        <v>16645248.84</v>
      </c>
      <c r="H104" s="575">
        <v>45450</v>
      </c>
      <c r="J104" s="103"/>
      <c r="K104" s="575"/>
      <c r="M104"/>
      <c r="N104"/>
      <c r="R104" s="721"/>
      <c r="S104" s="721"/>
      <c r="T104" s="721"/>
      <c r="U104" s="721"/>
      <c r="V104" s="721"/>
      <c r="W104" s="721"/>
      <c r="X104" s="721"/>
      <c r="Y104" s="721"/>
      <c r="Z104" s="721"/>
      <c r="AA104" s="721"/>
      <c r="AB104" s="721"/>
      <c r="AC104" s="721"/>
      <c r="AD104" s="721"/>
      <c r="AE104" s="105"/>
      <c r="AI104" s="105"/>
      <c r="AJ104" s="105"/>
      <c r="AN104" s="105"/>
      <c r="AO104" s="105"/>
      <c r="AP104" s="105"/>
    </row>
    <row r="105" spans="1:42" outlineLevel="1">
      <c r="A105" s="545">
        <f>MAX($A$10:A104)+1</f>
        <v>96</v>
      </c>
      <c r="B105" s="716" t="s">
        <v>1799</v>
      </c>
      <c r="C105" s="716" t="s">
        <v>1938</v>
      </c>
      <c r="D105" s="716" t="s">
        <v>1939</v>
      </c>
      <c r="E105" s="559">
        <v>376.2</v>
      </c>
      <c r="F105" s="103">
        <v>1111422.1399999999</v>
      </c>
      <c r="G105" s="103">
        <f t="shared" si="8"/>
        <v>1111422.1399999999</v>
      </c>
      <c r="H105" s="575">
        <v>45303</v>
      </c>
      <c r="J105" s="103"/>
      <c r="K105" s="575"/>
      <c r="M105"/>
      <c r="N105"/>
      <c r="R105" s="721"/>
      <c r="S105" s="721"/>
      <c r="T105" s="721"/>
      <c r="U105" s="721"/>
      <c r="V105" s="721"/>
      <c r="W105" s="721"/>
      <c r="X105" s="721"/>
      <c r="Y105" s="721"/>
      <c r="Z105" s="721"/>
      <c r="AA105" s="721"/>
      <c r="AB105" s="721"/>
      <c r="AC105" s="721"/>
      <c r="AD105" s="721"/>
      <c r="AE105" s="105"/>
      <c r="AI105" s="105"/>
      <c r="AJ105" s="105"/>
      <c r="AN105" s="105"/>
      <c r="AO105" s="105"/>
      <c r="AP105" s="105"/>
    </row>
    <row r="106" spans="1:42" outlineLevel="1">
      <c r="A106" s="545">
        <f>MAX($A$10:A105)+1</f>
        <v>97</v>
      </c>
      <c r="B106" s="716" t="s">
        <v>1799</v>
      </c>
      <c r="C106" s="720" t="s">
        <v>1940</v>
      </c>
      <c r="D106" s="720" t="s">
        <v>1941</v>
      </c>
      <c r="E106" s="559">
        <v>376.2</v>
      </c>
      <c r="F106" s="103"/>
      <c r="G106" s="103">
        <f t="shared" si="8"/>
        <v>0</v>
      </c>
      <c r="I106" s="722">
        <v>5365866.16</v>
      </c>
      <c r="J106" s="103">
        <f>+I106</f>
        <v>5365866.16</v>
      </c>
      <c r="K106" s="717">
        <v>45960</v>
      </c>
      <c r="M106"/>
      <c r="N106"/>
      <c r="O106" s="720"/>
      <c r="P106" s="720"/>
      <c r="Q106" s="722"/>
      <c r="R106" s="721"/>
      <c r="S106" s="721"/>
      <c r="T106" s="721"/>
      <c r="U106" s="721"/>
      <c r="V106" s="721"/>
      <c r="W106" s="721"/>
      <c r="X106" s="721"/>
      <c r="Y106" s="721"/>
      <c r="Z106" s="721"/>
      <c r="AA106" s="721"/>
      <c r="AB106" s="721"/>
      <c r="AC106" s="721"/>
      <c r="AD106" s="721"/>
      <c r="AE106" s="105"/>
      <c r="AI106" s="105"/>
      <c r="AJ106" s="105"/>
      <c r="AN106" s="105"/>
      <c r="AO106" s="105"/>
      <c r="AP106" s="105"/>
    </row>
    <row r="107" spans="1:42" outlineLevel="1">
      <c r="A107" s="545">
        <f>MAX($A$10:A106)+1</f>
        <v>98</v>
      </c>
      <c r="B107" s="716" t="s">
        <v>1799</v>
      </c>
      <c r="C107" s="720" t="s">
        <v>1942</v>
      </c>
      <c r="D107" s="720" t="s">
        <v>1943</v>
      </c>
      <c r="E107" s="559">
        <v>376.1</v>
      </c>
      <c r="F107" s="103">
        <v>166245.634766</v>
      </c>
      <c r="G107" s="103">
        <f t="shared" si="8"/>
        <v>166245.634766</v>
      </c>
      <c r="H107" s="721">
        <v>45381</v>
      </c>
      <c r="J107" s="103"/>
      <c r="K107" s="717"/>
      <c r="M107"/>
      <c r="N107"/>
      <c r="O107" s="720"/>
      <c r="P107" s="720"/>
      <c r="Q107" s="722"/>
      <c r="R107" s="721"/>
      <c r="S107" s="721"/>
      <c r="T107" s="721"/>
      <c r="U107" s="721"/>
      <c r="V107" s="721"/>
      <c r="W107" s="721"/>
      <c r="X107" s="721"/>
      <c r="Y107" s="721"/>
      <c r="Z107" s="721"/>
      <c r="AA107" s="721"/>
      <c r="AB107" s="721"/>
      <c r="AC107" s="721"/>
      <c r="AD107" s="721"/>
      <c r="AE107" s="105"/>
      <c r="AI107" s="105"/>
      <c r="AJ107" s="105"/>
      <c r="AN107" s="105"/>
      <c r="AO107" s="105"/>
      <c r="AP107" s="105"/>
    </row>
    <row r="108" spans="1:42" outlineLevel="1">
      <c r="A108" s="545">
        <f>MAX($A$10:A107)+1</f>
        <v>99</v>
      </c>
      <c r="B108" s="716" t="s">
        <v>1799</v>
      </c>
      <c r="C108" s="720" t="s">
        <v>1944</v>
      </c>
      <c r="D108" s="720" t="s">
        <v>1945</v>
      </c>
      <c r="E108" s="559">
        <v>376.3</v>
      </c>
      <c r="F108" s="103">
        <v>31306.04</v>
      </c>
      <c r="G108" s="103">
        <f t="shared" si="8"/>
        <v>31306.04</v>
      </c>
      <c r="H108" s="721">
        <v>45397</v>
      </c>
      <c r="J108" s="103"/>
      <c r="K108" s="717"/>
      <c r="M108"/>
      <c r="N108"/>
      <c r="O108" s="720"/>
      <c r="P108" s="720"/>
      <c r="Q108" s="722"/>
      <c r="R108" s="721"/>
      <c r="S108" s="721"/>
      <c r="T108" s="721"/>
      <c r="U108" s="721"/>
      <c r="V108" s="721"/>
      <c r="W108" s="721"/>
      <c r="X108" s="721"/>
      <c r="Y108" s="721"/>
      <c r="Z108" s="721"/>
      <c r="AA108" s="721"/>
      <c r="AB108" s="721"/>
      <c r="AC108" s="721"/>
      <c r="AD108" s="721"/>
      <c r="AE108" s="105"/>
      <c r="AI108" s="105"/>
      <c r="AJ108" s="105"/>
      <c r="AN108" s="105"/>
      <c r="AO108" s="105"/>
      <c r="AP108" s="105"/>
    </row>
    <row r="109" spans="1:42" outlineLevel="1">
      <c r="A109" s="545">
        <f>MAX($A$10:A108)+1</f>
        <v>100</v>
      </c>
      <c r="B109" s="716" t="s">
        <v>1799</v>
      </c>
      <c r="C109" s="716" t="s">
        <v>1946</v>
      </c>
      <c r="D109" s="716" t="s">
        <v>1947</v>
      </c>
      <c r="E109" s="559">
        <v>376.2</v>
      </c>
      <c r="F109" s="103">
        <v>3973423.27</v>
      </c>
      <c r="G109" s="103">
        <f t="shared" si="8"/>
        <v>3973423.27</v>
      </c>
      <c r="H109" s="717">
        <v>45565</v>
      </c>
      <c r="I109" s="718"/>
      <c r="J109" s="103">
        <f>+I109</f>
        <v>0</v>
      </c>
      <c r="K109" s="103"/>
      <c r="M109"/>
      <c r="N109"/>
      <c r="P109" s="720"/>
      <c r="R109" s="721"/>
      <c r="S109" s="721"/>
      <c r="T109" s="721"/>
      <c r="U109" s="721"/>
      <c r="V109" s="721"/>
      <c r="W109" s="721"/>
      <c r="X109" s="721"/>
      <c r="Y109" s="721"/>
      <c r="Z109" s="721"/>
      <c r="AA109" s="721"/>
      <c r="AB109" s="721"/>
      <c r="AC109" s="721"/>
      <c r="AD109" s="721"/>
      <c r="AE109" s="105"/>
      <c r="AI109" s="105"/>
      <c r="AJ109" s="105"/>
      <c r="AN109" s="105"/>
      <c r="AO109" s="105"/>
      <c r="AP109" s="105"/>
    </row>
    <row r="110" spans="1:42" outlineLevel="1">
      <c r="A110" s="545">
        <f>MAX($A$10:A109)+1</f>
        <v>101</v>
      </c>
      <c r="B110" s="716" t="s">
        <v>1799</v>
      </c>
      <c r="C110" s="716" t="s">
        <v>1948</v>
      </c>
      <c r="D110" s="716" t="s">
        <v>1949</v>
      </c>
      <c r="E110" s="559">
        <v>376.3</v>
      </c>
      <c r="F110" s="103">
        <v>20447.11</v>
      </c>
      <c r="G110" s="103">
        <f t="shared" si="8"/>
        <v>20447.11</v>
      </c>
      <c r="H110" s="717">
        <v>38001</v>
      </c>
      <c r="I110" s="718"/>
      <c r="J110" s="103"/>
      <c r="K110" s="103"/>
      <c r="M110"/>
      <c r="N110"/>
      <c r="P110" s="720"/>
      <c r="R110" s="721"/>
      <c r="S110" s="721"/>
      <c r="T110" s="721"/>
      <c r="U110" s="721"/>
      <c r="V110" s="721"/>
      <c r="W110" s="721"/>
      <c r="X110" s="721"/>
      <c r="Y110" s="721"/>
      <c r="Z110" s="721"/>
      <c r="AA110" s="721"/>
      <c r="AB110" s="721"/>
      <c r="AC110" s="721"/>
      <c r="AD110" s="721"/>
      <c r="AE110" s="105"/>
      <c r="AI110" s="105"/>
      <c r="AJ110" s="105"/>
      <c r="AN110" s="105"/>
      <c r="AO110" s="105"/>
      <c r="AP110" s="105"/>
    </row>
    <row r="111" spans="1:42" outlineLevel="1">
      <c r="A111" s="545">
        <f>MAX($A$10:A110)+1</f>
        <v>102</v>
      </c>
      <c r="B111" s="716" t="s">
        <v>1799</v>
      </c>
      <c r="C111" s="716" t="s">
        <v>1950</v>
      </c>
      <c r="D111" s="716" t="s">
        <v>1951</v>
      </c>
      <c r="E111" s="559">
        <v>376.2</v>
      </c>
      <c r="F111" s="103">
        <v>340437.40915599995</v>
      </c>
      <c r="G111" s="103">
        <f t="shared" si="8"/>
        <v>340437.40915599995</v>
      </c>
      <c r="H111" s="717">
        <v>45595</v>
      </c>
      <c r="I111" s="718"/>
      <c r="J111" s="103">
        <f>+I111</f>
        <v>0</v>
      </c>
      <c r="K111" s="103"/>
      <c r="M111"/>
      <c r="N111"/>
      <c r="P111" s="720"/>
      <c r="R111" s="721"/>
      <c r="S111" s="721"/>
      <c r="T111" s="721"/>
      <c r="U111" s="721"/>
      <c r="V111" s="721"/>
      <c r="W111" s="721"/>
      <c r="X111" s="721"/>
      <c r="Y111" s="721"/>
      <c r="Z111" s="721"/>
      <c r="AA111" s="721"/>
      <c r="AB111" s="721"/>
      <c r="AC111" s="721"/>
      <c r="AD111" s="721"/>
      <c r="AE111" s="105"/>
      <c r="AI111" s="105"/>
      <c r="AJ111" s="105"/>
      <c r="AN111" s="105"/>
      <c r="AO111" s="105"/>
      <c r="AP111" s="105"/>
    </row>
    <row r="112" spans="1:42" outlineLevel="1">
      <c r="A112" s="545">
        <f>MAX($A$10:A111)+1</f>
        <v>103</v>
      </c>
      <c r="B112" s="716" t="s">
        <v>1799</v>
      </c>
      <c r="C112" s="716" t="s">
        <v>1952</v>
      </c>
      <c r="D112" s="716" t="s">
        <v>1953</v>
      </c>
      <c r="E112" s="559">
        <v>376.3</v>
      </c>
      <c r="F112" s="103">
        <v>377277.10000000003</v>
      </c>
      <c r="G112" s="103">
        <f t="shared" si="8"/>
        <v>377277.10000000003</v>
      </c>
      <c r="H112" s="717">
        <v>45536</v>
      </c>
      <c r="I112" s="718"/>
      <c r="J112" s="103">
        <f>+I112</f>
        <v>0</v>
      </c>
      <c r="K112" s="103"/>
      <c r="M112"/>
      <c r="N112"/>
      <c r="P112" s="720"/>
      <c r="R112" s="721"/>
      <c r="S112" s="721"/>
      <c r="T112" s="721"/>
      <c r="U112" s="721"/>
      <c r="V112" s="721"/>
      <c r="W112" s="721"/>
      <c r="X112" s="721"/>
      <c r="Y112" s="721"/>
      <c r="Z112" s="721"/>
      <c r="AA112" s="721"/>
      <c r="AB112" s="721"/>
      <c r="AC112" s="721"/>
      <c r="AD112" s="721"/>
      <c r="AE112" s="105"/>
      <c r="AI112" s="105"/>
      <c r="AJ112" s="105"/>
      <c r="AN112" s="105"/>
      <c r="AO112" s="105"/>
      <c r="AP112" s="105"/>
    </row>
    <row r="113" spans="1:42" outlineLevel="1">
      <c r="A113" s="545">
        <f>MAX($A$10:A112)+1</f>
        <v>104</v>
      </c>
      <c r="B113" s="716" t="s">
        <v>1799</v>
      </c>
      <c r="C113" s="716" t="s">
        <v>1954</v>
      </c>
      <c r="D113" s="716" t="s">
        <v>1955</v>
      </c>
      <c r="E113" s="559">
        <v>378</v>
      </c>
      <c r="F113" s="103">
        <v>103522.560301</v>
      </c>
      <c r="G113" s="103">
        <f t="shared" si="8"/>
        <v>103522.560301</v>
      </c>
      <c r="H113" s="717">
        <v>45412</v>
      </c>
      <c r="I113" s="718"/>
      <c r="J113" s="103">
        <f>+I113</f>
        <v>0</v>
      </c>
      <c r="K113" s="103"/>
      <c r="M113"/>
      <c r="N113"/>
      <c r="P113" s="720"/>
      <c r="R113" s="721"/>
      <c r="S113" s="721"/>
      <c r="T113" s="721"/>
      <c r="U113" s="721"/>
      <c r="V113" s="721"/>
      <c r="W113" s="721"/>
      <c r="X113" s="721"/>
      <c r="Y113" s="721"/>
      <c r="Z113" s="721"/>
      <c r="AA113" s="721"/>
      <c r="AB113" s="721"/>
      <c r="AC113" s="721"/>
      <c r="AD113" s="721"/>
      <c r="AE113" s="105"/>
      <c r="AI113" s="105"/>
      <c r="AJ113" s="105"/>
      <c r="AN113" s="105"/>
      <c r="AO113" s="105"/>
      <c r="AP113" s="105"/>
    </row>
    <row r="114" spans="1:42" outlineLevel="1">
      <c r="A114" s="545">
        <f>MAX($A$10:A113)+1</f>
        <v>105</v>
      </c>
      <c r="B114" s="716" t="s">
        <v>1799</v>
      </c>
      <c r="C114" s="716" t="s">
        <v>1956</v>
      </c>
      <c r="D114" s="716" t="s">
        <v>1957</v>
      </c>
      <c r="E114" s="559">
        <v>378</v>
      </c>
      <c r="F114" s="103">
        <v>200464.85</v>
      </c>
      <c r="G114" s="103">
        <f t="shared" si="8"/>
        <v>200464.85</v>
      </c>
      <c r="H114" s="717">
        <v>45412</v>
      </c>
      <c r="I114" s="718"/>
      <c r="J114" s="103">
        <f>+I114</f>
        <v>0</v>
      </c>
      <c r="K114" s="103"/>
      <c r="M114"/>
      <c r="N114"/>
      <c r="P114" s="720"/>
      <c r="R114" s="721"/>
      <c r="S114" s="721"/>
      <c r="T114" s="721"/>
      <c r="U114" s="721"/>
      <c r="V114" s="721"/>
      <c r="W114" s="721"/>
      <c r="X114" s="721"/>
      <c r="Y114" s="721"/>
      <c r="Z114" s="721"/>
      <c r="AA114" s="721"/>
      <c r="AB114" s="721"/>
      <c r="AC114" s="721"/>
      <c r="AD114" s="721"/>
      <c r="AE114" s="105"/>
      <c r="AI114" s="105"/>
      <c r="AJ114" s="105"/>
      <c r="AN114" s="105"/>
      <c r="AO114" s="105"/>
      <c r="AP114" s="105"/>
    </row>
    <row r="115" spans="1:42" outlineLevel="1">
      <c r="A115" s="545">
        <f>MAX($A$10:A114)+1</f>
        <v>106</v>
      </c>
      <c r="B115" s="716" t="s">
        <v>1799</v>
      </c>
      <c r="C115" s="720" t="s">
        <v>1958</v>
      </c>
      <c r="D115" s="720" t="s">
        <v>1959</v>
      </c>
      <c r="E115" s="559">
        <v>376.2</v>
      </c>
      <c r="F115" s="103"/>
      <c r="G115" s="103">
        <f t="shared" si="8"/>
        <v>0</v>
      </c>
      <c r="I115" s="722">
        <v>5604681.3499999996</v>
      </c>
      <c r="J115" s="103">
        <f>+I115</f>
        <v>5604681.3499999996</v>
      </c>
      <c r="K115" s="717">
        <v>45992</v>
      </c>
      <c r="M115"/>
      <c r="N115"/>
      <c r="O115" s="720"/>
      <c r="P115" s="720"/>
      <c r="Q115" s="722"/>
      <c r="R115" s="721"/>
      <c r="S115" s="721"/>
      <c r="T115" s="721"/>
      <c r="U115" s="721"/>
      <c r="V115" s="721"/>
      <c r="W115" s="721"/>
      <c r="X115" s="721"/>
      <c r="Y115" s="721"/>
      <c r="Z115" s="721"/>
      <c r="AA115" s="721"/>
      <c r="AB115" s="721"/>
      <c r="AC115" s="721"/>
      <c r="AD115" s="721"/>
      <c r="AE115" s="105"/>
      <c r="AI115" s="105"/>
      <c r="AJ115" s="105"/>
      <c r="AN115" s="105"/>
      <c r="AO115" s="105"/>
      <c r="AP115" s="105"/>
    </row>
    <row r="116" spans="1:42" outlineLevel="1">
      <c r="A116" s="545">
        <f>MAX($A$10:A115)+1</f>
        <v>107</v>
      </c>
      <c r="B116" s="716" t="s">
        <v>1799</v>
      </c>
      <c r="C116" s="720" t="s">
        <v>1960</v>
      </c>
      <c r="D116" s="720" t="s">
        <v>1961</v>
      </c>
      <c r="E116" s="559">
        <v>376.2</v>
      </c>
      <c r="F116" s="103">
        <v>212141.98</v>
      </c>
      <c r="G116" s="103">
        <f t="shared" si="8"/>
        <v>212141.98</v>
      </c>
      <c r="H116" s="721">
        <v>45534</v>
      </c>
      <c r="J116" s="103"/>
      <c r="K116" s="717"/>
      <c r="M116"/>
      <c r="N116"/>
      <c r="O116" s="720"/>
      <c r="P116" s="720"/>
      <c r="Q116" s="722"/>
      <c r="R116" s="721"/>
      <c r="S116" s="721"/>
      <c r="T116" s="721"/>
      <c r="U116" s="721"/>
      <c r="V116" s="721"/>
      <c r="W116" s="721"/>
      <c r="X116" s="721"/>
      <c r="Y116" s="721"/>
      <c r="Z116" s="721"/>
      <c r="AA116" s="721"/>
      <c r="AB116" s="721"/>
      <c r="AC116" s="721"/>
      <c r="AD116" s="721"/>
      <c r="AE116" s="105"/>
      <c r="AI116" s="105"/>
      <c r="AJ116" s="105"/>
      <c r="AN116" s="105"/>
      <c r="AO116" s="105"/>
      <c r="AP116" s="105"/>
    </row>
    <row r="117" spans="1:42" outlineLevel="1">
      <c r="A117" s="545">
        <f>MAX($A$10:A116)+1</f>
        <v>108</v>
      </c>
      <c r="B117" s="716" t="s">
        <v>1799</v>
      </c>
      <c r="C117" s="720" t="s">
        <v>1962</v>
      </c>
      <c r="D117" s="720" t="s">
        <v>1963</v>
      </c>
      <c r="E117" s="559">
        <v>376.2</v>
      </c>
      <c r="F117" s="103"/>
      <c r="G117" s="103">
        <f t="shared" si="8"/>
        <v>0</v>
      </c>
      <c r="I117" s="722">
        <v>1220755.99</v>
      </c>
      <c r="J117" s="103">
        <f>+I117</f>
        <v>1220755.99</v>
      </c>
      <c r="K117" s="717">
        <v>46022</v>
      </c>
      <c r="M117"/>
      <c r="N117"/>
      <c r="O117" s="720"/>
      <c r="P117" s="720"/>
      <c r="Q117" s="722"/>
      <c r="R117" s="721"/>
      <c r="S117" s="721"/>
      <c r="T117" s="721"/>
      <c r="U117" s="721"/>
      <c r="V117" s="721"/>
      <c r="W117" s="721"/>
      <c r="X117" s="721"/>
      <c r="Y117" s="721"/>
      <c r="Z117" s="721"/>
      <c r="AA117" s="721"/>
      <c r="AB117" s="721"/>
      <c r="AC117" s="721"/>
      <c r="AD117" s="721"/>
      <c r="AE117" s="105"/>
      <c r="AI117" s="105"/>
      <c r="AJ117" s="105"/>
      <c r="AN117" s="105"/>
      <c r="AO117" s="105"/>
      <c r="AP117" s="105"/>
    </row>
    <row r="118" spans="1:42" outlineLevel="1">
      <c r="A118" s="545">
        <f>MAX($A$10:A117)+1</f>
        <v>109</v>
      </c>
      <c r="B118" s="716" t="s">
        <v>1799</v>
      </c>
      <c r="C118" s="720" t="s">
        <v>1964</v>
      </c>
      <c r="D118" s="720" t="s">
        <v>1965</v>
      </c>
      <c r="E118" s="559">
        <v>378</v>
      </c>
      <c r="F118" s="103"/>
      <c r="G118" s="103">
        <f t="shared" si="8"/>
        <v>0</v>
      </c>
      <c r="I118" s="722">
        <v>249531.79</v>
      </c>
      <c r="J118" s="103">
        <f>+I118</f>
        <v>249531.79</v>
      </c>
      <c r="K118" s="717">
        <v>45899</v>
      </c>
      <c r="M118"/>
      <c r="N118"/>
      <c r="O118" s="720"/>
      <c r="P118" s="720"/>
      <c r="Q118" s="722"/>
      <c r="R118" s="721"/>
      <c r="S118" s="721"/>
      <c r="T118" s="721"/>
      <c r="U118" s="721"/>
      <c r="V118" s="721"/>
      <c r="W118" s="721"/>
      <c r="X118" s="721"/>
      <c r="Y118" s="721"/>
      <c r="Z118" s="721"/>
      <c r="AA118" s="721"/>
      <c r="AB118" s="721"/>
      <c r="AC118" s="721"/>
      <c r="AD118" s="721"/>
      <c r="AE118" s="105"/>
      <c r="AI118" s="105"/>
      <c r="AJ118" s="105"/>
      <c r="AN118" s="105"/>
      <c r="AO118" s="105"/>
      <c r="AP118" s="105"/>
    </row>
    <row r="119" spans="1:42" outlineLevel="1">
      <c r="A119" s="545">
        <f>MAX($A$10:A118)+1</f>
        <v>110</v>
      </c>
      <c r="B119" s="716" t="s">
        <v>1799</v>
      </c>
      <c r="C119" s="716" t="s">
        <v>1966</v>
      </c>
      <c r="D119" s="716" t="s">
        <v>1967</v>
      </c>
      <c r="E119" s="559">
        <v>376.2</v>
      </c>
      <c r="F119" s="103">
        <v>29040773.440000001</v>
      </c>
      <c r="G119" s="103">
        <f t="shared" si="8"/>
        <v>29040773.440000001</v>
      </c>
      <c r="H119" s="717">
        <v>45595</v>
      </c>
      <c r="I119" s="718"/>
      <c r="J119" s="103">
        <f>+I119</f>
        <v>0</v>
      </c>
      <c r="K119" s="103"/>
      <c r="M119"/>
      <c r="N119"/>
      <c r="R119" s="721"/>
      <c r="S119" s="721"/>
      <c r="T119" s="721"/>
      <c r="U119" s="721"/>
      <c r="V119" s="721"/>
      <c r="W119" s="721"/>
      <c r="X119" s="721"/>
      <c r="Y119" s="721"/>
      <c r="Z119" s="721"/>
      <c r="AA119" s="721"/>
      <c r="AB119" s="721"/>
      <c r="AC119" s="721"/>
      <c r="AD119" s="721"/>
      <c r="AE119" s="105"/>
      <c r="AI119" s="105"/>
      <c r="AJ119" s="105"/>
      <c r="AN119" s="105"/>
      <c r="AO119" s="105"/>
      <c r="AP119" s="105"/>
    </row>
    <row r="120" spans="1:42" outlineLevel="1">
      <c r="A120" s="545">
        <f>MAX($A$10:A119)+1</f>
        <v>111</v>
      </c>
      <c r="B120" s="716" t="s">
        <v>1799</v>
      </c>
      <c r="C120" s="716" t="s">
        <v>1968</v>
      </c>
      <c r="D120" s="716" t="s">
        <v>1969</v>
      </c>
      <c r="E120" s="559">
        <v>374.1</v>
      </c>
      <c r="F120" s="103">
        <v>119146.94</v>
      </c>
      <c r="G120" s="103">
        <f t="shared" si="8"/>
        <v>119146.94</v>
      </c>
      <c r="H120" s="717">
        <v>45321</v>
      </c>
      <c r="I120" s="718"/>
      <c r="J120" s="103"/>
      <c r="K120" s="103"/>
      <c r="M120"/>
      <c r="N120"/>
      <c r="R120" s="721"/>
      <c r="S120" s="721"/>
      <c r="T120" s="721"/>
      <c r="U120" s="721"/>
      <c r="V120" s="721"/>
      <c r="W120" s="721"/>
      <c r="X120" s="721"/>
      <c r="Y120" s="721"/>
      <c r="Z120" s="721"/>
      <c r="AA120" s="721"/>
      <c r="AB120" s="721"/>
      <c r="AC120" s="721"/>
      <c r="AD120" s="721"/>
      <c r="AE120" s="105"/>
      <c r="AI120" s="105"/>
      <c r="AJ120" s="105"/>
      <c r="AN120" s="105"/>
      <c r="AO120" s="105"/>
      <c r="AP120" s="105"/>
    </row>
    <row r="121" spans="1:42" outlineLevel="1">
      <c r="A121" s="545">
        <f>MAX($A$10:A120)+1</f>
        <v>112</v>
      </c>
      <c r="B121" s="716" t="s">
        <v>1799</v>
      </c>
      <c r="C121" s="716" t="s">
        <v>1970</v>
      </c>
      <c r="D121" s="716" t="s">
        <v>1971</v>
      </c>
      <c r="E121" s="559">
        <v>378</v>
      </c>
      <c r="F121" s="103">
        <v>498151.91</v>
      </c>
      <c r="G121" s="103">
        <f t="shared" si="8"/>
        <v>498151.91</v>
      </c>
      <c r="H121" s="717">
        <v>45595</v>
      </c>
      <c r="I121" s="718"/>
      <c r="J121" s="103">
        <f>+I121</f>
        <v>0</v>
      </c>
      <c r="K121" s="103"/>
      <c r="M121"/>
      <c r="N121"/>
      <c r="R121" s="721"/>
      <c r="S121" s="721"/>
      <c r="T121" s="721"/>
      <c r="U121" s="721"/>
      <c r="V121" s="721"/>
      <c r="W121" s="721"/>
      <c r="X121" s="721"/>
      <c r="Y121" s="721"/>
      <c r="Z121" s="721"/>
      <c r="AA121" s="721"/>
      <c r="AB121" s="721"/>
      <c r="AC121" s="721"/>
      <c r="AD121" s="721"/>
      <c r="AE121" s="105"/>
      <c r="AI121" s="105"/>
      <c r="AJ121" s="105"/>
      <c r="AN121" s="105"/>
      <c r="AO121" s="105"/>
      <c r="AP121" s="105"/>
    </row>
    <row r="122" spans="1:42" outlineLevel="1">
      <c r="A122" s="545">
        <f>MAX($A$10:A121)+1</f>
        <v>113</v>
      </c>
      <c r="B122" s="716" t="s">
        <v>1799</v>
      </c>
      <c r="C122" s="716" t="s">
        <v>1972</v>
      </c>
      <c r="D122" s="716" t="s">
        <v>1973</v>
      </c>
      <c r="E122" s="559">
        <v>378</v>
      </c>
      <c r="F122" s="103">
        <v>67326.149999999994</v>
      </c>
      <c r="G122" s="103">
        <f t="shared" si="8"/>
        <v>67326.149999999994</v>
      </c>
      <c r="H122" s="717">
        <v>45458</v>
      </c>
      <c r="I122" s="718"/>
      <c r="J122" s="103"/>
      <c r="K122" s="103"/>
      <c r="M122"/>
      <c r="N122"/>
      <c r="R122" s="721"/>
      <c r="S122" s="721"/>
      <c r="T122" s="721"/>
      <c r="U122" s="721"/>
      <c r="V122" s="721"/>
      <c r="W122" s="721"/>
      <c r="X122" s="721"/>
      <c r="Y122" s="721"/>
      <c r="Z122" s="721"/>
      <c r="AA122" s="721"/>
      <c r="AB122" s="721"/>
      <c r="AC122" s="721"/>
      <c r="AD122" s="721"/>
      <c r="AE122" s="105"/>
      <c r="AI122" s="105"/>
      <c r="AJ122" s="105"/>
      <c r="AN122" s="105"/>
      <c r="AO122" s="105"/>
      <c r="AP122" s="105"/>
    </row>
    <row r="123" spans="1:42" outlineLevel="1">
      <c r="A123" s="545">
        <f>MAX($A$10:A122)+1</f>
        <v>114</v>
      </c>
      <c r="B123" s="716" t="s">
        <v>1799</v>
      </c>
      <c r="C123" s="716" t="s">
        <v>1974</v>
      </c>
      <c r="D123" s="716" t="s">
        <v>1975</v>
      </c>
      <c r="E123" s="559">
        <v>376.1</v>
      </c>
      <c r="F123" s="103">
        <v>344834.96</v>
      </c>
      <c r="G123" s="103">
        <f t="shared" si="8"/>
        <v>344834.96</v>
      </c>
      <c r="H123" s="575">
        <v>45657</v>
      </c>
      <c r="I123" s="722">
        <v>515149.42</v>
      </c>
      <c r="J123" s="103">
        <f t="shared" ref="J123:J128" si="9">+I123</f>
        <v>515149.42</v>
      </c>
      <c r="K123" s="717">
        <v>46022</v>
      </c>
      <c r="M123"/>
      <c r="N123"/>
      <c r="O123" s="720"/>
      <c r="P123" s="720"/>
      <c r="Q123" s="722"/>
      <c r="R123" s="721"/>
      <c r="S123" s="721"/>
      <c r="T123" s="721"/>
      <c r="U123" s="721"/>
      <c r="V123" s="721"/>
      <c r="W123" s="721"/>
      <c r="X123" s="721"/>
      <c r="Y123" s="721"/>
      <c r="Z123" s="721"/>
      <c r="AA123" s="721"/>
      <c r="AB123" s="721"/>
      <c r="AC123" s="721"/>
      <c r="AD123" s="721"/>
      <c r="AE123" s="105"/>
      <c r="AI123" s="105"/>
      <c r="AJ123" s="105"/>
      <c r="AN123" s="105"/>
      <c r="AO123" s="105"/>
      <c r="AP123" s="105"/>
    </row>
    <row r="124" spans="1:42" outlineLevel="1">
      <c r="A124" s="545">
        <f>MAX($A$10:A123)+1</f>
        <v>115</v>
      </c>
      <c r="B124" s="716" t="s">
        <v>1799</v>
      </c>
      <c r="C124" s="716" t="s">
        <v>1976</v>
      </c>
      <c r="D124" s="716" t="s">
        <v>1977</v>
      </c>
      <c r="E124" s="559">
        <v>376.2</v>
      </c>
      <c r="F124" s="103">
        <v>237521.69</v>
      </c>
      <c r="G124" s="103">
        <f t="shared" si="8"/>
        <v>237521.69</v>
      </c>
      <c r="H124" s="717">
        <v>45624</v>
      </c>
      <c r="I124" s="718"/>
      <c r="J124" s="103">
        <f t="shared" si="9"/>
        <v>0</v>
      </c>
      <c r="K124" s="103"/>
      <c r="M124"/>
      <c r="N124"/>
      <c r="O124" s="720"/>
      <c r="P124" s="720"/>
      <c r="Q124" s="721"/>
      <c r="R124" s="721"/>
      <c r="S124" s="721"/>
      <c r="T124" s="721"/>
      <c r="U124" s="721"/>
      <c r="V124" s="721"/>
      <c r="W124" s="721"/>
      <c r="X124" s="721"/>
      <c r="Y124" s="721"/>
      <c r="Z124" s="721"/>
      <c r="AA124" s="721"/>
      <c r="AB124" s="721"/>
      <c r="AC124" s="721"/>
      <c r="AD124" s="721"/>
      <c r="AE124" s="105"/>
      <c r="AI124" s="105"/>
      <c r="AJ124" s="105"/>
      <c r="AN124" s="105"/>
      <c r="AO124" s="105"/>
      <c r="AP124" s="105"/>
    </row>
    <row r="125" spans="1:42" outlineLevel="1">
      <c r="A125" s="545">
        <f>MAX($A$10:A124)+1</f>
        <v>116</v>
      </c>
      <c r="B125" s="716" t="s">
        <v>1799</v>
      </c>
      <c r="C125" s="716" t="s">
        <v>1978</v>
      </c>
      <c r="D125" s="716" t="s">
        <v>1979</v>
      </c>
      <c r="E125" s="559">
        <v>378</v>
      </c>
      <c r="F125" s="103">
        <v>582324.92000000004</v>
      </c>
      <c r="G125" s="103">
        <f t="shared" si="8"/>
        <v>582324.92000000004</v>
      </c>
      <c r="H125" s="717">
        <v>45624</v>
      </c>
      <c r="I125" s="718"/>
      <c r="J125" s="103">
        <f t="shared" si="9"/>
        <v>0</v>
      </c>
      <c r="K125" s="103"/>
      <c r="M125"/>
      <c r="N125"/>
      <c r="O125" s="720"/>
      <c r="P125" s="720"/>
      <c r="Q125" s="721"/>
      <c r="R125" s="721"/>
      <c r="S125" s="721"/>
      <c r="T125" s="721"/>
      <c r="U125" s="721"/>
      <c r="V125" s="721"/>
      <c r="W125" s="721"/>
      <c r="X125" s="721"/>
      <c r="Y125" s="721"/>
      <c r="Z125" s="721"/>
      <c r="AA125" s="721"/>
      <c r="AB125" s="721"/>
      <c r="AC125" s="721"/>
      <c r="AD125" s="721"/>
      <c r="AE125" s="105"/>
      <c r="AI125" s="105"/>
      <c r="AJ125" s="105"/>
      <c r="AN125" s="105"/>
      <c r="AO125" s="105"/>
      <c r="AP125" s="105"/>
    </row>
    <row r="126" spans="1:42" outlineLevel="1">
      <c r="A126" s="545">
        <f>MAX($A$10:A125)+1</f>
        <v>117</v>
      </c>
      <c r="B126" s="716" t="s">
        <v>1799</v>
      </c>
      <c r="C126" s="716" t="s">
        <v>1980</v>
      </c>
      <c r="D126" s="716" t="s">
        <v>1981</v>
      </c>
      <c r="E126" s="559">
        <v>378</v>
      </c>
      <c r="F126" s="103">
        <v>1181773.33</v>
      </c>
      <c r="G126" s="103">
        <f t="shared" si="8"/>
        <v>1181773.33</v>
      </c>
      <c r="H126" s="717">
        <v>45624</v>
      </c>
      <c r="I126" s="718"/>
      <c r="J126" s="103">
        <f t="shared" si="9"/>
        <v>0</v>
      </c>
      <c r="K126" s="103"/>
      <c r="M126"/>
      <c r="N126"/>
      <c r="O126" s="720"/>
      <c r="P126" s="720"/>
      <c r="Q126" s="721"/>
      <c r="R126" s="721"/>
      <c r="S126" s="721"/>
      <c r="T126" s="721"/>
      <c r="U126" s="721"/>
      <c r="V126" s="721"/>
      <c r="W126" s="721"/>
      <c r="X126" s="721"/>
      <c r="Y126" s="721"/>
      <c r="Z126" s="721"/>
      <c r="AA126" s="721"/>
      <c r="AB126" s="721"/>
      <c r="AC126" s="721"/>
      <c r="AD126" s="721"/>
      <c r="AE126" s="105"/>
      <c r="AI126" s="105"/>
      <c r="AJ126" s="105"/>
      <c r="AN126" s="105"/>
      <c r="AO126" s="105"/>
      <c r="AP126" s="105"/>
    </row>
    <row r="127" spans="1:42" outlineLevel="1">
      <c r="A127" s="545">
        <f>MAX($A$10:A126)+1</f>
        <v>118</v>
      </c>
      <c r="B127" s="716" t="s">
        <v>1799</v>
      </c>
      <c r="C127" s="716" t="s">
        <v>1982</v>
      </c>
      <c r="D127" s="716" t="s">
        <v>1983</v>
      </c>
      <c r="E127" s="559">
        <v>385</v>
      </c>
      <c r="F127" s="103">
        <v>97718.88</v>
      </c>
      <c r="G127" s="103">
        <f t="shared" si="8"/>
        <v>97718.88</v>
      </c>
      <c r="H127" s="717">
        <v>45624</v>
      </c>
      <c r="I127" s="718"/>
      <c r="J127" s="103">
        <f t="shared" si="9"/>
        <v>0</v>
      </c>
      <c r="K127" s="103"/>
      <c r="M127"/>
      <c r="N127"/>
      <c r="O127" s="720"/>
      <c r="P127" s="720"/>
      <c r="Q127" s="721"/>
      <c r="R127" s="721"/>
      <c r="S127" s="721"/>
      <c r="T127" s="721"/>
      <c r="U127" s="721"/>
      <c r="V127" s="721"/>
      <c r="W127" s="721"/>
      <c r="X127" s="721"/>
      <c r="Y127" s="721"/>
      <c r="Z127" s="721"/>
      <c r="AA127" s="721"/>
      <c r="AB127" s="721"/>
      <c r="AC127" s="721"/>
      <c r="AD127" s="721"/>
      <c r="AE127" s="105"/>
      <c r="AI127" s="105"/>
      <c r="AJ127" s="105"/>
      <c r="AN127" s="105"/>
      <c r="AO127" s="105"/>
      <c r="AP127" s="105"/>
    </row>
    <row r="128" spans="1:42" outlineLevel="1">
      <c r="A128" s="545">
        <f>MAX($A$10:A127)+1</f>
        <v>119</v>
      </c>
      <c r="B128" s="716" t="s">
        <v>1799</v>
      </c>
      <c r="C128" s="716" t="s">
        <v>1984</v>
      </c>
      <c r="D128" s="716" t="s">
        <v>1985</v>
      </c>
      <c r="E128" s="559">
        <v>378</v>
      </c>
      <c r="F128" s="103">
        <v>1117240.8899999999</v>
      </c>
      <c r="G128" s="103">
        <f t="shared" si="8"/>
        <v>1117240.8899999999</v>
      </c>
      <c r="H128" s="717">
        <v>45327</v>
      </c>
      <c r="I128" s="718"/>
      <c r="J128" s="103">
        <f t="shared" si="9"/>
        <v>0</v>
      </c>
      <c r="K128" s="103"/>
      <c r="M128"/>
      <c r="N128"/>
      <c r="O128" s="720"/>
      <c r="P128" s="720"/>
      <c r="Q128" s="721"/>
      <c r="R128" s="721"/>
      <c r="S128" s="721"/>
      <c r="T128" s="721"/>
      <c r="U128" s="721"/>
      <c r="V128" s="721"/>
      <c r="W128" s="721"/>
      <c r="X128" s="721"/>
      <c r="Y128" s="721"/>
      <c r="Z128" s="721"/>
      <c r="AA128" s="721"/>
      <c r="AB128" s="721"/>
      <c r="AC128" s="721"/>
      <c r="AD128" s="721"/>
      <c r="AE128" s="105"/>
      <c r="AI128" s="105"/>
      <c r="AJ128" s="105"/>
      <c r="AN128" s="105"/>
      <c r="AO128" s="105"/>
      <c r="AP128" s="105"/>
    </row>
    <row r="129" spans="1:42" outlineLevel="1">
      <c r="A129" s="545">
        <f>MAX($A$10:A128)+1</f>
        <v>120</v>
      </c>
      <c r="B129" s="716" t="s">
        <v>1799</v>
      </c>
      <c r="C129" s="716" t="s">
        <v>1986</v>
      </c>
      <c r="D129" s="716" t="s">
        <v>1987</v>
      </c>
      <c r="E129" s="559">
        <v>378</v>
      </c>
      <c r="F129" s="103">
        <v>365957.98</v>
      </c>
      <c r="G129" s="103">
        <f t="shared" si="8"/>
        <v>365957.98</v>
      </c>
      <c r="H129" s="717">
        <v>45327</v>
      </c>
      <c r="I129" s="718"/>
      <c r="J129" s="103"/>
      <c r="K129" s="103"/>
      <c r="M129"/>
      <c r="N129"/>
      <c r="O129" s="720"/>
      <c r="P129" s="720"/>
      <c r="Q129" s="721"/>
      <c r="R129" s="721"/>
      <c r="S129" s="721"/>
      <c r="T129" s="721"/>
      <c r="U129" s="721"/>
      <c r="V129" s="721"/>
      <c r="W129" s="721"/>
      <c r="X129" s="721"/>
      <c r="Y129" s="721"/>
      <c r="Z129" s="721"/>
      <c r="AA129" s="721"/>
      <c r="AB129" s="721"/>
      <c r="AC129" s="721"/>
      <c r="AD129" s="721"/>
      <c r="AE129" s="105"/>
      <c r="AI129" s="105"/>
      <c r="AJ129" s="105"/>
      <c r="AN129" s="105"/>
      <c r="AO129" s="105"/>
      <c r="AP129" s="105"/>
    </row>
    <row r="130" spans="1:42" outlineLevel="1">
      <c r="A130" s="545">
        <f>MAX($A$10:A129)+1</f>
        <v>121</v>
      </c>
      <c r="B130" s="716" t="s">
        <v>1799</v>
      </c>
      <c r="C130" s="716" t="s">
        <v>1988</v>
      </c>
      <c r="D130" s="716" t="s">
        <v>1989</v>
      </c>
      <c r="E130" s="559">
        <v>385</v>
      </c>
      <c r="F130" s="103">
        <v>43012.79</v>
      </c>
      <c r="G130" s="103">
        <f t="shared" si="8"/>
        <v>43012.79</v>
      </c>
      <c r="H130" s="717">
        <v>45327</v>
      </c>
      <c r="I130" s="718"/>
      <c r="J130" s="103"/>
      <c r="K130" s="103"/>
      <c r="M130"/>
      <c r="N130"/>
      <c r="O130" s="720"/>
      <c r="P130" s="720"/>
      <c r="Q130" s="721"/>
      <c r="R130" s="721"/>
      <c r="S130" s="721"/>
      <c r="T130" s="721"/>
      <c r="U130" s="721"/>
      <c r="V130" s="721"/>
      <c r="W130" s="721"/>
      <c r="X130" s="721"/>
      <c r="Y130" s="721"/>
      <c r="Z130" s="721"/>
      <c r="AA130" s="721"/>
      <c r="AB130" s="721"/>
      <c r="AC130" s="721"/>
      <c r="AD130" s="721"/>
      <c r="AE130" s="105"/>
      <c r="AI130" s="105"/>
      <c r="AJ130" s="105"/>
      <c r="AN130" s="105"/>
      <c r="AO130" s="105"/>
      <c r="AP130" s="105"/>
    </row>
    <row r="131" spans="1:42" outlineLevel="1">
      <c r="A131" s="545">
        <f>MAX($A$10:A130)+1</f>
        <v>122</v>
      </c>
      <c r="B131" s="716" t="s">
        <v>1799</v>
      </c>
      <c r="C131" s="716" t="s">
        <v>1990</v>
      </c>
      <c r="D131" s="716" t="s">
        <v>1991</v>
      </c>
      <c r="E131" s="559">
        <v>385</v>
      </c>
      <c r="F131" s="103">
        <v>56595.090000000004</v>
      </c>
      <c r="G131" s="103">
        <f t="shared" si="8"/>
        <v>56595.090000000004</v>
      </c>
      <c r="H131" s="717">
        <v>45327</v>
      </c>
      <c r="I131" s="718"/>
      <c r="J131" s="103"/>
      <c r="K131" s="103"/>
      <c r="M131"/>
      <c r="N131"/>
      <c r="O131" s="720"/>
      <c r="P131" s="720"/>
      <c r="Q131" s="721"/>
      <c r="R131" s="721"/>
      <c r="S131" s="721"/>
      <c r="T131" s="721"/>
      <c r="U131" s="721"/>
      <c r="V131" s="721"/>
      <c r="W131" s="721"/>
      <c r="X131" s="721"/>
      <c r="Y131" s="721"/>
      <c r="Z131" s="721"/>
      <c r="AA131" s="721"/>
      <c r="AB131" s="721"/>
      <c r="AC131" s="721"/>
      <c r="AD131" s="721"/>
      <c r="AE131" s="105"/>
      <c r="AI131" s="105"/>
      <c r="AJ131" s="105"/>
      <c r="AN131" s="105"/>
      <c r="AO131" s="105"/>
      <c r="AP131" s="105"/>
    </row>
    <row r="132" spans="1:42" outlineLevel="1">
      <c r="A132" s="545">
        <f>MAX($A$10:A131)+1</f>
        <v>123</v>
      </c>
      <c r="B132" s="716" t="s">
        <v>1799</v>
      </c>
      <c r="C132" s="716" t="s">
        <v>1992</v>
      </c>
      <c r="D132" s="716" t="s">
        <v>1993</v>
      </c>
      <c r="E132" s="559">
        <v>378</v>
      </c>
      <c r="F132" s="103">
        <v>1117315.6200000001</v>
      </c>
      <c r="G132" s="103">
        <f t="shared" si="8"/>
        <v>1117315.6200000001</v>
      </c>
      <c r="H132" s="717">
        <v>45327</v>
      </c>
      <c r="I132" s="718"/>
      <c r="J132" s="103"/>
      <c r="K132" s="103"/>
      <c r="M132"/>
      <c r="N132"/>
      <c r="O132" s="720"/>
      <c r="P132" s="720"/>
      <c r="Q132" s="721"/>
      <c r="R132" s="721"/>
      <c r="S132" s="721"/>
      <c r="T132" s="721"/>
      <c r="U132" s="721"/>
      <c r="V132" s="721"/>
      <c r="W132" s="721"/>
      <c r="X132" s="721"/>
      <c r="Y132" s="721"/>
      <c r="Z132" s="721"/>
      <c r="AA132" s="721"/>
      <c r="AB132" s="721"/>
      <c r="AC132" s="721"/>
      <c r="AD132" s="721"/>
      <c r="AE132" s="105"/>
      <c r="AI132" s="105"/>
      <c r="AJ132" s="105"/>
      <c r="AN132" s="105"/>
      <c r="AO132" s="105"/>
      <c r="AP132" s="105"/>
    </row>
    <row r="133" spans="1:42" outlineLevel="1">
      <c r="A133" s="545">
        <f>MAX($A$10:A132)+1</f>
        <v>124</v>
      </c>
      <c r="B133" s="716" t="s">
        <v>1799</v>
      </c>
      <c r="C133" s="716" t="s">
        <v>1994</v>
      </c>
      <c r="D133" s="716" t="s">
        <v>1995</v>
      </c>
      <c r="E133" s="559">
        <v>378</v>
      </c>
      <c r="F133" s="103">
        <v>540060.30000000005</v>
      </c>
      <c r="G133" s="103">
        <f t="shared" si="8"/>
        <v>540060.30000000005</v>
      </c>
      <c r="H133" s="717">
        <v>45327</v>
      </c>
      <c r="I133" s="718"/>
      <c r="J133" s="103"/>
      <c r="K133" s="103"/>
      <c r="M133"/>
      <c r="N133"/>
      <c r="O133" s="720"/>
      <c r="P133" s="720"/>
      <c r="Q133" s="721"/>
      <c r="R133" s="721"/>
      <c r="S133" s="721"/>
      <c r="T133" s="721"/>
      <c r="U133" s="721"/>
      <c r="V133" s="721"/>
      <c r="W133" s="721"/>
      <c r="X133" s="721"/>
      <c r="Y133" s="721"/>
      <c r="Z133" s="721"/>
      <c r="AA133" s="721"/>
      <c r="AB133" s="721"/>
      <c r="AC133" s="721"/>
      <c r="AD133" s="721"/>
      <c r="AE133" s="105"/>
      <c r="AI133" s="105"/>
      <c r="AJ133" s="105"/>
      <c r="AN133" s="105"/>
      <c r="AO133" s="105"/>
      <c r="AP133" s="105"/>
    </row>
    <row r="134" spans="1:42" outlineLevel="1">
      <c r="A134" s="545">
        <f>MAX($A$10:A133)+1</f>
        <v>125</v>
      </c>
      <c r="B134" s="716" t="s">
        <v>1799</v>
      </c>
      <c r="C134" s="716" t="s">
        <v>1996</v>
      </c>
      <c r="D134" s="716" t="s">
        <v>1997</v>
      </c>
      <c r="E134" s="559">
        <v>376.3</v>
      </c>
      <c r="F134" s="103">
        <v>131189.38</v>
      </c>
      <c r="G134" s="103">
        <f t="shared" si="8"/>
        <v>131189.38</v>
      </c>
      <c r="H134" s="717">
        <v>45352</v>
      </c>
      <c r="I134" s="718"/>
      <c r="J134" s="103"/>
      <c r="K134" s="103"/>
      <c r="M134"/>
      <c r="N134"/>
      <c r="O134" s="720"/>
      <c r="P134" s="720"/>
      <c r="Q134" s="721"/>
      <c r="R134" s="721"/>
      <c r="S134" s="721"/>
      <c r="T134" s="721"/>
      <c r="U134" s="721"/>
      <c r="V134" s="721"/>
      <c r="W134" s="721"/>
      <c r="X134" s="721"/>
      <c r="Y134" s="721"/>
      <c r="Z134" s="721"/>
      <c r="AA134" s="721"/>
      <c r="AB134" s="721"/>
      <c r="AC134" s="721"/>
      <c r="AD134" s="721"/>
      <c r="AE134" s="105"/>
      <c r="AI134" s="105"/>
      <c r="AJ134" s="105"/>
      <c r="AN134" s="105"/>
      <c r="AO134" s="105"/>
      <c r="AP134" s="105"/>
    </row>
    <row r="135" spans="1:42" outlineLevel="1">
      <c r="A135" s="545">
        <f>MAX($A$10:A134)+1</f>
        <v>126</v>
      </c>
      <c r="B135" s="716" t="s">
        <v>1799</v>
      </c>
      <c r="C135" s="716" t="s">
        <v>1998</v>
      </c>
      <c r="D135" s="716" t="s">
        <v>1999</v>
      </c>
      <c r="E135" s="559">
        <v>376.3</v>
      </c>
      <c r="F135" s="103">
        <v>343875.48</v>
      </c>
      <c r="G135" s="103">
        <f t="shared" si="8"/>
        <v>343875.48</v>
      </c>
      <c r="H135" s="717">
        <v>45536</v>
      </c>
      <c r="I135" s="718"/>
      <c r="J135" s="103">
        <f>+I135</f>
        <v>0</v>
      </c>
      <c r="K135" s="103"/>
      <c r="M135"/>
      <c r="N135"/>
      <c r="O135" s="720"/>
      <c r="P135" s="720"/>
      <c r="Q135" s="721"/>
      <c r="R135" s="721"/>
      <c r="S135" s="721"/>
      <c r="T135" s="721"/>
      <c r="U135" s="721"/>
      <c r="V135" s="721"/>
      <c r="W135" s="721"/>
      <c r="X135" s="721"/>
      <c r="Y135" s="721"/>
      <c r="Z135" s="721"/>
      <c r="AA135" s="721"/>
      <c r="AB135" s="721"/>
      <c r="AC135" s="721"/>
      <c r="AD135" s="721"/>
      <c r="AE135" s="105"/>
      <c r="AI135" s="105"/>
      <c r="AJ135" s="105"/>
      <c r="AN135" s="105"/>
      <c r="AO135" s="105"/>
      <c r="AP135" s="105"/>
    </row>
    <row r="136" spans="1:42" outlineLevel="1">
      <c r="A136" s="545">
        <f>MAX($A$10:A135)+1</f>
        <v>127</v>
      </c>
      <c r="B136" s="716" t="s">
        <v>1799</v>
      </c>
      <c r="C136" s="716" t="s">
        <v>2000</v>
      </c>
      <c r="D136" s="716" t="s">
        <v>2001</v>
      </c>
      <c r="E136" s="559">
        <v>376.2</v>
      </c>
      <c r="F136" s="103">
        <v>63627.04733899999</v>
      </c>
      <c r="G136" s="103">
        <f t="shared" si="8"/>
        <v>63627.04733899999</v>
      </c>
      <c r="H136" s="717">
        <v>45534</v>
      </c>
      <c r="I136" s="718"/>
      <c r="J136" s="103"/>
      <c r="K136" s="103"/>
      <c r="M136"/>
      <c r="N136"/>
      <c r="O136" s="720"/>
      <c r="P136" s="720"/>
      <c r="Q136" s="721"/>
      <c r="R136" s="721"/>
      <c r="S136" s="721"/>
      <c r="T136" s="721"/>
      <c r="U136" s="721"/>
      <c r="V136" s="721"/>
      <c r="W136" s="721"/>
      <c r="X136" s="721"/>
      <c r="Y136" s="721"/>
      <c r="Z136" s="721"/>
      <c r="AA136" s="721"/>
      <c r="AB136" s="721"/>
      <c r="AC136" s="721"/>
      <c r="AD136" s="721"/>
      <c r="AE136" s="105"/>
      <c r="AI136" s="105"/>
      <c r="AJ136" s="105"/>
      <c r="AN136" s="105"/>
      <c r="AO136" s="105"/>
      <c r="AP136" s="105"/>
    </row>
    <row r="137" spans="1:42" outlineLevel="1">
      <c r="A137" s="545">
        <f>MAX($A$10:A136)+1</f>
        <v>128</v>
      </c>
      <c r="B137" s="716" t="s">
        <v>1799</v>
      </c>
      <c r="C137" s="716" t="s">
        <v>2002</v>
      </c>
      <c r="D137" s="716" t="s">
        <v>2003</v>
      </c>
      <c r="E137" s="559">
        <v>378</v>
      </c>
      <c r="F137" s="103">
        <v>206332.31882699998</v>
      </c>
      <c r="G137" s="103">
        <f t="shared" si="8"/>
        <v>206332.31882699998</v>
      </c>
      <c r="H137" s="717">
        <v>45596</v>
      </c>
      <c r="I137" s="718"/>
      <c r="J137" s="103"/>
      <c r="K137" s="103"/>
      <c r="M137"/>
      <c r="N137"/>
      <c r="O137" s="720"/>
      <c r="P137" s="720"/>
      <c r="Q137" s="721"/>
      <c r="R137" s="721"/>
      <c r="S137" s="721"/>
      <c r="T137" s="721"/>
      <c r="U137" s="721"/>
      <c r="V137" s="721"/>
      <c r="W137" s="721"/>
      <c r="X137" s="721"/>
      <c r="Y137" s="721"/>
      <c r="Z137" s="721"/>
      <c r="AA137" s="721"/>
      <c r="AB137" s="721"/>
      <c r="AC137" s="721"/>
      <c r="AD137" s="721"/>
      <c r="AE137" s="105"/>
      <c r="AI137" s="105"/>
      <c r="AJ137" s="105"/>
      <c r="AN137" s="105"/>
      <c r="AO137" s="105"/>
      <c r="AP137" s="105"/>
    </row>
    <row r="138" spans="1:42" outlineLevel="1">
      <c r="A138" s="545">
        <f>MAX($A$10:A137)+1</f>
        <v>129</v>
      </c>
      <c r="B138" s="716" t="s">
        <v>1799</v>
      </c>
      <c r="C138" s="716" t="s">
        <v>2004</v>
      </c>
      <c r="D138" s="716" t="s">
        <v>2005</v>
      </c>
      <c r="E138" s="559">
        <v>377</v>
      </c>
      <c r="F138" s="103">
        <v>147143.04999999999</v>
      </c>
      <c r="G138" s="103">
        <f t="shared" si="8"/>
        <v>147143.04999999999</v>
      </c>
      <c r="H138" s="717">
        <v>45565</v>
      </c>
      <c r="I138" s="718"/>
      <c r="J138" s="103">
        <f>+I138</f>
        <v>0</v>
      </c>
      <c r="K138" s="103"/>
      <c r="M138"/>
      <c r="N138"/>
      <c r="O138" s="720"/>
      <c r="P138" s="720"/>
      <c r="Q138" s="721"/>
      <c r="R138" s="721"/>
      <c r="S138" s="721"/>
      <c r="T138" s="721"/>
      <c r="U138" s="721"/>
      <c r="V138" s="721"/>
      <c r="W138" s="721"/>
      <c r="X138" s="721"/>
      <c r="Y138" s="721"/>
      <c r="Z138" s="721"/>
      <c r="AA138" s="721"/>
      <c r="AB138" s="721"/>
      <c r="AC138" s="721"/>
      <c r="AD138" s="721"/>
      <c r="AE138" s="105"/>
      <c r="AI138" s="105"/>
      <c r="AJ138" s="105"/>
      <c r="AN138" s="105"/>
      <c r="AO138" s="105"/>
      <c r="AP138" s="105"/>
    </row>
    <row r="139" spans="1:42" outlineLevel="1">
      <c r="A139" s="545">
        <f>MAX($A$10:A138)+1</f>
        <v>130</v>
      </c>
      <c r="B139" s="716" t="s">
        <v>1799</v>
      </c>
      <c r="C139" s="716" t="s">
        <v>2006</v>
      </c>
      <c r="D139" s="716" t="s">
        <v>2007</v>
      </c>
      <c r="E139" s="559">
        <v>385</v>
      </c>
      <c r="F139" s="103">
        <v>200050.77</v>
      </c>
      <c r="G139" s="103">
        <f t="shared" si="8"/>
        <v>200050.77</v>
      </c>
      <c r="H139" s="717">
        <v>45595</v>
      </c>
      <c r="I139" s="718"/>
      <c r="J139" s="103">
        <f>+I139</f>
        <v>0</v>
      </c>
      <c r="K139" s="103"/>
      <c r="M139"/>
      <c r="N139"/>
      <c r="O139" s="720"/>
      <c r="P139" s="720"/>
      <c r="Q139" s="721"/>
      <c r="R139" s="721"/>
      <c r="S139" s="721"/>
      <c r="T139" s="721"/>
      <c r="U139" s="721"/>
      <c r="V139" s="721"/>
      <c r="W139" s="721"/>
      <c r="X139" s="721"/>
      <c r="Y139" s="721"/>
      <c r="Z139" s="721"/>
      <c r="AA139" s="721"/>
      <c r="AB139" s="721"/>
      <c r="AC139" s="721"/>
      <c r="AD139" s="721"/>
      <c r="AE139" s="105"/>
      <c r="AI139" s="105"/>
      <c r="AJ139" s="105"/>
      <c r="AN139" s="105"/>
      <c r="AO139" s="105"/>
      <c r="AP139" s="105"/>
    </row>
    <row r="140" spans="1:42" outlineLevel="1">
      <c r="A140" s="545">
        <f>MAX($A$10:A139)+1</f>
        <v>131</v>
      </c>
      <c r="B140" s="716" t="s">
        <v>1799</v>
      </c>
      <c r="C140" s="716" t="s">
        <v>2008</v>
      </c>
      <c r="D140" s="716" t="s">
        <v>2009</v>
      </c>
      <c r="E140" s="559">
        <v>377</v>
      </c>
      <c r="F140" s="103">
        <v>18881.810000000001</v>
      </c>
      <c r="G140" s="103">
        <f t="shared" si="8"/>
        <v>18881.810000000001</v>
      </c>
      <c r="H140" s="717">
        <v>45350</v>
      </c>
      <c r="I140" s="718"/>
      <c r="J140" s="103"/>
      <c r="K140" s="103"/>
      <c r="M140"/>
      <c r="N140"/>
      <c r="O140" s="720"/>
      <c r="P140" s="720"/>
      <c r="Q140" s="721"/>
      <c r="R140" s="721"/>
      <c r="S140" s="721"/>
      <c r="T140" s="721"/>
      <c r="U140" s="721"/>
      <c r="V140" s="721"/>
      <c r="W140" s="721"/>
      <c r="X140" s="721"/>
      <c r="Y140" s="721"/>
      <c r="Z140" s="721"/>
      <c r="AA140" s="721"/>
      <c r="AB140" s="721"/>
      <c r="AC140" s="721"/>
      <c r="AD140" s="721"/>
      <c r="AE140" s="105"/>
      <c r="AI140" s="105"/>
      <c r="AJ140" s="105"/>
      <c r="AN140" s="105"/>
      <c r="AO140" s="105"/>
      <c r="AP140" s="105"/>
    </row>
    <row r="141" spans="1:42" outlineLevel="1">
      <c r="A141" s="545">
        <f>MAX($A$10:A140)+1</f>
        <v>132</v>
      </c>
      <c r="B141" s="716" t="s">
        <v>1799</v>
      </c>
      <c r="C141" s="716" t="s">
        <v>2010</v>
      </c>
      <c r="D141" s="716" t="s">
        <v>2011</v>
      </c>
      <c r="E141" s="559">
        <v>378</v>
      </c>
      <c r="F141" s="103">
        <v>55851.398262000002</v>
      </c>
      <c r="G141" s="103">
        <f t="shared" si="8"/>
        <v>55851.398262000002</v>
      </c>
      <c r="H141" s="717">
        <v>45350</v>
      </c>
      <c r="I141" s="718"/>
      <c r="J141" s="103"/>
      <c r="K141" s="103"/>
      <c r="M141"/>
      <c r="N141"/>
      <c r="O141" s="720"/>
      <c r="P141" s="720"/>
      <c r="Q141" s="721"/>
      <c r="R141" s="721"/>
      <c r="S141" s="721"/>
      <c r="T141" s="721"/>
      <c r="U141" s="721"/>
      <c r="V141" s="721"/>
      <c r="W141" s="721"/>
      <c r="X141" s="721"/>
      <c r="Y141" s="721"/>
      <c r="Z141" s="721"/>
      <c r="AA141" s="721"/>
      <c r="AB141" s="721"/>
      <c r="AC141" s="721"/>
      <c r="AD141" s="721"/>
      <c r="AE141" s="105"/>
      <c r="AI141" s="105"/>
      <c r="AJ141" s="105"/>
      <c r="AN141" s="105"/>
      <c r="AO141" s="105"/>
      <c r="AP141" s="105"/>
    </row>
    <row r="142" spans="1:42" outlineLevel="1">
      <c r="A142" s="545">
        <f>MAX($A$10:A141)+1</f>
        <v>133</v>
      </c>
      <c r="B142" s="716" t="s">
        <v>1799</v>
      </c>
      <c r="C142" s="716" t="s">
        <v>2012</v>
      </c>
      <c r="D142" s="716" t="s">
        <v>2013</v>
      </c>
      <c r="E142" s="559">
        <v>376.2</v>
      </c>
      <c r="F142" s="103">
        <v>1934355.9500000002</v>
      </c>
      <c r="G142" s="103">
        <f t="shared" si="8"/>
        <v>1934355.9500000002</v>
      </c>
      <c r="H142" s="717">
        <v>45595</v>
      </c>
      <c r="I142" s="718"/>
      <c r="J142" s="103">
        <f t="shared" ref="J142:J149" si="10">+I142</f>
        <v>0</v>
      </c>
      <c r="K142" s="103"/>
      <c r="M142"/>
      <c r="N142"/>
      <c r="O142" s="720"/>
      <c r="P142" s="720"/>
      <c r="Q142" s="721"/>
      <c r="R142" s="721"/>
      <c r="S142" s="721"/>
      <c r="T142" s="721"/>
      <c r="U142" s="721"/>
      <c r="V142" s="721"/>
      <c r="W142" s="721"/>
      <c r="X142" s="721"/>
      <c r="Y142" s="721"/>
      <c r="Z142" s="721"/>
      <c r="AA142" s="721"/>
      <c r="AB142" s="721"/>
      <c r="AC142" s="721"/>
      <c r="AD142" s="721"/>
      <c r="AE142" s="105"/>
      <c r="AI142" s="105"/>
      <c r="AJ142" s="105"/>
      <c r="AN142" s="105"/>
      <c r="AO142" s="105"/>
      <c r="AP142" s="105"/>
    </row>
    <row r="143" spans="1:42" outlineLevel="1">
      <c r="A143" s="545">
        <f>MAX($A$10:A142)+1</f>
        <v>134</v>
      </c>
      <c r="B143" s="716" t="s">
        <v>1799</v>
      </c>
      <c r="C143" s="720" t="s">
        <v>2014</v>
      </c>
      <c r="D143" s="720" t="s">
        <v>2015</v>
      </c>
      <c r="E143" s="559">
        <v>378</v>
      </c>
      <c r="F143" s="103">
        <v>0</v>
      </c>
      <c r="G143" s="103">
        <f t="shared" si="8"/>
        <v>0</v>
      </c>
      <c r="H143" s="721"/>
      <c r="I143" s="722">
        <v>886934.01</v>
      </c>
      <c r="J143" s="103">
        <f t="shared" si="10"/>
        <v>886934.01</v>
      </c>
      <c r="K143" s="717">
        <v>45667</v>
      </c>
      <c r="M143"/>
      <c r="N143"/>
      <c r="O143" s="720"/>
      <c r="P143" s="720"/>
      <c r="Q143" s="721"/>
      <c r="R143" s="721"/>
      <c r="S143" s="721"/>
      <c r="T143" s="721"/>
      <c r="U143" s="721"/>
      <c r="V143" s="721"/>
      <c r="W143" s="721"/>
      <c r="X143" s="721"/>
      <c r="Y143" s="721"/>
      <c r="Z143" s="721"/>
      <c r="AA143" s="721"/>
      <c r="AB143" s="721"/>
      <c r="AC143" s="721"/>
      <c r="AD143" s="721"/>
      <c r="AE143" s="105"/>
      <c r="AI143" s="105"/>
      <c r="AJ143" s="105"/>
      <c r="AN143" s="105"/>
      <c r="AO143" s="105"/>
      <c r="AP143" s="105"/>
    </row>
    <row r="144" spans="1:42" outlineLevel="1">
      <c r="A144" s="545">
        <f>MAX($A$10:A143)+1</f>
        <v>135</v>
      </c>
      <c r="B144" s="716" t="s">
        <v>1799</v>
      </c>
      <c r="C144" s="716" t="s">
        <v>2016</v>
      </c>
      <c r="D144" s="716" t="s">
        <v>2017</v>
      </c>
      <c r="E144" s="559">
        <v>378</v>
      </c>
      <c r="F144" s="103">
        <v>789230.02</v>
      </c>
      <c r="G144" s="103">
        <f t="shared" si="8"/>
        <v>789230.02</v>
      </c>
      <c r="H144" s="717">
        <v>45641</v>
      </c>
      <c r="I144" s="718"/>
      <c r="J144" s="103">
        <f t="shared" si="10"/>
        <v>0</v>
      </c>
      <c r="K144" s="103"/>
      <c r="M144"/>
      <c r="N144"/>
      <c r="O144" s="720"/>
      <c r="P144" s="720"/>
      <c r="Q144" s="721"/>
      <c r="R144" s="721"/>
      <c r="S144" s="721"/>
      <c r="T144" s="721"/>
      <c r="U144" s="721"/>
      <c r="V144" s="721"/>
      <c r="W144" s="721"/>
      <c r="X144" s="721"/>
      <c r="Y144" s="721"/>
      <c r="Z144" s="721"/>
      <c r="AA144" s="721"/>
      <c r="AB144" s="721"/>
      <c r="AC144" s="721"/>
      <c r="AD144" s="721"/>
      <c r="AE144" s="105"/>
      <c r="AI144" s="105"/>
      <c r="AJ144" s="105"/>
      <c r="AN144" s="105"/>
      <c r="AO144" s="105"/>
      <c r="AP144" s="105"/>
    </row>
    <row r="145" spans="1:42" outlineLevel="1">
      <c r="A145" s="545">
        <f>MAX($A$10:A144)+1</f>
        <v>136</v>
      </c>
      <c r="B145" s="716" t="s">
        <v>1799</v>
      </c>
      <c r="C145" s="716" t="s">
        <v>2018</v>
      </c>
      <c r="D145" s="716" t="s">
        <v>2019</v>
      </c>
      <c r="E145" s="559">
        <v>376.2</v>
      </c>
      <c r="F145" s="103">
        <v>306877.8</v>
      </c>
      <c r="G145" s="103">
        <f t="shared" si="8"/>
        <v>306877.8</v>
      </c>
      <c r="H145" s="717">
        <v>45444</v>
      </c>
      <c r="I145" s="718"/>
      <c r="J145" s="103">
        <f t="shared" si="10"/>
        <v>0</v>
      </c>
      <c r="K145" s="103"/>
      <c r="M145"/>
      <c r="N145"/>
      <c r="O145" s="720"/>
      <c r="P145" s="720"/>
      <c r="Q145" s="721"/>
      <c r="R145" s="721"/>
      <c r="S145" s="721"/>
      <c r="T145" s="721"/>
      <c r="U145" s="721"/>
      <c r="V145" s="721"/>
      <c r="W145" s="721"/>
      <c r="X145" s="721"/>
      <c r="Y145" s="721"/>
      <c r="Z145" s="721"/>
      <c r="AA145" s="721"/>
      <c r="AB145" s="721"/>
      <c r="AC145" s="721"/>
      <c r="AD145" s="721"/>
      <c r="AE145" s="105"/>
      <c r="AI145" s="105"/>
      <c r="AJ145" s="105"/>
      <c r="AN145" s="105"/>
      <c r="AO145" s="105"/>
      <c r="AP145" s="105"/>
    </row>
    <row r="146" spans="1:42" outlineLevel="1">
      <c r="A146" s="545">
        <f>MAX($A$10:A145)+1</f>
        <v>137</v>
      </c>
      <c r="B146" s="716" t="s">
        <v>1799</v>
      </c>
      <c r="C146" s="720" t="s">
        <v>2020</v>
      </c>
      <c r="D146" s="720" t="s">
        <v>2021</v>
      </c>
      <c r="E146" s="559">
        <v>376.3</v>
      </c>
      <c r="F146" s="103"/>
      <c r="G146" s="103">
        <f t="shared" si="8"/>
        <v>0</v>
      </c>
      <c r="I146" s="722">
        <v>175206.26</v>
      </c>
      <c r="J146" s="103">
        <f t="shared" si="10"/>
        <v>175206.26</v>
      </c>
      <c r="K146" s="717">
        <v>45853</v>
      </c>
      <c r="M146"/>
      <c r="N146"/>
      <c r="O146" s="720"/>
      <c r="P146" s="720"/>
      <c r="Q146" s="721"/>
      <c r="R146" s="721"/>
      <c r="S146" s="721"/>
      <c r="T146" s="721"/>
      <c r="U146" s="721"/>
      <c r="V146" s="721"/>
      <c r="W146" s="721"/>
      <c r="X146" s="721"/>
      <c r="Y146" s="721"/>
      <c r="Z146" s="721"/>
      <c r="AA146" s="721"/>
      <c r="AB146" s="721"/>
      <c r="AC146" s="721"/>
      <c r="AD146" s="721"/>
      <c r="AE146" s="105"/>
      <c r="AI146" s="105"/>
      <c r="AJ146" s="105"/>
      <c r="AN146" s="105"/>
      <c r="AO146" s="105"/>
      <c r="AP146" s="105"/>
    </row>
    <row r="147" spans="1:42" outlineLevel="1">
      <c r="A147" s="545">
        <f>MAX($A$10:A146)+1</f>
        <v>138</v>
      </c>
      <c r="B147" s="716" t="s">
        <v>1799</v>
      </c>
      <c r="C147" s="716" t="s">
        <v>2022</v>
      </c>
      <c r="D147" s="716" t="s">
        <v>2023</v>
      </c>
      <c r="E147" s="559">
        <v>378</v>
      </c>
      <c r="F147" s="103">
        <v>292793.3</v>
      </c>
      <c r="G147" s="103">
        <f t="shared" si="8"/>
        <v>292793.3</v>
      </c>
      <c r="H147" s="717">
        <v>45458</v>
      </c>
      <c r="I147" s="718"/>
      <c r="J147" s="103">
        <f t="shared" si="10"/>
        <v>0</v>
      </c>
      <c r="K147" s="103"/>
      <c r="M147"/>
      <c r="N147"/>
      <c r="O147" s="720"/>
      <c r="P147" s="720"/>
      <c r="Q147" s="721"/>
      <c r="R147" s="721"/>
      <c r="S147" s="721"/>
      <c r="T147" s="721"/>
      <c r="U147" s="721"/>
      <c r="V147" s="721"/>
      <c r="W147" s="721"/>
      <c r="X147" s="721"/>
      <c r="Y147" s="721"/>
      <c r="Z147" s="721"/>
      <c r="AA147" s="721"/>
      <c r="AB147" s="721"/>
      <c r="AC147" s="721"/>
      <c r="AD147" s="721"/>
      <c r="AE147" s="105"/>
      <c r="AI147" s="105"/>
      <c r="AJ147" s="105"/>
      <c r="AN147" s="105"/>
      <c r="AO147" s="105"/>
      <c r="AP147" s="105"/>
    </row>
    <row r="148" spans="1:42" outlineLevel="1">
      <c r="A148" s="545">
        <f>MAX($A$10:A147)+1</f>
        <v>139</v>
      </c>
      <c r="B148" s="716" t="s">
        <v>1799</v>
      </c>
      <c r="C148" s="716" t="s">
        <v>2024</v>
      </c>
      <c r="D148" s="716" t="s">
        <v>2025</v>
      </c>
      <c r="E148" s="559">
        <v>367.1</v>
      </c>
      <c r="F148" s="103">
        <v>2632121.5699999998</v>
      </c>
      <c r="G148" s="103">
        <f t="shared" si="8"/>
        <v>2632121.5699999998</v>
      </c>
      <c r="H148" s="717">
        <v>45626</v>
      </c>
      <c r="I148" s="718"/>
      <c r="J148" s="103">
        <f t="shared" si="10"/>
        <v>0</v>
      </c>
      <c r="K148" s="103"/>
      <c r="M148"/>
      <c r="N148"/>
      <c r="O148" s="720"/>
      <c r="P148" s="720"/>
      <c r="Q148" s="721"/>
      <c r="R148" s="721"/>
      <c r="S148" s="721"/>
      <c r="T148" s="721"/>
      <c r="U148" s="721"/>
      <c r="V148" s="721"/>
      <c r="W148" s="721"/>
      <c r="X148" s="721"/>
      <c r="Y148" s="721"/>
      <c r="Z148" s="721"/>
      <c r="AA148" s="721"/>
      <c r="AB148" s="721"/>
      <c r="AC148" s="721"/>
      <c r="AD148" s="721"/>
      <c r="AE148" s="105"/>
      <c r="AI148" s="105"/>
      <c r="AJ148" s="105"/>
      <c r="AN148" s="105"/>
      <c r="AO148" s="105"/>
      <c r="AP148" s="105"/>
    </row>
    <row r="149" spans="1:42" outlineLevel="1">
      <c r="A149" s="545">
        <f>MAX($A$10:A148)+1</f>
        <v>140</v>
      </c>
      <c r="B149" s="716" t="s">
        <v>1799</v>
      </c>
      <c r="C149" s="720" t="s">
        <v>2026</v>
      </c>
      <c r="D149" s="720" t="s">
        <v>2027</v>
      </c>
      <c r="E149" s="559">
        <v>378</v>
      </c>
      <c r="F149" s="103"/>
      <c r="G149" s="103"/>
      <c r="I149" s="722">
        <v>187404.35</v>
      </c>
      <c r="J149" s="103">
        <f t="shared" si="10"/>
        <v>187404.35</v>
      </c>
      <c r="K149" s="717">
        <v>45976</v>
      </c>
      <c r="M149"/>
      <c r="N149"/>
      <c r="O149" s="720"/>
      <c r="P149" s="720"/>
      <c r="Q149" s="721"/>
      <c r="R149" s="721"/>
      <c r="S149" s="721"/>
      <c r="T149" s="721"/>
      <c r="U149" s="721"/>
      <c r="V149" s="721"/>
      <c r="W149" s="721"/>
      <c r="X149" s="721"/>
      <c r="Y149" s="721"/>
      <c r="Z149" s="721"/>
      <c r="AA149" s="721"/>
      <c r="AB149" s="721"/>
      <c r="AC149" s="721"/>
      <c r="AD149" s="721"/>
      <c r="AE149" s="105"/>
      <c r="AI149" s="105"/>
      <c r="AJ149" s="105"/>
      <c r="AN149" s="105"/>
      <c r="AO149" s="105"/>
      <c r="AP149" s="105"/>
    </row>
    <row r="150" spans="1:42" outlineLevel="1">
      <c r="A150" s="545">
        <f>MAX($A$10:A149)+1</f>
        <v>141</v>
      </c>
      <c r="B150" s="716" t="s">
        <v>1799</v>
      </c>
      <c r="C150" s="720" t="s">
        <v>2028</v>
      </c>
      <c r="D150" s="720" t="s">
        <v>2029</v>
      </c>
      <c r="E150" s="559">
        <v>376.1</v>
      </c>
      <c r="F150" s="103">
        <v>72206.34</v>
      </c>
      <c r="G150" s="103">
        <f t="shared" ref="G150:G182" si="11">+F150</f>
        <v>72206.34</v>
      </c>
      <c r="H150" s="721">
        <v>45321</v>
      </c>
      <c r="J150" s="103"/>
      <c r="K150" s="717"/>
      <c r="M150"/>
      <c r="N150"/>
      <c r="O150" s="720"/>
      <c r="P150" s="720"/>
      <c r="Q150" s="721"/>
      <c r="R150" s="721"/>
      <c r="S150" s="721"/>
      <c r="T150" s="721"/>
      <c r="U150" s="721"/>
      <c r="V150" s="721"/>
      <c r="W150" s="721"/>
      <c r="X150" s="721"/>
      <c r="Y150" s="721"/>
      <c r="Z150" s="721"/>
      <c r="AA150" s="721"/>
      <c r="AB150" s="721"/>
      <c r="AC150" s="721"/>
      <c r="AD150" s="721"/>
      <c r="AE150" s="105"/>
      <c r="AI150" s="105"/>
      <c r="AJ150" s="105"/>
      <c r="AN150" s="105"/>
      <c r="AO150" s="105"/>
      <c r="AP150" s="105"/>
    </row>
    <row r="151" spans="1:42" outlineLevel="1">
      <c r="A151" s="545">
        <f>MAX($A$10:A150)+1</f>
        <v>142</v>
      </c>
      <c r="B151" s="716" t="s">
        <v>1799</v>
      </c>
      <c r="C151" s="716" t="s">
        <v>2030</v>
      </c>
      <c r="D151" s="716" t="s">
        <v>2031</v>
      </c>
      <c r="E151" s="559">
        <v>376.3</v>
      </c>
      <c r="F151" s="103">
        <v>193815.11</v>
      </c>
      <c r="G151" s="103">
        <f t="shared" si="11"/>
        <v>193815.11</v>
      </c>
      <c r="H151" s="717">
        <v>45412</v>
      </c>
      <c r="I151" s="718"/>
      <c r="J151" s="103">
        <f t="shared" ref="J151:J156" si="12">+I151</f>
        <v>0</v>
      </c>
      <c r="K151" s="103"/>
      <c r="M151"/>
      <c r="N151"/>
      <c r="O151" s="720"/>
      <c r="P151" s="720"/>
      <c r="Q151" s="721"/>
      <c r="R151" s="721"/>
      <c r="S151" s="721"/>
      <c r="T151" s="721"/>
      <c r="U151" s="721"/>
      <c r="V151" s="721"/>
      <c r="W151" s="721"/>
      <c r="X151" s="721"/>
      <c r="Y151" s="721"/>
      <c r="Z151" s="721"/>
      <c r="AA151" s="721"/>
      <c r="AB151" s="721"/>
      <c r="AC151" s="721"/>
      <c r="AD151" s="721"/>
      <c r="AE151" s="105"/>
      <c r="AI151" s="105"/>
      <c r="AJ151" s="105"/>
      <c r="AN151" s="105"/>
      <c r="AO151" s="105"/>
      <c r="AP151" s="105"/>
    </row>
    <row r="152" spans="1:42" outlineLevel="1">
      <c r="A152" s="545">
        <f>MAX($A$10:A151)+1</f>
        <v>143</v>
      </c>
      <c r="B152" s="716" t="s">
        <v>1799</v>
      </c>
      <c r="C152" s="716" t="s">
        <v>2032</v>
      </c>
      <c r="D152" s="716" t="s">
        <v>2033</v>
      </c>
      <c r="E152" s="559">
        <v>377</v>
      </c>
      <c r="F152" s="103">
        <v>18174</v>
      </c>
      <c r="G152" s="103">
        <f t="shared" si="11"/>
        <v>18174</v>
      </c>
      <c r="H152" s="717">
        <v>45458</v>
      </c>
      <c r="I152" s="718"/>
      <c r="J152" s="103">
        <f t="shared" si="12"/>
        <v>0</v>
      </c>
      <c r="K152" s="103"/>
      <c r="M152"/>
      <c r="N152"/>
      <c r="O152" s="720"/>
      <c r="P152" s="720"/>
      <c r="Q152" s="721"/>
      <c r="R152" s="721"/>
      <c r="S152" s="721"/>
      <c r="T152" s="721"/>
      <c r="U152" s="721"/>
      <c r="V152" s="721"/>
      <c r="W152" s="721"/>
      <c r="X152" s="721"/>
      <c r="Y152" s="721"/>
      <c r="Z152" s="721"/>
      <c r="AA152" s="721"/>
      <c r="AB152" s="721"/>
      <c r="AC152" s="721"/>
      <c r="AD152" s="721"/>
      <c r="AE152" s="105"/>
      <c r="AI152" s="105"/>
      <c r="AJ152" s="105"/>
      <c r="AN152" s="105"/>
      <c r="AO152" s="105"/>
      <c r="AP152" s="105"/>
    </row>
    <row r="153" spans="1:42" outlineLevel="1">
      <c r="A153" s="545">
        <f>MAX($A$10:A152)+1</f>
        <v>144</v>
      </c>
      <c r="B153" s="716" t="s">
        <v>1799</v>
      </c>
      <c r="C153" s="716" t="s">
        <v>2034</v>
      </c>
      <c r="D153" s="716" t="s">
        <v>2035</v>
      </c>
      <c r="E153" s="559">
        <v>377</v>
      </c>
      <c r="F153" s="103">
        <v>21808.799999999999</v>
      </c>
      <c r="G153" s="103">
        <f t="shared" si="11"/>
        <v>21808.799999999999</v>
      </c>
      <c r="H153" s="717">
        <v>45458</v>
      </c>
      <c r="I153" s="718"/>
      <c r="J153" s="103">
        <f t="shared" si="12"/>
        <v>0</v>
      </c>
      <c r="K153" s="103"/>
      <c r="M153"/>
      <c r="N153"/>
      <c r="O153" s="720"/>
      <c r="P153" s="720"/>
      <c r="Q153" s="721"/>
      <c r="R153" s="721"/>
      <c r="S153" s="721"/>
      <c r="T153" s="721"/>
      <c r="U153" s="721"/>
      <c r="V153" s="721"/>
      <c r="W153" s="721"/>
      <c r="X153" s="721"/>
      <c r="Y153" s="721"/>
      <c r="Z153" s="721"/>
      <c r="AA153" s="721"/>
      <c r="AB153" s="721"/>
      <c r="AC153" s="721"/>
      <c r="AD153" s="721"/>
      <c r="AE153" s="105"/>
      <c r="AI153" s="105"/>
      <c r="AJ153" s="105"/>
      <c r="AN153" s="105"/>
      <c r="AO153" s="105"/>
      <c r="AP153" s="105"/>
    </row>
    <row r="154" spans="1:42" outlineLevel="1">
      <c r="A154" s="545">
        <f>MAX($A$10:A153)+1</f>
        <v>145</v>
      </c>
      <c r="B154" s="716" t="s">
        <v>1799</v>
      </c>
      <c r="C154" s="716" t="s">
        <v>2036</v>
      </c>
      <c r="D154" s="716" t="s">
        <v>2037</v>
      </c>
      <c r="E154" s="559">
        <v>376.3</v>
      </c>
      <c r="F154" s="103">
        <v>343625.52</v>
      </c>
      <c r="G154" s="103">
        <f t="shared" si="11"/>
        <v>343625.52</v>
      </c>
      <c r="H154" s="717">
        <v>45458</v>
      </c>
      <c r="I154" s="718"/>
      <c r="J154" s="103">
        <f t="shared" si="12"/>
        <v>0</v>
      </c>
      <c r="K154" s="103"/>
      <c r="M154"/>
      <c r="N154"/>
      <c r="O154" s="720"/>
      <c r="P154" s="720"/>
      <c r="Q154" s="721"/>
      <c r="R154" s="721"/>
      <c r="S154" s="721"/>
      <c r="T154" s="721"/>
      <c r="U154" s="721"/>
      <c r="V154" s="721"/>
      <c r="W154" s="721"/>
      <c r="X154" s="721"/>
      <c r="Y154" s="721"/>
      <c r="Z154" s="721"/>
      <c r="AA154" s="721"/>
      <c r="AB154" s="721"/>
      <c r="AC154" s="721"/>
      <c r="AD154" s="721"/>
      <c r="AE154" s="105"/>
      <c r="AI154" s="105"/>
      <c r="AJ154" s="105"/>
      <c r="AN154" s="105"/>
      <c r="AO154" s="105"/>
      <c r="AP154" s="105"/>
    </row>
    <row r="155" spans="1:42" outlineLevel="1">
      <c r="A155" s="545">
        <f>MAX($A$10:A154)+1</f>
        <v>146</v>
      </c>
      <c r="B155" s="716" t="s">
        <v>1799</v>
      </c>
      <c r="C155" s="716" t="s">
        <v>2038</v>
      </c>
      <c r="D155" s="716" t="s">
        <v>2039</v>
      </c>
      <c r="E155" s="559">
        <v>376.2</v>
      </c>
      <c r="F155" s="103">
        <v>1634772.28</v>
      </c>
      <c r="G155" s="103">
        <f t="shared" si="11"/>
        <v>1634772.28</v>
      </c>
      <c r="H155" s="717">
        <v>45626</v>
      </c>
      <c r="I155" s="718"/>
      <c r="J155" s="103">
        <f t="shared" si="12"/>
        <v>0</v>
      </c>
      <c r="K155" s="103"/>
      <c r="M155"/>
      <c r="N155"/>
      <c r="O155" s="720"/>
      <c r="P155" s="720"/>
      <c r="Q155" s="721"/>
      <c r="R155" s="721"/>
      <c r="S155" s="721"/>
      <c r="T155" s="721"/>
      <c r="U155" s="721"/>
      <c r="V155" s="721"/>
      <c r="W155" s="721"/>
      <c r="X155" s="721"/>
      <c r="Y155" s="721"/>
      <c r="Z155" s="721"/>
      <c r="AA155" s="721"/>
      <c r="AB155" s="721"/>
      <c r="AC155" s="721"/>
      <c r="AD155" s="721"/>
      <c r="AE155" s="105"/>
      <c r="AI155" s="105"/>
      <c r="AJ155" s="105"/>
      <c r="AN155" s="105"/>
      <c r="AO155" s="105"/>
      <c r="AP155" s="105"/>
    </row>
    <row r="156" spans="1:42" outlineLevel="1">
      <c r="A156" s="545">
        <f>MAX($A$10:A155)+1</f>
        <v>147</v>
      </c>
      <c r="B156" s="716" t="s">
        <v>1799</v>
      </c>
      <c r="C156" s="716" t="s">
        <v>2040</v>
      </c>
      <c r="D156" s="716" t="s">
        <v>2041</v>
      </c>
      <c r="E156" s="559">
        <v>377</v>
      </c>
      <c r="F156" s="103">
        <v>30290</v>
      </c>
      <c r="G156" s="103">
        <f t="shared" si="11"/>
        <v>30290</v>
      </c>
      <c r="H156" s="717" t="s">
        <v>2042</v>
      </c>
      <c r="I156" s="718"/>
      <c r="J156" s="103">
        <f t="shared" si="12"/>
        <v>0</v>
      </c>
      <c r="K156" s="103"/>
      <c r="M156"/>
      <c r="N156"/>
      <c r="O156" s="720"/>
      <c r="P156" s="720"/>
      <c r="Q156" s="721"/>
      <c r="R156" s="721"/>
      <c r="S156" s="721"/>
      <c r="T156" s="721"/>
      <c r="U156" s="721"/>
      <c r="V156" s="721"/>
      <c r="W156" s="721"/>
      <c r="X156" s="721"/>
      <c r="Y156" s="721"/>
      <c r="Z156" s="721"/>
      <c r="AA156" s="721"/>
      <c r="AB156" s="721"/>
      <c r="AC156" s="721"/>
      <c r="AD156" s="721"/>
      <c r="AE156" s="105"/>
      <c r="AI156" s="105"/>
      <c r="AJ156" s="105"/>
      <c r="AN156" s="105"/>
      <c r="AO156" s="105"/>
      <c r="AP156" s="105"/>
    </row>
    <row r="157" spans="1:42" outlineLevel="1">
      <c r="A157" s="545">
        <f>MAX($A$10:A156)+1</f>
        <v>148</v>
      </c>
      <c r="B157" s="716" t="s">
        <v>1799</v>
      </c>
      <c r="C157" s="716" t="s">
        <v>2043</v>
      </c>
      <c r="D157" s="716" t="s">
        <v>2044</v>
      </c>
      <c r="E157" s="559">
        <v>376.2</v>
      </c>
      <c r="F157" s="103">
        <v>512719.18</v>
      </c>
      <c r="G157" s="103">
        <f t="shared" si="11"/>
        <v>512719.18</v>
      </c>
      <c r="H157" s="717">
        <v>45345</v>
      </c>
      <c r="I157" s="718"/>
      <c r="J157" s="103"/>
      <c r="K157" s="103"/>
      <c r="M157"/>
      <c r="N157"/>
      <c r="O157" s="720"/>
      <c r="P157" s="720"/>
      <c r="Q157" s="721"/>
      <c r="R157" s="721"/>
      <c r="S157" s="721"/>
      <c r="T157" s="721"/>
      <c r="U157" s="721"/>
      <c r="V157" s="721"/>
      <c r="W157" s="721"/>
      <c r="X157" s="721"/>
      <c r="Y157" s="721"/>
      <c r="Z157" s="721"/>
      <c r="AA157" s="721"/>
      <c r="AB157" s="721"/>
      <c r="AC157" s="721"/>
      <c r="AD157" s="721"/>
      <c r="AE157" s="105"/>
      <c r="AI157" s="105"/>
      <c r="AJ157" s="105"/>
      <c r="AN157" s="105"/>
      <c r="AO157" s="105"/>
      <c r="AP157" s="105"/>
    </row>
    <row r="158" spans="1:42" outlineLevel="1">
      <c r="A158" s="545">
        <f>MAX($A$10:A157)+1</f>
        <v>149</v>
      </c>
      <c r="B158" s="716" t="s">
        <v>1799</v>
      </c>
      <c r="C158" s="716" t="s">
        <v>2045</v>
      </c>
      <c r="D158" s="716" t="s">
        <v>2046</v>
      </c>
      <c r="E158" s="559">
        <v>376.2</v>
      </c>
      <c r="F158" s="103">
        <v>76795.741768000007</v>
      </c>
      <c r="G158" s="103">
        <f t="shared" si="11"/>
        <v>76795.741768000007</v>
      </c>
      <c r="H158" s="717">
        <v>45350</v>
      </c>
      <c r="I158" s="718"/>
      <c r="J158" s="103"/>
      <c r="K158" s="103"/>
      <c r="M158"/>
      <c r="N158"/>
      <c r="O158" s="720"/>
      <c r="P158" s="720"/>
      <c r="Q158" s="721"/>
      <c r="R158" s="721"/>
      <c r="S158" s="721"/>
      <c r="T158" s="721"/>
      <c r="U158" s="721"/>
      <c r="V158" s="721"/>
      <c r="W158" s="721"/>
      <c r="X158" s="721"/>
      <c r="Y158" s="721"/>
      <c r="Z158" s="721"/>
      <c r="AA158" s="721"/>
      <c r="AB158" s="721"/>
      <c r="AC158" s="721"/>
      <c r="AD158" s="721"/>
      <c r="AE158" s="105"/>
      <c r="AI158" s="105"/>
      <c r="AJ158" s="105"/>
      <c r="AN158" s="105"/>
      <c r="AO158" s="105"/>
      <c r="AP158" s="105"/>
    </row>
    <row r="159" spans="1:42" outlineLevel="1">
      <c r="A159" s="545">
        <f>MAX($A$10:A158)+1</f>
        <v>150</v>
      </c>
      <c r="B159" s="716" t="s">
        <v>1799</v>
      </c>
      <c r="C159" s="716" t="s">
        <v>2047</v>
      </c>
      <c r="D159" s="716" t="s">
        <v>2048</v>
      </c>
      <c r="E159" s="559">
        <v>379</v>
      </c>
      <c r="F159" s="103">
        <v>4024.9238160000004</v>
      </c>
      <c r="G159" s="103">
        <f t="shared" si="11"/>
        <v>4024.9238160000004</v>
      </c>
      <c r="H159" s="717">
        <v>45349</v>
      </c>
      <c r="I159" s="718"/>
      <c r="J159" s="103"/>
      <c r="K159" s="103"/>
      <c r="M159"/>
      <c r="N159"/>
      <c r="O159" s="720"/>
      <c r="P159" s="720"/>
      <c r="Q159" s="721"/>
      <c r="R159" s="721"/>
      <c r="S159" s="721"/>
      <c r="T159" s="721"/>
      <c r="U159" s="721"/>
      <c r="V159" s="721"/>
      <c r="W159" s="721"/>
      <c r="X159" s="721"/>
      <c r="Y159" s="721"/>
      <c r="Z159" s="721"/>
      <c r="AA159" s="721"/>
      <c r="AB159" s="721"/>
      <c r="AC159" s="721"/>
      <c r="AD159" s="721"/>
      <c r="AE159" s="105"/>
      <c r="AI159" s="105"/>
      <c r="AJ159" s="105"/>
      <c r="AN159" s="105"/>
      <c r="AO159" s="105"/>
      <c r="AP159" s="105"/>
    </row>
    <row r="160" spans="1:42" outlineLevel="1">
      <c r="A160" s="545">
        <f>MAX($A$10:A159)+1</f>
        <v>151</v>
      </c>
      <c r="B160" s="716" t="s">
        <v>1799</v>
      </c>
      <c r="C160" s="716" t="s">
        <v>2049</v>
      </c>
      <c r="D160" s="716" t="s">
        <v>2050</v>
      </c>
      <c r="E160" s="559">
        <v>378</v>
      </c>
      <c r="F160" s="103">
        <v>53708.996095999995</v>
      </c>
      <c r="G160" s="103">
        <f t="shared" si="11"/>
        <v>53708.996095999995</v>
      </c>
      <c r="H160" s="717">
        <v>45381</v>
      </c>
      <c r="I160" s="718"/>
      <c r="J160" s="103"/>
      <c r="K160" s="103"/>
      <c r="M160"/>
      <c r="N160"/>
      <c r="O160" s="720"/>
      <c r="P160" s="720"/>
      <c r="Q160" s="721"/>
      <c r="R160" s="721"/>
      <c r="S160" s="721"/>
      <c r="T160" s="721"/>
      <c r="U160" s="721"/>
      <c r="V160" s="721"/>
      <c r="W160" s="721"/>
      <c r="X160" s="721"/>
      <c r="Y160" s="721"/>
      <c r="Z160" s="721"/>
      <c r="AA160" s="721"/>
      <c r="AB160" s="721"/>
      <c r="AC160" s="721"/>
      <c r="AD160" s="721"/>
      <c r="AE160" s="105"/>
      <c r="AI160" s="105"/>
      <c r="AJ160" s="105"/>
      <c r="AN160" s="105"/>
      <c r="AO160" s="105"/>
      <c r="AP160" s="105"/>
    </row>
    <row r="161" spans="1:42" outlineLevel="1">
      <c r="A161" s="545">
        <f>MAX($A$10:A160)+1</f>
        <v>152</v>
      </c>
      <c r="B161" s="716" t="s">
        <v>1799</v>
      </c>
      <c r="C161" s="716" t="s">
        <v>2051</v>
      </c>
      <c r="D161" s="716" t="s">
        <v>2052</v>
      </c>
      <c r="E161" s="559">
        <v>379</v>
      </c>
      <c r="F161" s="103">
        <v>3930.4877160000005</v>
      </c>
      <c r="G161" s="103">
        <f t="shared" si="11"/>
        <v>3930.4877160000005</v>
      </c>
      <c r="H161" s="717">
        <v>45378</v>
      </c>
      <c r="I161" s="718"/>
      <c r="J161" s="103"/>
      <c r="K161" s="103"/>
      <c r="M161"/>
      <c r="N161"/>
      <c r="O161" s="720"/>
      <c r="P161" s="720"/>
      <c r="Q161" s="721"/>
      <c r="R161" s="721"/>
      <c r="S161" s="721"/>
      <c r="T161" s="721"/>
      <c r="U161" s="721"/>
      <c r="V161" s="721"/>
      <c r="W161" s="721"/>
      <c r="X161" s="721"/>
      <c r="Y161" s="721"/>
      <c r="Z161" s="721"/>
      <c r="AA161" s="721"/>
      <c r="AB161" s="721"/>
      <c r="AC161" s="721"/>
      <c r="AD161" s="721"/>
      <c r="AE161" s="105"/>
      <c r="AI161" s="105"/>
      <c r="AJ161" s="105"/>
      <c r="AN161" s="105"/>
      <c r="AO161" s="105"/>
      <c r="AP161" s="105"/>
    </row>
    <row r="162" spans="1:42" outlineLevel="1">
      <c r="A162" s="545">
        <f>MAX($A$10:A161)+1</f>
        <v>153</v>
      </c>
      <c r="B162" s="716" t="s">
        <v>1799</v>
      </c>
      <c r="C162" s="716" t="s">
        <v>2053</v>
      </c>
      <c r="D162" s="716" t="s">
        <v>2054</v>
      </c>
      <c r="E162" s="559">
        <v>379</v>
      </c>
      <c r="F162" s="103">
        <v>4024.9238160000004</v>
      </c>
      <c r="G162" s="103">
        <f t="shared" si="11"/>
        <v>4024.9238160000004</v>
      </c>
      <c r="H162" s="717">
        <v>45409</v>
      </c>
      <c r="I162" s="718"/>
      <c r="J162" s="103"/>
      <c r="K162" s="103"/>
      <c r="M162"/>
      <c r="N162"/>
      <c r="O162" s="720"/>
      <c r="P162" s="720"/>
      <c r="Q162" s="721"/>
      <c r="R162" s="721"/>
      <c r="S162" s="721"/>
      <c r="T162" s="721"/>
      <c r="U162" s="721"/>
      <c r="V162" s="721"/>
      <c r="W162" s="721"/>
      <c r="X162" s="721"/>
      <c r="Y162" s="721"/>
      <c r="Z162" s="721"/>
      <c r="AA162" s="721"/>
      <c r="AB162" s="721"/>
      <c r="AC162" s="721"/>
      <c r="AD162" s="721"/>
      <c r="AE162" s="105"/>
      <c r="AI162" s="105"/>
      <c r="AJ162" s="105"/>
      <c r="AN162" s="105"/>
      <c r="AO162" s="105"/>
      <c r="AP162" s="105"/>
    </row>
    <row r="163" spans="1:42" outlineLevel="1">
      <c r="A163" s="545">
        <f>MAX($A$10:A162)+1</f>
        <v>154</v>
      </c>
      <c r="B163" s="716" t="s">
        <v>1799</v>
      </c>
      <c r="C163" s="716" t="s">
        <v>2055</v>
      </c>
      <c r="D163" s="716" t="s">
        <v>2056</v>
      </c>
      <c r="E163" s="559">
        <v>379</v>
      </c>
      <c r="F163" s="103">
        <v>4024.9238160000004</v>
      </c>
      <c r="G163" s="103">
        <f t="shared" si="11"/>
        <v>4024.9238160000004</v>
      </c>
      <c r="H163" s="717">
        <v>45439</v>
      </c>
      <c r="I163" s="718"/>
      <c r="J163" s="103"/>
      <c r="K163" s="103"/>
      <c r="M163"/>
      <c r="N163"/>
      <c r="O163" s="720"/>
      <c r="P163" s="720"/>
      <c r="Q163" s="721"/>
      <c r="R163" s="721"/>
      <c r="S163" s="721"/>
      <c r="T163" s="721"/>
      <c r="U163" s="721"/>
      <c r="V163" s="721"/>
      <c r="W163" s="721"/>
      <c r="X163" s="721"/>
      <c r="Y163" s="721"/>
      <c r="Z163" s="721"/>
      <c r="AA163" s="721"/>
      <c r="AB163" s="721"/>
      <c r="AC163" s="721"/>
      <c r="AD163" s="721"/>
      <c r="AE163" s="105"/>
      <c r="AI163" s="105"/>
      <c r="AJ163" s="105"/>
      <c r="AN163" s="105"/>
      <c r="AO163" s="105"/>
      <c r="AP163" s="105"/>
    </row>
    <row r="164" spans="1:42" outlineLevel="1">
      <c r="A164" s="545">
        <f>MAX($A$10:A163)+1</f>
        <v>155</v>
      </c>
      <c r="B164" s="716" t="s">
        <v>1799</v>
      </c>
      <c r="C164" s="716" t="s">
        <v>2057</v>
      </c>
      <c r="D164" s="716" t="s">
        <v>2058</v>
      </c>
      <c r="E164" s="559">
        <v>379</v>
      </c>
      <c r="F164" s="103">
        <v>4024.9238160000004</v>
      </c>
      <c r="G164" s="103">
        <f t="shared" si="11"/>
        <v>4024.9238160000004</v>
      </c>
      <c r="H164" s="717">
        <v>45470</v>
      </c>
      <c r="I164" s="718"/>
      <c r="J164" s="103"/>
      <c r="K164" s="103"/>
      <c r="M164"/>
      <c r="N164"/>
      <c r="O164" s="720"/>
      <c r="P164" s="720"/>
      <c r="Q164" s="721"/>
      <c r="R164" s="721"/>
      <c r="S164" s="721"/>
      <c r="T164" s="721"/>
      <c r="U164" s="721"/>
      <c r="V164" s="721"/>
      <c r="W164" s="721"/>
      <c r="X164" s="721"/>
      <c r="Y164" s="721"/>
      <c r="Z164" s="721"/>
      <c r="AA164" s="721"/>
      <c r="AB164" s="721"/>
      <c r="AC164" s="721"/>
      <c r="AD164" s="721"/>
      <c r="AE164" s="105"/>
      <c r="AI164" s="105"/>
      <c r="AJ164" s="105"/>
      <c r="AN164" s="105"/>
      <c r="AO164" s="105"/>
      <c r="AP164" s="105"/>
    </row>
    <row r="165" spans="1:42" outlineLevel="1">
      <c r="A165" s="545">
        <f>MAX($A$10:A164)+1</f>
        <v>156</v>
      </c>
      <c r="B165" s="716" t="s">
        <v>1799</v>
      </c>
      <c r="C165" s="716" t="s">
        <v>2059</v>
      </c>
      <c r="D165" s="716" t="s">
        <v>2060</v>
      </c>
      <c r="E165" s="559">
        <v>379</v>
      </c>
      <c r="F165" s="103">
        <v>4024.9238160000004</v>
      </c>
      <c r="G165" s="103">
        <f t="shared" si="11"/>
        <v>4024.9238160000004</v>
      </c>
      <c r="H165" s="717">
        <v>45500</v>
      </c>
      <c r="I165" s="718"/>
      <c r="J165" s="103"/>
      <c r="K165" s="103"/>
      <c r="M165"/>
      <c r="N165"/>
      <c r="O165" s="720"/>
      <c r="P165" s="720"/>
      <c r="Q165" s="721"/>
      <c r="R165" s="721"/>
      <c r="S165" s="721"/>
      <c r="T165" s="721"/>
      <c r="U165" s="721"/>
      <c r="V165" s="721"/>
      <c r="W165" s="721"/>
      <c r="X165" s="721"/>
      <c r="Y165" s="721"/>
      <c r="Z165" s="721"/>
      <c r="AA165" s="721"/>
      <c r="AB165" s="721"/>
      <c r="AC165" s="721"/>
      <c r="AD165" s="721"/>
      <c r="AE165" s="105"/>
      <c r="AI165" s="105"/>
      <c r="AJ165" s="105"/>
      <c r="AN165" s="105"/>
      <c r="AO165" s="105"/>
      <c r="AP165" s="105"/>
    </row>
    <row r="166" spans="1:42" outlineLevel="1">
      <c r="A166" s="545">
        <f>MAX($A$10:A165)+1</f>
        <v>157</v>
      </c>
      <c r="B166" s="716" t="s">
        <v>1799</v>
      </c>
      <c r="C166" s="716" t="s">
        <v>2061</v>
      </c>
      <c r="D166" s="716" t="s">
        <v>2062</v>
      </c>
      <c r="E166" s="559">
        <v>379</v>
      </c>
      <c r="F166" s="103">
        <v>4024.9238160000004</v>
      </c>
      <c r="G166" s="103">
        <f t="shared" si="11"/>
        <v>4024.9238160000004</v>
      </c>
      <c r="H166" s="717">
        <v>45531</v>
      </c>
      <c r="I166" s="718"/>
      <c r="J166" s="103"/>
      <c r="K166" s="103"/>
      <c r="M166"/>
      <c r="N166"/>
      <c r="O166" s="720"/>
      <c r="P166" s="720"/>
      <c r="Q166" s="721"/>
      <c r="R166" s="721"/>
      <c r="S166" s="721"/>
      <c r="T166" s="721"/>
      <c r="U166" s="721"/>
      <c r="V166" s="721"/>
      <c r="W166" s="721"/>
      <c r="X166" s="721"/>
      <c r="Y166" s="721"/>
      <c r="Z166" s="721"/>
      <c r="AA166" s="721"/>
      <c r="AB166" s="721"/>
      <c r="AC166" s="721"/>
      <c r="AD166" s="721"/>
      <c r="AE166" s="105"/>
      <c r="AI166" s="105"/>
      <c r="AJ166" s="105"/>
      <c r="AN166" s="105"/>
      <c r="AO166" s="105"/>
      <c r="AP166" s="105"/>
    </row>
    <row r="167" spans="1:42" outlineLevel="1">
      <c r="A167" s="545">
        <f>MAX($A$10:A166)+1</f>
        <v>158</v>
      </c>
      <c r="B167" s="716" t="s">
        <v>1799</v>
      </c>
      <c r="C167" s="716" t="s">
        <v>2063</v>
      </c>
      <c r="D167" s="716" t="s">
        <v>2064</v>
      </c>
      <c r="E167" s="559">
        <v>379</v>
      </c>
      <c r="F167" s="103">
        <v>4024.9238160000004</v>
      </c>
      <c r="G167" s="103">
        <f t="shared" si="11"/>
        <v>4024.9238160000004</v>
      </c>
      <c r="H167" s="717">
        <v>45562</v>
      </c>
      <c r="I167" s="718"/>
      <c r="J167" s="103"/>
      <c r="K167" s="103"/>
      <c r="M167"/>
      <c r="N167"/>
      <c r="O167" s="720"/>
      <c r="P167" s="720"/>
      <c r="Q167" s="721"/>
      <c r="R167" s="721"/>
      <c r="S167" s="721"/>
      <c r="T167" s="721"/>
      <c r="U167" s="721"/>
      <c r="V167" s="721"/>
      <c r="W167" s="721"/>
      <c r="X167" s="721"/>
      <c r="Y167" s="721"/>
      <c r="Z167" s="721"/>
      <c r="AA167" s="721"/>
      <c r="AB167" s="721"/>
      <c r="AC167" s="721"/>
      <c r="AD167" s="721"/>
      <c r="AE167" s="105"/>
      <c r="AI167" s="105"/>
      <c r="AJ167" s="105"/>
      <c r="AN167" s="105"/>
      <c r="AO167" s="105"/>
      <c r="AP167" s="105"/>
    </row>
    <row r="168" spans="1:42" outlineLevel="1">
      <c r="A168" s="545">
        <f>MAX($A$10:A167)+1</f>
        <v>159</v>
      </c>
      <c r="B168" s="716" t="s">
        <v>1799</v>
      </c>
      <c r="C168" s="716" t="s">
        <v>2065</v>
      </c>
      <c r="D168" s="716" t="s">
        <v>2066</v>
      </c>
      <c r="E168" s="559">
        <v>379</v>
      </c>
      <c r="F168" s="103">
        <v>4024.9238160000004</v>
      </c>
      <c r="G168" s="103">
        <f t="shared" si="11"/>
        <v>4024.9238160000004</v>
      </c>
      <c r="H168" s="717">
        <v>45592</v>
      </c>
      <c r="I168" s="718"/>
      <c r="J168" s="103"/>
      <c r="K168" s="103"/>
      <c r="M168"/>
      <c r="N168"/>
      <c r="O168" s="720"/>
      <c r="P168" s="720"/>
      <c r="Q168" s="721"/>
      <c r="R168" s="721"/>
      <c r="S168" s="721"/>
      <c r="T168" s="721"/>
      <c r="U168" s="721"/>
      <c r="V168" s="721"/>
      <c r="W168" s="721"/>
      <c r="X168" s="721"/>
      <c r="Y168" s="721"/>
      <c r="Z168" s="721"/>
      <c r="AA168" s="721"/>
      <c r="AB168" s="721"/>
      <c r="AC168" s="721"/>
      <c r="AD168" s="721"/>
      <c r="AE168" s="105"/>
      <c r="AI168" s="105"/>
      <c r="AJ168" s="105"/>
      <c r="AN168" s="105"/>
      <c r="AO168" s="105"/>
      <c r="AP168" s="105"/>
    </row>
    <row r="169" spans="1:42" outlineLevel="1">
      <c r="A169" s="545">
        <f>MAX($A$10:A168)+1</f>
        <v>160</v>
      </c>
      <c r="B169" s="716" t="s">
        <v>1799</v>
      </c>
      <c r="C169" s="716" t="s">
        <v>2067</v>
      </c>
      <c r="D169" s="716" t="s">
        <v>2068</v>
      </c>
      <c r="E169" s="559">
        <v>379</v>
      </c>
      <c r="F169" s="103">
        <v>4024.9238160000004</v>
      </c>
      <c r="G169" s="103">
        <f t="shared" si="11"/>
        <v>4024.9238160000004</v>
      </c>
      <c r="H169" s="717">
        <v>45349</v>
      </c>
      <c r="I169" s="718"/>
      <c r="J169" s="103"/>
      <c r="K169" s="103"/>
      <c r="M169"/>
      <c r="N169"/>
      <c r="O169" s="720"/>
      <c r="P169" s="720"/>
      <c r="Q169" s="721"/>
      <c r="R169" s="721"/>
      <c r="S169" s="721"/>
      <c r="T169" s="721"/>
      <c r="U169" s="721"/>
      <c r="V169" s="721"/>
      <c r="W169" s="721"/>
      <c r="X169" s="721"/>
      <c r="Y169" s="721"/>
      <c r="Z169" s="721"/>
      <c r="AA169" s="721"/>
      <c r="AB169" s="721"/>
      <c r="AC169" s="721"/>
      <c r="AD169" s="721"/>
      <c r="AE169" s="105"/>
      <c r="AI169" s="105"/>
      <c r="AJ169" s="105"/>
      <c r="AN169" s="105"/>
      <c r="AO169" s="105"/>
      <c r="AP169" s="105"/>
    </row>
    <row r="170" spans="1:42" outlineLevel="1">
      <c r="A170" s="545">
        <f>MAX($A$10:A169)+1</f>
        <v>161</v>
      </c>
      <c r="B170" s="716" t="s">
        <v>1799</v>
      </c>
      <c r="C170" s="716" t="s">
        <v>2069</v>
      </c>
      <c r="D170" s="716" t="s">
        <v>2070</v>
      </c>
      <c r="E170" s="559">
        <v>379</v>
      </c>
      <c r="F170" s="103">
        <v>4024.9238160000004</v>
      </c>
      <c r="G170" s="103">
        <f t="shared" si="11"/>
        <v>4024.9238160000004</v>
      </c>
      <c r="H170" s="717">
        <v>45378</v>
      </c>
      <c r="I170" s="718"/>
      <c r="J170" s="103"/>
      <c r="K170" s="103"/>
      <c r="M170"/>
      <c r="N170"/>
      <c r="O170" s="720"/>
      <c r="P170" s="720"/>
      <c r="Q170" s="721"/>
      <c r="R170" s="721"/>
      <c r="S170" s="721"/>
      <c r="T170" s="721"/>
      <c r="U170" s="721"/>
      <c r="V170" s="721"/>
      <c r="W170" s="721"/>
      <c r="X170" s="721"/>
      <c r="Y170" s="721"/>
      <c r="Z170" s="721"/>
      <c r="AA170" s="721"/>
      <c r="AB170" s="721"/>
      <c r="AC170" s="721"/>
      <c r="AD170" s="721"/>
      <c r="AE170" s="105"/>
      <c r="AI170" s="105"/>
      <c r="AJ170" s="105"/>
      <c r="AN170" s="105"/>
      <c r="AO170" s="105"/>
      <c r="AP170" s="105"/>
    </row>
    <row r="171" spans="1:42" outlineLevel="1">
      <c r="A171" s="545">
        <f>MAX($A$10:A170)+1</f>
        <v>162</v>
      </c>
      <c r="B171" s="716" t="s">
        <v>1799</v>
      </c>
      <c r="C171" s="716" t="s">
        <v>2071</v>
      </c>
      <c r="D171" s="716" t="s">
        <v>2072</v>
      </c>
      <c r="E171" s="559">
        <v>376.1</v>
      </c>
      <c r="F171" s="103">
        <v>1001332.75</v>
      </c>
      <c r="G171" s="103">
        <f t="shared" si="11"/>
        <v>1001332.75</v>
      </c>
      <c r="H171" s="717">
        <v>45427</v>
      </c>
      <c r="I171" s="718"/>
      <c r="J171" s="103"/>
      <c r="K171" s="103"/>
      <c r="M171"/>
      <c r="N171"/>
      <c r="O171" s="720"/>
      <c r="P171" s="720"/>
      <c r="Q171" s="721"/>
      <c r="R171" s="721"/>
      <c r="S171" s="721"/>
      <c r="T171" s="721"/>
      <c r="U171" s="721"/>
      <c r="V171" s="721"/>
      <c r="W171" s="721"/>
      <c r="X171" s="721"/>
      <c r="Y171" s="721"/>
      <c r="Z171" s="721"/>
      <c r="AA171" s="721"/>
      <c r="AB171" s="721"/>
      <c r="AC171" s="721"/>
      <c r="AD171" s="721"/>
      <c r="AE171" s="105"/>
      <c r="AI171" s="105"/>
      <c r="AJ171" s="105"/>
      <c r="AN171" s="105"/>
      <c r="AO171" s="105"/>
      <c r="AP171" s="105"/>
    </row>
    <row r="172" spans="1:42" outlineLevel="1">
      <c r="A172" s="545">
        <f>MAX($A$10:A171)+1</f>
        <v>163</v>
      </c>
      <c r="B172" s="716" t="s">
        <v>1799</v>
      </c>
      <c r="C172" s="716" t="s">
        <v>2073</v>
      </c>
      <c r="D172" s="716" t="s">
        <v>2074</v>
      </c>
      <c r="E172" s="559">
        <v>376.1</v>
      </c>
      <c r="F172" s="103">
        <v>754871.91</v>
      </c>
      <c r="G172" s="103">
        <f t="shared" si="11"/>
        <v>754871.91</v>
      </c>
      <c r="H172" s="717">
        <v>45356</v>
      </c>
      <c r="I172" s="718"/>
      <c r="J172" s="103"/>
      <c r="K172" s="103"/>
      <c r="M172"/>
      <c r="N172"/>
      <c r="O172" s="720"/>
      <c r="P172" s="720"/>
      <c r="Q172" s="721"/>
      <c r="R172" s="721"/>
      <c r="S172" s="721"/>
      <c r="T172" s="721"/>
      <c r="U172" s="721"/>
      <c r="V172" s="721"/>
      <c r="W172" s="721"/>
      <c r="X172" s="721"/>
      <c r="Y172" s="721"/>
      <c r="Z172" s="721"/>
      <c r="AA172" s="721"/>
      <c r="AB172" s="721"/>
      <c r="AC172" s="721"/>
      <c r="AD172" s="721"/>
      <c r="AE172" s="105"/>
      <c r="AI172" s="105"/>
      <c r="AJ172" s="105"/>
      <c r="AN172" s="105"/>
      <c r="AO172" s="105"/>
      <c r="AP172" s="105"/>
    </row>
    <row r="173" spans="1:42" outlineLevel="1">
      <c r="A173" s="545">
        <f>MAX($A$10:A172)+1</f>
        <v>164</v>
      </c>
      <c r="B173" s="716" t="s">
        <v>1799</v>
      </c>
      <c r="C173" s="716" t="s">
        <v>2075</v>
      </c>
      <c r="D173" s="716" t="s">
        <v>2076</v>
      </c>
      <c r="E173" s="559">
        <v>378</v>
      </c>
      <c r="F173" s="103">
        <v>98907.725646999999</v>
      </c>
      <c r="G173" s="103">
        <f t="shared" si="11"/>
        <v>98907.725646999999</v>
      </c>
      <c r="H173" s="717">
        <v>45366</v>
      </c>
      <c r="I173" s="718"/>
      <c r="J173" s="103"/>
      <c r="K173" s="103"/>
      <c r="M173"/>
      <c r="N173"/>
      <c r="O173" s="720"/>
      <c r="P173" s="720"/>
      <c r="Q173" s="721"/>
      <c r="R173" s="721"/>
      <c r="S173" s="721"/>
      <c r="T173" s="721"/>
      <c r="U173" s="721"/>
      <c r="V173" s="721"/>
      <c r="W173" s="721"/>
      <c r="X173" s="721"/>
      <c r="Y173" s="721"/>
      <c r="Z173" s="721"/>
      <c r="AA173" s="721"/>
      <c r="AB173" s="721"/>
      <c r="AC173" s="721"/>
      <c r="AD173" s="721"/>
      <c r="AE173" s="105"/>
      <c r="AI173" s="105"/>
      <c r="AJ173" s="105"/>
      <c r="AN173" s="105"/>
      <c r="AO173" s="105"/>
      <c r="AP173" s="105"/>
    </row>
    <row r="174" spans="1:42" outlineLevel="1">
      <c r="A174" s="545">
        <f>MAX($A$10:A173)+1</f>
        <v>165</v>
      </c>
      <c r="B174" s="716" t="s">
        <v>1799</v>
      </c>
      <c r="C174" s="716" t="s">
        <v>2077</v>
      </c>
      <c r="D174" s="716" t="s">
        <v>2078</v>
      </c>
      <c r="E174" s="559">
        <v>376.3</v>
      </c>
      <c r="F174" s="103">
        <v>122656.28</v>
      </c>
      <c r="G174" s="103">
        <f t="shared" si="11"/>
        <v>122656.28</v>
      </c>
      <c r="H174" s="717">
        <v>45597</v>
      </c>
      <c r="I174" s="718"/>
      <c r="J174" s="103"/>
      <c r="K174" s="103"/>
      <c r="M174"/>
      <c r="N174"/>
      <c r="O174" s="720"/>
      <c r="P174" s="720"/>
      <c r="Q174" s="721"/>
      <c r="R174" s="721"/>
      <c r="S174" s="721"/>
      <c r="T174" s="721"/>
      <c r="U174" s="721"/>
      <c r="V174" s="721"/>
      <c r="W174" s="721"/>
      <c r="X174" s="721"/>
      <c r="Y174" s="721"/>
      <c r="Z174" s="721"/>
      <c r="AA174" s="721"/>
      <c r="AB174" s="721"/>
      <c r="AC174" s="721"/>
      <c r="AD174" s="721"/>
      <c r="AE174" s="105"/>
      <c r="AI174" s="105"/>
      <c r="AJ174" s="105"/>
      <c r="AN174" s="105"/>
      <c r="AO174" s="105"/>
      <c r="AP174" s="105"/>
    </row>
    <row r="175" spans="1:42" outlineLevel="1">
      <c r="A175" s="545">
        <f>MAX($A$10:A174)+1</f>
        <v>166</v>
      </c>
      <c r="B175" s="716" t="s">
        <v>1799</v>
      </c>
      <c r="C175" s="716" t="s">
        <v>2079</v>
      </c>
      <c r="D175" s="716" t="s">
        <v>2080</v>
      </c>
      <c r="E175" s="559">
        <v>377</v>
      </c>
      <c r="F175" s="103">
        <v>15145</v>
      </c>
      <c r="G175" s="103">
        <f t="shared" si="11"/>
        <v>15145</v>
      </c>
      <c r="H175" s="717">
        <v>45366</v>
      </c>
      <c r="I175" s="718"/>
      <c r="J175" s="103"/>
      <c r="K175" s="103"/>
      <c r="M175"/>
      <c r="N175"/>
      <c r="O175" s="720"/>
      <c r="P175" s="720"/>
      <c r="Q175" s="721"/>
      <c r="R175" s="721"/>
      <c r="S175" s="721"/>
      <c r="T175" s="721"/>
      <c r="U175" s="721"/>
      <c r="V175" s="721"/>
      <c r="W175" s="721"/>
      <c r="X175" s="721"/>
      <c r="Y175" s="721"/>
      <c r="Z175" s="721"/>
      <c r="AA175" s="721"/>
      <c r="AB175" s="721"/>
      <c r="AC175" s="721"/>
      <c r="AD175" s="721"/>
      <c r="AE175" s="105"/>
      <c r="AI175" s="105"/>
      <c r="AJ175" s="105"/>
      <c r="AN175" s="105"/>
      <c r="AO175" s="105"/>
      <c r="AP175" s="105"/>
    </row>
    <row r="176" spans="1:42" outlineLevel="1">
      <c r="A176" s="545">
        <f>MAX($A$10:A175)+1</f>
        <v>167</v>
      </c>
      <c r="B176" s="716" t="s">
        <v>1799</v>
      </c>
      <c r="C176" s="716" t="s">
        <v>2081</v>
      </c>
      <c r="D176" s="716" t="s">
        <v>2082</v>
      </c>
      <c r="E176" s="559">
        <v>379</v>
      </c>
      <c r="F176" s="103">
        <v>4582.6119119999994</v>
      </c>
      <c r="G176" s="103">
        <f t="shared" si="11"/>
        <v>4582.6119119999994</v>
      </c>
      <c r="H176" s="717">
        <v>45349</v>
      </c>
      <c r="I176" s="718"/>
      <c r="J176" s="103"/>
      <c r="K176" s="103"/>
      <c r="M176"/>
      <c r="N176"/>
      <c r="O176" s="720"/>
      <c r="P176" s="720"/>
      <c r="Q176" s="721"/>
      <c r="R176" s="721"/>
      <c r="S176" s="721"/>
      <c r="T176" s="721"/>
      <c r="U176" s="721"/>
      <c r="V176" s="721"/>
      <c r="W176" s="721"/>
      <c r="X176" s="721"/>
      <c r="Y176" s="721"/>
      <c r="Z176" s="721"/>
      <c r="AA176" s="721"/>
      <c r="AB176" s="721"/>
      <c r="AC176" s="721"/>
      <c r="AD176" s="721"/>
      <c r="AE176" s="105"/>
      <c r="AI176" s="105"/>
      <c r="AJ176" s="105"/>
      <c r="AN176" s="105"/>
      <c r="AO176" s="105"/>
      <c r="AP176" s="105"/>
    </row>
    <row r="177" spans="1:42" outlineLevel="1">
      <c r="A177" s="545">
        <f>MAX($A$10:A176)+1</f>
        <v>168</v>
      </c>
      <c r="B177" s="716" t="s">
        <v>1799</v>
      </c>
      <c r="C177" s="716" t="s">
        <v>2083</v>
      </c>
      <c r="D177" s="716" t="s">
        <v>2084</v>
      </c>
      <c r="E177" s="559">
        <v>379</v>
      </c>
      <c r="F177" s="103">
        <v>4582.6119119999994</v>
      </c>
      <c r="G177" s="103">
        <f t="shared" si="11"/>
        <v>4582.6119119999994</v>
      </c>
      <c r="H177" s="717">
        <v>45349</v>
      </c>
      <c r="I177" s="718"/>
      <c r="J177" s="103"/>
      <c r="K177" s="103"/>
      <c r="M177"/>
      <c r="N177"/>
      <c r="O177" s="720"/>
      <c r="P177" s="720"/>
      <c r="Q177" s="721"/>
      <c r="R177" s="721"/>
      <c r="S177" s="721"/>
      <c r="T177" s="721"/>
      <c r="U177" s="721"/>
      <c r="V177" s="721"/>
      <c r="W177" s="721"/>
      <c r="X177" s="721"/>
      <c r="Y177" s="721"/>
      <c r="Z177" s="721"/>
      <c r="AA177" s="721"/>
      <c r="AB177" s="721"/>
      <c r="AC177" s="721"/>
      <c r="AD177" s="721"/>
      <c r="AE177" s="105"/>
      <c r="AI177" s="105"/>
      <c r="AJ177" s="105"/>
      <c r="AN177" s="105"/>
      <c r="AO177" s="105"/>
      <c r="AP177" s="105"/>
    </row>
    <row r="178" spans="1:42" outlineLevel="1">
      <c r="A178" s="545">
        <f>MAX($A$10:A177)+1</f>
        <v>169</v>
      </c>
      <c r="B178" s="716" t="s">
        <v>1799</v>
      </c>
      <c r="C178" s="716" t="s">
        <v>2085</v>
      </c>
      <c r="D178" s="716" t="s">
        <v>2086</v>
      </c>
      <c r="E178" s="559">
        <v>379</v>
      </c>
      <c r="F178" s="103">
        <v>4591.8647419999998</v>
      </c>
      <c r="G178" s="103">
        <f t="shared" si="11"/>
        <v>4591.8647419999998</v>
      </c>
      <c r="H178" s="717">
        <v>45349</v>
      </c>
      <c r="I178" s="718"/>
      <c r="J178" s="103"/>
      <c r="K178" s="103"/>
      <c r="M178"/>
      <c r="N178"/>
      <c r="O178" s="720"/>
      <c r="P178" s="720"/>
      <c r="Q178" s="721"/>
      <c r="R178" s="721"/>
      <c r="S178" s="721"/>
      <c r="T178" s="721"/>
      <c r="U178" s="721"/>
      <c r="V178" s="721"/>
      <c r="W178" s="721"/>
      <c r="X178" s="721"/>
      <c r="Y178" s="721"/>
      <c r="Z178" s="721"/>
      <c r="AA178" s="721"/>
      <c r="AB178" s="721"/>
      <c r="AC178" s="721"/>
      <c r="AD178" s="721"/>
      <c r="AE178" s="105"/>
      <c r="AI178" s="105"/>
      <c r="AJ178" s="105"/>
      <c r="AN178" s="105"/>
      <c r="AO178" s="105"/>
      <c r="AP178" s="105"/>
    </row>
    <row r="179" spans="1:42" outlineLevel="1">
      <c r="A179" s="545">
        <f>MAX($A$10:A178)+1</f>
        <v>170</v>
      </c>
      <c r="B179" s="716" t="s">
        <v>1799</v>
      </c>
      <c r="C179" s="716" t="s">
        <v>2087</v>
      </c>
      <c r="D179" s="716" t="s">
        <v>2088</v>
      </c>
      <c r="E179" s="559">
        <v>379</v>
      </c>
      <c r="F179" s="103">
        <v>4582.6119119999994</v>
      </c>
      <c r="G179" s="103">
        <f t="shared" si="11"/>
        <v>4582.6119119999994</v>
      </c>
      <c r="H179" s="717">
        <v>45349</v>
      </c>
      <c r="I179" s="718"/>
      <c r="J179" s="103"/>
      <c r="K179" s="103"/>
      <c r="M179"/>
      <c r="N179"/>
      <c r="O179" s="720"/>
      <c r="P179" s="720"/>
      <c r="Q179" s="721"/>
      <c r="R179" s="721"/>
      <c r="S179" s="721"/>
      <c r="T179" s="721"/>
      <c r="U179" s="721"/>
      <c r="V179" s="721"/>
      <c r="W179" s="721"/>
      <c r="X179" s="721"/>
      <c r="Y179" s="721"/>
      <c r="Z179" s="721"/>
      <c r="AA179" s="721"/>
      <c r="AB179" s="721"/>
      <c r="AC179" s="721"/>
      <c r="AD179" s="721"/>
      <c r="AE179" s="105"/>
      <c r="AI179" s="105"/>
      <c r="AJ179" s="105"/>
      <c r="AN179" s="105"/>
      <c r="AO179" s="105"/>
      <c r="AP179" s="105"/>
    </row>
    <row r="180" spans="1:42" outlineLevel="1">
      <c r="A180" s="545">
        <f>MAX($A$10:A179)+1</f>
        <v>171</v>
      </c>
      <c r="B180" s="716" t="s">
        <v>1799</v>
      </c>
      <c r="C180" s="716" t="s">
        <v>2089</v>
      </c>
      <c r="D180" s="716" t="s">
        <v>2090</v>
      </c>
      <c r="E180" s="559">
        <v>376.1</v>
      </c>
      <c r="F180" s="103">
        <v>171343.33359999998</v>
      </c>
      <c r="G180" s="103">
        <f t="shared" si="11"/>
        <v>171343.33359999998</v>
      </c>
      <c r="H180" s="717">
        <v>45351</v>
      </c>
      <c r="I180" s="718"/>
      <c r="J180" s="103"/>
      <c r="K180" s="103"/>
      <c r="M180"/>
      <c r="N180"/>
      <c r="O180" s="720"/>
      <c r="P180" s="720"/>
      <c r="Q180" s="721"/>
      <c r="R180" s="721"/>
      <c r="S180" s="721"/>
      <c r="T180" s="721"/>
      <c r="U180" s="721"/>
      <c r="V180" s="721"/>
      <c r="W180" s="721"/>
      <c r="X180" s="721"/>
      <c r="Y180" s="721"/>
      <c r="Z180" s="721"/>
      <c r="AA180" s="721"/>
      <c r="AB180" s="721"/>
      <c r="AC180" s="721"/>
      <c r="AD180" s="721"/>
      <c r="AE180" s="105"/>
      <c r="AI180" s="105"/>
      <c r="AJ180" s="105"/>
      <c r="AN180" s="105"/>
      <c r="AO180" s="105"/>
      <c r="AP180" s="105"/>
    </row>
    <row r="181" spans="1:42" outlineLevel="1">
      <c r="A181" s="545">
        <f>MAX($A$10:A180)+1</f>
        <v>172</v>
      </c>
      <c r="B181" s="716" t="s">
        <v>1799</v>
      </c>
      <c r="C181" s="716" t="s">
        <v>2091</v>
      </c>
      <c r="D181" s="716" t="s">
        <v>2092</v>
      </c>
      <c r="E181" s="559">
        <v>376.1</v>
      </c>
      <c r="F181" s="103">
        <v>851809.52023000002</v>
      </c>
      <c r="G181" s="103">
        <f t="shared" si="11"/>
        <v>851809.52023000002</v>
      </c>
      <c r="H181" s="717">
        <v>45641</v>
      </c>
      <c r="I181" s="718"/>
      <c r="J181" s="103"/>
      <c r="K181" s="103"/>
      <c r="M181"/>
      <c r="N181"/>
      <c r="O181" s="720"/>
      <c r="P181" s="720"/>
      <c r="Q181" s="721"/>
      <c r="R181" s="721"/>
      <c r="S181" s="721"/>
      <c r="T181" s="721"/>
      <c r="U181" s="721"/>
      <c r="V181" s="721"/>
      <c r="W181" s="721"/>
      <c r="X181" s="721"/>
      <c r="Y181" s="721"/>
      <c r="Z181" s="721"/>
      <c r="AA181" s="721"/>
      <c r="AB181" s="721"/>
      <c r="AC181" s="721"/>
      <c r="AD181" s="721"/>
      <c r="AE181" s="105"/>
      <c r="AI181" s="105"/>
      <c r="AJ181" s="105"/>
      <c r="AN181" s="105"/>
      <c r="AO181" s="105"/>
      <c r="AP181" s="105"/>
    </row>
    <row r="182" spans="1:42" outlineLevel="1">
      <c r="A182" s="545">
        <f>MAX($A$10:A181)+1</f>
        <v>173</v>
      </c>
      <c r="B182" s="716" t="s">
        <v>1799</v>
      </c>
      <c r="C182" s="716" t="s">
        <v>2093</v>
      </c>
      <c r="D182" s="716" t="s">
        <v>2094</v>
      </c>
      <c r="E182" s="559">
        <v>376.1</v>
      </c>
      <c r="F182" s="103">
        <v>229130.5956</v>
      </c>
      <c r="G182" s="103">
        <f t="shared" si="11"/>
        <v>229130.5956</v>
      </c>
      <c r="H182" s="717">
        <v>45380</v>
      </c>
      <c r="I182" s="718"/>
      <c r="J182" s="471"/>
      <c r="K182" s="471"/>
      <c r="L182" s="471"/>
      <c r="M182"/>
      <c r="N182"/>
      <c r="O182" s="720"/>
      <c r="P182" s="720"/>
      <c r="Q182" s="721"/>
      <c r="R182" s="721"/>
      <c r="S182" s="721"/>
      <c r="T182" s="721"/>
      <c r="U182" s="721"/>
      <c r="V182" s="721"/>
      <c r="W182" s="721"/>
      <c r="X182" s="721"/>
      <c r="Y182" s="721"/>
      <c r="Z182" s="721"/>
      <c r="AA182" s="721"/>
      <c r="AB182" s="721"/>
      <c r="AC182" s="721"/>
      <c r="AD182" s="721"/>
      <c r="AE182" s="105"/>
      <c r="AI182" s="105"/>
      <c r="AJ182" s="105"/>
      <c r="AN182" s="105"/>
      <c r="AO182" s="105"/>
      <c r="AP182" s="105"/>
    </row>
    <row r="183" spans="1:42" outlineLevel="1">
      <c r="A183" s="545">
        <f>MAX($A$10:A182)+1</f>
        <v>174</v>
      </c>
      <c r="B183" s="729"/>
      <c r="C183" s="729"/>
      <c r="D183" s="730" t="s">
        <v>2095</v>
      </c>
      <c r="E183" s="560"/>
      <c r="F183" s="495">
        <f>SUM(F36:F182)</f>
        <v>122284663.83724491</v>
      </c>
      <c r="G183" s="495">
        <f>SUM(G36:G182)</f>
        <v>122284663.83724491</v>
      </c>
      <c r="H183" s="495"/>
      <c r="I183" s="713">
        <f>SUM(I36:I182)</f>
        <v>73254259.277644008</v>
      </c>
      <c r="J183" s="495">
        <f>SUM(J36:J182)</f>
        <v>73254259.277644008</v>
      </c>
      <c r="K183" s="495"/>
      <c r="L183" s="495">
        <f>SUM(L36:L182)</f>
        <v>0</v>
      </c>
      <c r="M183"/>
      <c r="N183"/>
      <c r="O183" s="105"/>
      <c r="P183" s="105"/>
      <c r="Q183" s="721" t="str">
        <f>IFERROR(VLOOKUP(AH183, $AR$11:$AT$37, 3, FALSE), "")</f>
        <v/>
      </c>
      <c r="R183" s="721"/>
      <c r="S183" s="721"/>
      <c r="T183" s="721"/>
      <c r="U183" s="721"/>
      <c r="V183" s="721"/>
      <c r="W183" s="721"/>
      <c r="X183" s="721"/>
      <c r="Y183" s="721"/>
      <c r="Z183" s="721"/>
      <c r="AA183" s="721"/>
      <c r="AB183" s="721"/>
      <c r="AC183" s="721"/>
      <c r="AD183" s="721"/>
      <c r="AI183" s="105"/>
      <c r="AJ183" s="105"/>
      <c r="AN183" s="105"/>
      <c r="AO183" s="105"/>
      <c r="AP183" s="105"/>
    </row>
    <row r="184" spans="1:42" outlineLevel="1">
      <c r="A184" s="545">
        <f>MAX($A$10:A183)+1</f>
        <v>175</v>
      </c>
      <c r="B184" s="731"/>
      <c r="C184" s="731"/>
      <c r="D184" s="732"/>
      <c r="E184" s="561"/>
      <c r="F184" s="103"/>
      <c r="G184" s="103"/>
      <c r="H184" s="103"/>
      <c r="I184" s="733"/>
      <c r="J184" s="103"/>
      <c r="K184" s="103"/>
      <c r="L184" s="103"/>
      <c r="M184"/>
      <c r="N184"/>
      <c r="O184" s="105"/>
      <c r="P184" s="105"/>
      <c r="Q184" s="721"/>
      <c r="R184" s="721"/>
      <c r="S184" s="721"/>
      <c r="T184" s="721"/>
      <c r="U184" s="721"/>
      <c r="V184" s="721"/>
      <c r="W184" s="721"/>
      <c r="X184" s="721"/>
      <c r="Y184" s="721"/>
      <c r="Z184" s="721"/>
      <c r="AA184" s="721"/>
      <c r="AB184" s="721"/>
      <c r="AC184" s="721"/>
      <c r="AD184" s="721"/>
      <c r="AI184" s="105"/>
      <c r="AJ184" s="105"/>
      <c r="AN184" s="105"/>
      <c r="AO184" s="105"/>
      <c r="AP184" s="105"/>
    </row>
    <row r="185" spans="1:42" outlineLevel="1">
      <c r="A185" s="545">
        <f>MAX($A$10:A184)+1</f>
        <v>176</v>
      </c>
      <c r="B185" s="716" t="s">
        <v>2096</v>
      </c>
      <c r="C185" s="716" t="s">
        <v>2097</v>
      </c>
      <c r="D185" s="716" t="s">
        <v>2098</v>
      </c>
      <c r="E185" s="559">
        <v>396.2</v>
      </c>
      <c r="F185" s="103">
        <v>2463904.4573269999</v>
      </c>
      <c r="G185" s="103">
        <f t="shared" ref="G185:G216" si="13">+F185</f>
        <v>2463904.4573269999</v>
      </c>
      <c r="H185" s="575">
        <v>45657</v>
      </c>
      <c r="I185" s="722">
        <v>2289180.1058280002</v>
      </c>
      <c r="J185" s="103">
        <f t="shared" ref="J185:J216" si="14">+I185</f>
        <v>2289180.1058280002</v>
      </c>
      <c r="K185" s="717">
        <v>46022</v>
      </c>
      <c r="M185"/>
      <c r="N185"/>
      <c r="O185" s="105"/>
      <c r="P185" s="105"/>
      <c r="R185" s="721"/>
      <c r="S185" s="721"/>
      <c r="T185" s="721"/>
      <c r="U185" s="721"/>
      <c r="V185" s="721"/>
      <c r="W185" s="721"/>
      <c r="X185" s="721"/>
      <c r="Y185" s="721"/>
      <c r="Z185" s="721"/>
      <c r="AA185" s="721"/>
      <c r="AB185" s="721"/>
      <c r="AC185" s="721"/>
      <c r="AD185" s="721"/>
      <c r="AI185" s="105"/>
      <c r="AJ185" s="105"/>
      <c r="AN185" s="105"/>
      <c r="AO185" s="105"/>
      <c r="AP185" s="105"/>
    </row>
    <row r="186" spans="1:42" outlineLevel="1">
      <c r="A186" s="545">
        <f>MAX($A$10:A185)+1</f>
        <v>177</v>
      </c>
      <c r="B186" s="716" t="s">
        <v>2096</v>
      </c>
      <c r="C186" s="716" t="s">
        <v>2099</v>
      </c>
      <c r="D186" s="716" t="s">
        <v>2100</v>
      </c>
      <c r="E186" s="559">
        <v>397.2</v>
      </c>
      <c r="F186" s="103">
        <v>87401.493662000037</v>
      </c>
      <c r="G186" s="103">
        <f t="shared" si="13"/>
        <v>87401.493662000037</v>
      </c>
      <c r="H186" s="575">
        <v>45657</v>
      </c>
      <c r="I186" s="722">
        <v>37782.730999999992</v>
      </c>
      <c r="J186" s="103">
        <f t="shared" si="14"/>
        <v>37782.730999999992</v>
      </c>
      <c r="K186" s="717">
        <v>46022</v>
      </c>
      <c r="M186"/>
      <c r="N186"/>
      <c r="O186" s="105"/>
      <c r="P186" s="105"/>
      <c r="R186" s="721"/>
      <c r="S186" s="721"/>
      <c r="T186" s="721"/>
      <c r="U186" s="721"/>
      <c r="V186" s="721"/>
      <c r="W186" s="721"/>
      <c r="X186" s="721"/>
      <c r="Y186" s="721"/>
      <c r="Z186" s="721"/>
      <c r="AA186" s="721"/>
      <c r="AB186" s="721"/>
      <c r="AC186" s="721"/>
      <c r="AD186" s="721"/>
      <c r="AI186" s="105"/>
      <c r="AJ186" s="105"/>
      <c r="AN186" s="105"/>
      <c r="AO186" s="105"/>
      <c r="AP186" s="105"/>
    </row>
    <row r="187" spans="1:42" outlineLevel="1">
      <c r="A187" s="545">
        <f>MAX($A$10:A186)+1</f>
        <v>178</v>
      </c>
      <c r="B187" s="716" t="s">
        <v>2096</v>
      </c>
      <c r="C187" s="716" t="s">
        <v>2101</v>
      </c>
      <c r="D187" s="716" t="s">
        <v>2102</v>
      </c>
      <c r="E187" s="559">
        <v>392.2</v>
      </c>
      <c r="F187" s="103">
        <v>1060664.9308400003</v>
      </c>
      <c r="G187" s="103">
        <f t="shared" si="13"/>
        <v>1060664.9308400003</v>
      </c>
      <c r="H187" s="575">
        <v>45657</v>
      </c>
      <c r="I187" s="722">
        <v>769996.95369600004</v>
      </c>
      <c r="J187" s="103">
        <f t="shared" si="14"/>
        <v>769996.95369600004</v>
      </c>
      <c r="K187" s="717">
        <v>46022</v>
      </c>
      <c r="M187"/>
      <c r="N187"/>
      <c r="O187" s="105"/>
      <c r="P187" s="105"/>
      <c r="R187" s="721"/>
      <c r="S187" s="721"/>
      <c r="T187" s="721"/>
      <c r="U187" s="721"/>
      <c r="V187" s="721"/>
      <c r="W187" s="721"/>
      <c r="X187" s="721"/>
      <c r="Y187" s="721"/>
      <c r="Z187" s="721"/>
      <c r="AA187" s="721"/>
      <c r="AB187" s="721"/>
      <c r="AC187" s="721"/>
      <c r="AD187" s="721"/>
      <c r="AI187" s="105"/>
      <c r="AJ187" s="105"/>
      <c r="AN187" s="105"/>
      <c r="AO187" s="105"/>
      <c r="AP187" s="105"/>
    </row>
    <row r="188" spans="1:42" outlineLevel="1">
      <c r="A188" s="545">
        <f>MAX($A$10:A187)+1</f>
        <v>179</v>
      </c>
      <c r="B188" s="716" t="s">
        <v>2096</v>
      </c>
      <c r="C188" s="716" t="s">
        <v>2103</v>
      </c>
      <c r="D188" s="716" t="s">
        <v>2104</v>
      </c>
      <c r="E188" s="559">
        <v>391.3</v>
      </c>
      <c r="F188" s="103">
        <v>113444.00484100005</v>
      </c>
      <c r="G188" s="103">
        <f t="shared" si="13"/>
        <v>113444.00484100005</v>
      </c>
      <c r="H188" s="575">
        <v>45657</v>
      </c>
      <c r="I188" s="722">
        <v>94456.827500000014</v>
      </c>
      <c r="J188" s="103">
        <f t="shared" si="14"/>
        <v>94456.827500000014</v>
      </c>
      <c r="K188" s="717">
        <v>46022</v>
      </c>
      <c r="M188"/>
      <c r="N188"/>
      <c r="O188" s="105"/>
      <c r="P188" s="105"/>
      <c r="R188" s="721"/>
      <c r="S188" s="721"/>
      <c r="T188" s="721"/>
      <c r="U188" s="721"/>
      <c r="V188" s="721"/>
      <c r="W188" s="721"/>
      <c r="X188" s="721"/>
      <c r="Y188" s="721"/>
      <c r="Z188" s="721"/>
      <c r="AA188" s="721"/>
      <c r="AB188" s="721"/>
      <c r="AC188" s="721"/>
      <c r="AD188" s="721"/>
      <c r="AI188" s="105"/>
      <c r="AJ188" s="105"/>
      <c r="AN188" s="105"/>
      <c r="AO188" s="105"/>
      <c r="AP188" s="105"/>
    </row>
    <row r="189" spans="1:42" outlineLevel="1">
      <c r="A189" s="545">
        <f>MAX($A$10:A188)+1</f>
        <v>180</v>
      </c>
      <c r="B189" s="716" t="s">
        <v>2096</v>
      </c>
      <c r="C189" s="716" t="s">
        <v>2105</v>
      </c>
      <c r="D189" s="1" t="s">
        <v>2106</v>
      </c>
      <c r="E189" s="559">
        <v>391.3</v>
      </c>
      <c r="F189" s="103">
        <v>139476.66683600002</v>
      </c>
      <c r="G189" s="103">
        <f t="shared" si="13"/>
        <v>139476.66683600002</v>
      </c>
      <c r="H189" s="575">
        <v>45657</v>
      </c>
      <c r="I189" s="722">
        <v>139796.10469999997</v>
      </c>
      <c r="J189" s="103">
        <f t="shared" si="14"/>
        <v>139796.10469999997</v>
      </c>
      <c r="K189" s="717">
        <v>46022</v>
      </c>
      <c r="M189"/>
      <c r="N189"/>
      <c r="O189" s="105"/>
      <c r="P189" s="105"/>
      <c r="R189" s="721"/>
      <c r="S189" s="721"/>
      <c r="T189" s="721"/>
      <c r="U189" s="721"/>
      <c r="V189" s="721"/>
      <c r="W189" s="721"/>
      <c r="X189" s="721"/>
      <c r="Y189" s="721"/>
      <c r="Z189" s="721"/>
      <c r="AA189" s="721"/>
      <c r="AB189" s="721"/>
      <c r="AC189" s="721"/>
      <c r="AD189" s="721"/>
      <c r="AI189" s="105"/>
      <c r="AJ189" s="105"/>
      <c r="AN189" s="105"/>
      <c r="AO189" s="105"/>
      <c r="AP189" s="105"/>
    </row>
    <row r="190" spans="1:42" outlineLevel="1">
      <c r="A190" s="545">
        <f>MAX($A$10:A189)+1</f>
        <v>181</v>
      </c>
      <c r="B190" s="716" t="s">
        <v>2096</v>
      </c>
      <c r="C190" s="716" t="s">
        <v>2107</v>
      </c>
      <c r="D190" s="716" t="s">
        <v>2108</v>
      </c>
      <c r="E190" s="559">
        <v>391.5</v>
      </c>
      <c r="F190" s="103">
        <v>97895.851235000009</v>
      </c>
      <c r="G190" s="103">
        <f t="shared" si="13"/>
        <v>97895.851235000009</v>
      </c>
      <c r="H190" s="575">
        <v>45657</v>
      </c>
      <c r="I190" s="722">
        <v>148276.99154800002</v>
      </c>
      <c r="J190" s="103">
        <f t="shared" si="14"/>
        <v>148276.99154800002</v>
      </c>
      <c r="K190" s="717">
        <v>46022</v>
      </c>
      <c r="M190"/>
      <c r="N190"/>
      <c r="O190" s="105"/>
      <c r="P190" s="105"/>
      <c r="R190" s="721"/>
      <c r="S190" s="721"/>
      <c r="T190" s="721"/>
      <c r="U190" s="721"/>
      <c r="V190" s="721"/>
      <c r="W190" s="721"/>
      <c r="X190" s="721"/>
      <c r="Y190" s="721"/>
      <c r="Z190" s="721"/>
      <c r="AA190" s="721"/>
      <c r="AB190" s="721"/>
      <c r="AC190" s="721"/>
      <c r="AD190" s="721"/>
      <c r="AI190" s="105"/>
      <c r="AJ190" s="105"/>
      <c r="AN190" s="105"/>
      <c r="AO190" s="105"/>
      <c r="AP190" s="105"/>
    </row>
    <row r="191" spans="1:42" outlineLevel="1">
      <c r="A191" s="545">
        <f>MAX($A$10:A190)+1</f>
        <v>182</v>
      </c>
      <c r="B191" s="716" t="s">
        <v>2096</v>
      </c>
      <c r="C191" s="716" t="s">
        <v>2109</v>
      </c>
      <c r="D191" s="716" t="s">
        <v>2110</v>
      </c>
      <c r="E191" s="559">
        <v>391.3</v>
      </c>
      <c r="F191" s="103">
        <v>136058.75</v>
      </c>
      <c r="G191" s="103">
        <f t="shared" si="13"/>
        <v>136058.75</v>
      </c>
      <c r="H191" s="575">
        <v>45657</v>
      </c>
      <c r="I191" s="722">
        <v>4053.38</v>
      </c>
      <c r="J191" s="103">
        <f t="shared" si="14"/>
        <v>4053.38</v>
      </c>
      <c r="K191" s="717">
        <v>46022</v>
      </c>
      <c r="M191"/>
      <c r="N191"/>
      <c r="O191" s="105"/>
      <c r="P191" s="105"/>
      <c r="R191" s="721"/>
      <c r="S191" s="721"/>
      <c r="T191" s="721"/>
      <c r="U191" s="721"/>
      <c r="V191" s="721"/>
      <c r="W191" s="721"/>
      <c r="X191" s="721"/>
      <c r="Y191" s="721"/>
      <c r="Z191" s="721"/>
      <c r="AA191" s="721"/>
      <c r="AB191" s="721"/>
      <c r="AC191" s="721"/>
      <c r="AD191" s="721"/>
      <c r="AI191" s="105"/>
      <c r="AJ191" s="105"/>
      <c r="AN191" s="105"/>
      <c r="AO191" s="105"/>
      <c r="AP191" s="105"/>
    </row>
    <row r="192" spans="1:42" outlineLevel="1">
      <c r="A192" s="545">
        <f>MAX($A$10:A191)+1</f>
        <v>183</v>
      </c>
      <c r="B192" s="716" t="s">
        <v>2096</v>
      </c>
      <c r="C192" s="716" t="s">
        <v>2111</v>
      </c>
      <c r="D192" s="716" t="s">
        <v>2112</v>
      </c>
      <c r="E192" s="559">
        <v>394.1</v>
      </c>
      <c r="F192" s="103">
        <v>163538.84</v>
      </c>
      <c r="G192" s="103">
        <f t="shared" si="13"/>
        <v>163538.84</v>
      </c>
      <c r="H192" s="575">
        <v>45657</v>
      </c>
      <c r="I192" s="722">
        <v>142508.39000000001</v>
      </c>
      <c r="J192" s="103">
        <f t="shared" si="14"/>
        <v>142508.39000000001</v>
      </c>
      <c r="K192" s="717">
        <v>46022</v>
      </c>
      <c r="M192"/>
      <c r="N192"/>
      <c r="O192" s="105"/>
      <c r="P192" s="105"/>
      <c r="R192" s="721"/>
      <c r="S192" s="721"/>
      <c r="T192" s="721"/>
      <c r="U192" s="721"/>
      <c r="V192" s="721"/>
      <c r="W192" s="721"/>
      <c r="X192" s="721"/>
      <c r="Y192" s="721"/>
      <c r="Z192" s="721"/>
      <c r="AA192" s="721"/>
      <c r="AB192" s="721"/>
      <c r="AC192" s="721"/>
      <c r="AD192" s="721"/>
      <c r="AI192" s="105"/>
      <c r="AJ192" s="105"/>
      <c r="AN192" s="105"/>
      <c r="AO192" s="105"/>
      <c r="AP192" s="105"/>
    </row>
    <row r="193" spans="1:42" outlineLevel="1">
      <c r="A193" s="545">
        <f>MAX($A$10:A192)+1</f>
        <v>184</v>
      </c>
      <c r="B193" s="716" t="s">
        <v>2096</v>
      </c>
      <c r="C193" s="716" t="s">
        <v>2113</v>
      </c>
      <c r="D193" s="716" t="s">
        <v>2114</v>
      </c>
      <c r="E193" s="559">
        <v>397.2</v>
      </c>
      <c r="F193" s="103">
        <v>1387227.5384</v>
      </c>
      <c r="G193" s="103">
        <f t="shared" si="13"/>
        <v>1387227.5384</v>
      </c>
      <c r="H193" s="575">
        <v>45657</v>
      </c>
      <c r="I193" s="718">
        <v>0</v>
      </c>
      <c r="J193" s="103">
        <f t="shared" si="14"/>
        <v>0</v>
      </c>
      <c r="K193" s="717"/>
      <c r="M193"/>
      <c r="N193"/>
      <c r="O193" s="105"/>
      <c r="P193" s="105"/>
      <c r="R193" s="721"/>
      <c r="S193" s="721"/>
      <c r="T193" s="721"/>
      <c r="U193" s="721"/>
      <c r="V193" s="721"/>
      <c r="W193" s="721"/>
      <c r="X193" s="721"/>
      <c r="Y193" s="721"/>
      <c r="Z193" s="721"/>
      <c r="AA193" s="721"/>
      <c r="AB193" s="721"/>
      <c r="AC193" s="721"/>
      <c r="AD193" s="721"/>
      <c r="AE193" s="716"/>
      <c r="AI193" s="105"/>
      <c r="AJ193" s="105"/>
      <c r="AN193" s="105"/>
      <c r="AO193" s="105"/>
      <c r="AP193" s="105"/>
    </row>
    <row r="194" spans="1:42" outlineLevel="1">
      <c r="A194" s="545">
        <f>MAX($A$10:A193)+1</f>
        <v>185</v>
      </c>
      <c r="B194" s="716" t="s">
        <v>2096</v>
      </c>
      <c r="C194" s="716" t="s">
        <v>2115</v>
      </c>
      <c r="D194" s="716" t="s">
        <v>2116</v>
      </c>
      <c r="E194" s="559">
        <v>397.2</v>
      </c>
      <c r="F194" s="103">
        <v>52022.181260999998</v>
      </c>
      <c r="G194" s="103">
        <f t="shared" si="13"/>
        <v>52022.181260999998</v>
      </c>
      <c r="H194" s="575">
        <v>45657</v>
      </c>
      <c r="I194" s="718">
        <v>0</v>
      </c>
      <c r="J194" s="103">
        <f t="shared" si="14"/>
        <v>0</v>
      </c>
      <c r="K194" s="717"/>
      <c r="M194"/>
      <c r="N194"/>
      <c r="P194" s="105"/>
      <c r="R194" s="721"/>
      <c r="S194" s="721"/>
      <c r="T194" s="721"/>
      <c r="U194" s="721"/>
      <c r="V194" s="721"/>
      <c r="W194" s="721"/>
      <c r="X194" s="721"/>
      <c r="Y194" s="721"/>
      <c r="Z194" s="721"/>
      <c r="AA194" s="721"/>
      <c r="AB194" s="721"/>
      <c r="AC194" s="721"/>
      <c r="AD194" s="721"/>
      <c r="AE194" s="716"/>
      <c r="AI194" s="105"/>
      <c r="AJ194" s="105"/>
      <c r="AN194" s="105"/>
      <c r="AO194" s="105"/>
      <c r="AP194" s="105"/>
    </row>
    <row r="195" spans="1:42" outlineLevel="1">
      <c r="A195" s="545">
        <f>MAX($A$10:A194)+1</f>
        <v>186</v>
      </c>
      <c r="B195" s="716" t="s">
        <v>2096</v>
      </c>
      <c r="C195" s="716" t="s">
        <v>2117</v>
      </c>
      <c r="D195" s="716" t="s">
        <v>2118</v>
      </c>
      <c r="E195" s="559">
        <v>397.2</v>
      </c>
      <c r="F195" s="103">
        <v>72377.088960000008</v>
      </c>
      <c r="G195" s="103">
        <f t="shared" si="13"/>
        <v>72377.088960000008</v>
      </c>
      <c r="H195" s="575">
        <v>45657</v>
      </c>
      <c r="I195" s="722">
        <v>37782.731</v>
      </c>
      <c r="J195" s="103">
        <f t="shared" si="14"/>
        <v>37782.731</v>
      </c>
      <c r="K195" s="717">
        <v>46022</v>
      </c>
      <c r="M195"/>
      <c r="N195"/>
      <c r="O195" s="105"/>
      <c r="P195" s="105"/>
      <c r="Q195" s="722"/>
      <c r="R195" s="721"/>
      <c r="S195" s="721"/>
      <c r="T195" s="721"/>
      <c r="U195" s="721"/>
      <c r="V195" s="721"/>
      <c r="W195" s="721"/>
      <c r="X195" s="721"/>
      <c r="Y195" s="721"/>
      <c r="Z195" s="721"/>
      <c r="AA195" s="721"/>
      <c r="AB195" s="721"/>
      <c r="AC195" s="721"/>
      <c r="AD195" s="721"/>
      <c r="AE195" s="716"/>
      <c r="AI195" s="105"/>
      <c r="AJ195" s="105"/>
      <c r="AN195" s="105"/>
      <c r="AO195" s="105"/>
      <c r="AP195" s="105"/>
    </row>
    <row r="196" spans="1:42" outlineLevel="1">
      <c r="A196" s="545">
        <f>MAX($A$10:A195)+1</f>
        <v>187</v>
      </c>
      <c r="B196" s="716" t="s">
        <v>2096</v>
      </c>
      <c r="C196" s="716" t="s">
        <v>2119</v>
      </c>
      <c r="D196" s="716" t="s">
        <v>2120</v>
      </c>
      <c r="E196" s="559">
        <v>394.1</v>
      </c>
      <c r="F196" s="103">
        <v>16945.670000000002</v>
      </c>
      <c r="G196" s="103">
        <f t="shared" si="13"/>
        <v>16945.670000000002</v>
      </c>
      <c r="H196" s="717">
        <v>45473</v>
      </c>
      <c r="I196" s="714">
        <v>0</v>
      </c>
      <c r="J196" s="103">
        <f t="shared" si="14"/>
        <v>0</v>
      </c>
      <c r="K196" s="103"/>
      <c r="M196"/>
      <c r="N196"/>
      <c r="P196" s="105"/>
      <c r="R196" s="721"/>
      <c r="S196" s="721"/>
      <c r="T196" s="721"/>
      <c r="U196" s="721"/>
      <c r="V196" s="721"/>
      <c r="W196" s="721"/>
      <c r="X196" s="721"/>
      <c r="Y196" s="721"/>
      <c r="Z196" s="721"/>
      <c r="AA196" s="721"/>
      <c r="AB196" s="721"/>
      <c r="AC196" s="721"/>
      <c r="AD196" s="721"/>
      <c r="AE196" s="716"/>
      <c r="AI196" s="105"/>
      <c r="AJ196" s="105"/>
      <c r="AN196" s="105"/>
      <c r="AO196" s="105"/>
      <c r="AP196" s="105"/>
    </row>
    <row r="197" spans="1:42" outlineLevel="1">
      <c r="A197" s="545">
        <f>MAX($A$10:A196)+1</f>
        <v>188</v>
      </c>
      <c r="B197" s="716" t="s">
        <v>2096</v>
      </c>
      <c r="C197" s="105" t="s">
        <v>2121</v>
      </c>
      <c r="D197" s="105" t="s">
        <v>2122</v>
      </c>
      <c r="E197" s="559">
        <v>394.1</v>
      </c>
      <c r="F197" s="103">
        <v>14987.11</v>
      </c>
      <c r="G197" s="103">
        <f t="shared" si="13"/>
        <v>14987.11</v>
      </c>
      <c r="H197" s="721">
        <v>45468</v>
      </c>
      <c r="I197" s="722">
        <v>0</v>
      </c>
      <c r="J197" s="103">
        <f t="shared" si="14"/>
        <v>0</v>
      </c>
      <c r="K197" s="717">
        <v>45747</v>
      </c>
      <c r="M197"/>
      <c r="N197"/>
      <c r="O197" s="105"/>
      <c r="P197" s="105"/>
      <c r="Q197" s="722"/>
      <c r="R197" s="721"/>
      <c r="S197" s="721"/>
      <c r="T197" s="721"/>
      <c r="U197" s="721"/>
      <c r="V197" s="721"/>
      <c r="W197" s="721"/>
      <c r="X197" s="721"/>
      <c r="Y197" s="721"/>
      <c r="Z197" s="721"/>
      <c r="AA197" s="721"/>
      <c r="AB197" s="721"/>
      <c r="AC197" s="721"/>
      <c r="AD197" s="721"/>
      <c r="AE197" s="716"/>
      <c r="AI197" s="105"/>
      <c r="AJ197" s="105"/>
      <c r="AN197" s="105"/>
      <c r="AO197" s="105"/>
      <c r="AP197" s="105"/>
    </row>
    <row r="198" spans="1:42" outlineLevel="1">
      <c r="A198" s="545">
        <f>MAX($A$10:A197)+1</f>
        <v>189</v>
      </c>
      <c r="B198" s="716" t="s">
        <v>2096</v>
      </c>
      <c r="C198" s="716" t="s">
        <v>2123</v>
      </c>
      <c r="D198" s="716" t="s">
        <v>2124</v>
      </c>
      <c r="E198" s="559">
        <v>394.1</v>
      </c>
      <c r="F198" s="103">
        <v>16755.97</v>
      </c>
      <c r="G198" s="103">
        <f t="shared" si="13"/>
        <v>16755.97</v>
      </c>
      <c r="H198" s="717">
        <v>45442</v>
      </c>
      <c r="I198" s="718">
        <v>0</v>
      </c>
      <c r="J198" s="103">
        <f t="shared" si="14"/>
        <v>0</v>
      </c>
      <c r="K198" s="103"/>
      <c r="M198"/>
      <c r="N198"/>
      <c r="P198" s="720"/>
      <c r="R198" s="721"/>
      <c r="S198" s="721"/>
      <c r="T198" s="721"/>
      <c r="U198" s="721"/>
      <c r="V198" s="721"/>
      <c r="W198" s="721"/>
      <c r="X198" s="721"/>
      <c r="Y198" s="721"/>
      <c r="Z198" s="721"/>
      <c r="AA198" s="721"/>
      <c r="AB198" s="721"/>
      <c r="AC198" s="721"/>
      <c r="AD198" s="721"/>
      <c r="AE198" s="716"/>
      <c r="AI198" s="105"/>
      <c r="AJ198" s="105"/>
      <c r="AN198" s="105"/>
      <c r="AO198" s="105"/>
      <c r="AP198" s="105"/>
    </row>
    <row r="199" spans="1:42" outlineLevel="1">
      <c r="A199" s="545">
        <f>MAX($A$10:A198)+1</f>
        <v>190</v>
      </c>
      <c r="B199" s="716" t="s">
        <v>2096</v>
      </c>
      <c r="C199" s="716" t="s">
        <v>2125</v>
      </c>
      <c r="D199" s="716" t="s">
        <v>2126</v>
      </c>
      <c r="E199" s="559">
        <v>394.1</v>
      </c>
      <c r="F199" s="103">
        <v>3970.1</v>
      </c>
      <c r="G199" s="103">
        <f t="shared" si="13"/>
        <v>3970.1</v>
      </c>
      <c r="H199" s="717">
        <v>45513</v>
      </c>
      <c r="I199" s="718">
        <v>0</v>
      </c>
      <c r="J199" s="103">
        <f t="shared" si="14"/>
        <v>0</v>
      </c>
      <c r="K199" s="103"/>
      <c r="M199"/>
      <c r="N199"/>
      <c r="P199" s="105"/>
      <c r="Q199" s="722"/>
      <c r="R199" s="721"/>
      <c r="S199" s="721"/>
      <c r="T199" s="721"/>
      <c r="U199" s="721"/>
      <c r="V199" s="721"/>
      <c r="W199" s="721"/>
      <c r="X199" s="721"/>
      <c r="Y199" s="721"/>
      <c r="Z199" s="721"/>
      <c r="AA199" s="721"/>
      <c r="AB199" s="721"/>
      <c r="AC199" s="721"/>
      <c r="AD199" s="721"/>
      <c r="AE199" s="716"/>
      <c r="AI199" s="105"/>
      <c r="AJ199" s="105"/>
      <c r="AN199" s="105"/>
      <c r="AO199" s="105"/>
      <c r="AP199" s="105"/>
    </row>
    <row r="200" spans="1:42" outlineLevel="1">
      <c r="A200" s="545">
        <f>MAX($A$10:A199)+1</f>
        <v>191</v>
      </c>
      <c r="B200" s="716" t="s">
        <v>2096</v>
      </c>
      <c r="C200" s="716" t="s">
        <v>2127</v>
      </c>
      <c r="D200" s="716" t="s">
        <v>2128</v>
      </c>
      <c r="E200" s="559">
        <v>394.1</v>
      </c>
      <c r="F200" s="103">
        <v>10597.83</v>
      </c>
      <c r="G200" s="103">
        <f t="shared" si="13"/>
        <v>10597.83</v>
      </c>
      <c r="H200" s="717">
        <v>45382</v>
      </c>
      <c r="I200" s="718">
        <v>0</v>
      </c>
      <c r="J200" s="103">
        <f t="shared" si="14"/>
        <v>0</v>
      </c>
      <c r="K200" s="717">
        <v>46022</v>
      </c>
      <c r="M200"/>
      <c r="N200"/>
      <c r="P200" s="105"/>
      <c r="Q200" s="722"/>
      <c r="R200" s="721"/>
      <c r="S200" s="721"/>
      <c r="T200" s="721"/>
      <c r="U200" s="721"/>
      <c r="V200" s="721"/>
      <c r="W200" s="721"/>
      <c r="X200" s="721"/>
      <c r="Y200" s="721"/>
      <c r="Z200" s="721"/>
      <c r="AA200" s="721"/>
      <c r="AB200" s="721"/>
      <c r="AC200" s="721"/>
      <c r="AD200" s="721"/>
      <c r="AE200" s="716"/>
      <c r="AI200" s="105"/>
      <c r="AJ200" s="105"/>
      <c r="AN200" s="105"/>
      <c r="AO200" s="105"/>
      <c r="AP200" s="105"/>
    </row>
    <row r="201" spans="1:42" outlineLevel="1">
      <c r="A201" s="545">
        <f>MAX($A$10:A200)+1</f>
        <v>192</v>
      </c>
      <c r="B201" s="716" t="s">
        <v>2096</v>
      </c>
      <c r="C201" s="716" t="s">
        <v>2129</v>
      </c>
      <c r="D201" s="716" t="s">
        <v>2130</v>
      </c>
      <c r="E201" s="559">
        <v>390.1</v>
      </c>
      <c r="F201" s="103">
        <v>126212.5</v>
      </c>
      <c r="G201" s="103">
        <f t="shared" si="13"/>
        <v>126212.5</v>
      </c>
      <c r="H201" s="717">
        <v>45505</v>
      </c>
      <c r="I201" s="718">
        <v>0</v>
      </c>
      <c r="J201" s="103">
        <f t="shared" si="14"/>
        <v>0</v>
      </c>
      <c r="K201" s="103"/>
      <c r="M201"/>
      <c r="N201"/>
      <c r="R201" s="721"/>
      <c r="S201" s="721"/>
      <c r="T201" s="721"/>
      <c r="U201" s="721"/>
      <c r="V201" s="721"/>
      <c r="W201" s="721"/>
      <c r="X201" s="721"/>
      <c r="Y201" s="721"/>
      <c r="Z201" s="721"/>
      <c r="AA201" s="721"/>
      <c r="AB201" s="721"/>
      <c r="AC201" s="721"/>
      <c r="AD201" s="721"/>
      <c r="AE201" s="716"/>
      <c r="AI201" s="105"/>
      <c r="AJ201" s="105"/>
      <c r="AN201" s="105"/>
      <c r="AO201" s="105"/>
      <c r="AP201" s="105"/>
    </row>
    <row r="202" spans="1:42" outlineLevel="1">
      <c r="A202" s="545">
        <f>MAX($A$10:A201)+1</f>
        <v>193</v>
      </c>
      <c r="B202" s="716" t="s">
        <v>2096</v>
      </c>
      <c r="C202" s="105" t="s">
        <v>2131</v>
      </c>
      <c r="D202" s="105" t="s">
        <v>2132</v>
      </c>
      <c r="E202" s="559">
        <v>394.1</v>
      </c>
      <c r="F202" s="103">
        <v>20141.350000000002</v>
      </c>
      <c r="G202" s="103">
        <f t="shared" si="13"/>
        <v>20141.350000000002</v>
      </c>
      <c r="H202" s="721">
        <v>45383</v>
      </c>
      <c r="I202" s="722">
        <v>0</v>
      </c>
      <c r="J202" s="103">
        <f t="shared" si="14"/>
        <v>0</v>
      </c>
      <c r="K202" s="717">
        <v>45748</v>
      </c>
      <c r="M202"/>
      <c r="N202"/>
      <c r="O202" s="105"/>
      <c r="P202" s="105"/>
      <c r="Q202" s="722"/>
      <c r="R202" s="721"/>
      <c r="S202" s="721"/>
      <c r="T202" s="721"/>
      <c r="U202" s="721"/>
      <c r="V202" s="721"/>
      <c r="W202" s="721"/>
      <c r="X202" s="721"/>
      <c r="Y202" s="721"/>
      <c r="Z202" s="721"/>
      <c r="AA202" s="721"/>
      <c r="AB202" s="721"/>
      <c r="AC202" s="721"/>
      <c r="AD202" s="721"/>
      <c r="AE202" s="716"/>
      <c r="AI202" s="105"/>
      <c r="AJ202" s="105"/>
      <c r="AN202" s="105"/>
      <c r="AO202" s="105"/>
      <c r="AP202" s="105"/>
    </row>
    <row r="203" spans="1:42" outlineLevel="1">
      <c r="A203" s="545">
        <f>MAX($A$10:A202)+1</f>
        <v>194</v>
      </c>
      <c r="B203" s="716" t="s">
        <v>2096</v>
      </c>
      <c r="C203" s="105" t="s">
        <v>2133</v>
      </c>
      <c r="D203" s="105" t="s">
        <v>2134</v>
      </c>
      <c r="E203" s="559">
        <v>397.1</v>
      </c>
      <c r="F203" s="103">
        <v>0</v>
      </c>
      <c r="G203" s="103">
        <f t="shared" si="13"/>
        <v>0</v>
      </c>
      <c r="H203" s="721">
        <v>46631</v>
      </c>
      <c r="I203" s="722">
        <v>0</v>
      </c>
      <c r="J203" s="103">
        <f t="shared" si="14"/>
        <v>0</v>
      </c>
      <c r="K203" s="717">
        <v>45777</v>
      </c>
      <c r="M203"/>
      <c r="N203"/>
      <c r="O203" s="105"/>
      <c r="P203" s="105"/>
      <c r="Q203" s="722"/>
      <c r="R203" s="721"/>
      <c r="S203" s="721"/>
      <c r="T203" s="721"/>
      <c r="U203" s="721"/>
      <c r="V203" s="721"/>
      <c r="W203" s="721"/>
      <c r="X203" s="721"/>
      <c r="Y203" s="721"/>
      <c r="Z203" s="721"/>
      <c r="AA203" s="721"/>
      <c r="AB203" s="721"/>
      <c r="AC203" s="721"/>
      <c r="AD203" s="721"/>
      <c r="AE203" s="716"/>
      <c r="AI203" s="105"/>
      <c r="AJ203" s="105"/>
      <c r="AN203" s="105"/>
      <c r="AO203" s="105"/>
      <c r="AP203" s="105"/>
    </row>
    <row r="204" spans="1:42" outlineLevel="1">
      <c r="A204" s="545">
        <f>MAX($A$10:A203)+1</f>
        <v>195</v>
      </c>
      <c r="B204" s="716" t="s">
        <v>2096</v>
      </c>
      <c r="C204" s="716" t="s">
        <v>2135</v>
      </c>
      <c r="D204" s="716" t="s">
        <v>2136</v>
      </c>
      <c r="E204" s="559">
        <v>390.1</v>
      </c>
      <c r="F204" s="103">
        <v>0</v>
      </c>
      <c r="G204" s="103">
        <f t="shared" si="13"/>
        <v>0</v>
      </c>
      <c r="H204" s="717">
        <v>45657</v>
      </c>
      <c r="I204" s="718">
        <v>0</v>
      </c>
      <c r="J204" s="103">
        <f t="shared" si="14"/>
        <v>0</v>
      </c>
      <c r="K204" s="103"/>
      <c r="M204"/>
      <c r="N204"/>
      <c r="O204" s="105"/>
      <c r="P204" s="105"/>
      <c r="Q204" s="721"/>
      <c r="R204" s="721"/>
      <c r="S204" s="721"/>
      <c r="T204" s="721"/>
      <c r="U204" s="721"/>
      <c r="V204" s="721"/>
      <c r="W204" s="721"/>
      <c r="X204" s="721"/>
      <c r="Y204" s="721"/>
      <c r="Z204" s="721"/>
      <c r="AA204" s="721"/>
      <c r="AB204" s="721"/>
      <c r="AC204" s="721"/>
      <c r="AD204" s="721"/>
      <c r="AE204" s="716"/>
      <c r="AI204" s="105"/>
      <c r="AJ204" s="105"/>
      <c r="AN204" s="105"/>
      <c r="AO204" s="105"/>
      <c r="AP204" s="105"/>
    </row>
    <row r="205" spans="1:42" outlineLevel="1">
      <c r="A205" s="545">
        <f>MAX($A$10:A204)+1</f>
        <v>196</v>
      </c>
      <c r="B205" s="716" t="s">
        <v>2096</v>
      </c>
      <c r="C205" s="716" t="s">
        <v>2137</v>
      </c>
      <c r="D205" s="716" t="s">
        <v>2138</v>
      </c>
      <c r="E205" s="559">
        <v>394.1</v>
      </c>
      <c r="F205" s="103">
        <v>12729.9</v>
      </c>
      <c r="G205" s="103">
        <f t="shared" si="13"/>
        <v>12729.9</v>
      </c>
      <c r="H205" s="717">
        <v>45412</v>
      </c>
      <c r="I205" s="718">
        <v>0</v>
      </c>
      <c r="J205" s="103">
        <f t="shared" si="14"/>
        <v>0</v>
      </c>
      <c r="K205" s="103"/>
      <c r="M205"/>
      <c r="N205"/>
      <c r="O205" s="105"/>
      <c r="P205" s="105"/>
      <c r="Q205" s="721"/>
      <c r="R205" s="721"/>
      <c r="S205" s="721"/>
      <c r="T205" s="721"/>
      <c r="U205" s="721"/>
      <c r="V205" s="721"/>
      <c r="W205" s="721"/>
      <c r="X205" s="721"/>
      <c r="Y205" s="721"/>
      <c r="Z205" s="721"/>
      <c r="AA205" s="721"/>
      <c r="AB205" s="721"/>
      <c r="AC205" s="721"/>
      <c r="AD205" s="721"/>
      <c r="AE205" s="716"/>
      <c r="AI205" s="105"/>
      <c r="AJ205" s="105"/>
      <c r="AN205" s="105"/>
      <c r="AO205" s="105"/>
      <c r="AP205" s="105"/>
    </row>
    <row r="206" spans="1:42" outlineLevel="1">
      <c r="A206" s="545">
        <f>MAX($A$10:A205)+1</f>
        <v>197</v>
      </c>
      <c r="B206" s="716" t="s">
        <v>2096</v>
      </c>
      <c r="C206" s="716" t="s">
        <v>2139</v>
      </c>
      <c r="D206" s="716" t="s">
        <v>2140</v>
      </c>
      <c r="E206" s="559">
        <v>390.1</v>
      </c>
      <c r="F206" s="103">
        <v>37696.400500000003</v>
      </c>
      <c r="G206" s="103">
        <f t="shared" si="13"/>
        <v>37696.400500000003</v>
      </c>
      <c r="H206" s="717">
        <v>45382</v>
      </c>
      <c r="I206" s="718">
        <v>0</v>
      </c>
      <c r="J206" s="103">
        <f t="shared" si="14"/>
        <v>0</v>
      </c>
      <c r="K206" s="103"/>
      <c r="M206"/>
      <c r="N206"/>
      <c r="O206" s="105"/>
      <c r="P206" s="105"/>
      <c r="Q206" s="721"/>
      <c r="R206" s="721"/>
      <c r="S206" s="721"/>
      <c r="T206" s="721"/>
      <c r="U206" s="721"/>
      <c r="V206" s="721"/>
      <c r="W206" s="721"/>
      <c r="X206" s="721"/>
      <c r="Y206" s="721"/>
      <c r="Z206" s="721"/>
      <c r="AA206" s="721"/>
      <c r="AB206" s="721"/>
      <c r="AC206" s="721"/>
      <c r="AD206" s="721"/>
      <c r="AI206" s="105"/>
      <c r="AJ206" s="105"/>
      <c r="AN206" s="105"/>
      <c r="AO206" s="105"/>
      <c r="AP206" s="105"/>
    </row>
    <row r="207" spans="1:42" outlineLevel="1">
      <c r="A207" s="545">
        <f>MAX($A$10:A206)+1</f>
        <v>198</v>
      </c>
      <c r="B207" s="716" t="s">
        <v>2096</v>
      </c>
      <c r="C207" s="720" t="s">
        <v>2141</v>
      </c>
      <c r="D207" s="720" t="s">
        <v>2142</v>
      </c>
      <c r="E207" s="559">
        <v>394.1</v>
      </c>
      <c r="F207" s="103">
        <v>0</v>
      </c>
      <c r="G207" s="103">
        <f t="shared" si="13"/>
        <v>0</v>
      </c>
      <c r="I207" s="722">
        <v>4451.47</v>
      </c>
      <c r="J207" s="103">
        <f t="shared" si="14"/>
        <v>4451.47</v>
      </c>
      <c r="K207" s="717">
        <v>45747</v>
      </c>
      <c r="M207"/>
      <c r="N207"/>
      <c r="O207" s="105"/>
      <c r="P207" s="105"/>
      <c r="Q207" s="721"/>
      <c r="R207" s="721"/>
      <c r="S207" s="721"/>
      <c r="T207" s="721"/>
      <c r="U207" s="721"/>
      <c r="V207" s="721"/>
      <c r="W207" s="721"/>
      <c r="X207" s="721"/>
      <c r="Y207" s="721"/>
      <c r="Z207" s="721"/>
      <c r="AA207" s="721"/>
      <c r="AB207" s="721"/>
      <c r="AC207" s="721"/>
      <c r="AD207" s="721"/>
      <c r="AI207" s="105"/>
      <c r="AJ207" s="105"/>
      <c r="AN207" s="105"/>
      <c r="AO207" s="105"/>
      <c r="AP207" s="105"/>
    </row>
    <row r="208" spans="1:42" outlineLevel="1">
      <c r="A208" s="545">
        <f>MAX($A$10:A207)+1</f>
        <v>199</v>
      </c>
      <c r="B208" s="716" t="s">
        <v>2096</v>
      </c>
      <c r="C208" s="716" t="s">
        <v>2143</v>
      </c>
      <c r="D208" s="716" t="s">
        <v>2144</v>
      </c>
      <c r="E208" s="559">
        <v>394.1</v>
      </c>
      <c r="F208" s="103">
        <v>1592.8</v>
      </c>
      <c r="G208" s="103">
        <f t="shared" si="13"/>
        <v>1592.8</v>
      </c>
      <c r="H208" s="717">
        <v>45357</v>
      </c>
      <c r="I208" s="718">
        <v>0</v>
      </c>
      <c r="J208" s="103">
        <f t="shared" si="14"/>
        <v>0</v>
      </c>
      <c r="K208" s="103"/>
      <c r="M208"/>
      <c r="N208"/>
      <c r="O208" s="105"/>
      <c r="P208" s="105"/>
      <c r="Q208" s="721"/>
      <c r="R208" s="721"/>
      <c r="S208" s="721"/>
      <c r="T208" s="721"/>
      <c r="U208" s="721"/>
      <c r="V208" s="721"/>
      <c r="W208" s="721"/>
      <c r="X208" s="721"/>
      <c r="Y208" s="721"/>
      <c r="Z208" s="721"/>
      <c r="AA208" s="721"/>
      <c r="AB208" s="721"/>
      <c r="AC208" s="721"/>
      <c r="AD208" s="721"/>
      <c r="AI208" s="105"/>
      <c r="AJ208" s="105"/>
      <c r="AN208" s="105"/>
      <c r="AO208" s="105"/>
      <c r="AP208" s="105"/>
    </row>
    <row r="209" spans="1:42" outlineLevel="1">
      <c r="A209" s="545">
        <f>MAX($A$10:A208)+1</f>
        <v>200</v>
      </c>
      <c r="B209" s="716" t="s">
        <v>2096</v>
      </c>
      <c r="C209" s="716" t="s">
        <v>2145</v>
      </c>
      <c r="D209" s="716" t="s">
        <v>2146</v>
      </c>
      <c r="E209" s="559">
        <v>394.1</v>
      </c>
      <c r="F209" s="103">
        <v>10082.290000000001</v>
      </c>
      <c r="G209" s="103">
        <f t="shared" si="13"/>
        <v>10082.290000000001</v>
      </c>
      <c r="H209" s="717">
        <v>45357</v>
      </c>
      <c r="I209" s="718">
        <v>0</v>
      </c>
      <c r="J209" s="103">
        <f t="shared" si="14"/>
        <v>0</v>
      </c>
      <c r="K209" s="103"/>
      <c r="M209"/>
      <c r="N209"/>
      <c r="O209" s="105"/>
      <c r="P209" s="105"/>
      <c r="Q209" s="721"/>
      <c r="R209" s="721"/>
      <c r="S209" s="721"/>
      <c r="T209" s="721"/>
      <c r="U209" s="721"/>
      <c r="V209" s="721"/>
      <c r="W209" s="721"/>
      <c r="X209" s="721"/>
      <c r="Y209" s="721"/>
      <c r="Z209" s="721"/>
      <c r="AA209" s="721"/>
      <c r="AB209" s="721"/>
      <c r="AC209" s="721"/>
      <c r="AD209" s="721"/>
      <c r="AI209" s="105"/>
      <c r="AJ209" s="105"/>
      <c r="AN209" s="105"/>
      <c r="AO209" s="105"/>
      <c r="AP209" s="105"/>
    </row>
    <row r="210" spans="1:42" outlineLevel="1">
      <c r="A210" s="545">
        <f>MAX($A$10:A209)+1</f>
        <v>201</v>
      </c>
      <c r="B210" s="716" t="s">
        <v>2096</v>
      </c>
      <c r="C210" s="716" t="s">
        <v>2147</v>
      </c>
      <c r="D210" s="716" t="s">
        <v>2148</v>
      </c>
      <c r="E210" s="559">
        <v>394.1</v>
      </c>
      <c r="F210" s="103">
        <v>102940.75</v>
      </c>
      <c r="G210" s="103">
        <f t="shared" si="13"/>
        <v>102940.75</v>
      </c>
      <c r="H210" s="717">
        <v>45657</v>
      </c>
      <c r="I210" s="718">
        <v>103176.5</v>
      </c>
      <c r="J210" s="103">
        <f t="shared" si="14"/>
        <v>103176.5</v>
      </c>
      <c r="K210" s="575">
        <v>45657</v>
      </c>
      <c r="M210"/>
      <c r="N210"/>
      <c r="O210" s="105"/>
      <c r="P210" s="105"/>
      <c r="Q210" s="721"/>
      <c r="R210" s="721"/>
      <c r="S210" s="721"/>
      <c r="T210" s="721"/>
      <c r="U210" s="721"/>
      <c r="V210" s="721"/>
      <c r="W210" s="721"/>
      <c r="X210" s="721"/>
      <c r="Y210" s="721"/>
      <c r="Z210" s="721"/>
      <c r="AA210" s="721"/>
      <c r="AB210" s="721"/>
      <c r="AC210" s="721"/>
      <c r="AD210" s="721"/>
      <c r="AI210" s="105"/>
      <c r="AJ210" s="105"/>
      <c r="AN210" s="105"/>
      <c r="AO210" s="105"/>
      <c r="AP210" s="105"/>
    </row>
    <row r="211" spans="1:42" outlineLevel="1">
      <c r="A211" s="545">
        <f>MAX($A$10:A210)+1</f>
        <v>202</v>
      </c>
      <c r="B211" s="716" t="s">
        <v>2096</v>
      </c>
      <c r="C211" s="716" t="s">
        <v>2149</v>
      </c>
      <c r="D211" s="716" t="s">
        <v>2150</v>
      </c>
      <c r="E211" s="559">
        <v>394.1</v>
      </c>
      <c r="F211" s="103">
        <v>32137.600000000002</v>
      </c>
      <c r="G211" s="103">
        <f t="shared" si="13"/>
        <v>32137.600000000002</v>
      </c>
      <c r="H211" s="717">
        <v>45383</v>
      </c>
      <c r="I211" s="718">
        <v>0</v>
      </c>
      <c r="J211" s="103">
        <f t="shared" si="14"/>
        <v>0</v>
      </c>
      <c r="K211" s="103"/>
      <c r="M211"/>
      <c r="N211"/>
      <c r="O211" s="105"/>
      <c r="P211" s="105"/>
      <c r="Q211" s="722"/>
      <c r="R211" s="721"/>
      <c r="S211" s="721"/>
      <c r="T211" s="721"/>
      <c r="U211" s="721"/>
      <c r="V211" s="721"/>
      <c r="W211" s="721"/>
      <c r="X211" s="721"/>
      <c r="Y211" s="721"/>
      <c r="Z211" s="721"/>
      <c r="AA211" s="721"/>
      <c r="AB211" s="721"/>
      <c r="AC211" s="721"/>
      <c r="AD211" s="721"/>
      <c r="AI211" s="105"/>
      <c r="AJ211" s="105"/>
      <c r="AN211" s="105"/>
      <c r="AO211" s="105"/>
      <c r="AP211" s="105"/>
    </row>
    <row r="212" spans="1:42" outlineLevel="1">
      <c r="A212" s="545">
        <f>MAX($A$10:A211)+1</f>
        <v>203</v>
      </c>
      <c r="B212" s="716" t="s">
        <v>2096</v>
      </c>
      <c r="C212" s="716" t="s">
        <v>2151</v>
      </c>
      <c r="D212" s="716" t="s">
        <v>2152</v>
      </c>
      <c r="E212" s="559">
        <v>394.1</v>
      </c>
      <c r="F212" s="103">
        <v>0</v>
      </c>
      <c r="G212" s="103">
        <f t="shared" si="13"/>
        <v>0</v>
      </c>
      <c r="H212" s="717"/>
      <c r="I212" s="718">
        <v>34224.400000000001</v>
      </c>
      <c r="J212" s="103">
        <f t="shared" si="14"/>
        <v>34224.400000000001</v>
      </c>
      <c r="K212" s="575">
        <v>45748</v>
      </c>
      <c r="M212"/>
      <c r="N212"/>
      <c r="O212" s="105"/>
      <c r="P212" s="105"/>
      <c r="Q212" s="721"/>
      <c r="R212" s="721"/>
      <c r="S212" s="721"/>
      <c r="T212" s="721"/>
      <c r="U212" s="721"/>
      <c r="V212" s="721"/>
      <c r="W212" s="721"/>
      <c r="X212" s="721"/>
      <c r="Y212" s="721"/>
      <c r="Z212" s="721"/>
      <c r="AA212" s="721"/>
      <c r="AB212" s="721"/>
      <c r="AC212" s="721"/>
      <c r="AD212" s="721"/>
      <c r="AI212" s="105"/>
      <c r="AJ212" s="105"/>
      <c r="AN212" s="105"/>
      <c r="AO212" s="105"/>
      <c r="AP212" s="105"/>
    </row>
    <row r="213" spans="1:42" outlineLevel="1">
      <c r="A213" s="545">
        <f>MAX($A$10:A212)+1</f>
        <v>204</v>
      </c>
      <c r="B213" s="716" t="s">
        <v>2096</v>
      </c>
      <c r="C213" s="716" t="s">
        <v>2153</v>
      </c>
      <c r="D213" s="716" t="s">
        <v>2154</v>
      </c>
      <c r="E213" s="559">
        <v>394.1</v>
      </c>
      <c r="F213" s="103">
        <v>0</v>
      </c>
      <c r="G213" s="103">
        <f t="shared" si="13"/>
        <v>0</v>
      </c>
      <c r="H213" s="717"/>
      <c r="I213" s="718">
        <v>13271.01</v>
      </c>
      <c r="J213" s="103">
        <f t="shared" si="14"/>
        <v>13271.01</v>
      </c>
      <c r="K213" s="575">
        <v>45777</v>
      </c>
      <c r="M213"/>
      <c r="N213"/>
      <c r="O213" s="105"/>
      <c r="P213" s="544"/>
      <c r="Q213" s="722"/>
      <c r="R213" s="721"/>
      <c r="S213" s="721"/>
      <c r="T213" s="721"/>
      <c r="U213" s="721"/>
      <c r="V213" s="721"/>
      <c r="W213" s="721"/>
      <c r="X213" s="721"/>
      <c r="Y213" s="721"/>
      <c r="Z213" s="721"/>
      <c r="AA213" s="721"/>
      <c r="AB213" s="721"/>
      <c r="AC213" s="721"/>
      <c r="AD213" s="721"/>
      <c r="AI213" s="105"/>
      <c r="AJ213" s="105"/>
      <c r="AN213" s="105"/>
      <c r="AO213" s="105"/>
      <c r="AP213" s="105"/>
    </row>
    <row r="214" spans="1:42" outlineLevel="1">
      <c r="A214" s="545">
        <f>MAX($A$10:A213)+1</f>
        <v>205</v>
      </c>
      <c r="B214" s="716" t="s">
        <v>2096</v>
      </c>
      <c r="C214" s="716" t="s">
        <v>2155</v>
      </c>
      <c r="D214" s="716" t="s">
        <v>2156</v>
      </c>
      <c r="E214" s="559">
        <v>394.1</v>
      </c>
      <c r="F214" s="103">
        <v>3439.73</v>
      </c>
      <c r="G214" s="103">
        <f t="shared" si="13"/>
        <v>3439.73</v>
      </c>
      <c r="H214" s="717">
        <v>45412</v>
      </c>
      <c r="I214" s="718">
        <v>0</v>
      </c>
      <c r="J214" s="103">
        <f t="shared" si="14"/>
        <v>0</v>
      </c>
      <c r="K214" s="103"/>
      <c r="M214"/>
      <c r="N214"/>
      <c r="O214" s="105"/>
      <c r="P214" s="105"/>
      <c r="Q214" s="721"/>
      <c r="R214" s="721"/>
      <c r="S214" s="721"/>
      <c r="T214" s="721"/>
      <c r="U214" s="721"/>
      <c r="V214" s="721"/>
      <c r="W214" s="721"/>
      <c r="X214" s="721"/>
      <c r="Y214" s="721"/>
      <c r="Z214" s="721"/>
      <c r="AA214" s="721"/>
      <c r="AB214" s="721"/>
      <c r="AC214" s="721"/>
      <c r="AD214" s="721"/>
      <c r="AI214" s="105"/>
      <c r="AJ214" s="105"/>
      <c r="AN214" s="105"/>
      <c r="AO214" s="105"/>
      <c r="AP214" s="105"/>
    </row>
    <row r="215" spans="1:42" outlineLevel="1">
      <c r="A215" s="545">
        <f>MAX($A$10:A214)+1</f>
        <v>206</v>
      </c>
      <c r="B215" s="716" t="s">
        <v>2096</v>
      </c>
      <c r="C215" s="716" t="s">
        <v>2157</v>
      </c>
      <c r="D215" s="716" t="s">
        <v>2158</v>
      </c>
      <c r="E215" s="559">
        <v>394.1</v>
      </c>
      <c r="F215" s="103">
        <v>7532.25</v>
      </c>
      <c r="G215" s="103">
        <f t="shared" si="13"/>
        <v>7532.25</v>
      </c>
      <c r="H215" s="717">
        <v>45412</v>
      </c>
      <c r="I215" s="718">
        <v>0</v>
      </c>
      <c r="J215" s="103">
        <f t="shared" si="14"/>
        <v>0</v>
      </c>
      <c r="K215" s="103"/>
      <c r="M215"/>
      <c r="N215"/>
      <c r="O215" s="105"/>
      <c r="P215" s="105"/>
      <c r="Q215" s="721"/>
      <c r="R215" s="721"/>
      <c r="S215" s="721"/>
      <c r="T215" s="721"/>
      <c r="U215" s="721"/>
      <c r="V215" s="721"/>
      <c r="W215" s="721"/>
      <c r="X215" s="721"/>
      <c r="Y215" s="721"/>
      <c r="Z215" s="721"/>
      <c r="AA215" s="721"/>
      <c r="AB215" s="721"/>
      <c r="AC215" s="721"/>
      <c r="AD215" s="721"/>
      <c r="AI215" s="105"/>
      <c r="AJ215" s="105"/>
      <c r="AN215" s="105"/>
      <c r="AO215" s="105"/>
      <c r="AP215" s="105"/>
    </row>
    <row r="216" spans="1:42" outlineLevel="1">
      <c r="A216" s="545">
        <f>MAX($A$10:A215)+1</f>
        <v>207</v>
      </c>
      <c r="B216" s="716" t="s">
        <v>2096</v>
      </c>
      <c r="C216" s="716" t="s">
        <v>2159</v>
      </c>
      <c r="D216" s="716" t="s">
        <v>2160</v>
      </c>
      <c r="E216" s="559">
        <v>394.1</v>
      </c>
      <c r="F216" s="103">
        <v>50215</v>
      </c>
      <c r="G216" s="103">
        <f t="shared" si="13"/>
        <v>50215</v>
      </c>
      <c r="H216" s="717">
        <v>45505</v>
      </c>
      <c r="I216" s="718">
        <v>0</v>
      </c>
      <c r="J216" s="103">
        <f t="shared" si="14"/>
        <v>0</v>
      </c>
      <c r="K216" s="103"/>
      <c r="M216"/>
      <c r="N216"/>
      <c r="O216" s="105"/>
      <c r="P216" s="105"/>
      <c r="Q216" s="721"/>
      <c r="R216" s="721"/>
      <c r="S216" s="721"/>
      <c r="T216" s="721"/>
      <c r="U216" s="721"/>
      <c r="V216" s="721"/>
      <c r="W216" s="721"/>
      <c r="X216" s="721"/>
      <c r="Y216" s="721"/>
      <c r="Z216" s="721"/>
      <c r="AA216" s="721"/>
      <c r="AB216" s="721"/>
      <c r="AC216" s="721"/>
      <c r="AD216" s="721"/>
      <c r="AI216" s="105"/>
      <c r="AJ216" s="105"/>
      <c r="AN216" s="105"/>
      <c r="AO216" s="105"/>
      <c r="AP216" s="105"/>
    </row>
    <row r="217" spans="1:42" outlineLevel="1">
      <c r="A217" s="545">
        <f>MAX($A$10:A216)+1</f>
        <v>208</v>
      </c>
      <c r="B217" s="716" t="s">
        <v>2096</v>
      </c>
      <c r="C217" s="716" t="s">
        <v>2161</v>
      </c>
      <c r="D217" s="716" t="s">
        <v>2162</v>
      </c>
      <c r="E217" s="559">
        <v>398</v>
      </c>
      <c r="F217" s="103">
        <v>0</v>
      </c>
      <c r="G217" s="103">
        <f t="shared" ref="G217:G248" si="15">+F217</f>
        <v>0</v>
      </c>
      <c r="H217" s="717"/>
      <c r="I217" s="718">
        <v>4026.4</v>
      </c>
      <c r="J217" s="103">
        <f t="shared" ref="J217:J238" si="16">+I217</f>
        <v>4026.4</v>
      </c>
      <c r="K217" s="575">
        <v>45716</v>
      </c>
      <c r="M217"/>
      <c r="N217"/>
      <c r="O217" s="105"/>
      <c r="P217" s="105"/>
      <c r="Q217" s="721"/>
      <c r="R217" s="721"/>
      <c r="S217" s="721"/>
      <c r="T217" s="721"/>
      <c r="U217" s="721"/>
      <c r="V217" s="721"/>
      <c r="W217" s="721"/>
      <c r="X217" s="721"/>
      <c r="Y217" s="721"/>
      <c r="Z217" s="721"/>
      <c r="AA217" s="721"/>
      <c r="AB217" s="721"/>
      <c r="AC217" s="721"/>
      <c r="AD217" s="721"/>
      <c r="AI217" s="105"/>
      <c r="AJ217" s="105"/>
      <c r="AN217" s="105"/>
      <c r="AO217" s="105"/>
      <c r="AP217" s="105"/>
    </row>
    <row r="218" spans="1:42" outlineLevel="1">
      <c r="A218" s="545">
        <f>MAX($A$10:A217)+1</f>
        <v>209</v>
      </c>
      <c r="B218" s="716" t="s">
        <v>2096</v>
      </c>
      <c r="C218" s="716" t="s">
        <v>2163</v>
      </c>
      <c r="D218" s="716" t="s">
        <v>2164</v>
      </c>
      <c r="E218" s="559">
        <v>394.1</v>
      </c>
      <c r="F218" s="103">
        <v>4017.2000000000003</v>
      </c>
      <c r="G218" s="103">
        <f t="shared" si="15"/>
        <v>4017.2000000000003</v>
      </c>
      <c r="H218" s="717">
        <v>45350</v>
      </c>
      <c r="I218" s="718">
        <v>0</v>
      </c>
      <c r="J218" s="103">
        <f t="shared" si="16"/>
        <v>0</v>
      </c>
      <c r="K218" s="103"/>
      <c r="M218"/>
      <c r="N218"/>
      <c r="O218" s="105"/>
      <c r="P218" s="105"/>
      <c r="Q218" s="721"/>
      <c r="R218" s="721"/>
      <c r="S218" s="721"/>
      <c r="T218" s="721"/>
      <c r="U218" s="721"/>
      <c r="V218" s="721"/>
      <c r="W218" s="721"/>
      <c r="X218" s="721"/>
      <c r="Y218" s="721"/>
      <c r="Z218" s="721"/>
      <c r="AA218" s="721"/>
      <c r="AB218" s="721"/>
      <c r="AC218" s="721"/>
      <c r="AD218" s="721"/>
      <c r="AI218" s="105"/>
      <c r="AJ218" s="105"/>
      <c r="AN218" s="105"/>
      <c r="AO218" s="105"/>
      <c r="AP218" s="105"/>
    </row>
    <row r="219" spans="1:42" outlineLevel="1">
      <c r="A219" s="545">
        <f>MAX($A$10:A218)+1</f>
        <v>210</v>
      </c>
      <c r="B219" s="716" t="s">
        <v>2096</v>
      </c>
      <c r="C219" s="716" t="s">
        <v>2165</v>
      </c>
      <c r="D219" s="716" t="s">
        <v>2166</v>
      </c>
      <c r="E219" s="559">
        <v>394.1</v>
      </c>
      <c r="F219" s="103">
        <v>2510.75</v>
      </c>
      <c r="G219" s="103">
        <f t="shared" si="15"/>
        <v>2510.75</v>
      </c>
      <c r="H219" s="717">
        <v>45350</v>
      </c>
      <c r="I219" s="718">
        <v>0</v>
      </c>
      <c r="J219" s="103">
        <f t="shared" si="16"/>
        <v>0</v>
      </c>
      <c r="K219" s="103"/>
      <c r="M219"/>
      <c r="N219"/>
      <c r="O219" s="105"/>
      <c r="P219" s="105"/>
      <c r="Q219" s="721"/>
      <c r="R219" s="721"/>
      <c r="S219" s="721"/>
      <c r="T219" s="721"/>
      <c r="U219" s="721"/>
      <c r="V219" s="721"/>
      <c r="W219" s="721"/>
      <c r="X219" s="721"/>
      <c r="Y219" s="721"/>
      <c r="Z219" s="721"/>
      <c r="AA219" s="721"/>
      <c r="AB219" s="721"/>
      <c r="AC219" s="721"/>
      <c r="AD219" s="721"/>
      <c r="AI219" s="105"/>
      <c r="AJ219" s="105"/>
      <c r="AN219" s="105"/>
      <c r="AO219" s="105"/>
      <c r="AP219" s="105"/>
    </row>
    <row r="220" spans="1:42" outlineLevel="1">
      <c r="A220" s="545">
        <f>MAX($A$10:A219)+1</f>
        <v>211</v>
      </c>
      <c r="B220" s="716" t="s">
        <v>2096</v>
      </c>
      <c r="C220" s="716" t="s">
        <v>2167</v>
      </c>
      <c r="D220" s="716" t="s">
        <v>2168</v>
      </c>
      <c r="E220" s="559">
        <v>394.1</v>
      </c>
      <c r="F220" s="103">
        <v>1506.45</v>
      </c>
      <c r="G220" s="103">
        <f t="shared" si="15"/>
        <v>1506.45</v>
      </c>
      <c r="H220" s="717">
        <v>45321</v>
      </c>
      <c r="I220" s="718">
        <v>0</v>
      </c>
      <c r="J220" s="103">
        <f t="shared" si="16"/>
        <v>0</v>
      </c>
      <c r="K220" s="103"/>
      <c r="M220"/>
      <c r="N220"/>
      <c r="O220" s="105"/>
      <c r="P220" s="105"/>
      <c r="Q220" s="721"/>
      <c r="R220" s="721"/>
      <c r="S220" s="721"/>
      <c r="T220" s="721"/>
      <c r="U220" s="721"/>
      <c r="V220" s="721"/>
      <c r="W220" s="721"/>
      <c r="X220" s="721"/>
      <c r="Y220" s="721"/>
      <c r="Z220" s="721"/>
      <c r="AA220" s="721"/>
      <c r="AB220" s="721"/>
      <c r="AC220" s="721"/>
      <c r="AD220" s="721"/>
      <c r="AI220" s="105"/>
      <c r="AJ220" s="105"/>
      <c r="AN220" s="105"/>
      <c r="AO220" s="105"/>
      <c r="AP220" s="105"/>
    </row>
    <row r="221" spans="1:42" outlineLevel="1">
      <c r="A221" s="545">
        <f>MAX($A$10:A220)+1</f>
        <v>212</v>
      </c>
      <c r="B221" s="716" t="s">
        <v>2096</v>
      </c>
      <c r="C221" s="716" t="s">
        <v>2169</v>
      </c>
      <c r="D221" s="716" t="s">
        <v>2170</v>
      </c>
      <c r="E221" s="559">
        <v>398</v>
      </c>
      <c r="F221" s="103">
        <v>2008.6000000000001</v>
      </c>
      <c r="G221" s="103">
        <f t="shared" si="15"/>
        <v>2008.6000000000001</v>
      </c>
      <c r="H221" s="717">
        <v>45381</v>
      </c>
      <c r="I221" s="718">
        <v>0</v>
      </c>
      <c r="J221" s="103">
        <f t="shared" si="16"/>
        <v>0</v>
      </c>
      <c r="K221" s="103"/>
      <c r="M221"/>
      <c r="N221"/>
      <c r="O221" s="105"/>
      <c r="P221" s="105"/>
      <c r="Q221" s="721"/>
      <c r="R221" s="721"/>
      <c r="S221" s="721"/>
      <c r="T221" s="721"/>
      <c r="U221" s="721"/>
      <c r="V221" s="721"/>
      <c r="W221" s="721"/>
      <c r="X221" s="721"/>
      <c r="Y221" s="721"/>
      <c r="Z221" s="721"/>
      <c r="AA221" s="721"/>
      <c r="AB221" s="721"/>
      <c r="AC221" s="721"/>
      <c r="AD221" s="721"/>
      <c r="AI221" s="105"/>
      <c r="AJ221" s="105"/>
      <c r="AN221" s="105"/>
      <c r="AO221" s="105"/>
      <c r="AP221" s="105"/>
    </row>
    <row r="222" spans="1:42" outlineLevel="1">
      <c r="A222" s="545">
        <f>MAX($A$10:A221)+1</f>
        <v>213</v>
      </c>
      <c r="B222" s="716" t="s">
        <v>2096</v>
      </c>
      <c r="C222" s="716" t="s">
        <v>2171</v>
      </c>
      <c r="D222" s="716" t="s">
        <v>2172</v>
      </c>
      <c r="E222" s="559">
        <v>394.1</v>
      </c>
      <c r="F222" s="103">
        <v>10043</v>
      </c>
      <c r="G222" s="103">
        <f t="shared" si="15"/>
        <v>10043</v>
      </c>
      <c r="H222" s="717">
        <v>45483</v>
      </c>
      <c r="I222" s="718">
        <v>0</v>
      </c>
      <c r="J222" s="103">
        <f t="shared" si="16"/>
        <v>0</v>
      </c>
      <c r="K222" s="103"/>
      <c r="M222"/>
      <c r="N222"/>
      <c r="O222" s="105"/>
      <c r="P222" s="105"/>
      <c r="Q222" s="721"/>
      <c r="R222" s="721"/>
      <c r="S222" s="721"/>
      <c r="T222" s="721"/>
      <c r="U222" s="721"/>
      <c r="V222" s="721"/>
      <c r="W222" s="721"/>
      <c r="X222" s="721"/>
      <c r="Y222" s="721"/>
      <c r="Z222" s="721"/>
      <c r="AA222" s="721"/>
      <c r="AB222" s="721"/>
      <c r="AC222" s="721"/>
      <c r="AD222" s="721"/>
      <c r="AI222" s="105"/>
      <c r="AJ222" s="105"/>
      <c r="AN222" s="105"/>
      <c r="AO222" s="105"/>
      <c r="AP222" s="105"/>
    </row>
    <row r="223" spans="1:42" outlineLevel="1">
      <c r="A223" s="545">
        <f>MAX($A$10:A222)+1</f>
        <v>214</v>
      </c>
      <c r="B223" s="716" t="s">
        <v>2096</v>
      </c>
      <c r="C223" s="716" t="s">
        <v>2173</v>
      </c>
      <c r="D223" s="716" t="s">
        <v>2174</v>
      </c>
      <c r="E223" s="559">
        <v>397.3</v>
      </c>
      <c r="F223" s="103">
        <v>75322.5</v>
      </c>
      <c r="G223" s="103">
        <f t="shared" si="15"/>
        <v>75322.5</v>
      </c>
      <c r="H223" s="717">
        <v>45366</v>
      </c>
      <c r="I223" s="718">
        <v>0</v>
      </c>
      <c r="J223" s="103">
        <f t="shared" si="16"/>
        <v>0</v>
      </c>
      <c r="K223" s="103"/>
      <c r="M223"/>
      <c r="N223"/>
      <c r="O223" s="105"/>
      <c r="P223" s="105"/>
      <c r="Q223" s="721"/>
      <c r="R223" s="721"/>
      <c r="S223" s="721"/>
      <c r="T223" s="721"/>
      <c r="U223" s="721"/>
      <c r="V223" s="721"/>
      <c r="W223" s="721"/>
      <c r="X223" s="721"/>
      <c r="Y223" s="721"/>
      <c r="Z223" s="721"/>
      <c r="AA223" s="721"/>
      <c r="AB223" s="721"/>
      <c r="AC223" s="721"/>
      <c r="AD223" s="721"/>
      <c r="AI223" s="105"/>
      <c r="AJ223" s="105"/>
      <c r="AN223" s="105"/>
      <c r="AO223" s="105"/>
      <c r="AP223" s="105"/>
    </row>
    <row r="224" spans="1:42" outlineLevel="1">
      <c r="A224" s="545">
        <f>MAX($A$10:A223)+1</f>
        <v>215</v>
      </c>
      <c r="B224" s="716" t="s">
        <v>2096</v>
      </c>
      <c r="C224" s="716" t="s">
        <v>2175</v>
      </c>
      <c r="D224" s="716" t="s">
        <v>2176</v>
      </c>
      <c r="E224" s="559">
        <v>391.3</v>
      </c>
      <c r="F224" s="103">
        <v>45193.5</v>
      </c>
      <c r="G224" s="103">
        <f t="shared" si="15"/>
        <v>45193.5</v>
      </c>
      <c r="H224" s="717">
        <v>45550</v>
      </c>
      <c r="I224" s="718">
        <v>0</v>
      </c>
      <c r="J224" s="103">
        <f t="shared" si="16"/>
        <v>0</v>
      </c>
      <c r="K224" s="103"/>
      <c r="M224"/>
      <c r="N224"/>
      <c r="O224" s="105"/>
      <c r="P224" s="105"/>
      <c r="Q224" s="721"/>
      <c r="R224" s="721"/>
      <c r="S224" s="721"/>
      <c r="T224" s="721"/>
      <c r="U224" s="721"/>
      <c r="V224" s="721"/>
      <c r="W224" s="721"/>
      <c r="X224" s="721"/>
      <c r="Y224" s="721"/>
      <c r="Z224" s="721"/>
      <c r="AA224" s="721"/>
      <c r="AB224" s="721"/>
      <c r="AC224" s="721"/>
      <c r="AD224" s="721"/>
      <c r="AI224" s="105"/>
      <c r="AJ224" s="105"/>
      <c r="AN224" s="105"/>
      <c r="AO224" s="105"/>
      <c r="AP224" s="105"/>
    </row>
    <row r="225" spans="1:42" outlineLevel="1">
      <c r="A225" s="545">
        <f>MAX($A$10:A224)+1</f>
        <v>216</v>
      </c>
      <c r="B225" s="716" t="s">
        <v>2096</v>
      </c>
      <c r="C225" s="716" t="s">
        <v>2177</v>
      </c>
      <c r="D225" s="716" t="s">
        <v>2178</v>
      </c>
      <c r="E225" s="559">
        <v>397.2</v>
      </c>
      <c r="F225" s="103">
        <v>0</v>
      </c>
      <c r="G225" s="103">
        <f t="shared" si="15"/>
        <v>0</v>
      </c>
      <c r="H225" s="717"/>
      <c r="I225" s="718">
        <v>4533.9277200000006</v>
      </c>
      <c r="J225" s="103">
        <f t="shared" si="16"/>
        <v>4533.9277200000006</v>
      </c>
      <c r="K225" s="575">
        <v>45961</v>
      </c>
      <c r="M225"/>
      <c r="N225"/>
      <c r="O225" s="105"/>
      <c r="P225" s="105"/>
      <c r="Q225" s="721"/>
      <c r="R225" s="721"/>
      <c r="S225" s="721"/>
      <c r="T225" s="721"/>
      <c r="U225" s="721"/>
      <c r="V225" s="721"/>
      <c r="W225" s="721"/>
      <c r="X225" s="721"/>
      <c r="Y225" s="721"/>
      <c r="Z225" s="721"/>
      <c r="AA225" s="721"/>
      <c r="AB225" s="721"/>
      <c r="AC225" s="721"/>
      <c r="AD225" s="721"/>
      <c r="AI225" s="105"/>
      <c r="AJ225" s="105"/>
      <c r="AN225" s="105"/>
      <c r="AO225" s="105"/>
      <c r="AP225" s="105"/>
    </row>
    <row r="226" spans="1:42" outlineLevel="1">
      <c r="A226" s="545">
        <f>MAX($A$10:A225)+1</f>
        <v>217</v>
      </c>
      <c r="B226" s="716" t="s">
        <v>2096</v>
      </c>
      <c r="C226" s="716" t="s">
        <v>2179</v>
      </c>
      <c r="D226" s="716" t="s">
        <v>2180</v>
      </c>
      <c r="E226" s="559">
        <v>394.1</v>
      </c>
      <c r="F226" s="103">
        <v>1506.45</v>
      </c>
      <c r="G226" s="103">
        <f t="shared" si="15"/>
        <v>1506.45</v>
      </c>
      <c r="H226" s="717">
        <v>45321</v>
      </c>
      <c r="I226" s="718">
        <v>0</v>
      </c>
      <c r="J226" s="103">
        <f t="shared" si="16"/>
        <v>0</v>
      </c>
      <c r="K226" s="103"/>
      <c r="M226"/>
      <c r="N226"/>
      <c r="O226" s="105"/>
      <c r="P226" s="105"/>
      <c r="Q226" s="721"/>
      <c r="R226" s="721"/>
      <c r="S226" s="721"/>
      <c r="T226" s="721"/>
      <c r="U226" s="721"/>
      <c r="V226" s="721"/>
      <c r="W226" s="721"/>
      <c r="X226" s="721"/>
      <c r="Y226" s="721"/>
      <c r="Z226" s="721"/>
      <c r="AA226" s="721"/>
      <c r="AB226" s="721"/>
      <c r="AC226" s="721"/>
      <c r="AD226" s="721"/>
      <c r="AI226" s="105"/>
      <c r="AJ226" s="105"/>
      <c r="AN226" s="105"/>
      <c r="AO226" s="105"/>
      <c r="AP226" s="105"/>
    </row>
    <row r="227" spans="1:42" outlineLevel="1">
      <c r="A227" s="545">
        <f>MAX($A$10:A226)+1</f>
        <v>218</v>
      </c>
      <c r="B227" s="716" t="s">
        <v>2096</v>
      </c>
      <c r="C227" s="716" t="s">
        <v>2181</v>
      </c>
      <c r="D227" s="716" t="s">
        <v>2182</v>
      </c>
      <c r="E227" s="559">
        <v>394.1</v>
      </c>
      <c r="F227" s="103">
        <v>1506.45</v>
      </c>
      <c r="G227" s="103">
        <f t="shared" si="15"/>
        <v>1506.45</v>
      </c>
      <c r="H227" s="717">
        <v>45321</v>
      </c>
      <c r="I227" s="718">
        <v>0</v>
      </c>
      <c r="J227" s="103">
        <f t="shared" si="16"/>
        <v>0</v>
      </c>
      <c r="K227" s="103"/>
      <c r="M227"/>
      <c r="N227"/>
      <c r="O227" s="105"/>
      <c r="P227" s="105"/>
      <c r="Q227" s="721"/>
      <c r="R227" s="721"/>
      <c r="S227" s="721"/>
      <c r="T227" s="721"/>
      <c r="U227" s="721"/>
      <c r="V227" s="721"/>
      <c r="W227" s="721"/>
      <c r="X227" s="721"/>
      <c r="Y227" s="721"/>
      <c r="Z227" s="721"/>
      <c r="AA227" s="721"/>
      <c r="AB227" s="721"/>
      <c r="AC227" s="721"/>
      <c r="AD227" s="721"/>
      <c r="AI227" s="105"/>
      <c r="AJ227" s="105"/>
      <c r="AN227" s="105"/>
      <c r="AO227" s="105"/>
      <c r="AP227" s="105"/>
    </row>
    <row r="228" spans="1:42" outlineLevel="1">
      <c r="A228" s="545">
        <f>MAX($A$10:A227)+1</f>
        <v>219</v>
      </c>
      <c r="B228" s="716" t="s">
        <v>2096</v>
      </c>
      <c r="C228" s="716" t="s">
        <v>2183</v>
      </c>
      <c r="D228" s="716" t="s">
        <v>2184</v>
      </c>
      <c r="E228" s="559">
        <v>394.1</v>
      </c>
      <c r="F228" s="103">
        <v>9800.418528000002</v>
      </c>
      <c r="G228" s="103">
        <f t="shared" si="15"/>
        <v>9800.418528000002</v>
      </c>
      <c r="H228" s="717">
        <v>45349</v>
      </c>
      <c r="I228" s="718">
        <v>0</v>
      </c>
      <c r="J228" s="103">
        <f t="shared" si="16"/>
        <v>0</v>
      </c>
      <c r="K228" s="103"/>
      <c r="M228"/>
      <c r="N228"/>
      <c r="O228" s="105"/>
      <c r="P228" s="105"/>
      <c r="Q228" s="721"/>
      <c r="R228" s="721"/>
      <c r="S228" s="721"/>
      <c r="T228" s="721"/>
      <c r="U228" s="721"/>
      <c r="V228" s="721"/>
      <c r="W228" s="721"/>
      <c r="X228" s="721"/>
      <c r="Y228" s="721"/>
      <c r="Z228" s="721"/>
      <c r="AA228" s="721"/>
      <c r="AB228" s="721"/>
      <c r="AC228" s="721"/>
      <c r="AD228" s="721"/>
      <c r="AI228" s="105"/>
      <c r="AJ228" s="105"/>
      <c r="AN228" s="105"/>
      <c r="AO228" s="105"/>
      <c r="AP228" s="105"/>
    </row>
    <row r="229" spans="1:42" outlineLevel="1">
      <c r="A229" s="545">
        <f>MAX($A$10:A228)+1</f>
        <v>220</v>
      </c>
      <c r="B229" s="716" t="s">
        <v>2096</v>
      </c>
      <c r="C229" s="716" t="s">
        <v>2185</v>
      </c>
      <c r="D229" s="716" t="s">
        <v>2186</v>
      </c>
      <c r="E229" s="559">
        <v>394.1</v>
      </c>
      <c r="F229" s="103">
        <v>3769.64005</v>
      </c>
      <c r="G229" s="103">
        <f t="shared" si="15"/>
        <v>3769.64005</v>
      </c>
      <c r="H229" s="717">
        <v>45349</v>
      </c>
      <c r="I229" s="718">
        <v>0</v>
      </c>
      <c r="J229" s="103">
        <f t="shared" si="16"/>
        <v>0</v>
      </c>
      <c r="K229" s="103"/>
      <c r="M229"/>
      <c r="N229"/>
      <c r="O229" s="105"/>
      <c r="P229" s="105"/>
      <c r="Q229" s="721"/>
      <c r="R229" s="721"/>
      <c r="S229" s="721"/>
      <c r="T229" s="721"/>
      <c r="U229" s="721"/>
      <c r="V229" s="721"/>
      <c r="W229" s="721"/>
      <c r="X229" s="721"/>
      <c r="Y229" s="721"/>
      <c r="Z229" s="721"/>
      <c r="AA229" s="721"/>
      <c r="AB229" s="721"/>
      <c r="AC229" s="721"/>
      <c r="AD229" s="721"/>
      <c r="AI229" s="105"/>
      <c r="AJ229" s="105"/>
      <c r="AN229" s="105"/>
      <c r="AO229" s="105"/>
      <c r="AP229" s="105"/>
    </row>
    <row r="230" spans="1:42" outlineLevel="1">
      <c r="A230" s="545">
        <f>MAX($A$10:A229)+1</f>
        <v>221</v>
      </c>
      <c r="B230" s="716" t="s">
        <v>2096</v>
      </c>
      <c r="C230" s="716" t="s">
        <v>2187</v>
      </c>
      <c r="D230" s="716" t="s">
        <v>2188</v>
      </c>
      <c r="E230" s="559">
        <v>394.1</v>
      </c>
      <c r="F230" s="103">
        <v>2638.7480350000001</v>
      </c>
      <c r="G230" s="103">
        <f t="shared" si="15"/>
        <v>2638.7480350000001</v>
      </c>
      <c r="H230" s="717">
        <v>45365</v>
      </c>
      <c r="I230" s="718">
        <v>0</v>
      </c>
      <c r="J230" s="103">
        <f t="shared" si="16"/>
        <v>0</v>
      </c>
      <c r="K230" s="103"/>
      <c r="M230"/>
      <c r="N230"/>
      <c r="O230" s="105"/>
      <c r="P230" s="105"/>
      <c r="Q230" s="721"/>
      <c r="R230" s="721"/>
      <c r="S230" s="721"/>
      <c r="T230" s="721"/>
      <c r="U230" s="721"/>
      <c r="V230" s="721"/>
      <c r="W230" s="721"/>
      <c r="X230" s="721"/>
      <c r="Y230" s="721"/>
      <c r="Z230" s="721"/>
      <c r="AA230" s="721"/>
      <c r="AB230" s="721"/>
      <c r="AC230" s="721"/>
      <c r="AD230" s="721"/>
      <c r="AI230" s="105"/>
      <c r="AJ230" s="105"/>
      <c r="AN230" s="105"/>
      <c r="AO230" s="105"/>
      <c r="AP230" s="105"/>
    </row>
    <row r="231" spans="1:42" outlineLevel="1">
      <c r="A231" s="545">
        <f>MAX($A$10:A230)+1</f>
        <v>222</v>
      </c>
      <c r="B231" s="716" t="s">
        <v>2096</v>
      </c>
      <c r="C231" s="716" t="s">
        <v>2189</v>
      </c>
      <c r="D231" s="716" t="s">
        <v>2190</v>
      </c>
      <c r="E231" s="559">
        <v>394.1</v>
      </c>
      <c r="F231" s="103">
        <v>10554.99214</v>
      </c>
      <c r="G231" s="103">
        <f t="shared" si="15"/>
        <v>10554.99214</v>
      </c>
      <c r="H231" s="717">
        <v>45458</v>
      </c>
      <c r="I231" s="718">
        <v>0</v>
      </c>
      <c r="J231" s="103">
        <f t="shared" si="16"/>
        <v>0</v>
      </c>
      <c r="K231" s="103"/>
      <c r="M231"/>
      <c r="N231"/>
      <c r="O231" s="105"/>
      <c r="P231" s="105"/>
      <c r="Q231" s="721"/>
      <c r="R231" s="721"/>
      <c r="S231" s="721"/>
      <c r="T231" s="721"/>
      <c r="U231" s="721"/>
      <c r="V231" s="721"/>
      <c r="W231" s="721"/>
      <c r="X231" s="721"/>
      <c r="Y231" s="721"/>
      <c r="Z231" s="721"/>
      <c r="AA231" s="721"/>
      <c r="AB231" s="721"/>
      <c r="AC231" s="721"/>
      <c r="AD231" s="721"/>
      <c r="AI231" s="105"/>
      <c r="AJ231" s="105"/>
      <c r="AN231" s="105"/>
      <c r="AO231" s="105"/>
      <c r="AP231" s="105"/>
    </row>
    <row r="232" spans="1:42" outlineLevel="1">
      <c r="A232" s="545">
        <f>MAX($A$10:A231)+1</f>
        <v>223</v>
      </c>
      <c r="B232" s="716" t="s">
        <v>2096</v>
      </c>
      <c r="C232" s="716" t="s">
        <v>2191</v>
      </c>
      <c r="D232" s="716" t="s">
        <v>2192</v>
      </c>
      <c r="E232" s="559">
        <v>394.1</v>
      </c>
      <c r="F232" s="103">
        <v>0</v>
      </c>
      <c r="G232" s="103">
        <f t="shared" si="15"/>
        <v>0</v>
      </c>
      <c r="H232" s="717"/>
      <c r="I232" s="718">
        <v>19219.010000000002</v>
      </c>
      <c r="J232" s="103">
        <f t="shared" si="16"/>
        <v>19219.010000000002</v>
      </c>
      <c r="K232" s="575">
        <v>45716</v>
      </c>
      <c r="M232"/>
      <c r="N232"/>
      <c r="O232" s="105"/>
      <c r="P232" s="105"/>
      <c r="Q232" s="721"/>
      <c r="R232" s="721"/>
      <c r="S232" s="721"/>
      <c r="T232" s="721"/>
      <c r="U232" s="721"/>
      <c r="V232" s="721"/>
      <c r="W232" s="721"/>
      <c r="X232" s="721"/>
      <c r="Y232" s="721"/>
      <c r="Z232" s="721"/>
      <c r="AA232" s="721"/>
      <c r="AB232" s="721"/>
      <c r="AC232" s="721"/>
      <c r="AD232" s="721"/>
      <c r="AI232" s="105"/>
      <c r="AJ232" s="105"/>
      <c r="AN232" s="105"/>
      <c r="AO232" s="105"/>
      <c r="AP232" s="105"/>
    </row>
    <row r="233" spans="1:42" outlineLevel="1">
      <c r="A233" s="545">
        <f>MAX($A$10:A232)+1</f>
        <v>224</v>
      </c>
      <c r="B233" s="716" t="s">
        <v>2096</v>
      </c>
      <c r="C233" s="716" t="s">
        <v>2193</v>
      </c>
      <c r="D233" s="716" t="s">
        <v>2194</v>
      </c>
      <c r="E233" s="559">
        <v>394.1</v>
      </c>
      <c r="F233" s="103">
        <v>15078.5602</v>
      </c>
      <c r="G233" s="103">
        <f t="shared" si="15"/>
        <v>15078.5602</v>
      </c>
      <c r="H233" s="717">
        <v>45458</v>
      </c>
      <c r="I233" s="718">
        <v>0</v>
      </c>
      <c r="J233" s="103">
        <f t="shared" si="16"/>
        <v>0</v>
      </c>
      <c r="K233" s="103"/>
      <c r="M233"/>
      <c r="N233"/>
      <c r="O233" s="105"/>
      <c r="P233" s="105"/>
      <c r="Q233" s="721"/>
      <c r="R233" s="721"/>
      <c r="S233" s="721"/>
      <c r="T233" s="721"/>
      <c r="U233" s="721"/>
      <c r="V233" s="721"/>
      <c r="W233" s="721"/>
      <c r="X233" s="721"/>
      <c r="Y233" s="721"/>
      <c r="Z233" s="721"/>
      <c r="AA233" s="721"/>
      <c r="AB233" s="721"/>
      <c r="AC233" s="721"/>
      <c r="AD233" s="721"/>
      <c r="AI233" s="105"/>
      <c r="AJ233" s="105"/>
      <c r="AN233" s="105"/>
      <c r="AO233" s="105"/>
      <c r="AP233" s="105"/>
    </row>
    <row r="234" spans="1:42" outlineLevel="1">
      <c r="A234" s="545">
        <f>MAX($A$10:A233)+1</f>
        <v>225</v>
      </c>
      <c r="B234" s="716" t="s">
        <v>2096</v>
      </c>
      <c r="C234" s="716" t="s">
        <v>2195</v>
      </c>
      <c r="D234" s="716" t="s">
        <v>2196</v>
      </c>
      <c r="E234" s="559">
        <v>394.1</v>
      </c>
      <c r="F234" s="103">
        <v>8293.2081100000014</v>
      </c>
      <c r="G234" s="103">
        <f t="shared" si="15"/>
        <v>8293.2081100000014</v>
      </c>
      <c r="H234" s="717">
        <v>45458</v>
      </c>
      <c r="I234" s="718">
        <v>0</v>
      </c>
      <c r="J234" s="103">
        <f t="shared" si="16"/>
        <v>0</v>
      </c>
      <c r="K234" s="103"/>
      <c r="M234"/>
      <c r="N234"/>
      <c r="O234" s="105"/>
      <c r="P234" s="105"/>
      <c r="Q234" s="721"/>
      <c r="R234" s="721"/>
      <c r="S234" s="721"/>
      <c r="T234" s="721"/>
      <c r="U234" s="721"/>
      <c r="V234" s="721"/>
      <c r="W234" s="721"/>
      <c r="X234" s="721"/>
      <c r="Y234" s="721"/>
      <c r="Z234" s="721"/>
      <c r="AA234" s="721"/>
      <c r="AB234" s="721"/>
      <c r="AC234" s="721"/>
      <c r="AD234" s="721"/>
      <c r="AI234" s="105"/>
      <c r="AJ234" s="105"/>
      <c r="AN234" s="105"/>
      <c r="AO234" s="105"/>
      <c r="AP234" s="105"/>
    </row>
    <row r="235" spans="1:42" outlineLevel="1">
      <c r="A235" s="545">
        <f>MAX($A$10:A234)+1</f>
        <v>226</v>
      </c>
      <c r="B235" s="716" t="s">
        <v>2096</v>
      </c>
      <c r="C235" s="716" t="s">
        <v>2197</v>
      </c>
      <c r="D235" s="716" t="s">
        <v>2198</v>
      </c>
      <c r="E235" s="559">
        <v>394.1</v>
      </c>
      <c r="F235" s="103">
        <v>0</v>
      </c>
      <c r="G235" s="103">
        <f t="shared" si="15"/>
        <v>0</v>
      </c>
      <c r="H235" s="717"/>
      <c r="I235" s="718">
        <v>6068.79</v>
      </c>
      <c r="J235" s="103">
        <f t="shared" si="16"/>
        <v>6068.79</v>
      </c>
      <c r="K235" s="575">
        <v>45836</v>
      </c>
      <c r="M235"/>
      <c r="N235"/>
      <c r="O235" s="105"/>
      <c r="P235" s="105"/>
      <c r="Q235" s="721"/>
      <c r="R235" s="721"/>
      <c r="S235" s="721"/>
      <c r="T235" s="721"/>
      <c r="U235" s="721"/>
      <c r="V235" s="721"/>
      <c r="W235" s="721"/>
      <c r="X235" s="721"/>
      <c r="Y235" s="721"/>
      <c r="Z235" s="721"/>
      <c r="AA235" s="721"/>
      <c r="AB235" s="721"/>
      <c r="AC235" s="721"/>
      <c r="AD235" s="721"/>
      <c r="AI235" s="105"/>
      <c r="AJ235" s="105"/>
      <c r="AN235" s="105"/>
      <c r="AO235" s="105"/>
      <c r="AP235" s="105"/>
    </row>
    <row r="236" spans="1:42" outlineLevel="1">
      <c r="A236" s="545">
        <f>MAX($A$10:A235)+1</f>
        <v>227</v>
      </c>
      <c r="B236" s="716" t="s">
        <v>2096</v>
      </c>
      <c r="C236" s="716" t="s">
        <v>2199</v>
      </c>
      <c r="D236" s="716" t="s">
        <v>2200</v>
      </c>
      <c r="E236" s="559">
        <v>394.1</v>
      </c>
      <c r="F236" s="103">
        <v>6527.95</v>
      </c>
      <c r="G236" s="103">
        <f t="shared" si="15"/>
        <v>6527.95</v>
      </c>
      <c r="H236" s="717">
        <v>45440</v>
      </c>
      <c r="I236" s="718">
        <v>0</v>
      </c>
      <c r="J236" s="103">
        <f t="shared" si="16"/>
        <v>0</v>
      </c>
      <c r="K236" s="103"/>
      <c r="M236"/>
      <c r="N236"/>
      <c r="O236" s="105"/>
      <c r="P236" s="105"/>
      <c r="Q236" s="721"/>
      <c r="R236" s="721"/>
      <c r="S236" s="721"/>
      <c r="T236" s="721"/>
      <c r="U236" s="721"/>
      <c r="V236" s="721"/>
      <c r="W236" s="721"/>
      <c r="X236" s="721"/>
      <c r="Y236" s="721"/>
      <c r="Z236" s="721"/>
      <c r="AA236" s="721"/>
      <c r="AB236" s="721"/>
      <c r="AC236" s="721"/>
      <c r="AD236" s="721"/>
      <c r="AI236" s="105"/>
      <c r="AJ236" s="105"/>
      <c r="AN236" s="105"/>
      <c r="AO236" s="105"/>
      <c r="AP236" s="105"/>
    </row>
    <row r="237" spans="1:42" outlineLevel="1">
      <c r="A237" s="545">
        <f>MAX($A$10:A236)+1</f>
        <v>228</v>
      </c>
      <c r="B237" s="716" t="s">
        <v>2096</v>
      </c>
      <c r="C237" s="716" t="s">
        <v>2201</v>
      </c>
      <c r="D237" s="716" t="s">
        <v>2202</v>
      </c>
      <c r="E237" s="559">
        <v>394.1</v>
      </c>
      <c r="F237" s="103">
        <v>4017.2000000000003</v>
      </c>
      <c r="G237" s="103">
        <f t="shared" si="15"/>
        <v>4017.2000000000003</v>
      </c>
      <c r="H237" s="717">
        <v>45443</v>
      </c>
      <c r="I237" s="718">
        <v>0</v>
      </c>
      <c r="J237" s="103">
        <f t="shared" si="16"/>
        <v>0</v>
      </c>
      <c r="K237" s="103"/>
      <c r="M237"/>
      <c r="N237"/>
      <c r="O237" s="105"/>
      <c r="P237" s="105"/>
      <c r="Q237" s="721"/>
      <c r="R237" s="721"/>
      <c r="S237" s="721"/>
      <c r="T237" s="721"/>
      <c r="U237" s="721"/>
      <c r="V237" s="721"/>
      <c r="W237" s="721"/>
      <c r="X237" s="721"/>
      <c r="Y237" s="721"/>
      <c r="Z237" s="721"/>
      <c r="AA237" s="721"/>
      <c r="AB237" s="721"/>
      <c r="AC237" s="721"/>
      <c r="AD237" s="721"/>
      <c r="AI237" s="105"/>
      <c r="AJ237" s="105"/>
      <c r="AN237" s="105"/>
      <c r="AO237" s="105"/>
      <c r="AP237" s="105"/>
    </row>
    <row r="238" spans="1:42" outlineLevel="1">
      <c r="A238" s="545">
        <f>MAX($A$10:A237)+1</f>
        <v>229</v>
      </c>
      <c r="B238" s="716" t="s">
        <v>2096</v>
      </c>
      <c r="C238" s="716" t="s">
        <v>2203</v>
      </c>
      <c r="D238" s="716" t="s">
        <v>2204</v>
      </c>
      <c r="E238" s="559">
        <v>394.1</v>
      </c>
      <c r="F238" s="103">
        <v>4017.2000000000003</v>
      </c>
      <c r="G238" s="103">
        <f t="shared" si="15"/>
        <v>4017.2000000000003</v>
      </c>
      <c r="H238" s="717">
        <v>45443</v>
      </c>
      <c r="I238" s="718">
        <v>0</v>
      </c>
      <c r="J238" s="103">
        <f t="shared" si="16"/>
        <v>0</v>
      </c>
      <c r="K238" s="103"/>
      <c r="M238"/>
      <c r="N238"/>
      <c r="O238" s="105"/>
      <c r="P238" s="105"/>
      <c r="Q238" s="721"/>
      <c r="R238" s="721"/>
      <c r="S238" s="721"/>
      <c r="T238" s="721"/>
      <c r="U238" s="721"/>
      <c r="V238" s="721"/>
      <c r="W238" s="721"/>
      <c r="X238" s="721"/>
      <c r="Y238" s="721"/>
      <c r="Z238" s="721"/>
      <c r="AA238" s="721"/>
      <c r="AB238" s="721"/>
      <c r="AC238" s="721"/>
      <c r="AD238" s="721"/>
      <c r="AI238" s="105"/>
      <c r="AJ238" s="105"/>
      <c r="AN238" s="105"/>
      <c r="AO238" s="105"/>
      <c r="AP238" s="105"/>
    </row>
    <row r="239" spans="1:42" outlineLevel="1">
      <c r="A239" s="545">
        <f>MAX($A$10:A238)+1</f>
        <v>230</v>
      </c>
      <c r="B239" s="716" t="s">
        <v>2096</v>
      </c>
      <c r="C239" s="716" t="s">
        <v>2205</v>
      </c>
      <c r="D239" s="716" t="s">
        <v>2206</v>
      </c>
      <c r="E239" s="559">
        <v>394.1</v>
      </c>
      <c r="F239" s="103">
        <v>4441.3</v>
      </c>
      <c r="G239" s="103">
        <f t="shared" si="15"/>
        <v>4441.3</v>
      </c>
      <c r="H239" s="717">
        <v>45473</v>
      </c>
      <c r="I239" s="718">
        <v>0</v>
      </c>
      <c r="J239" s="103"/>
      <c r="K239" s="103"/>
      <c r="M239"/>
      <c r="N239"/>
      <c r="O239" s="105"/>
      <c r="P239" s="105"/>
      <c r="Q239" s="721"/>
      <c r="R239" s="721"/>
      <c r="S239" s="721"/>
      <c r="T239" s="721"/>
      <c r="U239" s="721"/>
      <c r="V239" s="721"/>
      <c r="W239" s="721"/>
      <c r="X239" s="721"/>
      <c r="Y239" s="721"/>
      <c r="Z239" s="721"/>
      <c r="AA239" s="721"/>
      <c r="AB239" s="721"/>
      <c r="AC239" s="721"/>
      <c r="AD239" s="721"/>
      <c r="AI239" s="105"/>
      <c r="AJ239" s="105"/>
      <c r="AN239" s="105"/>
      <c r="AO239" s="105"/>
      <c r="AP239" s="105"/>
    </row>
    <row r="240" spans="1:42" outlineLevel="1">
      <c r="A240" s="545">
        <f>MAX($A$10:A239)+1</f>
        <v>231</v>
      </c>
      <c r="B240" s="716" t="s">
        <v>2096</v>
      </c>
      <c r="C240" s="716" t="s">
        <v>2207</v>
      </c>
      <c r="D240" s="716" t="s">
        <v>2208</v>
      </c>
      <c r="E240" s="559">
        <v>394.1</v>
      </c>
      <c r="F240" s="103">
        <v>904713.61200000008</v>
      </c>
      <c r="G240" s="103">
        <f t="shared" si="15"/>
        <v>904713.61200000008</v>
      </c>
      <c r="H240" s="717">
        <v>45412</v>
      </c>
      <c r="I240" s="718">
        <v>0</v>
      </c>
      <c r="J240" s="103"/>
      <c r="K240" s="103"/>
      <c r="L240" s="47">
        <v>20000</v>
      </c>
      <c r="M240"/>
      <c r="N240"/>
      <c r="O240" s="105"/>
      <c r="P240" s="105"/>
      <c r="Q240" s="721"/>
      <c r="R240" s="721"/>
      <c r="S240" s="721"/>
      <c r="T240" s="721"/>
      <c r="U240" s="721"/>
      <c r="V240" s="721"/>
      <c r="W240" s="721"/>
      <c r="X240" s="721"/>
      <c r="Y240" s="721"/>
      <c r="Z240" s="721"/>
      <c r="AA240" s="721"/>
      <c r="AB240" s="721"/>
      <c r="AC240" s="721"/>
      <c r="AD240" s="721"/>
      <c r="AI240" s="105"/>
      <c r="AJ240" s="105"/>
      <c r="AN240" s="105"/>
      <c r="AO240" s="105"/>
      <c r="AP240" s="105"/>
    </row>
    <row r="241" spans="1:42" outlineLevel="1">
      <c r="A241" s="545">
        <f>MAX($A$10:A240)+1</f>
        <v>232</v>
      </c>
      <c r="B241" s="716" t="s">
        <v>2096</v>
      </c>
      <c r="C241" s="716" t="s">
        <v>2209</v>
      </c>
      <c r="D241" s="716" t="s">
        <v>2210</v>
      </c>
      <c r="E241" s="559">
        <v>394.1</v>
      </c>
      <c r="F241" s="103">
        <v>7906.85</v>
      </c>
      <c r="G241" s="103">
        <f t="shared" si="15"/>
        <v>7906.85</v>
      </c>
      <c r="H241" s="717">
        <v>45347</v>
      </c>
      <c r="I241" s="718">
        <v>0</v>
      </c>
      <c r="J241" s="103"/>
      <c r="K241" s="103"/>
      <c r="M241"/>
      <c r="N241"/>
      <c r="O241" s="105"/>
      <c r="P241" s="105"/>
      <c r="Q241" s="721"/>
      <c r="R241" s="721"/>
      <c r="S241" s="721"/>
      <c r="T241" s="721"/>
      <c r="U241" s="721"/>
      <c r="V241" s="721"/>
      <c r="W241" s="721"/>
      <c r="X241" s="721"/>
      <c r="Y241" s="721"/>
      <c r="Z241" s="721"/>
      <c r="AA241" s="721"/>
      <c r="AB241" s="721"/>
      <c r="AC241" s="721"/>
      <c r="AD241" s="721"/>
      <c r="AI241" s="105"/>
      <c r="AJ241" s="105"/>
      <c r="AN241" s="105"/>
      <c r="AO241" s="105"/>
      <c r="AP241" s="105"/>
    </row>
    <row r="242" spans="1:42" outlineLevel="1">
      <c r="A242" s="545">
        <f>MAX($A$10:A241)+1</f>
        <v>233</v>
      </c>
      <c r="B242" s="716" t="s">
        <v>2096</v>
      </c>
      <c r="C242" s="716" t="s">
        <v>2211</v>
      </c>
      <c r="D242" s="716" t="s">
        <v>2208</v>
      </c>
      <c r="E242" s="559">
        <v>394.1</v>
      </c>
      <c r="F242" s="103">
        <v>0</v>
      </c>
      <c r="G242" s="103">
        <f t="shared" si="15"/>
        <v>0</v>
      </c>
      <c r="H242" s="717"/>
      <c r="I242" s="718">
        <v>1813571.088</v>
      </c>
      <c r="J242" s="103">
        <f t="shared" ref="J242:J259" si="17">+I242</f>
        <v>1813571.088</v>
      </c>
      <c r="K242" s="575">
        <v>45777</v>
      </c>
      <c r="L242" s="47">
        <v>260000</v>
      </c>
      <c r="M242"/>
      <c r="N242"/>
      <c r="O242" s="105"/>
      <c r="P242" s="105"/>
      <c r="Q242" s="721"/>
      <c r="R242" s="721"/>
      <c r="S242" s="721"/>
      <c r="T242" s="721"/>
      <c r="U242" s="721"/>
      <c r="V242" s="721"/>
      <c r="W242" s="721"/>
      <c r="X242" s="721"/>
      <c r="Y242" s="721"/>
      <c r="Z242" s="721"/>
      <c r="AA242" s="721"/>
      <c r="AB242" s="721"/>
      <c r="AC242" s="721"/>
      <c r="AD242" s="721"/>
      <c r="AI242" s="105"/>
      <c r="AJ242" s="105"/>
      <c r="AN242" s="105"/>
      <c r="AO242" s="105"/>
      <c r="AP242" s="105"/>
    </row>
    <row r="243" spans="1:42" outlineLevel="1">
      <c r="A243" s="545">
        <f>MAX($A$10:A242)+1</f>
        <v>234</v>
      </c>
      <c r="B243" s="716" t="s">
        <v>2096</v>
      </c>
      <c r="C243" s="716" t="s">
        <v>2212</v>
      </c>
      <c r="D243" s="716" t="s">
        <v>2213</v>
      </c>
      <c r="E243" s="559">
        <v>394.1</v>
      </c>
      <c r="F243" s="103">
        <v>5021.5</v>
      </c>
      <c r="G243" s="103">
        <f t="shared" si="15"/>
        <v>5021.5</v>
      </c>
      <c r="H243" s="717">
        <v>45382</v>
      </c>
      <c r="I243" s="718">
        <v>0</v>
      </c>
      <c r="J243" s="103">
        <f t="shared" si="17"/>
        <v>0</v>
      </c>
      <c r="K243" s="103"/>
      <c r="M243"/>
      <c r="N243"/>
      <c r="O243" s="105"/>
      <c r="P243" s="105"/>
      <c r="Q243" s="721"/>
      <c r="R243" s="721"/>
      <c r="S243" s="721"/>
      <c r="T243" s="721"/>
      <c r="U243" s="721"/>
      <c r="V243" s="721"/>
      <c r="W243" s="721"/>
      <c r="X243" s="721"/>
      <c r="Y243" s="721"/>
      <c r="Z243" s="721"/>
      <c r="AA243" s="721"/>
      <c r="AB243" s="721"/>
      <c r="AC243" s="721"/>
      <c r="AD243" s="721"/>
      <c r="AI243" s="105"/>
      <c r="AJ243" s="105"/>
      <c r="AN243" s="105"/>
      <c r="AO243" s="105"/>
      <c r="AP243" s="105"/>
    </row>
    <row r="244" spans="1:42" outlineLevel="1">
      <c r="A244" s="545">
        <f>MAX($A$10:A243)+1</f>
        <v>235</v>
      </c>
      <c r="B244" s="716" t="s">
        <v>2096</v>
      </c>
      <c r="C244" s="716" t="s">
        <v>2214</v>
      </c>
      <c r="D244" s="716" t="s">
        <v>2150</v>
      </c>
      <c r="E244" s="559">
        <v>394.1</v>
      </c>
      <c r="F244" s="103">
        <v>42682.75</v>
      </c>
      <c r="G244" s="103">
        <f t="shared" si="15"/>
        <v>42682.75</v>
      </c>
      <c r="H244" s="717">
        <v>45444</v>
      </c>
      <c r="I244" s="718">
        <v>0</v>
      </c>
      <c r="J244" s="103">
        <f t="shared" si="17"/>
        <v>0</v>
      </c>
      <c r="K244" s="103"/>
      <c r="M244"/>
      <c r="N244"/>
      <c r="O244" s="105"/>
      <c r="P244" s="105"/>
      <c r="Q244" s="721"/>
      <c r="R244" s="721"/>
      <c r="S244" s="721"/>
      <c r="T244" s="721"/>
      <c r="U244" s="721"/>
      <c r="V244" s="721"/>
      <c r="W244" s="721"/>
      <c r="X244" s="721"/>
      <c r="Y244" s="721"/>
      <c r="Z244" s="721"/>
      <c r="AA244" s="721"/>
      <c r="AB244" s="721"/>
      <c r="AC244" s="721"/>
      <c r="AD244" s="721"/>
      <c r="AI244" s="105"/>
      <c r="AJ244" s="105"/>
      <c r="AN244" s="105"/>
      <c r="AO244" s="105"/>
      <c r="AP244" s="105"/>
    </row>
    <row r="245" spans="1:42" outlineLevel="1">
      <c r="A245" s="545">
        <f>MAX($A$10:A244)+1</f>
        <v>236</v>
      </c>
      <c r="B245" s="716" t="s">
        <v>2096</v>
      </c>
      <c r="C245" s="716" t="s">
        <v>2215</v>
      </c>
      <c r="D245" s="716" t="s">
        <v>2150</v>
      </c>
      <c r="E245" s="559">
        <v>394.1</v>
      </c>
      <c r="F245" s="103">
        <v>0</v>
      </c>
      <c r="G245" s="103">
        <f t="shared" si="15"/>
        <v>0</v>
      </c>
      <c r="H245" s="717"/>
      <c r="I245" s="718">
        <v>42780.5</v>
      </c>
      <c r="J245" s="103">
        <f t="shared" si="17"/>
        <v>42780.5</v>
      </c>
      <c r="K245" s="575">
        <v>45809</v>
      </c>
      <c r="M245"/>
      <c r="N245"/>
      <c r="O245" s="105"/>
      <c r="P245" s="105"/>
      <c r="Q245" s="721"/>
      <c r="R245" s="721"/>
      <c r="S245" s="721"/>
      <c r="T245" s="721"/>
      <c r="U245" s="721"/>
      <c r="V245" s="721"/>
      <c r="W245" s="721"/>
      <c r="X245" s="721"/>
      <c r="Y245" s="721"/>
      <c r="Z245" s="721"/>
      <c r="AA245" s="721"/>
      <c r="AB245" s="721"/>
      <c r="AC245" s="721"/>
      <c r="AD245" s="721"/>
      <c r="AI245" s="105"/>
      <c r="AJ245" s="105"/>
      <c r="AN245" s="105"/>
      <c r="AO245" s="105"/>
      <c r="AP245" s="105"/>
    </row>
    <row r="246" spans="1:42" outlineLevel="1">
      <c r="A246" s="545">
        <f>MAX($A$10:A245)+1</f>
        <v>237</v>
      </c>
      <c r="B246" s="716" t="s">
        <v>2096</v>
      </c>
      <c r="C246" s="105" t="s">
        <v>2216</v>
      </c>
      <c r="D246" s="105" t="s">
        <v>2217</v>
      </c>
      <c r="E246" s="559">
        <v>390.1</v>
      </c>
      <c r="F246" s="103">
        <v>55236.5</v>
      </c>
      <c r="G246" s="103">
        <f t="shared" si="15"/>
        <v>55236.5</v>
      </c>
      <c r="I246" s="718">
        <v>0</v>
      </c>
      <c r="J246" s="103">
        <f t="shared" si="17"/>
        <v>0</v>
      </c>
      <c r="K246" s="717"/>
      <c r="M246"/>
      <c r="N246"/>
      <c r="O246" s="105"/>
      <c r="P246" s="105"/>
      <c r="Q246" s="721"/>
      <c r="R246" s="721"/>
      <c r="S246" s="721"/>
      <c r="T246" s="721"/>
      <c r="U246" s="721"/>
      <c r="V246" s="721"/>
      <c r="W246" s="721"/>
      <c r="X246" s="721"/>
      <c r="Y246" s="721"/>
      <c r="Z246" s="721"/>
      <c r="AA246" s="721"/>
      <c r="AB246" s="721"/>
      <c r="AC246" s="721"/>
      <c r="AD246" s="721"/>
      <c r="AI246" s="105"/>
      <c r="AJ246" s="105"/>
      <c r="AN246" s="105"/>
      <c r="AO246" s="105"/>
      <c r="AP246" s="105"/>
    </row>
    <row r="247" spans="1:42" outlineLevel="1">
      <c r="A247" s="545">
        <f>MAX($A$10:A246)+1</f>
        <v>238</v>
      </c>
      <c r="B247" s="716" t="s">
        <v>2096</v>
      </c>
      <c r="C247" s="716" t="s">
        <v>2218</v>
      </c>
      <c r="D247" s="716" t="s">
        <v>2219</v>
      </c>
      <c r="E247" s="559">
        <v>390.1</v>
      </c>
      <c r="F247" s="103">
        <v>155213.86869500001</v>
      </c>
      <c r="G247" s="103">
        <f t="shared" si="15"/>
        <v>155213.86869500001</v>
      </c>
      <c r="H247" s="717">
        <v>45596</v>
      </c>
      <c r="I247" s="718">
        <v>0</v>
      </c>
      <c r="J247" s="103">
        <f t="shared" si="17"/>
        <v>0</v>
      </c>
      <c r="K247" s="103"/>
      <c r="M247"/>
      <c r="N247"/>
      <c r="O247" s="105"/>
      <c r="P247" s="105"/>
      <c r="Q247" s="721"/>
      <c r="R247" s="721"/>
      <c r="S247" s="721"/>
      <c r="T247" s="721"/>
      <c r="U247" s="721"/>
      <c r="V247" s="721"/>
      <c r="W247" s="721"/>
      <c r="X247" s="721"/>
      <c r="Y247" s="721"/>
      <c r="Z247" s="721"/>
      <c r="AA247" s="721"/>
      <c r="AB247" s="721"/>
      <c r="AC247" s="721"/>
      <c r="AD247" s="721"/>
      <c r="AI247" s="105"/>
      <c r="AJ247" s="105"/>
      <c r="AN247" s="105"/>
      <c r="AO247" s="105"/>
      <c r="AP247" s="105"/>
    </row>
    <row r="248" spans="1:42" outlineLevel="1">
      <c r="A248" s="545">
        <f>MAX($A$10:A247)+1</f>
        <v>239</v>
      </c>
      <c r="B248" s="716" t="s">
        <v>2096</v>
      </c>
      <c r="C248" s="716" t="s">
        <v>2220</v>
      </c>
      <c r="D248" s="716" t="s">
        <v>2221</v>
      </c>
      <c r="E248" s="559">
        <v>390.1</v>
      </c>
      <c r="F248" s="103">
        <v>9540.85</v>
      </c>
      <c r="G248" s="103">
        <f t="shared" si="15"/>
        <v>9540.85</v>
      </c>
      <c r="H248" s="717">
        <v>45352</v>
      </c>
      <c r="I248" s="718">
        <v>0</v>
      </c>
      <c r="J248" s="103">
        <f t="shared" si="17"/>
        <v>0</v>
      </c>
      <c r="K248" s="103"/>
      <c r="M248"/>
      <c r="N248"/>
      <c r="O248" s="105"/>
      <c r="P248" s="105"/>
      <c r="Q248" s="721"/>
      <c r="R248" s="721"/>
      <c r="S248" s="721"/>
      <c r="T248" s="721"/>
      <c r="U248" s="721"/>
      <c r="V248" s="721"/>
      <c r="W248" s="721"/>
      <c r="X248" s="721"/>
      <c r="Y248" s="721"/>
      <c r="Z248" s="721"/>
      <c r="AA248" s="721"/>
      <c r="AB248" s="721"/>
      <c r="AC248" s="721"/>
      <c r="AD248" s="721"/>
      <c r="AI248" s="105"/>
      <c r="AJ248" s="105"/>
      <c r="AN248" s="105"/>
      <c r="AO248" s="105"/>
      <c r="AP248" s="105"/>
    </row>
    <row r="249" spans="1:42" outlineLevel="1">
      <c r="A249" s="545">
        <f>MAX($A$10:A248)+1</f>
        <v>240</v>
      </c>
      <c r="B249" s="716" t="s">
        <v>2096</v>
      </c>
      <c r="C249" s="105" t="s">
        <v>2222</v>
      </c>
      <c r="D249" s="105" t="s">
        <v>2223</v>
      </c>
      <c r="E249" s="559">
        <v>394.1</v>
      </c>
      <c r="F249" s="103">
        <v>30129</v>
      </c>
      <c r="G249" s="103">
        <f t="shared" ref="G249:G259" si="18">+F249</f>
        <v>30129</v>
      </c>
      <c r="H249" s="721">
        <v>45352</v>
      </c>
      <c r="I249" s="718">
        <v>0</v>
      </c>
      <c r="J249" s="103">
        <f t="shared" si="17"/>
        <v>0</v>
      </c>
      <c r="K249" s="717"/>
      <c r="M249"/>
      <c r="N249"/>
      <c r="O249" s="105"/>
      <c r="P249" s="105"/>
      <c r="Q249" s="721"/>
      <c r="R249" s="721"/>
      <c r="S249" s="721"/>
      <c r="T249" s="721"/>
      <c r="U249" s="721"/>
      <c r="V249" s="721"/>
      <c r="W249" s="721"/>
      <c r="X249" s="721"/>
      <c r="Y249" s="721"/>
      <c r="Z249" s="721"/>
      <c r="AA249" s="721"/>
      <c r="AB249" s="721"/>
      <c r="AC249" s="721"/>
      <c r="AD249" s="721"/>
      <c r="AI249" s="105"/>
      <c r="AJ249" s="105"/>
      <c r="AN249" s="105"/>
      <c r="AO249" s="105"/>
      <c r="AP249" s="105"/>
    </row>
    <row r="250" spans="1:42" outlineLevel="1">
      <c r="A250" s="545">
        <f>MAX($A$10:A249)+1</f>
        <v>241</v>
      </c>
      <c r="B250" s="716" t="s">
        <v>2096</v>
      </c>
      <c r="C250" s="716" t="s">
        <v>2224</v>
      </c>
      <c r="D250" s="716" t="s">
        <v>2225</v>
      </c>
      <c r="E250" s="559">
        <v>394.1</v>
      </c>
      <c r="F250" s="103">
        <v>30129</v>
      </c>
      <c r="G250" s="103">
        <f t="shared" si="18"/>
        <v>30129</v>
      </c>
      <c r="H250" s="717">
        <v>45352</v>
      </c>
      <c r="I250" s="718">
        <v>0</v>
      </c>
      <c r="J250" s="103">
        <f t="shared" si="17"/>
        <v>0</v>
      </c>
      <c r="K250" s="103"/>
      <c r="M250"/>
      <c r="N250"/>
      <c r="O250" s="105"/>
      <c r="P250" s="105"/>
      <c r="Q250" s="721"/>
      <c r="R250" s="721"/>
      <c r="S250" s="721"/>
      <c r="T250" s="721"/>
      <c r="U250" s="721"/>
      <c r="V250" s="721"/>
      <c r="W250" s="721"/>
      <c r="X250" s="721"/>
      <c r="Y250" s="721"/>
      <c r="Z250" s="721"/>
      <c r="AA250" s="721"/>
      <c r="AB250" s="721"/>
      <c r="AC250" s="721"/>
      <c r="AD250" s="721"/>
      <c r="AI250" s="105"/>
      <c r="AJ250" s="105"/>
      <c r="AN250" s="105"/>
      <c r="AO250" s="105"/>
      <c r="AP250" s="105"/>
    </row>
    <row r="251" spans="1:42" outlineLevel="1">
      <c r="A251" s="545">
        <f>MAX($A$10:A250)+1</f>
        <v>242</v>
      </c>
      <c r="B251" s="716" t="s">
        <v>2096</v>
      </c>
      <c r="C251" s="716" t="s">
        <v>2226</v>
      </c>
      <c r="D251" s="716" t="s">
        <v>2227</v>
      </c>
      <c r="E251" s="559">
        <v>390.1</v>
      </c>
      <c r="F251" s="103">
        <v>150645</v>
      </c>
      <c r="G251" s="103">
        <f t="shared" si="18"/>
        <v>150645</v>
      </c>
      <c r="H251" s="717">
        <v>45442</v>
      </c>
      <c r="I251" s="718">
        <v>0</v>
      </c>
      <c r="J251" s="103">
        <f t="shared" si="17"/>
        <v>0</v>
      </c>
      <c r="K251" s="103"/>
      <c r="M251"/>
      <c r="N251"/>
      <c r="O251" s="105"/>
      <c r="P251" s="105"/>
      <c r="Q251" s="721"/>
      <c r="R251" s="721"/>
      <c r="S251" s="721"/>
      <c r="T251" s="721"/>
      <c r="U251" s="721"/>
      <c r="V251" s="721"/>
      <c r="W251" s="721"/>
      <c r="X251" s="721"/>
      <c r="Y251" s="721"/>
      <c r="Z251" s="721"/>
      <c r="AA251" s="721"/>
      <c r="AB251" s="721"/>
      <c r="AC251" s="721"/>
      <c r="AD251" s="721"/>
      <c r="AI251" s="105"/>
      <c r="AJ251" s="105"/>
      <c r="AN251" s="105"/>
      <c r="AO251" s="105"/>
      <c r="AP251" s="105"/>
    </row>
    <row r="252" spans="1:42" outlineLevel="1">
      <c r="A252" s="545">
        <f>MAX($A$10:A251)+1</f>
        <v>243</v>
      </c>
      <c r="B252" s="716" t="s">
        <v>2096</v>
      </c>
      <c r="C252" s="716" t="s">
        <v>2228</v>
      </c>
      <c r="D252" s="716" t="s">
        <v>2229</v>
      </c>
      <c r="E252" s="559">
        <v>397.1</v>
      </c>
      <c r="F252" s="103">
        <v>3741.15</v>
      </c>
      <c r="G252" s="103">
        <f t="shared" si="18"/>
        <v>3741.15</v>
      </c>
      <c r="H252" s="717">
        <v>45351</v>
      </c>
      <c r="I252" s="718">
        <v>0</v>
      </c>
      <c r="J252" s="103">
        <f t="shared" si="17"/>
        <v>0</v>
      </c>
      <c r="K252" s="103"/>
      <c r="M252"/>
      <c r="N252"/>
      <c r="O252" s="105"/>
      <c r="P252" s="105"/>
      <c r="Q252" s="721"/>
      <c r="R252" s="721"/>
      <c r="S252" s="721"/>
      <c r="T252" s="721"/>
      <c r="U252" s="721"/>
      <c r="V252" s="721"/>
      <c r="W252" s="721"/>
      <c r="X252" s="721"/>
      <c r="Y252" s="721"/>
      <c r="Z252" s="721"/>
      <c r="AA252" s="721"/>
      <c r="AB252" s="721"/>
      <c r="AC252" s="721"/>
      <c r="AD252" s="721"/>
      <c r="AI252" s="105"/>
      <c r="AJ252" s="105"/>
      <c r="AN252" s="105"/>
      <c r="AO252" s="105"/>
      <c r="AP252" s="105"/>
    </row>
    <row r="253" spans="1:42" outlineLevel="1">
      <c r="A253" s="545">
        <f>MAX($A$10:A252)+1</f>
        <v>244</v>
      </c>
      <c r="B253" s="716" t="s">
        <v>2096</v>
      </c>
      <c r="C253" s="716" t="s">
        <v>2230</v>
      </c>
      <c r="D253" s="716" t="s">
        <v>2231</v>
      </c>
      <c r="E253" s="559">
        <v>391.3</v>
      </c>
      <c r="F253" s="103">
        <v>13227.237818814603</v>
      </c>
      <c r="G253" s="103">
        <f t="shared" si="18"/>
        <v>13227.237818814603</v>
      </c>
      <c r="H253" s="717">
        <v>45337</v>
      </c>
      <c r="I253" s="718">
        <v>0</v>
      </c>
      <c r="J253" s="103">
        <f t="shared" si="17"/>
        <v>0</v>
      </c>
      <c r="K253" s="103"/>
      <c r="M253"/>
      <c r="N253"/>
      <c r="O253" s="105"/>
      <c r="P253" s="105"/>
      <c r="Q253" s="721"/>
      <c r="R253" s="721"/>
      <c r="S253" s="721"/>
      <c r="T253" s="721"/>
      <c r="U253" s="721"/>
      <c r="V253" s="721"/>
      <c r="W253" s="721"/>
      <c r="X253" s="721"/>
      <c r="Y253" s="721"/>
      <c r="Z253" s="721"/>
      <c r="AA253" s="721"/>
      <c r="AB253" s="721"/>
      <c r="AC253" s="721"/>
      <c r="AD253" s="721"/>
      <c r="AI253" s="105"/>
      <c r="AJ253" s="105"/>
      <c r="AN253" s="105"/>
      <c r="AO253" s="105"/>
      <c r="AP253" s="105"/>
    </row>
    <row r="254" spans="1:42" outlineLevel="1">
      <c r="A254" s="545">
        <f>MAX($A$10:A253)+1</f>
        <v>245</v>
      </c>
      <c r="B254" s="716" t="s">
        <v>2096</v>
      </c>
      <c r="C254" s="716" t="s">
        <v>2232</v>
      </c>
      <c r="D254" s="716" t="s">
        <v>2233</v>
      </c>
      <c r="E254" s="559">
        <v>390.1</v>
      </c>
      <c r="F254" s="103">
        <v>9404.2325370000017</v>
      </c>
      <c r="G254" s="103">
        <f t="shared" si="18"/>
        <v>9404.2325370000017</v>
      </c>
      <c r="H254" s="717">
        <v>45321</v>
      </c>
      <c r="I254" s="718">
        <v>0</v>
      </c>
      <c r="J254" s="103">
        <f t="shared" si="17"/>
        <v>0</v>
      </c>
      <c r="K254" s="103"/>
      <c r="M254"/>
      <c r="N254"/>
      <c r="O254" s="105"/>
      <c r="P254" s="105"/>
      <c r="Q254" s="721"/>
      <c r="R254" s="721"/>
      <c r="S254" s="721"/>
      <c r="T254" s="721"/>
      <c r="U254" s="721"/>
      <c r="V254" s="721"/>
      <c r="W254" s="721"/>
      <c r="X254" s="721"/>
      <c r="Y254" s="721"/>
      <c r="Z254" s="721"/>
      <c r="AA254" s="721"/>
      <c r="AB254" s="721"/>
      <c r="AC254" s="721"/>
      <c r="AD254" s="721"/>
      <c r="AI254" s="105"/>
      <c r="AJ254" s="105"/>
      <c r="AN254" s="105"/>
      <c r="AO254" s="105"/>
      <c r="AP254" s="105"/>
    </row>
    <row r="255" spans="1:42" outlineLevel="1">
      <c r="A255" s="545">
        <f>MAX($A$10:A254)+1</f>
        <v>246</v>
      </c>
      <c r="B255" s="716" t="s">
        <v>2096</v>
      </c>
      <c r="C255" s="716" t="s">
        <v>2234</v>
      </c>
      <c r="D255" s="716" t="s">
        <v>2235</v>
      </c>
      <c r="E255" s="559">
        <v>394.1</v>
      </c>
      <c r="F255" s="103">
        <v>3136.7400000000002</v>
      </c>
      <c r="G255" s="103">
        <f t="shared" si="18"/>
        <v>3136.7400000000002</v>
      </c>
      <c r="H255" s="717">
        <v>45337</v>
      </c>
      <c r="I255" s="718">
        <v>0</v>
      </c>
      <c r="J255" s="103">
        <f t="shared" si="17"/>
        <v>0</v>
      </c>
      <c r="K255" s="103"/>
      <c r="M255"/>
      <c r="N255"/>
      <c r="O255" s="105"/>
      <c r="P255" s="105"/>
      <c r="Q255" s="721"/>
      <c r="R255" s="721"/>
      <c r="S255" s="721"/>
      <c r="T255" s="721"/>
      <c r="U255" s="721"/>
      <c r="V255" s="721"/>
      <c r="W255" s="721"/>
      <c r="X255" s="721"/>
      <c r="Y255" s="721"/>
      <c r="Z255" s="721"/>
      <c r="AA255" s="721"/>
      <c r="AB255" s="721"/>
      <c r="AC255" s="721"/>
      <c r="AD255" s="721"/>
      <c r="AI255" s="105"/>
      <c r="AJ255" s="105"/>
      <c r="AN255" s="105"/>
      <c r="AO255" s="105"/>
      <c r="AP255" s="105"/>
    </row>
    <row r="256" spans="1:42" outlineLevel="1">
      <c r="A256" s="545">
        <f>MAX($A$10:A255)+1</f>
        <v>247</v>
      </c>
      <c r="B256" s="716" t="s">
        <v>2096</v>
      </c>
      <c r="C256" s="105" t="s">
        <v>2236</v>
      </c>
      <c r="D256" s="105" t="s">
        <v>2237</v>
      </c>
      <c r="E256" s="559">
        <v>394.1</v>
      </c>
      <c r="F256" s="1">
        <v>3799.31</v>
      </c>
      <c r="G256" s="103">
        <f t="shared" si="18"/>
        <v>3799.31</v>
      </c>
      <c r="H256" s="721">
        <v>45321</v>
      </c>
      <c r="I256" s="722">
        <v>0</v>
      </c>
      <c r="J256" s="103">
        <f t="shared" si="17"/>
        <v>0</v>
      </c>
      <c r="K256" s="717"/>
      <c r="M256"/>
      <c r="N256"/>
      <c r="O256" s="105"/>
      <c r="P256" s="105"/>
      <c r="Q256" s="721"/>
      <c r="R256" s="721"/>
      <c r="S256" s="721"/>
      <c r="T256" s="721"/>
      <c r="U256" s="721"/>
      <c r="V256" s="721"/>
      <c r="W256" s="721"/>
      <c r="X256" s="721"/>
      <c r="Y256" s="721"/>
      <c r="Z256" s="721"/>
      <c r="AA256" s="721"/>
      <c r="AB256" s="721"/>
      <c r="AC256" s="721"/>
      <c r="AD256" s="721"/>
      <c r="AI256" s="105"/>
      <c r="AJ256" s="105"/>
      <c r="AN256" s="105"/>
      <c r="AO256" s="105"/>
      <c r="AP256" s="105"/>
    </row>
    <row r="257" spans="1:42" outlineLevel="1">
      <c r="A257" s="545">
        <f>MAX($A$10:A256)+1</f>
        <v>248</v>
      </c>
      <c r="B257" s="716" t="s">
        <v>2096</v>
      </c>
      <c r="C257" s="716" t="s">
        <v>2238</v>
      </c>
      <c r="D257" s="716" t="s">
        <v>2239</v>
      </c>
      <c r="E257" s="559">
        <v>394.1</v>
      </c>
      <c r="F257" s="103">
        <v>622666</v>
      </c>
      <c r="G257" s="103">
        <f t="shared" si="18"/>
        <v>622666</v>
      </c>
      <c r="H257" s="717">
        <v>45337</v>
      </c>
      <c r="I257" s="718">
        <v>0</v>
      </c>
      <c r="J257" s="103">
        <f t="shared" si="17"/>
        <v>0</v>
      </c>
      <c r="K257" s="103"/>
      <c r="M257"/>
      <c r="N257"/>
      <c r="O257" s="105"/>
      <c r="P257" s="105"/>
      <c r="Q257" s="721"/>
      <c r="R257" s="721"/>
      <c r="S257" s="721"/>
      <c r="T257" s="721"/>
      <c r="U257" s="721"/>
      <c r="V257" s="721"/>
      <c r="W257" s="721"/>
      <c r="X257" s="721"/>
      <c r="Y257" s="721"/>
      <c r="Z257" s="721"/>
      <c r="AA257" s="721"/>
      <c r="AB257" s="721"/>
      <c r="AC257" s="721"/>
      <c r="AD257" s="721"/>
      <c r="AI257" s="105"/>
      <c r="AJ257" s="105"/>
      <c r="AN257" s="105"/>
      <c r="AO257" s="105"/>
      <c r="AP257" s="105"/>
    </row>
    <row r="258" spans="1:42" outlineLevel="1">
      <c r="A258" s="545">
        <f>MAX($A$10:A257)+1</f>
        <v>249</v>
      </c>
      <c r="B258" s="716" t="s">
        <v>2096</v>
      </c>
      <c r="C258" s="716" t="s">
        <v>2240</v>
      </c>
      <c r="D258" s="716" t="s">
        <v>2241</v>
      </c>
      <c r="E258" s="559">
        <v>394.1</v>
      </c>
      <c r="F258" s="103">
        <v>1584.38</v>
      </c>
      <c r="G258" s="103">
        <f t="shared" si="18"/>
        <v>1584.38</v>
      </c>
      <c r="H258" s="717">
        <v>45350</v>
      </c>
      <c r="I258" s="718">
        <v>0</v>
      </c>
      <c r="J258" s="103">
        <f t="shared" si="17"/>
        <v>0</v>
      </c>
      <c r="K258" s="103"/>
      <c r="M258"/>
      <c r="N258"/>
      <c r="O258" s="105"/>
      <c r="P258" s="105"/>
      <c r="Q258" s="721"/>
      <c r="R258" s="721"/>
      <c r="S258" s="721"/>
      <c r="T258" s="721"/>
      <c r="U258" s="721"/>
      <c r="V258" s="721"/>
      <c r="W258" s="721"/>
      <c r="X258" s="721"/>
      <c r="Y258" s="721"/>
      <c r="Z258" s="721"/>
      <c r="AA258" s="721"/>
      <c r="AB258" s="721"/>
      <c r="AC258" s="721"/>
      <c r="AD258" s="721"/>
      <c r="AI258" s="105"/>
      <c r="AJ258" s="105"/>
      <c r="AN258" s="105"/>
      <c r="AO258" s="105"/>
      <c r="AP258" s="105"/>
    </row>
    <row r="259" spans="1:42" outlineLevel="1">
      <c r="A259" s="545">
        <f>MAX($A$10:A258)+1</f>
        <v>250</v>
      </c>
      <c r="B259" s="716" t="s">
        <v>2096</v>
      </c>
      <c r="C259" s="716" t="s">
        <v>2242</v>
      </c>
      <c r="D259" s="716" t="s">
        <v>2243</v>
      </c>
      <c r="E259" s="559">
        <v>397.4</v>
      </c>
      <c r="F259" s="103">
        <v>398580.42</v>
      </c>
      <c r="G259" s="103">
        <f t="shared" si="18"/>
        <v>398580.42</v>
      </c>
      <c r="H259" s="575">
        <v>45322</v>
      </c>
      <c r="I259" s="718">
        <v>0</v>
      </c>
      <c r="J259" s="471">
        <f t="shared" si="17"/>
        <v>0</v>
      </c>
      <c r="K259" s="471"/>
      <c r="M259"/>
      <c r="N259"/>
      <c r="O259" s="105"/>
      <c r="P259" s="105"/>
      <c r="Q259" s="721" t="str">
        <f>IFERROR(VLOOKUP(AH259, $AR$11:$AT$37, 3, FALSE), "")</f>
        <v/>
      </c>
      <c r="R259" s="721"/>
      <c r="S259" s="721"/>
      <c r="T259" s="721"/>
      <c r="U259" s="721"/>
      <c r="V259" s="721"/>
      <c r="W259" s="721"/>
      <c r="X259" s="721"/>
      <c r="Y259" s="721"/>
      <c r="Z259" s="721"/>
      <c r="AA259" s="721"/>
      <c r="AB259" s="721"/>
      <c r="AC259" s="721"/>
      <c r="AD259" s="721"/>
      <c r="AI259" s="105"/>
      <c r="AJ259" s="105"/>
      <c r="AN259" s="105"/>
      <c r="AO259" s="105"/>
      <c r="AP259" s="105"/>
    </row>
    <row r="260" spans="1:42" outlineLevel="1">
      <c r="A260" s="545">
        <f>MAX($A$10:A259)+1</f>
        <v>251</v>
      </c>
      <c r="B260" s="729"/>
      <c r="C260" s="729"/>
      <c r="D260" s="730" t="s">
        <v>2244</v>
      </c>
      <c r="E260" s="560"/>
      <c r="F260" s="495">
        <f>SUM(F185:F259)</f>
        <v>8902101.571975816</v>
      </c>
      <c r="G260" s="495">
        <f>SUM(G185:G259)</f>
        <v>8902101.571975816</v>
      </c>
      <c r="H260" s="495"/>
      <c r="I260" s="713">
        <f>SUM(I185:I259)</f>
        <v>5709157.3109920006</v>
      </c>
      <c r="J260" s="495">
        <f>SUM(J185:J259)</f>
        <v>5709157.3109920006</v>
      </c>
      <c r="K260" s="495"/>
      <c r="L260" s="495">
        <f>SUM(L185:L259)</f>
        <v>280000</v>
      </c>
      <c r="M260"/>
      <c r="N260"/>
      <c r="O260" s="105"/>
      <c r="P260" s="105"/>
    </row>
    <row r="261" spans="1:42" outlineLevel="1">
      <c r="A261" s="545">
        <f>MAX($A$10:A260)+1</f>
        <v>252</v>
      </c>
      <c r="B261" s="731"/>
      <c r="C261" s="731"/>
      <c r="D261" s="731"/>
      <c r="E261" s="561"/>
      <c r="F261" s="103"/>
      <c r="G261" s="103"/>
      <c r="H261" s="103"/>
      <c r="I261" s="733"/>
      <c r="J261" s="103"/>
      <c r="K261" s="103"/>
      <c r="L261" s="103"/>
      <c r="M261"/>
      <c r="N261"/>
      <c r="AI261" s="105"/>
      <c r="AJ261" s="105"/>
      <c r="AN261" s="105"/>
      <c r="AO261" s="105"/>
      <c r="AP261" s="105"/>
    </row>
    <row r="262" spans="1:42" ht="15.75" outlineLevel="1" thickBot="1">
      <c r="A262" s="545">
        <f>MAX($A$10:A261)+1</f>
        <v>253</v>
      </c>
      <c r="B262" s="731"/>
      <c r="C262" s="731"/>
      <c r="D262" s="735" t="s">
        <v>200</v>
      </c>
      <c r="E262" s="563"/>
      <c r="F262" s="472">
        <f>F31+F34+F183+F260</f>
        <v>140193437.58551073</v>
      </c>
      <c r="G262" s="472">
        <f>G31+G34+G183+G260</f>
        <v>140193437.58551073</v>
      </c>
      <c r="H262" s="472"/>
      <c r="I262" s="715">
        <f>I31+I34+I183+I260</f>
        <v>107258633.47050501</v>
      </c>
      <c r="J262" s="472">
        <f>J31+J34+J183+J260</f>
        <v>107258633.47050501</v>
      </c>
      <c r="K262" s="472"/>
      <c r="L262" s="472">
        <f>L31+L34+L183+L260</f>
        <v>747500</v>
      </c>
      <c r="M262"/>
      <c r="N262"/>
      <c r="O262" s="108"/>
      <c r="P262" s="108"/>
    </row>
    <row r="263" spans="1:42" ht="15.75" outlineLevel="1" thickTop="1">
      <c r="A263" s="545">
        <f>MAX($A$10:A262)+1</f>
        <v>254</v>
      </c>
      <c r="B263" s="731"/>
      <c r="C263" s="731"/>
      <c r="D263" s="731"/>
      <c r="E263" s="561"/>
      <c r="F263" s="103"/>
      <c r="G263" s="103"/>
      <c r="H263" s="103"/>
      <c r="I263" s="733"/>
      <c r="J263" s="731"/>
      <c r="K263" s="731"/>
      <c r="L263" s="731"/>
      <c r="M263" s="731"/>
    </row>
    <row r="264" spans="1:42" outlineLevel="1">
      <c r="A264" s="545">
        <f>MAX($A$10:A263)+1</f>
        <v>255</v>
      </c>
      <c r="F264" s="103"/>
      <c r="G264" s="103"/>
      <c r="H264" s="103"/>
      <c r="I264" s="718"/>
      <c r="J264" s="719"/>
      <c r="K264" s="719"/>
      <c r="L264" s="719"/>
      <c r="M264" s="719"/>
    </row>
    <row r="265" spans="1:42" ht="30" outlineLevel="1">
      <c r="A265" s="545">
        <f>MAX($A$10:A264)+1</f>
        <v>256</v>
      </c>
      <c r="B265" s="716" t="s">
        <v>1330</v>
      </c>
      <c r="E265" s="736" t="s">
        <v>2245</v>
      </c>
      <c r="F265" s="736" t="s">
        <v>2246</v>
      </c>
      <c r="G265" s="736" t="s">
        <v>2247</v>
      </c>
      <c r="H265" s="737" t="s">
        <v>2248</v>
      </c>
      <c r="I265" s="1"/>
      <c r="K265" s="736" t="s">
        <v>2249</v>
      </c>
      <c r="L265" s="736" t="s">
        <v>2247</v>
      </c>
      <c r="M265" s="738" t="s">
        <v>2250</v>
      </c>
    </row>
    <row r="266" spans="1:42" outlineLevel="1">
      <c r="A266" s="545">
        <f>MAX($A$10:A265)+1</f>
        <v>257</v>
      </c>
      <c r="B266" s="719"/>
      <c r="C266" s="716"/>
      <c r="D266" s="103"/>
      <c r="E266" s="739">
        <v>303</v>
      </c>
      <c r="F266" s="103">
        <f t="shared" ref="F266:F298" si="19">+SUMIF($E$10:$E$259,E266,$G$10:$G$259)</f>
        <v>9006672.1762900017</v>
      </c>
      <c r="G266" s="557" t="s">
        <v>2251</v>
      </c>
      <c r="H266" s="711">
        <v>745423.23</v>
      </c>
      <c r="I266" s="1"/>
      <c r="K266" s="103">
        <f t="shared" ref="K266:K298" si="20">+SUMIF($E$10:$E$259,E266,$J$10:$J$259)</f>
        <v>10841022.621869002</v>
      </c>
      <c r="L266" s="434" t="s">
        <v>2251</v>
      </c>
      <c r="M266" s="184">
        <v>804720.52</v>
      </c>
      <c r="AD266" s="720"/>
      <c r="AE266" s="720"/>
    </row>
    <row r="267" spans="1:42" outlineLevel="1">
      <c r="A267" s="545">
        <f>MAX($A$10:A266)+1</f>
        <v>258</v>
      </c>
      <c r="B267" s="719"/>
      <c r="C267" s="716"/>
      <c r="D267" s="103"/>
      <c r="E267" s="739">
        <v>333</v>
      </c>
      <c r="F267" s="103">
        <f t="shared" si="19"/>
        <v>0</v>
      </c>
      <c r="G267" s="557">
        <v>0.05</v>
      </c>
      <c r="H267" s="711">
        <f t="shared" ref="H267:H298" si="21">+F267*G267</f>
        <v>0</v>
      </c>
      <c r="I267" s="1"/>
      <c r="K267" s="103">
        <f t="shared" si="20"/>
        <v>17454194.260000002</v>
      </c>
      <c r="L267" s="72">
        <f>G267</f>
        <v>0.05</v>
      </c>
      <c r="M267" s="184">
        <f t="shared" ref="M267:M298" si="22">+K267*L267</f>
        <v>872709.71300000011</v>
      </c>
      <c r="AD267" s="720"/>
      <c r="AE267" s="720"/>
    </row>
    <row r="268" spans="1:42" outlineLevel="1">
      <c r="A268" s="545">
        <f>MAX($A$10:A267)+1</f>
        <v>259</v>
      </c>
      <c r="B268" s="740"/>
      <c r="C268" s="740"/>
      <c r="E268" s="719">
        <v>367.1</v>
      </c>
      <c r="F268" s="103">
        <f t="shared" si="19"/>
        <v>3166077.7882189997</v>
      </c>
      <c r="G268" s="557">
        <f>'EOP Depn Exp Adj'!D16</f>
        <v>1.4999999999999999E-2</v>
      </c>
      <c r="H268" s="711">
        <f t="shared" si="21"/>
        <v>47491.166823284992</v>
      </c>
      <c r="I268" s="1"/>
      <c r="K268" s="103">
        <f t="shared" si="20"/>
        <v>0</v>
      </c>
      <c r="L268" s="72">
        <f t="shared" ref="L268:L298" si="23">+G268</f>
        <v>1.4999999999999999E-2</v>
      </c>
      <c r="M268" s="184">
        <f t="shared" si="22"/>
        <v>0</v>
      </c>
      <c r="P268" s="107"/>
      <c r="Q268" s="107"/>
      <c r="R268" s="107"/>
      <c r="S268" s="107"/>
      <c r="T268" s="107"/>
      <c r="U268" s="107"/>
      <c r="V268" s="107"/>
      <c r="W268" s="107"/>
      <c r="X268" s="107"/>
      <c r="Y268" s="107"/>
      <c r="Z268" s="107"/>
      <c r="AA268" s="107"/>
      <c r="AB268" s="107"/>
      <c r="AC268" s="107"/>
      <c r="AD268" s="720"/>
      <c r="AE268" s="720"/>
    </row>
    <row r="269" spans="1:42" outlineLevel="1">
      <c r="A269" s="545">
        <f>MAX($A$10:A268)+1</f>
        <v>260</v>
      </c>
      <c r="B269" s="740"/>
      <c r="C269" s="740"/>
      <c r="E269" s="719">
        <v>374.1</v>
      </c>
      <c r="F269" s="103">
        <f t="shared" si="19"/>
        <v>119146.94</v>
      </c>
      <c r="G269" s="557">
        <v>0</v>
      </c>
      <c r="H269" s="711">
        <f t="shared" si="21"/>
        <v>0</v>
      </c>
      <c r="I269" s="1"/>
      <c r="K269" s="103">
        <f t="shared" si="20"/>
        <v>0</v>
      </c>
      <c r="L269" s="72">
        <f t="shared" si="23"/>
        <v>0</v>
      </c>
      <c r="M269" s="184">
        <f t="shared" si="22"/>
        <v>0</v>
      </c>
      <c r="P269" s="107"/>
      <c r="Q269" s="107"/>
      <c r="R269" s="107"/>
      <c r="S269" s="107"/>
      <c r="T269" s="107"/>
      <c r="U269" s="107"/>
      <c r="V269" s="107"/>
      <c r="W269" s="107"/>
      <c r="X269" s="107"/>
      <c r="Y269" s="107"/>
      <c r="Z269" s="107"/>
      <c r="AA269" s="107"/>
      <c r="AB269" s="107"/>
      <c r="AC269" s="107"/>
      <c r="AD269" s="720"/>
      <c r="AE269" s="720"/>
    </row>
    <row r="270" spans="1:42" outlineLevel="1">
      <c r="A270" s="545">
        <f>MAX($A$10:A269)+1</f>
        <v>261</v>
      </c>
      <c r="B270" s="740"/>
      <c r="C270" s="740"/>
      <c r="D270" s="740"/>
      <c r="E270" s="719">
        <v>374.2</v>
      </c>
      <c r="F270" s="103">
        <f t="shared" si="19"/>
        <v>0</v>
      </c>
      <c r="G270" s="557">
        <f>'EOP Depn Exp Adj'!D19</f>
        <v>1.6400000000000001E-2</v>
      </c>
      <c r="H270" s="711">
        <f t="shared" si="21"/>
        <v>0</v>
      </c>
      <c r="I270" s="1"/>
      <c r="K270" s="103">
        <f t="shared" si="20"/>
        <v>0</v>
      </c>
      <c r="L270" s="72">
        <f t="shared" si="23"/>
        <v>1.6400000000000001E-2</v>
      </c>
      <c r="M270" s="184">
        <f t="shared" si="22"/>
        <v>0</v>
      </c>
      <c r="P270" s="107"/>
      <c r="Q270" s="107"/>
      <c r="R270" s="107"/>
      <c r="S270" s="107"/>
      <c r="T270" s="107"/>
      <c r="U270" s="107"/>
      <c r="V270" s="107"/>
      <c r="W270" s="107"/>
      <c r="X270" s="107"/>
      <c r="Y270" s="107"/>
      <c r="Z270" s="107"/>
      <c r="AA270" s="107"/>
      <c r="AB270" s="107"/>
      <c r="AC270" s="107"/>
      <c r="AD270" s="720"/>
      <c r="AE270" s="720"/>
    </row>
    <row r="271" spans="1:42" outlineLevel="1">
      <c r="A271" s="545">
        <f>MAX($A$10:A270)+1</f>
        <v>262</v>
      </c>
      <c r="B271" s="740"/>
      <c r="C271" s="740"/>
      <c r="D271" s="740"/>
      <c r="E271" s="719">
        <v>375.1</v>
      </c>
      <c r="F271" s="103">
        <f t="shared" si="19"/>
        <v>0</v>
      </c>
      <c r="G271" s="557">
        <f>'EOP Depn Exp Adj'!D20</f>
        <v>8.3999999999999995E-3</v>
      </c>
      <c r="H271" s="711">
        <f t="shared" si="21"/>
        <v>0</v>
      </c>
      <c r="I271" s="1"/>
      <c r="K271" s="103">
        <f t="shared" si="20"/>
        <v>0</v>
      </c>
      <c r="L271" s="72">
        <f t="shared" si="23"/>
        <v>8.3999999999999995E-3</v>
      </c>
      <c r="M271" s="184">
        <f t="shared" si="22"/>
        <v>0</v>
      </c>
      <c r="P271" s="107"/>
      <c r="Q271" s="107"/>
      <c r="R271" s="107"/>
      <c r="S271" s="107"/>
      <c r="T271" s="107"/>
      <c r="U271" s="107"/>
      <c r="V271" s="107"/>
      <c r="W271" s="107"/>
      <c r="X271" s="107"/>
      <c r="Y271" s="107"/>
      <c r="Z271" s="107"/>
      <c r="AA271" s="107"/>
      <c r="AB271" s="107"/>
      <c r="AC271" s="107"/>
      <c r="AD271" s="720"/>
      <c r="AE271" s="720"/>
    </row>
    <row r="272" spans="1:42" outlineLevel="1">
      <c r="A272" s="545">
        <f>MAX($A$10:A271)+1</f>
        <v>263</v>
      </c>
      <c r="B272" s="740"/>
      <c r="C272" s="740"/>
      <c r="D272" s="716"/>
      <c r="E272" s="719">
        <v>376.1</v>
      </c>
      <c r="F272" s="103">
        <f t="shared" si="19"/>
        <v>4194557.184196</v>
      </c>
      <c r="G272" s="557">
        <f>'EOP Depn Exp Adj'!D23</f>
        <v>3.56E-2</v>
      </c>
      <c r="H272" s="711">
        <f t="shared" si="21"/>
        <v>149326.23575737761</v>
      </c>
      <c r="I272" s="1"/>
      <c r="K272" s="103">
        <f t="shared" si="20"/>
        <v>1149642.93</v>
      </c>
      <c r="L272" s="72">
        <f t="shared" si="23"/>
        <v>3.56E-2</v>
      </c>
      <c r="M272" s="184">
        <f t="shared" si="22"/>
        <v>40927.288307999996</v>
      </c>
      <c r="P272" s="107"/>
      <c r="Q272" s="107"/>
      <c r="R272" s="107"/>
      <c r="S272" s="107"/>
      <c r="T272" s="107"/>
      <c r="U272" s="107"/>
      <c r="V272" s="107"/>
      <c r="W272" s="107"/>
      <c r="X272" s="107"/>
      <c r="Y272" s="107"/>
      <c r="Z272" s="107"/>
      <c r="AA272" s="107"/>
      <c r="AB272" s="107"/>
      <c r="AC272" s="107"/>
      <c r="AD272" s="720"/>
      <c r="AE272" s="720"/>
    </row>
    <row r="273" spans="1:34" outlineLevel="1">
      <c r="A273" s="545">
        <f>MAX($A$10:A272)+1</f>
        <v>264</v>
      </c>
      <c r="B273" s="740"/>
      <c r="C273" s="740"/>
      <c r="D273" s="716"/>
      <c r="E273" s="719">
        <v>376.2</v>
      </c>
      <c r="F273" s="103">
        <f t="shared" si="19"/>
        <v>66564556.859277003</v>
      </c>
      <c r="G273" s="557">
        <f>'EOP Depn Exp Adj'!D21</f>
        <v>1.52E-2</v>
      </c>
      <c r="H273" s="711">
        <f t="shared" si="21"/>
        <v>1011781.2642610105</v>
      </c>
      <c r="I273" s="1"/>
      <c r="K273" s="103">
        <f t="shared" si="20"/>
        <v>30360434.600635994</v>
      </c>
      <c r="L273" s="72">
        <f t="shared" si="23"/>
        <v>1.52E-2</v>
      </c>
      <c r="M273" s="184">
        <f t="shared" si="22"/>
        <v>461478.60592966713</v>
      </c>
      <c r="P273" s="107"/>
      <c r="Q273" s="107"/>
      <c r="R273" s="107"/>
      <c r="S273" s="107"/>
      <c r="T273" s="107"/>
      <c r="U273" s="107"/>
      <c r="V273" s="107"/>
      <c r="W273" s="107"/>
      <c r="X273" s="107"/>
      <c r="Y273" s="107"/>
      <c r="Z273" s="107"/>
      <c r="AA273" s="107"/>
      <c r="AB273" s="107"/>
      <c r="AC273" s="107"/>
      <c r="AD273" s="720"/>
      <c r="AE273" s="720"/>
    </row>
    <row r="274" spans="1:34" outlineLevel="1">
      <c r="A274" s="545">
        <f>MAX($A$10:A273)+1</f>
        <v>265</v>
      </c>
      <c r="B274" s="740"/>
      <c r="C274" s="740"/>
      <c r="D274" s="716"/>
      <c r="E274" s="719">
        <v>376.3</v>
      </c>
      <c r="F274" s="103">
        <f t="shared" si="19"/>
        <v>18072234.839205001</v>
      </c>
      <c r="G274" s="557">
        <f>'EOP Depn Exp Adj'!D22</f>
        <v>2.81E-2</v>
      </c>
      <c r="H274" s="711">
        <f t="shared" si="21"/>
        <v>507829.79898166051</v>
      </c>
      <c r="I274" s="1"/>
      <c r="K274" s="103">
        <f t="shared" si="20"/>
        <v>15876129.168017998</v>
      </c>
      <c r="L274" s="72">
        <f t="shared" si="23"/>
        <v>2.81E-2</v>
      </c>
      <c r="M274" s="184">
        <f t="shared" si="22"/>
        <v>446119.22962130577</v>
      </c>
      <c r="P274" s="107"/>
      <c r="Q274" s="107"/>
      <c r="R274" s="107"/>
      <c r="S274" s="107"/>
      <c r="T274" s="107"/>
      <c r="U274" s="107"/>
      <c r="V274" s="107"/>
      <c r="W274" s="107"/>
      <c r="X274" s="107"/>
      <c r="Y274" s="107"/>
      <c r="Z274" s="107"/>
      <c r="AA274" s="107"/>
      <c r="AB274" s="107"/>
      <c r="AC274" s="107"/>
      <c r="AD274" s="720"/>
      <c r="AE274" s="720"/>
    </row>
    <row r="275" spans="1:34" outlineLevel="1">
      <c r="A275" s="545">
        <f>MAX($A$10:A274)+1</f>
        <v>266</v>
      </c>
      <c r="B275" s="740"/>
      <c r="C275" s="740"/>
      <c r="D275" s="716"/>
      <c r="E275" s="739">
        <v>377</v>
      </c>
      <c r="F275" s="103">
        <f t="shared" si="19"/>
        <v>251442.65999999997</v>
      </c>
      <c r="G275" s="557">
        <f>'EOP Depn Exp Adj'!D24</f>
        <v>1.72E-2</v>
      </c>
      <c r="H275" s="711">
        <f t="shared" si="21"/>
        <v>4324.8137519999991</v>
      </c>
      <c r="I275" s="1"/>
      <c r="K275" s="103">
        <f t="shared" si="20"/>
        <v>0</v>
      </c>
      <c r="L275" s="72">
        <f t="shared" si="23"/>
        <v>1.72E-2</v>
      </c>
      <c r="M275" s="184">
        <f t="shared" si="22"/>
        <v>0</v>
      </c>
      <c r="P275" s="107"/>
      <c r="Q275" s="107"/>
      <c r="R275" s="107"/>
      <c r="S275" s="107"/>
      <c r="T275" s="107"/>
      <c r="U275" s="107"/>
      <c r="V275" s="107"/>
      <c r="W275" s="107"/>
      <c r="X275" s="107"/>
      <c r="Y275" s="107"/>
      <c r="Z275" s="107"/>
      <c r="AA275" s="107"/>
      <c r="AB275" s="107"/>
      <c r="AC275" s="107"/>
      <c r="AD275" s="720"/>
      <c r="AE275" s="720"/>
    </row>
    <row r="276" spans="1:34" outlineLevel="1">
      <c r="A276" s="545">
        <f>MAX($A$10:A275)+1</f>
        <v>267</v>
      </c>
      <c r="B276" s="740"/>
      <c r="C276" s="740"/>
      <c r="D276" s="716"/>
      <c r="E276" s="739">
        <v>378</v>
      </c>
      <c r="F276" s="103">
        <f t="shared" si="19"/>
        <v>10154108.179133</v>
      </c>
      <c r="G276" s="557">
        <f>'EOP Depn Exp Adj'!D25</f>
        <v>1.9699999999999999E-2</v>
      </c>
      <c r="H276" s="711">
        <f t="shared" si="21"/>
        <v>200035.93112892009</v>
      </c>
      <c r="I276" s="1"/>
      <c r="K276" s="103">
        <f t="shared" si="20"/>
        <v>2887638.3552899999</v>
      </c>
      <c r="L276" s="72">
        <f t="shared" si="23"/>
        <v>1.9699999999999999E-2</v>
      </c>
      <c r="M276" s="184">
        <f t="shared" si="22"/>
        <v>56886.475599212994</v>
      </c>
      <c r="P276" s="107"/>
      <c r="Q276" s="107"/>
      <c r="R276" s="107"/>
      <c r="S276" s="107"/>
      <c r="T276" s="107"/>
      <c r="U276" s="107"/>
      <c r="V276" s="107"/>
      <c r="W276" s="107"/>
      <c r="X276" s="107"/>
      <c r="Y276" s="107"/>
      <c r="Z276" s="107"/>
      <c r="AA276" s="107"/>
      <c r="AB276" s="107"/>
      <c r="AC276" s="107"/>
      <c r="AD276" s="720"/>
      <c r="AE276" s="720"/>
    </row>
    <row r="277" spans="1:34" outlineLevel="1">
      <c r="A277" s="545">
        <f>MAX($A$10:A276)+1</f>
        <v>268</v>
      </c>
      <c r="B277" s="740"/>
      <c r="C277" s="740"/>
      <c r="D277" s="716"/>
      <c r="E277" s="739">
        <v>379</v>
      </c>
      <c r="F277" s="103">
        <f t="shared" si="19"/>
        <v>62519.42635400001</v>
      </c>
      <c r="G277" s="557">
        <v>1.9699999999999999E-2</v>
      </c>
      <c r="H277" s="711">
        <f t="shared" si="21"/>
        <v>1231.6326991738001</v>
      </c>
      <c r="I277" s="1"/>
      <c r="K277" s="103">
        <f t="shared" si="20"/>
        <v>2531049.7000000002</v>
      </c>
      <c r="L277" s="72">
        <f t="shared" si="23"/>
        <v>1.9699999999999999E-2</v>
      </c>
      <c r="M277" s="184">
        <f t="shared" si="22"/>
        <v>49861.679089999998</v>
      </c>
      <c r="P277" s="107"/>
      <c r="Q277" s="107"/>
      <c r="R277" s="107"/>
      <c r="S277" s="107"/>
      <c r="T277" s="107"/>
      <c r="U277" s="107"/>
      <c r="V277" s="107"/>
      <c r="W277" s="107"/>
      <c r="X277" s="107"/>
      <c r="Y277" s="107"/>
      <c r="Z277" s="107"/>
      <c r="AA277" s="107"/>
      <c r="AB277" s="107"/>
      <c r="AC277" s="107"/>
      <c r="AD277" s="720"/>
      <c r="AE277" s="720"/>
    </row>
    <row r="278" spans="1:34" outlineLevel="1">
      <c r="A278" s="545">
        <f>MAX($A$10:A277)+1</f>
        <v>269</v>
      </c>
      <c r="B278" s="740"/>
      <c r="C278" s="740"/>
      <c r="D278" s="716"/>
      <c r="E278" s="719">
        <v>380.1</v>
      </c>
      <c r="F278" s="103">
        <f t="shared" si="19"/>
        <v>0</v>
      </c>
      <c r="G278" s="557">
        <f>'EOP Depn Exp Adj'!D28</f>
        <v>3.4700000000000002E-2</v>
      </c>
      <c r="H278" s="711">
        <f t="shared" si="21"/>
        <v>0</v>
      </c>
      <c r="I278" s="1"/>
      <c r="K278" s="103">
        <f t="shared" si="20"/>
        <v>0</v>
      </c>
      <c r="L278" s="72">
        <f t="shared" si="23"/>
        <v>3.4700000000000002E-2</v>
      </c>
      <c r="M278" s="184">
        <f t="shared" si="22"/>
        <v>0</v>
      </c>
      <c r="P278" s="107"/>
      <c r="Q278" s="107"/>
      <c r="R278" s="107"/>
      <c r="S278" s="107"/>
      <c r="T278" s="107"/>
      <c r="U278" s="107"/>
      <c r="V278" s="107"/>
      <c r="W278" s="107"/>
      <c r="X278" s="107"/>
      <c r="Y278" s="107"/>
      <c r="Z278" s="107"/>
      <c r="AA278" s="107"/>
      <c r="AB278" s="107"/>
      <c r="AC278" s="107"/>
      <c r="AD278" s="720"/>
      <c r="AE278" s="720"/>
    </row>
    <row r="279" spans="1:34" outlineLevel="1">
      <c r="A279" s="545">
        <f>MAX($A$10:A278)+1</f>
        <v>270</v>
      </c>
      <c r="B279" s="716"/>
      <c r="C279" s="716"/>
      <c r="D279" s="716"/>
      <c r="E279" s="2">
        <v>380.3</v>
      </c>
      <c r="F279" s="103">
        <f t="shared" si="19"/>
        <v>12693105.081136003</v>
      </c>
      <c r="G279" s="557">
        <f>'EOP Depn Exp Adj'!D27</f>
        <v>3.3599999999999998E-2</v>
      </c>
      <c r="H279" s="711">
        <f t="shared" si="21"/>
        <v>426488.33072616969</v>
      </c>
      <c r="I279" s="1"/>
      <c r="K279" s="103">
        <f t="shared" si="20"/>
        <v>13655559.353408001</v>
      </c>
      <c r="L279" s="72">
        <f t="shared" si="23"/>
        <v>3.3599999999999998E-2</v>
      </c>
      <c r="M279" s="184">
        <f t="shared" si="22"/>
        <v>458826.79427450884</v>
      </c>
      <c r="P279" s="107"/>
      <c r="Q279" s="107"/>
      <c r="R279" s="107"/>
      <c r="S279" s="107"/>
      <c r="T279" s="107"/>
      <c r="U279" s="107"/>
      <c r="V279" s="107"/>
      <c r="W279" s="107"/>
      <c r="X279" s="107"/>
      <c r="Y279" s="107"/>
      <c r="Z279" s="107"/>
      <c r="AA279" s="107"/>
      <c r="AB279" s="107"/>
      <c r="AC279" s="107"/>
      <c r="AD279" s="720"/>
      <c r="AE279" s="720"/>
    </row>
    <row r="280" spans="1:34" outlineLevel="1">
      <c r="A280" s="545">
        <f>MAX($A$10:A279)+1</f>
        <v>271</v>
      </c>
      <c r="B280" s="716"/>
      <c r="C280" s="716"/>
      <c r="D280" s="716"/>
      <c r="E280" s="739">
        <v>381</v>
      </c>
      <c r="F280" s="103">
        <f t="shared" si="19"/>
        <v>5937987.0246250005</v>
      </c>
      <c r="G280" s="557">
        <f>'EOP Depn Exp Adj'!D30</f>
        <v>2.6100000000000002E-2</v>
      </c>
      <c r="H280" s="711">
        <f t="shared" si="21"/>
        <v>154981.46134271252</v>
      </c>
      <c r="I280" s="1"/>
      <c r="K280" s="103">
        <f t="shared" si="20"/>
        <v>6106833.2000000002</v>
      </c>
      <c r="L280" s="72">
        <f t="shared" si="23"/>
        <v>2.6100000000000002E-2</v>
      </c>
      <c r="M280" s="184">
        <f t="shared" si="22"/>
        <v>159388.34652000002</v>
      </c>
      <c r="P280" s="107"/>
      <c r="Q280" s="107"/>
      <c r="R280" s="107"/>
      <c r="S280" s="107"/>
      <c r="T280" s="107"/>
      <c r="U280" s="107"/>
      <c r="V280" s="107"/>
      <c r="W280" s="107"/>
      <c r="X280" s="107"/>
      <c r="Y280" s="107"/>
      <c r="Z280" s="107"/>
      <c r="AA280" s="107"/>
      <c r="AB280" s="107"/>
      <c r="AC280" s="107"/>
      <c r="AD280" s="720"/>
      <c r="AE280" s="720"/>
    </row>
    <row r="281" spans="1:34" outlineLevel="1">
      <c r="A281" s="545">
        <f>MAX($A$10:A280)+1</f>
        <v>272</v>
      </c>
      <c r="B281" s="716"/>
      <c r="C281" s="716"/>
      <c r="D281" s="716"/>
      <c r="E281" s="739">
        <v>383</v>
      </c>
      <c r="F281" s="103">
        <f t="shared" si="19"/>
        <v>547264.69999999995</v>
      </c>
      <c r="G281" s="557">
        <f>'EOP Depn Exp Adj'!D31</f>
        <v>2.1600000000000001E-2</v>
      </c>
      <c r="H281" s="711">
        <f t="shared" si="21"/>
        <v>11820.917519999999</v>
      </c>
      <c r="I281" s="1"/>
      <c r="K281" s="103">
        <f t="shared" si="20"/>
        <v>562922.22</v>
      </c>
      <c r="L281" s="72">
        <f t="shared" si="23"/>
        <v>2.1600000000000001E-2</v>
      </c>
      <c r="M281" s="184">
        <f t="shared" si="22"/>
        <v>12159.119952000001</v>
      </c>
      <c r="P281" s="107"/>
      <c r="Q281" s="107"/>
      <c r="R281" s="107"/>
      <c r="S281" s="107"/>
      <c r="T281" s="107"/>
      <c r="U281" s="107"/>
      <c r="V281" s="107"/>
      <c r="W281" s="107"/>
      <c r="X281" s="107"/>
      <c r="Y281" s="107"/>
      <c r="Z281" s="107"/>
      <c r="AA281" s="107"/>
      <c r="AB281" s="107"/>
      <c r="AC281" s="107"/>
      <c r="AD281" s="720"/>
      <c r="AE281" s="720"/>
    </row>
    <row r="282" spans="1:34" outlineLevel="1">
      <c r="A282" s="545">
        <f>MAX($A$10:A281)+1</f>
        <v>273</v>
      </c>
      <c r="B282" s="716"/>
      <c r="C282" s="716"/>
      <c r="D282" s="716"/>
      <c r="E282" s="739">
        <v>385</v>
      </c>
      <c r="F282" s="103">
        <f t="shared" si="19"/>
        <v>521663.15509999997</v>
      </c>
      <c r="G282" s="557">
        <f>'EOP Depn Exp Adj'!D32</f>
        <v>1.7000000000000001E-2</v>
      </c>
      <c r="H282" s="711">
        <f t="shared" si="21"/>
        <v>8868.2736366999998</v>
      </c>
      <c r="I282" s="1"/>
      <c r="K282" s="103">
        <f t="shared" si="20"/>
        <v>124049.75029200004</v>
      </c>
      <c r="L282" s="72">
        <f t="shared" si="23"/>
        <v>1.7000000000000001E-2</v>
      </c>
      <c r="M282" s="184">
        <f t="shared" si="22"/>
        <v>2108.8457549640007</v>
      </c>
      <c r="P282" s="107"/>
      <c r="Q282" s="107"/>
      <c r="R282" s="107"/>
      <c r="S282" s="107"/>
      <c r="T282" s="107"/>
      <c r="U282" s="107"/>
      <c r="V282" s="107"/>
      <c r="W282" s="107"/>
      <c r="X282" s="107"/>
      <c r="Y282" s="107"/>
      <c r="Z282" s="107"/>
      <c r="AA282" s="107"/>
      <c r="AB282" s="107"/>
      <c r="AC282" s="107"/>
      <c r="AD282" s="720"/>
      <c r="AE282" s="720"/>
    </row>
    <row r="283" spans="1:34" outlineLevel="1">
      <c r="A283" s="545">
        <f>MAX($A$10:A282)+1</f>
        <v>274</v>
      </c>
      <c r="B283" s="716"/>
      <c r="C283" s="716"/>
      <c r="D283" s="2"/>
      <c r="E283" s="719">
        <v>390.1</v>
      </c>
      <c r="F283" s="103">
        <f t="shared" si="19"/>
        <v>543949.35173200001</v>
      </c>
      <c r="G283" s="557">
        <f>'EOP Depn Exp Adj'!D35</f>
        <v>1.44E-2</v>
      </c>
      <c r="H283" s="711">
        <f t="shared" si="21"/>
        <v>7832.8706649407995</v>
      </c>
      <c r="I283" s="1"/>
      <c r="K283" s="103">
        <f t="shared" si="20"/>
        <v>0</v>
      </c>
      <c r="L283" s="72">
        <f t="shared" si="23"/>
        <v>1.44E-2</v>
      </c>
      <c r="M283" s="184">
        <f t="shared" si="22"/>
        <v>0</v>
      </c>
      <c r="P283" s="107"/>
      <c r="Q283" s="107"/>
      <c r="R283" s="107"/>
      <c r="S283" s="107"/>
      <c r="T283" s="107"/>
      <c r="U283" s="107"/>
      <c r="V283" s="107"/>
      <c r="W283" s="107"/>
      <c r="X283" s="107"/>
      <c r="Y283" s="107"/>
      <c r="Z283" s="107"/>
      <c r="AA283" s="107"/>
      <c r="AB283" s="107"/>
      <c r="AC283" s="107"/>
      <c r="AD283" s="720"/>
      <c r="AE283" s="720"/>
      <c r="AH283" s="105"/>
    </row>
    <row r="284" spans="1:34" outlineLevel="1">
      <c r="A284" s="545">
        <f>MAX($A$10:A283)+1</f>
        <v>275</v>
      </c>
      <c r="B284" s="716"/>
      <c r="C284" s="716"/>
      <c r="D284" s="2"/>
      <c r="E284" s="719">
        <v>391.2</v>
      </c>
      <c r="F284" s="103">
        <f t="shared" si="19"/>
        <v>0</v>
      </c>
      <c r="G284" s="557">
        <v>0</v>
      </c>
      <c r="H284" s="711">
        <f t="shared" si="21"/>
        <v>0</v>
      </c>
      <c r="I284" s="1"/>
      <c r="K284" s="103">
        <f t="shared" si="20"/>
        <v>0</v>
      </c>
      <c r="L284" s="72">
        <f t="shared" si="23"/>
        <v>0</v>
      </c>
      <c r="M284" s="184">
        <f t="shared" si="22"/>
        <v>0</v>
      </c>
      <c r="P284" s="107"/>
      <c r="Q284" s="107"/>
      <c r="R284" s="107"/>
      <c r="S284" s="107"/>
      <c r="T284" s="107"/>
      <c r="U284" s="107"/>
      <c r="V284" s="107"/>
      <c r="W284" s="107"/>
      <c r="X284" s="107"/>
      <c r="Y284" s="107"/>
      <c r="Z284" s="107"/>
      <c r="AA284" s="107"/>
      <c r="AB284" s="107"/>
      <c r="AC284" s="107"/>
      <c r="AD284" s="720"/>
      <c r="AE284" s="720"/>
      <c r="AH284" s="105"/>
    </row>
    <row r="285" spans="1:34" outlineLevel="1">
      <c r="A285" s="545">
        <f>MAX($A$10:A284)+1</f>
        <v>276</v>
      </c>
      <c r="B285" s="716"/>
      <c r="C285" s="716"/>
      <c r="D285" s="2"/>
      <c r="E285" s="719">
        <v>391.3</v>
      </c>
      <c r="F285" s="103">
        <f t="shared" si="19"/>
        <v>447400.15949581465</v>
      </c>
      <c r="G285" s="557">
        <f>'EOP Depn Exp Adj'!D36</f>
        <v>0.44019999999999998</v>
      </c>
      <c r="H285" s="711">
        <f t="shared" si="21"/>
        <v>196945.55021005761</v>
      </c>
      <c r="I285" s="1"/>
      <c r="K285" s="103">
        <f t="shared" si="20"/>
        <v>238306.31219999999</v>
      </c>
      <c r="L285" s="72">
        <f t="shared" si="23"/>
        <v>0.44019999999999998</v>
      </c>
      <c r="M285" s="184">
        <f t="shared" si="22"/>
        <v>104902.43863044</v>
      </c>
      <c r="P285" s="107"/>
      <c r="Q285" s="107"/>
      <c r="R285" s="107"/>
      <c r="S285" s="107"/>
      <c r="T285" s="107"/>
      <c r="U285" s="107"/>
      <c r="V285" s="107"/>
      <c r="W285" s="107"/>
      <c r="X285" s="107"/>
      <c r="Y285" s="107"/>
      <c r="Z285" s="107"/>
      <c r="AA285" s="107"/>
      <c r="AB285" s="107"/>
      <c r="AC285" s="107"/>
      <c r="AD285" s="720"/>
      <c r="AE285" s="720"/>
      <c r="AH285" s="105"/>
    </row>
    <row r="286" spans="1:34" outlineLevel="1">
      <c r="A286" s="545">
        <f>MAX($A$10:A285)+1</f>
        <v>277</v>
      </c>
      <c r="B286" s="716"/>
      <c r="C286" s="716"/>
      <c r="D286" s="2"/>
      <c r="E286" s="719">
        <v>391.4</v>
      </c>
      <c r="F286" s="103">
        <f t="shared" si="19"/>
        <v>0</v>
      </c>
      <c r="G286" s="557">
        <f>'EOP Depn Exp Adj'!D37</f>
        <v>0.26369999999999999</v>
      </c>
      <c r="H286" s="711">
        <f t="shared" si="21"/>
        <v>0</v>
      </c>
      <c r="I286" s="1"/>
      <c r="K286" s="103">
        <f t="shared" si="20"/>
        <v>0</v>
      </c>
      <c r="L286" s="72">
        <f t="shared" si="23"/>
        <v>0.26369999999999999</v>
      </c>
      <c r="M286" s="184">
        <f t="shared" si="22"/>
        <v>0</v>
      </c>
      <c r="P286" s="107"/>
      <c r="Q286" s="107"/>
      <c r="R286" s="107"/>
      <c r="S286" s="107"/>
      <c r="T286" s="107"/>
      <c r="U286" s="107"/>
      <c r="V286" s="107"/>
      <c r="W286" s="107"/>
      <c r="X286" s="107"/>
      <c r="Y286" s="107"/>
      <c r="Z286" s="107"/>
      <c r="AA286" s="107"/>
      <c r="AB286" s="107"/>
      <c r="AC286" s="107"/>
      <c r="AD286" s="720"/>
      <c r="AE286" s="720"/>
      <c r="AH286" s="105"/>
    </row>
    <row r="287" spans="1:34" outlineLevel="1">
      <c r="A287" s="545">
        <f>MAX($A$10:A286)+1</f>
        <v>278</v>
      </c>
      <c r="B287" s="716"/>
      <c r="C287" s="716"/>
      <c r="D287" s="2"/>
      <c r="E287" s="719">
        <v>391.5</v>
      </c>
      <c r="F287" s="103">
        <f t="shared" si="19"/>
        <v>97895.851235000009</v>
      </c>
      <c r="G287" s="557">
        <f>'EOP Depn Exp Adj'!D38</f>
        <v>0.19</v>
      </c>
      <c r="H287" s="711">
        <f t="shared" si="21"/>
        <v>18600.211734650002</v>
      </c>
      <c r="I287" s="1"/>
      <c r="K287" s="103">
        <f t="shared" si="20"/>
        <v>148276.99154800002</v>
      </c>
      <c r="L287" s="72">
        <f t="shared" si="23"/>
        <v>0.19</v>
      </c>
      <c r="M287" s="184">
        <f t="shared" si="22"/>
        <v>28172.628394120005</v>
      </c>
      <c r="P287" s="107"/>
      <c r="Q287" s="107"/>
      <c r="R287" s="107"/>
      <c r="S287" s="107"/>
      <c r="T287" s="107"/>
      <c r="U287" s="107"/>
      <c r="V287" s="107"/>
      <c r="W287" s="107"/>
      <c r="X287" s="107"/>
      <c r="Y287" s="107"/>
      <c r="Z287" s="107"/>
      <c r="AA287" s="107"/>
      <c r="AB287" s="107"/>
      <c r="AC287" s="107"/>
      <c r="AD287" s="720"/>
      <c r="AE287" s="720"/>
      <c r="AH287" s="105"/>
    </row>
    <row r="288" spans="1:34" outlineLevel="1">
      <c r="A288" s="545">
        <f>MAX($A$10:A287)+1</f>
        <v>279</v>
      </c>
      <c r="B288" s="716"/>
      <c r="C288" s="716"/>
      <c r="D288" s="2"/>
      <c r="E288" s="719">
        <v>392.1</v>
      </c>
      <c r="F288" s="103">
        <f t="shared" si="19"/>
        <v>0</v>
      </c>
      <c r="G288" s="557">
        <f>'EOP Depn Exp Adj'!D40</f>
        <v>2.69E-2</v>
      </c>
      <c r="H288" s="711">
        <f t="shared" si="21"/>
        <v>0</v>
      </c>
      <c r="I288" s="1" t="s">
        <v>2252</v>
      </c>
      <c r="K288" s="103">
        <f t="shared" si="20"/>
        <v>0</v>
      </c>
      <c r="L288" s="72">
        <f t="shared" si="23"/>
        <v>2.69E-2</v>
      </c>
      <c r="M288" s="184">
        <f t="shared" si="22"/>
        <v>0</v>
      </c>
      <c r="N288" s="1" t="s">
        <v>2252</v>
      </c>
      <c r="P288" s="107"/>
      <c r="Q288" s="107"/>
      <c r="R288" s="107"/>
      <c r="S288" s="107"/>
      <c r="T288" s="107"/>
      <c r="U288" s="107"/>
      <c r="V288" s="107"/>
      <c r="W288" s="107"/>
      <c r="X288" s="107"/>
      <c r="Y288" s="107"/>
      <c r="Z288" s="107"/>
      <c r="AA288" s="107"/>
      <c r="AB288" s="107"/>
      <c r="AC288" s="107"/>
      <c r="AD288" s="720"/>
      <c r="AE288" s="720"/>
      <c r="AH288" s="105"/>
    </row>
    <row r="289" spans="1:35" outlineLevel="1">
      <c r="A289" s="545">
        <f>MAX($A$10:A288)+1</f>
        <v>280</v>
      </c>
      <c r="B289" s="716"/>
      <c r="C289" s="716"/>
      <c r="D289" s="2"/>
      <c r="E289" s="719">
        <v>392.2</v>
      </c>
      <c r="F289" s="103">
        <f t="shared" si="19"/>
        <v>1060664.9308400003</v>
      </c>
      <c r="G289" s="557">
        <f>'EOP Depn Exp Adj'!D41</f>
        <v>5.8900000000000001E-2</v>
      </c>
      <c r="H289" s="711">
        <f t="shared" si="21"/>
        <v>62473.164426476018</v>
      </c>
      <c r="I289" s="1" t="s">
        <v>2252</v>
      </c>
      <c r="K289" s="103">
        <f t="shared" si="20"/>
        <v>769996.95369600004</v>
      </c>
      <c r="L289" s="72">
        <f t="shared" si="23"/>
        <v>5.8900000000000001E-2</v>
      </c>
      <c r="M289" s="184">
        <f t="shared" si="22"/>
        <v>45352.8205726944</v>
      </c>
      <c r="N289" s="1" t="s">
        <v>2252</v>
      </c>
      <c r="P289" s="107"/>
      <c r="Q289" s="107"/>
      <c r="R289" s="107"/>
      <c r="S289" s="107"/>
      <c r="T289" s="107"/>
      <c r="U289" s="107"/>
      <c r="V289" s="107"/>
      <c r="W289" s="107"/>
      <c r="X289" s="107"/>
      <c r="Y289" s="107"/>
      <c r="Z289" s="107"/>
      <c r="AA289" s="107"/>
      <c r="AB289" s="107"/>
      <c r="AC289" s="107"/>
      <c r="AD289" s="720"/>
      <c r="AE289" s="720"/>
      <c r="AH289" s="105"/>
    </row>
    <row r="290" spans="1:35" outlineLevel="1">
      <c r="A290" s="545">
        <f>MAX($A$10:A289)+1</f>
        <v>281</v>
      </c>
      <c r="B290" s="716"/>
      <c r="C290" s="716"/>
      <c r="D290" s="2"/>
      <c r="E290" s="719">
        <v>393</v>
      </c>
      <c r="F290" s="103">
        <f t="shared" si="19"/>
        <v>0</v>
      </c>
      <c r="G290" s="557">
        <f>'EOP Depn Exp Adj'!D42</f>
        <v>8.4000000000000005E-2</v>
      </c>
      <c r="H290" s="711">
        <f t="shared" si="21"/>
        <v>0</v>
      </c>
      <c r="I290" s="1"/>
      <c r="K290" s="103">
        <f t="shared" si="20"/>
        <v>0</v>
      </c>
      <c r="L290" s="72">
        <f t="shared" si="23"/>
        <v>8.4000000000000005E-2</v>
      </c>
      <c r="M290" s="184">
        <f t="shared" si="22"/>
        <v>0</v>
      </c>
      <c r="P290" s="107"/>
      <c r="Q290" s="107"/>
      <c r="R290" s="107"/>
      <c r="S290" s="107"/>
      <c r="T290" s="107"/>
      <c r="U290" s="107"/>
      <c r="V290" s="107"/>
      <c r="W290" s="107"/>
      <c r="X290" s="107"/>
      <c r="Y290" s="107"/>
      <c r="Z290" s="107"/>
      <c r="AA290" s="107"/>
      <c r="AB290" s="107"/>
      <c r="AC290" s="107"/>
      <c r="AD290" s="720"/>
      <c r="AE290" s="720"/>
      <c r="AH290" s="105"/>
    </row>
    <row r="291" spans="1:35" outlineLevel="1">
      <c r="A291" s="545">
        <f>MAX($A$10:A290)+1</f>
        <v>282</v>
      </c>
      <c r="B291" s="716"/>
      <c r="C291" s="716"/>
      <c r="D291" s="2"/>
      <c r="E291" s="719">
        <v>394.1</v>
      </c>
      <c r="F291" s="103">
        <f t="shared" si="19"/>
        <v>2209605.8490629997</v>
      </c>
      <c r="G291" s="557">
        <f>'EOP Depn Exp Adj'!D43</f>
        <v>0.1066</v>
      </c>
      <c r="H291" s="711">
        <f t="shared" si="21"/>
        <v>235543.98351011577</v>
      </c>
      <c r="I291" s="1"/>
      <c r="K291" s="103">
        <f t="shared" si="20"/>
        <v>2179271.1579999998</v>
      </c>
      <c r="L291" s="72">
        <f t="shared" si="23"/>
        <v>0.1066</v>
      </c>
      <c r="M291" s="184">
        <f t="shared" si="22"/>
        <v>232310.30544279999</v>
      </c>
      <c r="P291" s="107"/>
      <c r="Q291" s="107"/>
      <c r="R291" s="107"/>
      <c r="S291" s="107"/>
      <c r="T291" s="107"/>
      <c r="U291" s="107"/>
      <c r="V291" s="107"/>
      <c r="W291" s="107"/>
      <c r="X291" s="107"/>
      <c r="Y291" s="107"/>
      <c r="Z291" s="107"/>
      <c r="AA291" s="107"/>
      <c r="AB291" s="107"/>
      <c r="AC291" s="107"/>
      <c r="AD291" s="720"/>
      <c r="AE291" s="720"/>
      <c r="AH291" s="105"/>
    </row>
    <row r="292" spans="1:35" outlineLevel="1">
      <c r="A292" s="545">
        <f>MAX($A$10:A291)+1</f>
        <v>283</v>
      </c>
      <c r="B292" s="716"/>
      <c r="C292" s="716"/>
      <c r="D292" s="716"/>
      <c r="E292" s="719">
        <v>394.2</v>
      </c>
      <c r="F292" s="103">
        <f t="shared" si="19"/>
        <v>0</v>
      </c>
      <c r="G292" s="557">
        <f>'EOP Depn Exp Adj'!D44</f>
        <v>1.52E-2</v>
      </c>
      <c r="H292" s="711">
        <f t="shared" si="21"/>
        <v>0</v>
      </c>
      <c r="I292" s="1"/>
      <c r="K292" s="103">
        <f t="shared" si="20"/>
        <v>0</v>
      </c>
      <c r="L292" s="72">
        <f t="shared" si="23"/>
        <v>1.52E-2</v>
      </c>
      <c r="M292" s="184">
        <f t="shared" si="22"/>
        <v>0</v>
      </c>
      <c r="P292" s="107"/>
      <c r="Q292" s="107"/>
      <c r="R292" s="107"/>
      <c r="S292" s="107"/>
      <c r="T292" s="107"/>
      <c r="U292" s="107"/>
      <c r="V292" s="107"/>
      <c r="W292" s="107"/>
      <c r="X292" s="107"/>
      <c r="Y292" s="107"/>
      <c r="Z292" s="107"/>
      <c r="AA292" s="107"/>
      <c r="AB292" s="107"/>
      <c r="AC292" s="107"/>
      <c r="AD292" s="720"/>
      <c r="AE292" s="720"/>
      <c r="AH292" s="105"/>
    </row>
    <row r="293" spans="1:35" outlineLevel="1">
      <c r="A293" s="545">
        <f>MAX($A$10:A292)+1</f>
        <v>284</v>
      </c>
      <c r="B293" s="716"/>
      <c r="C293" s="716"/>
      <c r="D293" s="716"/>
      <c r="E293" s="719">
        <v>395</v>
      </c>
      <c r="F293" s="103">
        <f t="shared" si="19"/>
        <v>0</v>
      </c>
      <c r="G293" s="557">
        <f>'EOP Depn Exp Adj'!D45</f>
        <v>0.14549999999999999</v>
      </c>
      <c r="H293" s="711">
        <f t="shared" si="21"/>
        <v>0</v>
      </c>
      <c r="I293" s="1"/>
      <c r="K293" s="103">
        <f t="shared" si="20"/>
        <v>0</v>
      </c>
      <c r="L293" s="72">
        <f t="shared" si="23"/>
        <v>0.14549999999999999</v>
      </c>
      <c r="M293" s="184">
        <f t="shared" si="22"/>
        <v>0</v>
      </c>
      <c r="P293" s="107"/>
      <c r="Q293" s="107"/>
      <c r="R293" s="107"/>
      <c r="S293" s="107"/>
      <c r="T293" s="107"/>
      <c r="U293" s="107"/>
      <c r="V293" s="107"/>
      <c r="W293" s="107"/>
      <c r="X293" s="107"/>
      <c r="Y293" s="107"/>
      <c r="Z293" s="107"/>
      <c r="AA293" s="107"/>
      <c r="AB293" s="107"/>
      <c r="AC293" s="107"/>
      <c r="AD293" s="720"/>
      <c r="AE293" s="720"/>
      <c r="AH293" s="105"/>
    </row>
    <row r="294" spans="1:35" outlineLevel="1">
      <c r="A294" s="545">
        <f>MAX($A$10:A293)+1</f>
        <v>285</v>
      </c>
      <c r="B294" s="716"/>
      <c r="C294" s="716"/>
      <c r="D294" s="716"/>
      <c r="E294" s="719">
        <v>396.1</v>
      </c>
      <c r="F294" s="103">
        <f t="shared" si="19"/>
        <v>0</v>
      </c>
      <c r="G294" s="557">
        <f>'EOP Depn Exp Adj'!D47</f>
        <v>2.6100000000000002E-2</v>
      </c>
      <c r="H294" s="711">
        <f t="shared" si="21"/>
        <v>0</v>
      </c>
      <c r="I294" s="1" t="s">
        <v>2252</v>
      </c>
      <c r="K294" s="103">
        <f t="shared" si="20"/>
        <v>0</v>
      </c>
      <c r="L294" s="72">
        <f t="shared" si="23"/>
        <v>2.6100000000000002E-2</v>
      </c>
      <c r="M294" s="184">
        <f t="shared" si="22"/>
        <v>0</v>
      </c>
      <c r="N294" s="1" t="s">
        <v>2252</v>
      </c>
      <c r="P294" s="107"/>
      <c r="Q294" s="107"/>
      <c r="R294" s="107"/>
      <c r="S294" s="107"/>
      <c r="T294" s="107"/>
      <c r="U294" s="107"/>
      <c r="V294" s="107"/>
      <c r="W294" s="107"/>
      <c r="X294" s="107"/>
      <c r="Y294" s="107"/>
      <c r="Z294" s="107"/>
      <c r="AA294" s="107"/>
      <c r="AB294" s="107"/>
      <c r="AC294" s="107"/>
      <c r="AD294" s="720"/>
      <c r="AE294" s="720"/>
      <c r="AH294" s="105"/>
    </row>
    <row r="295" spans="1:35" outlineLevel="1">
      <c r="A295" s="545">
        <f>MAX($A$10:A294)+1</f>
        <v>286</v>
      </c>
      <c r="B295" s="716"/>
      <c r="C295" s="716"/>
      <c r="D295" s="716"/>
      <c r="E295" s="719">
        <v>396.2</v>
      </c>
      <c r="F295" s="103">
        <f t="shared" si="19"/>
        <v>2463904.4573269999</v>
      </c>
      <c r="G295" s="557">
        <f>'EOP Depn Exp Adj'!D46</f>
        <v>9.6299999999999997E-2</v>
      </c>
      <c r="H295" s="711">
        <f t="shared" si="21"/>
        <v>237273.99924059008</v>
      </c>
      <c r="I295" s="1" t="s">
        <v>2252</v>
      </c>
      <c r="K295" s="103">
        <f t="shared" si="20"/>
        <v>2289180.1058280002</v>
      </c>
      <c r="L295" s="72">
        <f t="shared" si="23"/>
        <v>9.6299999999999997E-2</v>
      </c>
      <c r="M295" s="184">
        <f t="shared" si="22"/>
        <v>220448.0441912364</v>
      </c>
      <c r="N295" s="1" t="s">
        <v>2252</v>
      </c>
      <c r="P295" s="107"/>
      <c r="Q295" s="107"/>
      <c r="R295" s="107"/>
      <c r="S295" s="107"/>
      <c r="T295" s="107"/>
      <c r="U295" s="107"/>
      <c r="V295" s="107"/>
      <c r="W295" s="107"/>
      <c r="X295" s="107"/>
      <c r="Y295" s="107"/>
      <c r="Z295" s="107"/>
      <c r="AA295" s="107"/>
      <c r="AB295" s="107"/>
      <c r="AC295" s="107"/>
      <c r="AD295" s="720"/>
      <c r="AE295" s="720"/>
    </row>
    <row r="296" spans="1:35" outlineLevel="1">
      <c r="A296" s="545">
        <f>MAX($A$10:A295)+1</f>
        <v>287</v>
      </c>
      <c r="B296" s="716"/>
      <c r="C296" s="716"/>
      <c r="D296" s="716"/>
      <c r="E296" s="719">
        <v>397.1</v>
      </c>
      <c r="F296" s="103">
        <f t="shared" si="19"/>
        <v>3741.15</v>
      </c>
      <c r="G296" s="557">
        <f>'EOP Depn Exp Adj'!D48</f>
        <v>5.3499999999999999E-2</v>
      </c>
      <c r="H296" s="711">
        <f t="shared" si="21"/>
        <v>200.15152499999999</v>
      </c>
      <c r="I296" s="1"/>
      <c r="K296" s="103">
        <f t="shared" si="20"/>
        <v>0</v>
      </c>
      <c r="L296" s="72">
        <f t="shared" si="23"/>
        <v>5.3499999999999999E-2</v>
      </c>
      <c r="M296" s="184">
        <f t="shared" si="22"/>
        <v>0</v>
      </c>
      <c r="P296" s="107"/>
      <c r="Q296" s="107"/>
      <c r="R296" s="107"/>
      <c r="S296" s="107"/>
      <c r="T296" s="107"/>
      <c r="U296" s="107"/>
      <c r="V296" s="107"/>
      <c r="W296" s="107"/>
      <c r="X296" s="107"/>
      <c r="Y296" s="107"/>
      <c r="Z296" s="107"/>
      <c r="AA296" s="107"/>
      <c r="AB296" s="107"/>
      <c r="AC296" s="107"/>
      <c r="AD296" s="720"/>
      <c r="AE296" s="720"/>
    </row>
    <row r="297" spans="1:35" outlineLevel="1">
      <c r="A297" s="545">
        <f>MAX($A$10:A296)+1</f>
        <v>288</v>
      </c>
      <c r="B297" s="716"/>
      <c r="C297" s="716"/>
      <c r="D297" s="716"/>
      <c r="E297" s="719">
        <v>397.2</v>
      </c>
      <c r="F297" s="103">
        <f t="shared" si="19"/>
        <v>1599028.302283</v>
      </c>
      <c r="G297" s="557">
        <f>'EOP Depn Exp Adj'!D50</f>
        <v>5.5300000000000002E-2</v>
      </c>
      <c r="H297" s="711">
        <f t="shared" si="21"/>
        <v>88426.265116249895</v>
      </c>
      <c r="I297" s="1"/>
      <c r="K297" s="103">
        <f t="shared" si="20"/>
        <v>80099.389720000006</v>
      </c>
      <c r="L297" s="72">
        <f t="shared" si="23"/>
        <v>5.5300000000000002E-2</v>
      </c>
      <c r="M297" s="184">
        <f t="shared" si="22"/>
        <v>4429.4962515160005</v>
      </c>
      <c r="P297" s="107"/>
      <c r="Q297" s="107"/>
      <c r="R297" s="107"/>
      <c r="S297" s="107"/>
      <c r="T297" s="107"/>
      <c r="U297" s="107"/>
      <c r="V297" s="107"/>
      <c r="W297" s="107"/>
      <c r="X297" s="107"/>
      <c r="Y297" s="107"/>
      <c r="Z297" s="107"/>
      <c r="AA297" s="107"/>
      <c r="AB297" s="107"/>
      <c r="AC297" s="107"/>
      <c r="AD297" s="720"/>
      <c r="AE297" s="720"/>
    </row>
    <row r="298" spans="1:35" outlineLevel="1">
      <c r="A298" s="545">
        <f>MAX($A$10:A297)+1</f>
        <v>289</v>
      </c>
      <c r="B298" s="716"/>
      <c r="C298" s="716"/>
      <c r="D298" s="716"/>
      <c r="E298" s="2">
        <v>397.3</v>
      </c>
      <c r="F298" s="103">
        <f t="shared" si="19"/>
        <v>75322.5</v>
      </c>
      <c r="G298" s="557">
        <f>'EOP Depn Exp Adj'!D51</f>
        <v>0.2162</v>
      </c>
      <c r="H298" s="711">
        <f t="shared" si="21"/>
        <v>16284.7245</v>
      </c>
      <c r="I298" s="1"/>
      <c r="K298" s="103">
        <f t="shared" si="20"/>
        <v>0</v>
      </c>
      <c r="L298" s="72">
        <f t="shared" si="23"/>
        <v>0.2162</v>
      </c>
      <c r="M298" s="184">
        <f t="shared" si="22"/>
        <v>0</v>
      </c>
      <c r="P298" s="107"/>
      <c r="Q298" s="107"/>
      <c r="R298" s="107"/>
      <c r="S298" s="107"/>
      <c r="T298" s="107"/>
      <c r="U298" s="107"/>
      <c r="V298" s="107"/>
      <c r="W298" s="107"/>
      <c r="X298" s="107"/>
      <c r="Y298" s="107"/>
      <c r="Z298" s="107"/>
      <c r="AA298" s="107"/>
      <c r="AB298" s="107"/>
      <c r="AC298" s="107"/>
      <c r="AD298" s="720"/>
      <c r="AE298" s="720"/>
    </row>
    <row r="299" spans="1:35" outlineLevel="1">
      <c r="A299" s="545">
        <f>MAX($A$10:A298)+1</f>
        <v>290</v>
      </c>
      <c r="B299" s="716"/>
      <c r="C299" s="716"/>
      <c r="D299" s="716"/>
      <c r="E299" s="2" t="s">
        <v>2253</v>
      </c>
      <c r="F299" s="103">
        <f>F259</f>
        <v>398580.42</v>
      </c>
      <c r="G299" s="557" t="s">
        <v>2251</v>
      </c>
      <c r="H299" s="711">
        <f>F299/58*12</f>
        <v>82464.914482758613</v>
      </c>
      <c r="I299" s="1"/>
      <c r="K299" s="103">
        <f>J259</f>
        <v>0</v>
      </c>
      <c r="L299" s="434" t="s">
        <v>2251</v>
      </c>
      <c r="M299" s="184">
        <v>0</v>
      </c>
      <c r="P299" s="107"/>
      <c r="Q299" s="107"/>
      <c r="R299" s="107"/>
      <c r="S299" s="107"/>
      <c r="T299" s="107"/>
      <c r="U299" s="107"/>
      <c r="V299" s="107"/>
      <c r="W299" s="107"/>
      <c r="X299" s="107"/>
      <c r="Y299" s="107"/>
      <c r="Z299" s="107"/>
      <c r="AA299" s="107"/>
      <c r="AB299" s="107"/>
      <c r="AC299" s="107"/>
      <c r="AD299" s="720"/>
      <c r="AE299" s="720"/>
    </row>
    <row r="300" spans="1:35" outlineLevel="1">
      <c r="A300" s="545">
        <f>MAX($A$10:A299)+1</f>
        <v>291</v>
      </c>
      <c r="B300" s="716"/>
      <c r="C300" s="716"/>
      <c r="D300" s="716"/>
      <c r="E300" s="2">
        <v>397.4</v>
      </c>
      <c r="F300" s="103">
        <f>+SUMIF($E$10:$E$259,E300,$G$10:$G$259)-F299</f>
        <v>0</v>
      </c>
      <c r="G300" s="557">
        <f>'EOP Depn Exp Adj'!D49</f>
        <v>6.9900000000000004E-2</v>
      </c>
      <c r="H300" s="711">
        <f>+F300*G300</f>
        <v>0</v>
      </c>
      <c r="I300" s="1"/>
      <c r="K300" s="103">
        <f>+SUMIF($E$10:$E$259,E300,$J$10:$J$259)-K299</f>
        <v>0</v>
      </c>
      <c r="L300" s="72">
        <f>+G300</f>
        <v>6.9900000000000004E-2</v>
      </c>
      <c r="M300" s="184">
        <f>+K300*L300</f>
        <v>0</v>
      </c>
      <c r="P300" s="107"/>
      <c r="Q300" s="107"/>
      <c r="R300" s="107"/>
      <c r="S300" s="107"/>
      <c r="T300" s="107"/>
      <c r="U300" s="107"/>
      <c r="V300" s="107"/>
      <c r="W300" s="107"/>
      <c r="X300" s="107"/>
      <c r="Y300" s="107"/>
      <c r="Z300" s="107"/>
      <c r="AA300" s="107"/>
      <c r="AB300" s="107"/>
      <c r="AC300" s="107"/>
      <c r="AD300" s="720"/>
      <c r="AE300" s="720"/>
    </row>
    <row r="301" spans="1:35" outlineLevel="1">
      <c r="A301" s="545">
        <f>MAX($A$10:A300)+1</f>
        <v>292</v>
      </c>
      <c r="B301" s="716"/>
      <c r="C301" s="716"/>
      <c r="D301" s="716"/>
      <c r="E301" s="562">
        <v>398</v>
      </c>
      <c r="F301" s="103">
        <f>+SUMIF($E$10:$E$259,E301,$G$10:$G$259)</f>
        <v>2008.6000000000001</v>
      </c>
      <c r="G301" s="558">
        <f>'EOP Depn Exp Adj'!D52</f>
        <v>4.3499999999999997E-2</v>
      </c>
      <c r="H301" s="711">
        <f>+F301*G301</f>
        <v>87.374099999999999</v>
      </c>
      <c r="I301" s="1"/>
      <c r="K301" s="103">
        <f>+SUMIF($E$10:$E$259,E301,$J$10:$J$259)</f>
        <v>4026.4</v>
      </c>
      <c r="L301" s="741">
        <f>+G301</f>
        <v>4.3499999999999997E-2</v>
      </c>
      <c r="M301" s="184">
        <f>+K301*L301</f>
        <v>175.14839999999998</v>
      </c>
      <c r="P301" s="107"/>
      <c r="Q301" s="107"/>
      <c r="R301" s="107"/>
      <c r="S301" s="107"/>
      <c r="T301" s="107"/>
      <c r="U301" s="107"/>
      <c r="V301" s="107"/>
      <c r="W301" s="107"/>
      <c r="X301" s="107"/>
      <c r="Y301" s="107"/>
      <c r="Z301" s="107"/>
      <c r="AA301" s="107"/>
      <c r="AB301" s="107"/>
      <c r="AC301" s="107"/>
      <c r="AD301" s="720"/>
      <c r="AE301" s="720"/>
    </row>
    <row r="302" spans="1:35" outlineLevel="1">
      <c r="A302" s="545">
        <f>MAX($A$10:A301)+1</f>
        <v>293</v>
      </c>
      <c r="B302" s="716"/>
      <c r="C302" s="716"/>
      <c r="D302" s="716"/>
      <c r="E302" s="742" t="s">
        <v>2254</v>
      </c>
      <c r="F302" s="495">
        <f>SUM(F266:F301)</f>
        <v>140193437.58551082</v>
      </c>
      <c r="G302" s="743"/>
      <c r="H302" s="713">
        <f>SUM(H266:H301)</f>
        <v>4215736.2661398482</v>
      </c>
      <c r="I302" s="1"/>
      <c r="K302" s="495">
        <f>SUM(K266:K301)</f>
        <v>107258633.47050501</v>
      </c>
      <c r="L302" s="506"/>
      <c r="M302" s="744">
        <f>SUM(M266:M301)</f>
        <v>4000977.4999324656</v>
      </c>
      <c r="AD302" s="105"/>
      <c r="AE302" s="720"/>
      <c r="AG302" s="105"/>
      <c r="AH302" s="105"/>
    </row>
    <row r="303" spans="1:35" outlineLevel="1">
      <c r="B303" s="716"/>
      <c r="C303" s="716"/>
      <c r="D303" s="716"/>
      <c r="E303" s="561"/>
      <c r="F303" s="103"/>
      <c r="G303" s="103"/>
      <c r="H303" s="103"/>
      <c r="I303" s="718"/>
      <c r="J303" s="103"/>
      <c r="K303" s="103"/>
      <c r="L303" s="103"/>
      <c r="M303" s="716"/>
      <c r="AE303" s="105"/>
      <c r="AF303" s="105"/>
      <c r="AI303" s="105"/>
    </row>
    <row r="304" spans="1:35" outlineLevel="1">
      <c r="B304" s="716"/>
      <c r="C304" s="716"/>
      <c r="D304" s="716"/>
      <c r="E304" s="561"/>
      <c r="F304" s="103"/>
      <c r="G304" s="103"/>
      <c r="H304" s="103"/>
      <c r="I304" s="718"/>
      <c r="J304" s="103"/>
      <c r="K304" s="103"/>
      <c r="L304" s="103"/>
      <c r="M304" s="716"/>
    </row>
    <row r="306" spans="2:5">
      <c r="B306" s="5"/>
    </row>
    <row r="318" spans="2:5">
      <c r="E318"/>
    </row>
    <row r="319" spans="2:5">
      <c r="E319"/>
    </row>
    <row r="320" spans="2:5">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sheetData>
  <mergeCells count="6">
    <mergeCell ref="A5:L5"/>
    <mergeCell ref="A6:L6"/>
    <mergeCell ref="A1:L1"/>
    <mergeCell ref="A3:L3"/>
    <mergeCell ref="A4:L4"/>
    <mergeCell ref="A2:L2"/>
  </mergeCells>
  <dataValidations count="2">
    <dataValidation type="list" allowBlank="1" showInputMessage="1" showErrorMessage="1" sqref="AL11:AL12 AL18:AL21 AL33" xr:uid="{36EECD96-5483-4AFC-B18B-8269868E9C75}">
      <formula1>$AI$8:$AJ$8</formula1>
    </dataValidation>
    <dataValidation type="list" allowBlank="1" showInputMessage="1" showErrorMessage="1" sqref="AF9:AF10" xr:uid="{C282341F-E293-4F34-932A-8EEB9A1B3F99}">
      <formula1>"Yes, No"</formula1>
    </dataValidation>
  </dataValidations>
  <pageMargins left="0.7" right="0.7" top="0.75" bottom="0.75" header="0.3" footer="0.3"/>
  <pageSetup scale="47" fitToHeight="0" orientation="landscape" useFirstPageNumber="1" r:id="rId1"/>
  <headerFooter scaleWithDoc="0" alignWithMargins="0">
    <oddHeader>&amp;RPage &amp;P of &amp;N</oddHeader>
    <oddFooter>&amp;LElectronic Tab Name: &amp;A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C7A8-1CDE-47CB-BFE4-6FE9D1A435D4}">
  <sheetPr codeName="Sheet77"/>
  <dimension ref="A1:I106"/>
  <sheetViews>
    <sheetView view="pageBreakPreview" zoomScale="60" zoomScaleNormal="100" workbookViewId="0">
      <selection activeCell="A19" sqref="A19:A838"/>
    </sheetView>
  </sheetViews>
  <sheetFormatPr defaultColWidth="8.85546875" defaultRowHeight="15"/>
  <cols>
    <col min="2" max="2" width="14.85546875" bestFit="1" customWidth="1"/>
    <col min="3" max="3" width="14.5703125" bestFit="1" customWidth="1"/>
    <col min="4" max="4" width="37.28515625" bestFit="1" customWidth="1"/>
    <col min="5" max="5" width="12.28515625" customWidth="1"/>
    <col min="6" max="6" width="14" style="1" bestFit="1" customWidth="1"/>
    <col min="7" max="7" width="14.140625" style="1" bestFit="1" customWidth="1"/>
    <col min="8" max="8" width="12.140625" bestFit="1" customWidth="1"/>
    <col min="9" max="9" width="14" bestFit="1" customWidth="1"/>
  </cols>
  <sheetData>
    <row r="1" spans="1:9">
      <c r="A1" s="4" t="str">
        <f>Company</f>
        <v>Cascade Natural Gas Corp.</v>
      </c>
      <c r="B1" s="4"/>
      <c r="C1" s="4"/>
    </row>
    <row r="2" spans="1:9">
      <c r="A2" s="4" t="str">
        <f>Title1</f>
        <v>Washington Jurisdiction</v>
      </c>
      <c r="B2" s="4"/>
      <c r="C2" s="4"/>
    </row>
    <row r="3" spans="1:9">
      <c r="A3" s="4" t="str">
        <f>Title2</f>
        <v>Twelve-Months ended December 31, 2023</v>
      </c>
      <c r="B3" s="4"/>
      <c r="C3" s="4"/>
    </row>
    <row r="4" spans="1:9">
      <c r="A4" s="4" t="str">
        <f>Title8</f>
        <v>UG-240008</v>
      </c>
      <c r="B4" s="4"/>
      <c r="C4" s="4"/>
    </row>
    <row r="5" spans="1:9">
      <c r="A5" s="4" t="s">
        <v>711</v>
      </c>
      <c r="B5" s="4"/>
      <c r="C5" s="4"/>
    </row>
    <row r="6" spans="1:9">
      <c r="A6" s="4" t="s">
        <v>710</v>
      </c>
      <c r="B6" s="4"/>
      <c r="C6" s="4"/>
    </row>
    <row r="7" spans="1:9">
      <c r="A7" s="4"/>
      <c r="B7" s="4"/>
      <c r="C7" s="4"/>
    </row>
    <row r="8" spans="1:9" ht="45">
      <c r="A8" s="67" t="s">
        <v>504</v>
      </c>
      <c r="B8" s="725" t="s">
        <v>1739</v>
      </c>
      <c r="C8" s="725" t="s">
        <v>1740</v>
      </c>
      <c r="D8" s="725" t="s">
        <v>1741</v>
      </c>
      <c r="E8" s="104" t="s">
        <v>1742</v>
      </c>
      <c r="F8" s="67" t="s">
        <v>2255</v>
      </c>
      <c r="G8" s="67" t="s">
        <v>2256</v>
      </c>
      <c r="H8" s="476" t="s">
        <v>2257</v>
      </c>
      <c r="I8" s="476" t="s">
        <v>2256</v>
      </c>
    </row>
    <row r="9" spans="1:9">
      <c r="A9" s="67"/>
      <c r="B9" s="725" t="s">
        <v>439</v>
      </c>
      <c r="C9" s="725" t="s">
        <v>208</v>
      </c>
      <c r="D9" s="725" t="s">
        <v>209</v>
      </c>
      <c r="E9" s="104" t="s">
        <v>440</v>
      </c>
      <c r="F9" s="104" t="s">
        <v>442</v>
      </c>
      <c r="G9" s="104" t="s">
        <v>441</v>
      </c>
      <c r="H9" s="104" t="s">
        <v>443</v>
      </c>
      <c r="I9" s="104" t="s">
        <v>441</v>
      </c>
    </row>
    <row r="10" spans="1:9">
      <c r="A10" s="545">
        <v>1</v>
      </c>
      <c r="B10" s="716" t="s">
        <v>1752</v>
      </c>
      <c r="C10" s="875" t="s">
        <v>2258</v>
      </c>
      <c r="D10" s="520" t="s">
        <v>2259</v>
      </c>
      <c r="E10" s="876">
        <v>303</v>
      </c>
      <c r="F10" s="722"/>
      <c r="G10" s="988"/>
      <c r="H10" s="756">
        <v>650000</v>
      </c>
      <c r="I10" s="878">
        <v>45930</v>
      </c>
    </row>
    <row r="11" spans="1:9">
      <c r="A11" s="545">
        <f>MAX($A10:A$10)+1</f>
        <v>2</v>
      </c>
      <c r="B11" s="716" t="s">
        <v>1752</v>
      </c>
      <c r="C11" s="875" t="s">
        <v>2260</v>
      </c>
      <c r="D11" s="520" t="s">
        <v>2261</v>
      </c>
      <c r="E11" s="876">
        <v>303</v>
      </c>
      <c r="F11" s="722"/>
      <c r="G11" s="988"/>
      <c r="H11" s="756">
        <v>250000</v>
      </c>
      <c r="I11" s="878">
        <v>45930</v>
      </c>
    </row>
    <row r="12" spans="1:9">
      <c r="A12" s="545">
        <f>MAX($A$10:A11)+1</f>
        <v>3</v>
      </c>
      <c r="B12" s="716" t="s">
        <v>1799</v>
      </c>
      <c r="C12" s="875" t="s">
        <v>1904</v>
      </c>
      <c r="D12" s="520" t="s">
        <v>1905</v>
      </c>
      <c r="E12" s="699">
        <v>367.1</v>
      </c>
      <c r="F12" s="722">
        <v>25804.991781000001</v>
      </c>
      <c r="G12" s="988">
        <v>45565</v>
      </c>
      <c r="H12" s="756"/>
      <c r="I12" s="878"/>
    </row>
    <row r="13" spans="1:9">
      <c r="A13" s="545">
        <f>MAX($A$10:A12)+1</f>
        <v>4</v>
      </c>
      <c r="B13" s="716" t="s">
        <v>1799</v>
      </c>
      <c r="C13" s="875" t="s">
        <v>2024</v>
      </c>
      <c r="D13" s="520" t="s">
        <v>2025</v>
      </c>
      <c r="E13" s="699">
        <v>367.1</v>
      </c>
      <c r="F13" s="722">
        <v>127204.95257200001</v>
      </c>
      <c r="G13" s="988">
        <v>45656</v>
      </c>
      <c r="H13" s="756"/>
      <c r="I13" s="878"/>
    </row>
    <row r="14" spans="1:9">
      <c r="A14" s="545">
        <f>MAX($A$10:A13)+1</f>
        <v>5</v>
      </c>
      <c r="B14" s="716" t="s">
        <v>1799</v>
      </c>
      <c r="C14" s="875" t="s">
        <v>1902</v>
      </c>
      <c r="D14" s="520" t="s">
        <v>1903</v>
      </c>
      <c r="E14" s="699">
        <v>376.1</v>
      </c>
      <c r="F14" s="722"/>
      <c r="G14" s="988"/>
      <c r="H14" s="756">
        <v>2785.2933110000004</v>
      </c>
      <c r="I14" s="878">
        <v>45961</v>
      </c>
    </row>
    <row r="15" spans="1:9">
      <c r="A15" s="545">
        <f>MAX($A$10:A14)+1</f>
        <v>6</v>
      </c>
      <c r="B15" s="716" t="s">
        <v>1799</v>
      </c>
      <c r="C15" s="875" t="s">
        <v>2028</v>
      </c>
      <c r="D15" s="520" t="s">
        <v>2029</v>
      </c>
      <c r="E15" s="699">
        <v>376.1</v>
      </c>
      <c r="F15" s="722">
        <v>3489.5819120000001</v>
      </c>
      <c r="G15" s="988">
        <v>45381</v>
      </c>
      <c r="H15" s="756"/>
      <c r="I15" s="878"/>
    </row>
    <row r="16" spans="1:9">
      <c r="A16" s="545">
        <f>MAX($A$10:A15)+1</f>
        <v>7</v>
      </c>
      <c r="B16" s="716" t="s">
        <v>1799</v>
      </c>
      <c r="C16" s="875" t="s">
        <v>1942</v>
      </c>
      <c r="D16" s="520" t="s">
        <v>1943</v>
      </c>
      <c r="E16" s="699">
        <v>376.1</v>
      </c>
      <c r="F16" s="722">
        <v>8034.3052340000004</v>
      </c>
      <c r="G16" s="988">
        <v>45412</v>
      </c>
      <c r="H16" s="756"/>
      <c r="I16" s="878"/>
    </row>
    <row r="17" spans="1:9">
      <c r="A17" s="545">
        <f>MAX($A$10:A16)+1</f>
        <v>8</v>
      </c>
      <c r="B17" s="716" t="s">
        <v>1799</v>
      </c>
      <c r="C17" s="875" t="s">
        <v>2089</v>
      </c>
      <c r="D17" s="520" t="s">
        <v>2090</v>
      </c>
      <c r="E17" s="699">
        <v>376.1</v>
      </c>
      <c r="F17" s="722">
        <v>8280.6664000000001</v>
      </c>
      <c r="G17" s="988">
        <v>45351</v>
      </c>
      <c r="H17" s="756"/>
      <c r="I17" s="878"/>
    </row>
    <row r="18" spans="1:9">
      <c r="A18" s="545">
        <f>MAX($A$10:A17)+1</f>
        <v>9</v>
      </c>
      <c r="B18" s="716" t="s">
        <v>1799</v>
      </c>
      <c r="C18" s="875" t="s">
        <v>2093</v>
      </c>
      <c r="D18" s="520" t="s">
        <v>2094</v>
      </c>
      <c r="E18" s="699">
        <v>376.1</v>
      </c>
      <c r="F18" s="722">
        <v>11073.404400000001</v>
      </c>
      <c r="G18" s="988">
        <v>45380</v>
      </c>
      <c r="H18" s="756"/>
      <c r="I18" s="878"/>
    </row>
    <row r="19" spans="1:9">
      <c r="A19" s="545">
        <f>MAX($A$10:A18)+1</f>
        <v>10</v>
      </c>
      <c r="B19" s="716" t="s">
        <v>1799</v>
      </c>
      <c r="C19" s="875" t="s">
        <v>2091</v>
      </c>
      <c r="D19" s="520" t="s">
        <v>2092</v>
      </c>
      <c r="E19" s="699">
        <v>376.1</v>
      </c>
      <c r="F19" s="722">
        <v>41166.179770000002</v>
      </c>
      <c r="G19" s="988">
        <v>45646</v>
      </c>
      <c r="H19" s="756"/>
      <c r="I19" s="878"/>
    </row>
    <row r="20" spans="1:9">
      <c r="A20" s="545">
        <f>MAX($A$10:A19)+1</f>
        <v>11</v>
      </c>
      <c r="B20" s="716" t="s">
        <v>1799</v>
      </c>
      <c r="C20" s="875" t="s">
        <v>1974</v>
      </c>
      <c r="D20" s="520" t="s">
        <v>1975</v>
      </c>
      <c r="E20" s="699">
        <v>376.1</v>
      </c>
      <c r="F20" s="722">
        <v>16665.155532000004</v>
      </c>
      <c r="G20" s="988">
        <v>45657</v>
      </c>
      <c r="H20" s="756">
        <v>24896.098472000005</v>
      </c>
      <c r="I20" s="878">
        <v>46022</v>
      </c>
    </row>
    <row r="21" spans="1:9">
      <c r="A21" s="545">
        <f>MAX($A$10:A20)+1</f>
        <v>12</v>
      </c>
      <c r="B21" s="716" t="s">
        <v>1799</v>
      </c>
      <c r="C21" s="875" t="s">
        <v>2071</v>
      </c>
      <c r="D21" s="520" t="s">
        <v>2072</v>
      </c>
      <c r="E21" s="699">
        <v>376.1</v>
      </c>
      <c r="F21" s="722">
        <v>48392.326188000006</v>
      </c>
      <c r="G21" s="988">
        <v>45427</v>
      </c>
      <c r="H21" s="756"/>
      <c r="I21" s="878"/>
    </row>
    <row r="22" spans="1:9">
      <c r="A22" s="545">
        <f>MAX($A$10:A21)+1</f>
        <v>13</v>
      </c>
      <c r="B22" s="716" t="s">
        <v>1799</v>
      </c>
      <c r="C22" s="875" t="s">
        <v>2262</v>
      </c>
      <c r="D22" s="520" t="s">
        <v>2263</v>
      </c>
      <c r="E22" s="699">
        <v>376.2</v>
      </c>
      <c r="F22" s="722">
        <v>-19040.37</v>
      </c>
      <c r="G22" s="988">
        <v>45292</v>
      </c>
      <c r="H22" s="756"/>
      <c r="I22" s="878"/>
    </row>
    <row r="23" spans="1:9">
      <c r="A23" s="545">
        <f>MAX($A$10:A22)+1</f>
        <v>14</v>
      </c>
      <c r="B23" s="716" t="s">
        <v>1799</v>
      </c>
      <c r="C23" s="875" t="s">
        <v>2000</v>
      </c>
      <c r="D23" s="520" t="s">
        <v>2001</v>
      </c>
      <c r="E23" s="699">
        <v>376.2</v>
      </c>
      <c r="F23" s="722">
        <v>3074.962661</v>
      </c>
      <c r="G23" s="988">
        <v>45534</v>
      </c>
      <c r="H23" s="756"/>
      <c r="I23" s="878"/>
    </row>
    <row r="24" spans="1:9">
      <c r="A24" s="545">
        <f>MAX($A$10:A23)+1</f>
        <v>15</v>
      </c>
      <c r="B24" s="716" t="s">
        <v>1799</v>
      </c>
      <c r="C24" s="875" t="s">
        <v>2045</v>
      </c>
      <c r="D24" s="520" t="s">
        <v>2046</v>
      </c>
      <c r="E24" s="699">
        <v>376.2</v>
      </c>
      <c r="F24" s="722">
        <v>3711.378232</v>
      </c>
      <c r="G24" s="988">
        <v>45350</v>
      </c>
      <c r="H24" s="756"/>
      <c r="I24" s="878"/>
    </row>
    <row r="25" spans="1:9">
      <c r="A25" s="545">
        <f>MAX($A$10:A24)+1</f>
        <v>16</v>
      </c>
      <c r="B25" s="716" t="s">
        <v>1799</v>
      </c>
      <c r="C25" s="875" t="s">
        <v>1950</v>
      </c>
      <c r="D25" s="520" t="s">
        <v>1951</v>
      </c>
      <c r="E25" s="699">
        <v>376.2</v>
      </c>
      <c r="F25" s="722">
        <v>16452.630843999999</v>
      </c>
      <c r="G25" s="988">
        <v>45626</v>
      </c>
      <c r="H25" s="756"/>
      <c r="I25" s="878"/>
    </row>
    <row r="26" spans="1:9">
      <c r="A26" s="545">
        <f>MAX($A$10:A25)+1</f>
        <v>17</v>
      </c>
      <c r="B26" s="716" t="s">
        <v>1799</v>
      </c>
      <c r="C26" s="875" t="s">
        <v>2043</v>
      </c>
      <c r="D26" s="520" t="s">
        <v>2044</v>
      </c>
      <c r="E26" s="699">
        <v>376.2</v>
      </c>
      <c r="F26" s="722">
        <v>24778.649963000003</v>
      </c>
      <c r="G26" s="988">
        <v>45345</v>
      </c>
      <c r="H26" s="756"/>
      <c r="I26" s="878"/>
    </row>
    <row r="27" spans="1:9">
      <c r="A27" s="545">
        <f>MAX($A$10:A26)+1</f>
        <v>18</v>
      </c>
      <c r="B27" s="716" t="s">
        <v>1799</v>
      </c>
      <c r="C27" s="875" t="s">
        <v>1910</v>
      </c>
      <c r="D27" s="520" t="s">
        <v>1911</v>
      </c>
      <c r="E27" s="699">
        <v>376.2</v>
      </c>
      <c r="F27" s="722"/>
      <c r="G27" s="988"/>
      <c r="H27" s="756">
        <v>26272.661990000001</v>
      </c>
      <c r="I27" s="878">
        <v>45991</v>
      </c>
    </row>
    <row r="28" spans="1:9">
      <c r="A28" s="545">
        <f>MAX($A$10:A27)+1</f>
        <v>19</v>
      </c>
      <c r="B28" s="716" t="s">
        <v>1799</v>
      </c>
      <c r="C28" s="875" t="s">
        <v>1922</v>
      </c>
      <c r="D28" s="520" t="s">
        <v>1923</v>
      </c>
      <c r="E28" s="699">
        <v>376.2</v>
      </c>
      <c r="F28" s="722">
        <v>44986.903975000008</v>
      </c>
      <c r="G28" s="988">
        <v>45473</v>
      </c>
      <c r="H28" s="756"/>
      <c r="I28" s="878"/>
    </row>
    <row r="29" spans="1:9">
      <c r="A29" s="545">
        <f>MAX($A$10:A28)+1</f>
        <v>20</v>
      </c>
      <c r="B29" s="716" t="s">
        <v>1799</v>
      </c>
      <c r="C29" s="875" t="s">
        <v>1920</v>
      </c>
      <c r="D29" s="520" t="s">
        <v>1921</v>
      </c>
      <c r="E29" s="699">
        <v>376.2</v>
      </c>
      <c r="F29" s="722">
        <v>51681.760800999997</v>
      </c>
      <c r="G29" s="988">
        <v>45473</v>
      </c>
      <c r="H29" s="756"/>
      <c r="I29" s="878"/>
    </row>
    <row r="30" spans="1:9">
      <c r="A30" s="545">
        <f>MAX($A$10:A29)+1</f>
        <v>21</v>
      </c>
      <c r="B30" s="716" t="s">
        <v>1799</v>
      </c>
      <c r="C30" s="875" t="s">
        <v>1938</v>
      </c>
      <c r="D30" s="520" t="s">
        <v>1939</v>
      </c>
      <c r="E30" s="699">
        <v>376.2</v>
      </c>
      <c r="F30" s="722">
        <v>53712.717045999998</v>
      </c>
      <c r="G30" s="988">
        <v>45412</v>
      </c>
      <c r="H30" s="756"/>
      <c r="I30" s="878"/>
    </row>
    <row r="31" spans="1:9">
      <c r="A31" s="545">
        <f>MAX($A$10:A30)+1</f>
        <v>22</v>
      </c>
      <c r="B31" s="716" t="s">
        <v>1799</v>
      </c>
      <c r="C31" s="875" t="s">
        <v>1816</v>
      </c>
      <c r="D31" s="520" t="s">
        <v>1817</v>
      </c>
      <c r="E31" s="699">
        <v>376.2</v>
      </c>
      <c r="F31" s="722"/>
      <c r="G31" s="988"/>
      <c r="H31" s="756">
        <v>57560.053859</v>
      </c>
      <c r="I31" s="878">
        <v>45961</v>
      </c>
    </row>
    <row r="32" spans="1:9">
      <c r="A32" s="545">
        <f>MAX($A$10:A31)+1</f>
        <v>23</v>
      </c>
      <c r="B32" s="716" t="s">
        <v>1799</v>
      </c>
      <c r="C32" s="875" t="s">
        <v>1962</v>
      </c>
      <c r="D32" s="520" t="s">
        <v>1963</v>
      </c>
      <c r="E32" s="699">
        <v>376.2</v>
      </c>
      <c r="F32" s="722"/>
      <c r="G32" s="988"/>
      <c r="H32" s="756">
        <v>58996.593938000005</v>
      </c>
      <c r="I32" s="878">
        <v>46022</v>
      </c>
    </row>
    <row r="33" spans="1:9">
      <c r="A33" s="545">
        <f>MAX($A$10:A32)+1</f>
        <v>24</v>
      </c>
      <c r="B33" s="716" t="s">
        <v>1799</v>
      </c>
      <c r="C33" s="875" t="s">
        <v>2038</v>
      </c>
      <c r="D33" s="520" t="s">
        <v>2039</v>
      </c>
      <c r="E33" s="699">
        <v>376.2</v>
      </c>
      <c r="F33" s="722">
        <v>79005.139062000002</v>
      </c>
      <c r="G33" s="988">
        <v>45626</v>
      </c>
      <c r="H33" s="756"/>
      <c r="I33" s="878"/>
    </row>
    <row r="34" spans="1:9">
      <c r="A34" s="545">
        <f>MAX($A$10:A33)+1</f>
        <v>25</v>
      </c>
      <c r="B34" s="716" t="s">
        <v>1799</v>
      </c>
      <c r="C34" s="875" t="s">
        <v>1918</v>
      </c>
      <c r="D34" s="520" t="s">
        <v>1919</v>
      </c>
      <c r="E34" s="699">
        <v>376.2</v>
      </c>
      <c r="F34" s="722"/>
      <c r="G34" s="988"/>
      <c r="H34" s="756">
        <v>86829.227373999995</v>
      </c>
      <c r="I34" s="878">
        <v>46022</v>
      </c>
    </row>
    <row r="35" spans="1:9">
      <c r="A35" s="545">
        <f>MAX($A$10:A34)+1</f>
        <v>26</v>
      </c>
      <c r="B35" s="716" t="s">
        <v>1799</v>
      </c>
      <c r="C35" s="875" t="s">
        <v>1812</v>
      </c>
      <c r="D35" s="520" t="s">
        <v>1813</v>
      </c>
      <c r="E35" s="699">
        <v>376.2</v>
      </c>
      <c r="F35" s="722">
        <v>117472.73501100001</v>
      </c>
      <c r="G35" s="988">
        <v>45473</v>
      </c>
      <c r="H35" s="756"/>
      <c r="I35" s="878"/>
    </row>
    <row r="36" spans="1:9">
      <c r="A36" s="545">
        <f>MAX($A$10:A35)+1</f>
        <v>27</v>
      </c>
      <c r="B36" s="716" t="s">
        <v>1799</v>
      </c>
      <c r="C36" s="875" t="s">
        <v>1818</v>
      </c>
      <c r="D36" s="520" t="s">
        <v>1819</v>
      </c>
      <c r="E36" s="699">
        <v>376.2</v>
      </c>
      <c r="F36" s="722">
        <v>146780.708591</v>
      </c>
      <c r="G36" s="988">
        <v>45566</v>
      </c>
      <c r="H36" s="756"/>
      <c r="I36" s="878"/>
    </row>
    <row r="37" spans="1:9">
      <c r="A37" s="545">
        <f>MAX($A$10:A36)+1</f>
        <v>28</v>
      </c>
      <c r="B37" s="716" t="s">
        <v>1799</v>
      </c>
      <c r="C37" s="875" t="s">
        <v>1814</v>
      </c>
      <c r="D37" s="520" t="s">
        <v>1815</v>
      </c>
      <c r="E37" s="699">
        <v>376.2</v>
      </c>
      <c r="F37" s="722">
        <v>205746.62</v>
      </c>
      <c r="G37" s="988">
        <v>45443</v>
      </c>
      <c r="H37" s="756"/>
      <c r="I37" s="878"/>
    </row>
    <row r="38" spans="1:9">
      <c r="A38" s="545">
        <f>MAX($A$10:A37)+1</f>
        <v>29</v>
      </c>
      <c r="B38" s="716" t="s">
        <v>1799</v>
      </c>
      <c r="C38" s="875" t="s">
        <v>2264</v>
      </c>
      <c r="D38" s="520" t="s">
        <v>2265</v>
      </c>
      <c r="E38" s="699">
        <v>376.2</v>
      </c>
      <c r="F38" s="722">
        <v>207791.74</v>
      </c>
      <c r="G38" s="988">
        <v>45292</v>
      </c>
      <c r="H38" s="756"/>
      <c r="I38" s="878"/>
    </row>
    <row r="39" spans="1:9">
      <c r="A39" s="545">
        <f>MAX($A$10:A38)+1</f>
        <v>30</v>
      </c>
      <c r="B39" s="716" t="s">
        <v>1799</v>
      </c>
      <c r="C39" s="875" t="s">
        <v>1832</v>
      </c>
      <c r="D39" s="520" t="s">
        <v>1833</v>
      </c>
      <c r="E39" s="699">
        <v>376.3</v>
      </c>
      <c r="F39" s="722">
        <v>952.02861800000005</v>
      </c>
      <c r="G39" s="988">
        <v>45657</v>
      </c>
      <c r="H39" s="756">
        <v>886.84736700000019</v>
      </c>
      <c r="I39" s="878">
        <v>46022</v>
      </c>
    </row>
    <row r="40" spans="1:9">
      <c r="A40" s="545">
        <f>MAX($A$10:A39)+1</f>
        <v>31</v>
      </c>
      <c r="B40" s="716" t="s">
        <v>1799</v>
      </c>
      <c r="C40" s="875" t="s">
        <v>1848</v>
      </c>
      <c r="D40" s="520" t="s">
        <v>1849</v>
      </c>
      <c r="E40" s="699">
        <v>376.3</v>
      </c>
      <c r="F40" s="722">
        <v>2570.0763830000005</v>
      </c>
      <c r="G40" s="988">
        <v>45657</v>
      </c>
      <c r="H40" s="756">
        <v>2478.8338800000006</v>
      </c>
      <c r="I40" s="878">
        <v>46022</v>
      </c>
    </row>
    <row r="41" spans="1:9">
      <c r="A41" s="545">
        <f>MAX($A$10:A40)+1</f>
        <v>32</v>
      </c>
      <c r="B41" s="716" t="s">
        <v>1799</v>
      </c>
      <c r="C41" s="875" t="s">
        <v>2030</v>
      </c>
      <c r="D41" s="520" t="s">
        <v>2031</v>
      </c>
      <c r="E41" s="699">
        <v>376.3</v>
      </c>
      <c r="F41" s="722">
        <v>9366.6805189999995</v>
      </c>
      <c r="G41" s="988">
        <v>45444</v>
      </c>
      <c r="H41" s="756"/>
      <c r="I41" s="878"/>
    </row>
    <row r="42" spans="1:9">
      <c r="A42" s="545">
        <f>MAX($A$10:A41)+1</f>
        <v>33</v>
      </c>
      <c r="B42" s="716" t="s">
        <v>1799</v>
      </c>
      <c r="C42" s="875" t="s">
        <v>1888</v>
      </c>
      <c r="D42" s="520" t="s">
        <v>1889</v>
      </c>
      <c r="E42" s="699">
        <v>376.3</v>
      </c>
      <c r="F42" s="722">
        <v>5859.3169149999994</v>
      </c>
      <c r="G42" s="988">
        <v>45657</v>
      </c>
      <c r="H42" s="756">
        <v>5996.5875020000003</v>
      </c>
      <c r="I42" s="878">
        <v>46022</v>
      </c>
    </row>
    <row r="43" spans="1:9">
      <c r="A43" s="545">
        <f>MAX($A$10:A42)+1</f>
        <v>34</v>
      </c>
      <c r="B43" s="716" t="s">
        <v>1799</v>
      </c>
      <c r="C43" s="875" t="s">
        <v>1894</v>
      </c>
      <c r="D43" s="520" t="s">
        <v>1895</v>
      </c>
      <c r="E43" s="699">
        <v>376.3</v>
      </c>
      <c r="F43" s="722">
        <v>5393.5552459999999</v>
      </c>
      <c r="G43" s="988">
        <v>45657</v>
      </c>
      <c r="H43" s="756">
        <v>11149.746000000001</v>
      </c>
      <c r="I43" s="878">
        <v>46022</v>
      </c>
    </row>
    <row r="44" spans="1:9">
      <c r="A44" s="545">
        <f>MAX($A$10:A43)+1</f>
        <v>35</v>
      </c>
      <c r="B44" s="716" t="s">
        <v>1799</v>
      </c>
      <c r="C44" s="875" t="s">
        <v>1840</v>
      </c>
      <c r="D44" s="520" t="s">
        <v>1841</v>
      </c>
      <c r="E44" s="699">
        <v>376.3</v>
      </c>
      <c r="F44" s="722">
        <v>8849.7188070000029</v>
      </c>
      <c r="G44" s="988">
        <v>45657</v>
      </c>
      <c r="H44" s="756">
        <v>9101.7152370000003</v>
      </c>
      <c r="I44" s="878">
        <v>46022</v>
      </c>
    </row>
    <row r="45" spans="1:9">
      <c r="A45" s="545">
        <f>MAX($A$10:A44)+1</f>
        <v>36</v>
      </c>
      <c r="B45" s="716" t="s">
        <v>1799</v>
      </c>
      <c r="C45" s="875" t="s">
        <v>1864</v>
      </c>
      <c r="D45" s="520" t="s">
        <v>1865</v>
      </c>
      <c r="E45" s="699">
        <v>376.3</v>
      </c>
      <c r="F45" s="722">
        <v>10105.372167000001</v>
      </c>
      <c r="G45" s="988">
        <v>45657</v>
      </c>
      <c r="H45" s="756">
        <v>9277.9993320000012</v>
      </c>
      <c r="I45" s="878">
        <v>46022</v>
      </c>
    </row>
    <row r="46" spans="1:9">
      <c r="A46" s="545">
        <f>MAX($A$10:A45)+1</f>
        <v>37</v>
      </c>
      <c r="B46" s="716" t="s">
        <v>1799</v>
      </c>
      <c r="C46" s="875" t="s">
        <v>1880</v>
      </c>
      <c r="D46" s="520" t="s">
        <v>1881</v>
      </c>
      <c r="E46" s="699">
        <v>376.3</v>
      </c>
      <c r="F46" s="722">
        <v>13057.820390000001</v>
      </c>
      <c r="G46" s="988">
        <v>45657</v>
      </c>
      <c r="H46" s="756">
        <v>9636.3512280000014</v>
      </c>
      <c r="I46" s="878">
        <v>46022</v>
      </c>
    </row>
    <row r="47" spans="1:9">
      <c r="A47" s="545">
        <f>MAX($A$10:A46)+1</f>
        <v>38</v>
      </c>
      <c r="B47" s="716" t="s">
        <v>1799</v>
      </c>
      <c r="C47" s="875" t="s">
        <v>1824</v>
      </c>
      <c r="D47" s="520" t="s">
        <v>1825</v>
      </c>
      <c r="E47" s="699">
        <v>376.3</v>
      </c>
      <c r="F47" s="722">
        <v>12605.582156</v>
      </c>
      <c r="G47" s="988">
        <v>45657</v>
      </c>
      <c r="H47" s="756">
        <v>10858.795531000002</v>
      </c>
      <c r="I47" s="878">
        <v>46022</v>
      </c>
    </row>
    <row r="48" spans="1:9">
      <c r="A48" s="545">
        <f>MAX($A$10:A47)+1</f>
        <v>39</v>
      </c>
      <c r="B48" s="716" t="s">
        <v>1799</v>
      </c>
      <c r="C48" s="875" t="s">
        <v>1872</v>
      </c>
      <c r="D48" s="520" t="s">
        <v>1873</v>
      </c>
      <c r="E48" s="699">
        <v>376.3</v>
      </c>
      <c r="F48" s="722">
        <v>14211.707999999999</v>
      </c>
      <c r="G48" s="988">
        <v>45657</v>
      </c>
      <c r="H48" s="756">
        <v>14542.521599999996</v>
      </c>
      <c r="I48" s="878">
        <v>46022</v>
      </c>
    </row>
    <row r="49" spans="1:9">
      <c r="A49" s="545">
        <f>MAX($A$10:A48)+1</f>
        <v>40</v>
      </c>
      <c r="B49" s="716" t="s">
        <v>1799</v>
      </c>
      <c r="C49" s="875" t="s">
        <v>1856</v>
      </c>
      <c r="D49" s="520" t="s">
        <v>1857</v>
      </c>
      <c r="E49" s="699">
        <v>376.3</v>
      </c>
      <c r="F49" s="722">
        <v>18702.251835999999</v>
      </c>
      <c r="G49" s="988">
        <v>45657</v>
      </c>
      <c r="H49" s="756">
        <v>16063.268400000001</v>
      </c>
      <c r="I49" s="878">
        <v>46022</v>
      </c>
    </row>
    <row r="50" spans="1:9">
      <c r="A50" s="545">
        <f>MAX($A$10:A49)+1</f>
        <v>41</v>
      </c>
      <c r="B50" s="716" t="s">
        <v>1799</v>
      </c>
      <c r="C50" s="875" t="s">
        <v>1896</v>
      </c>
      <c r="D50" s="520" t="s">
        <v>1897</v>
      </c>
      <c r="E50" s="699">
        <v>376.3</v>
      </c>
      <c r="F50" s="722">
        <v>169345.610277</v>
      </c>
      <c r="G50" s="988">
        <v>45657</v>
      </c>
      <c r="H50" s="756">
        <v>193213.21774899997</v>
      </c>
      <c r="I50" s="878">
        <v>46022</v>
      </c>
    </row>
    <row r="51" spans="1:9">
      <c r="A51" s="545">
        <f>MAX($A$10:A50)+1</f>
        <v>42</v>
      </c>
      <c r="B51" s="716" t="s">
        <v>1799</v>
      </c>
      <c r="C51" s="875" t="s">
        <v>1914</v>
      </c>
      <c r="D51" s="520" t="s">
        <v>1915</v>
      </c>
      <c r="E51" s="699">
        <v>376.3</v>
      </c>
      <c r="F51" s="722">
        <v>174479.28</v>
      </c>
      <c r="G51" s="988">
        <v>45657</v>
      </c>
      <c r="H51" s="756">
        <v>285658.64815600007</v>
      </c>
      <c r="I51" s="878">
        <v>46022</v>
      </c>
    </row>
    <row r="52" spans="1:9">
      <c r="A52" s="545">
        <f>MAX($A$10:A51)+1</f>
        <v>43</v>
      </c>
      <c r="B52" s="716" t="s">
        <v>1799</v>
      </c>
      <c r="C52" s="875" t="s">
        <v>2004</v>
      </c>
      <c r="D52" s="520" t="s">
        <v>2266</v>
      </c>
      <c r="E52" s="876">
        <v>377</v>
      </c>
      <c r="F52" s="722">
        <v>7111.1172370000013</v>
      </c>
      <c r="G52" s="988">
        <v>45595</v>
      </c>
      <c r="H52" s="756"/>
      <c r="I52" s="878"/>
    </row>
    <row r="53" spans="1:9">
      <c r="A53" s="545">
        <f>MAX($A$10:A52)+1</f>
        <v>44</v>
      </c>
      <c r="B53" s="716" t="s">
        <v>1799</v>
      </c>
      <c r="C53" s="875" t="s">
        <v>2049</v>
      </c>
      <c r="D53" s="520" t="s">
        <v>2050</v>
      </c>
      <c r="E53" s="876">
        <v>378</v>
      </c>
      <c r="F53" s="722">
        <v>2595.643904</v>
      </c>
      <c r="G53" s="988">
        <v>45381</v>
      </c>
      <c r="H53" s="756"/>
      <c r="I53" s="878"/>
    </row>
    <row r="54" spans="1:9">
      <c r="A54" s="545">
        <f>MAX($A$10:A53)+1</f>
        <v>45</v>
      </c>
      <c r="B54" s="716" t="s">
        <v>1799</v>
      </c>
      <c r="C54" s="875" t="s">
        <v>2010</v>
      </c>
      <c r="D54" s="520" t="s">
        <v>2011</v>
      </c>
      <c r="E54" s="876">
        <v>378</v>
      </c>
      <c r="F54" s="722">
        <v>2699.1817380000002</v>
      </c>
      <c r="G54" s="988">
        <v>45379</v>
      </c>
      <c r="H54" s="756"/>
      <c r="I54" s="878"/>
    </row>
    <row r="55" spans="1:9">
      <c r="A55" s="545">
        <f>MAX($A$10:A54)+1</f>
        <v>46</v>
      </c>
      <c r="B55" s="716" t="s">
        <v>1799</v>
      </c>
      <c r="C55" s="875" t="s">
        <v>2267</v>
      </c>
      <c r="D55" s="520" t="s">
        <v>2268</v>
      </c>
      <c r="E55" s="876">
        <v>378</v>
      </c>
      <c r="F55" s="722">
        <v>2700.48</v>
      </c>
      <c r="G55" s="988">
        <v>45443</v>
      </c>
      <c r="H55" s="756"/>
      <c r="I55" s="878"/>
    </row>
    <row r="56" spans="1:9">
      <c r="A56" s="545">
        <f>MAX($A$10:A55)+1</f>
        <v>47</v>
      </c>
      <c r="B56" s="716" t="s">
        <v>1799</v>
      </c>
      <c r="C56" s="875" t="s">
        <v>2075</v>
      </c>
      <c r="D56" s="520" t="s">
        <v>2076</v>
      </c>
      <c r="E56" s="876">
        <v>378</v>
      </c>
      <c r="F56" s="722">
        <v>4780.0043530000003</v>
      </c>
      <c r="G56" s="988">
        <v>45366</v>
      </c>
      <c r="H56" s="756"/>
      <c r="I56" s="878"/>
    </row>
    <row r="57" spans="1:9">
      <c r="A57" s="545">
        <f>MAX($A$10:A56)+1</f>
        <v>48</v>
      </c>
      <c r="B57" s="716" t="s">
        <v>1799</v>
      </c>
      <c r="C57" s="875" t="s">
        <v>1954</v>
      </c>
      <c r="D57" s="520" t="s">
        <v>1955</v>
      </c>
      <c r="E57" s="876">
        <v>378</v>
      </c>
      <c r="F57" s="722">
        <v>5003.0296990000006</v>
      </c>
      <c r="G57" s="988">
        <v>45473</v>
      </c>
      <c r="H57" s="756"/>
      <c r="I57" s="878"/>
    </row>
    <row r="58" spans="1:9">
      <c r="A58" s="545">
        <f>MAX($A$10:A57)+1</f>
        <v>49</v>
      </c>
      <c r="B58" s="716" t="s">
        <v>1799</v>
      </c>
      <c r="C58" s="875" t="s">
        <v>2026</v>
      </c>
      <c r="D58" s="520" t="s">
        <v>2027</v>
      </c>
      <c r="E58" s="876">
        <v>378</v>
      </c>
      <c r="F58" s="722"/>
      <c r="G58" s="988"/>
      <c r="H58" s="756">
        <v>9056.8617809999996</v>
      </c>
      <c r="I58" s="878">
        <v>45976</v>
      </c>
    </row>
    <row r="59" spans="1:9">
      <c r="A59" s="545">
        <f>MAX($A$10:A58)+1</f>
        <v>50</v>
      </c>
      <c r="B59" s="716" t="s">
        <v>1799</v>
      </c>
      <c r="C59" s="875" t="s">
        <v>2002</v>
      </c>
      <c r="D59" s="520" t="s">
        <v>2003</v>
      </c>
      <c r="E59" s="876">
        <v>378</v>
      </c>
      <c r="F59" s="722">
        <v>9971.6111729999993</v>
      </c>
      <c r="G59" s="988">
        <v>45596</v>
      </c>
      <c r="H59" s="756"/>
      <c r="I59" s="878"/>
    </row>
    <row r="60" spans="1:9">
      <c r="A60" s="545">
        <f>MAX($A$10:A59)+1</f>
        <v>51</v>
      </c>
      <c r="B60" s="716" t="s">
        <v>1799</v>
      </c>
      <c r="C60" s="875" t="s">
        <v>1926</v>
      </c>
      <c r="D60" s="520" t="s">
        <v>1927</v>
      </c>
      <c r="E60" s="876">
        <v>378</v>
      </c>
      <c r="F60" s="722">
        <v>11632.06725</v>
      </c>
      <c r="G60" s="988">
        <v>45626</v>
      </c>
      <c r="H60" s="756"/>
      <c r="I60" s="878"/>
    </row>
    <row r="61" spans="1:9">
      <c r="A61" s="545">
        <f>MAX($A$10:A60)+1</f>
        <v>52</v>
      </c>
      <c r="B61" s="716" t="s">
        <v>1799</v>
      </c>
      <c r="C61" s="875" t="s">
        <v>1964</v>
      </c>
      <c r="D61" s="520" t="s">
        <v>1965</v>
      </c>
      <c r="E61" s="876">
        <v>378</v>
      </c>
      <c r="F61" s="722"/>
      <c r="G61" s="988"/>
      <c r="H61" s="756">
        <v>12059.351554000001</v>
      </c>
      <c r="I61" s="878">
        <v>45930</v>
      </c>
    </row>
    <row r="62" spans="1:9">
      <c r="A62" s="545">
        <f>MAX($A$10:A61)+1</f>
        <v>53</v>
      </c>
      <c r="B62" s="716" t="s">
        <v>1799</v>
      </c>
      <c r="C62" s="875" t="s">
        <v>2022</v>
      </c>
      <c r="D62" s="520" t="s">
        <v>2023</v>
      </c>
      <c r="E62" s="876">
        <v>378</v>
      </c>
      <c r="F62" s="722">
        <v>14150.090279000002</v>
      </c>
      <c r="G62" s="988">
        <v>45468</v>
      </c>
      <c r="H62" s="756"/>
      <c r="I62" s="878"/>
    </row>
    <row r="63" spans="1:9">
      <c r="A63" s="545">
        <f>MAX($A$10:A62)+1</f>
        <v>54</v>
      </c>
      <c r="B63" s="716" t="s">
        <v>1799</v>
      </c>
      <c r="C63" s="875" t="s">
        <v>1912</v>
      </c>
      <c r="D63" s="520" t="s">
        <v>1913</v>
      </c>
      <c r="E63" s="876">
        <v>378</v>
      </c>
      <c r="F63" s="722"/>
      <c r="G63" s="988"/>
      <c r="H63" s="756">
        <v>18229.834710000003</v>
      </c>
      <c r="I63" s="878">
        <v>45960</v>
      </c>
    </row>
    <row r="64" spans="1:9">
      <c r="A64" s="545">
        <f>MAX($A$10:A63)+1</f>
        <v>55</v>
      </c>
      <c r="B64" s="716" t="s">
        <v>1799</v>
      </c>
      <c r="C64" s="875" t="s">
        <v>1802</v>
      </c>
      <c r="D64" s="520" t="s">
        <v>1803</v>
      </c>
      <c r="E64" s="876">
        <v>378</v>
      </c>
      <c r="F64" s="722">
        <v>24097.141216000004</v>
      </c>
      <c r="G64" s="988">
        <v>45595</v>
      </c>
      <c r="H64" s="756">
        <v>22278.055500000002</v>
      </c>
      <c r="I64" s="878">
        <v>46022</v>
      </c>
    </row>
    <row r="65" spans="1:9">
      <c r="A65" s="545">
        <f>MAX($A$10:A64)+1</f>
        <v>56</v>
      </c>
      <c r="B65" s="716" t="s">
        <v>1799</v>
      </c>
      <c r="C65" s="875" t="s">
        <v>2051</v>
      </c>
      <c r="D65" s="520" t="s">
        <v>2052</v>
      </c>
      <c r="E65" s="876">
        <v>379</v>
      </c>
      <c r="F65" s="722">
        <v>189.95228400000002</v>
      </c>
      <c r="G65" s="988">
        <v>45378</v>
      </c>
      <c r="H65" s="756"/>
      <c r="I65" s="878"/>
    </row>
    <row r="66" spans="1:9">
      <c r="A66" s="545">
        <f>MAX($A$10:A65)+1</f>
        <v>57</v>
      </c>
      <c r="B66" s="716" t="s">
        <v>1799</v>
      </c>
      <c r="C66" s="875" t="s">
        <v>2047</v>
      </c>
      <c r="D66" s="520" t="s">
        <v>2048</v>
      </c>
      <c r="E66" s="876">
        <v>379</v>
      </c>
      <c r="F66" s="722">
        <v>194.51618400000004</v>
      </c>
      <c r="G66" s="988">
        <v>45349</v>
      </c>
      <c r="H66" s="756"/>
      <c r="I66" s="878"/>
    </row>
    <row r="67" spans="1:9">
      <c r="A67" s="545">
        <f>MAX($A$10:A66)+1</f>
        <v>58</v>
      </c>
      <c r="B67" s="716" t="s">
        <v>1799</v>
      </c>
      <c r="C67" s="875" t="s">
        <v>2053</v>
      </c>
      <c r="D67" s="520" t="s">
        <v>2054</v>
      </c>
      <c r="E67" s="876">
        <v>379</v>
      </c>
      <c r="F67" s="722">
        <v>194.51618400000004</v>
      </c>
      <c r="G67" s="988">
        <v>45409</v>
      </c>
      <c r="H67" s="756"/>
      <c r="I67" s="878"/>
    </row>
    <row r="68" spans="1:9">
      <c r="A68" s="545">
        <f>MAX($A$10:A67)+1</f>
        <v>59</v>
      </c>
      <c r="B68" s="716" t="s">
        <v>1799</v>
      </c>
      <c r="C68" s="875" t="s">
        <v>2055</v>
      </c>
      <c r="D68" s="520" t="s">
        <v>2056</v>
      </c>
      <c r="E68" s="876">
        <v>379</v>
      </c>
      <c r="F68" s="722">
        <v>194.51618400000004</v>
      </c>
      <c r="G68" s="988">
        <v>45439</v>
      </c>
      <c r="H68" s="756"/>
      <c r="I68" s="878"/>
    </row>
    <row r="69" spans="1:9">
      <c r="A69" s="545">
        <f>MAX($A$10:A68)+1</f>
        <v>60</v>
      </c>
      <c r="B69" s="716" t="s">
        <v>1799</v>
      </c>
      <c r="C69" s="875" t="s">
        <v>2057</v>
      </c>
      <c r="D69" s="520" t="s">
        <v>2058</v>
      </c>
      <c r="E69" s="876">
        <v>379</v>
      </c>
      <c r="F69" s="722">
        <v>194.51618400000004</v>
      </c>
      <c r="G69" s="988">
        <v>45470</v>
      </c>
      <c r="H69" s="756"/>
      <c r="I69" s="878"/>
    </row>
    <row r="70" spans="1:9">
      <c r="A70" s="545">
        <f>MAX($A$10:A69)+1</f>
        <v>61</v>
      </c>
      <c r="B70" s="716" t="s">
        <v>1799</v>
      </c>
      <c r="C70" s="875" t="s">
        <v>2059</v>
      </c>
      <c r="D70" s="520" t="s">
        <v>2060</v>
      </c>
      <c r="E70" s="876">
        <v>379</v>
      </c>
      <c r="F70" s="722">
        <v>194.51618400000004</v>
      </c>
      <c r="G70" s="988">
        <v>45500</v>
      </c>
      <c r="H70" s="756"/>
      <c r="I70" s="878"/>
    </row>
    <row r="71" spans="1:9">
      <c r="A71" s="545">
        <f>MAX($A$10:A70)+1</f>
        <v>62</v>
      </c>
      <c r="B71" s="716" t="s">
        <v>1799</v>
      </c>
      <c r="C71" s="875" t="s">
        <v>2061</v>
      </c>
      <c r="D71" s="520" t="s">
        <v>2062</v>
      </c>
      <c r="E71" s="876">
        <v>379</v>
      </c>
      <c r="F71" s="722">
        <v>194.51618400000004</v>
      </c>
      <c r="G71" s="988">
        <v>45531</v>
      </c>
      <c r="H71" s="756"/>
      <c r="I71" s="878"/>
    </row>
    <row r="72" spans="1:9">
      <c r="A72" s="545">
        <f>MAX($A$10:A71)+1</f>
        <v>63</v>
      </c>
      <c r="B72" s="716" t="s">
        <v>1799</v>
      </c>
      <c r="C72" s="875" t="s">
        <v>2063</v>
      </c>
      <c r="D72" s="520" t="s">
        <v>2064</v>
      </c>
      <c r="E72" s="876">
        <v>379</v>
      </c>
      <c r="F72" s="722">
        <v>194.51618400000004</v>
      </c>
      <c r="G72" s="988">
        <v>45562</v>
      </c>
      <c r="H72" s="756"/>
      <c r="I72" s="878"/>
    </row>
    <row r="73" spans="1:9">
      <c r="A73" s="545">
        <f>MAX($A$10:A72)+1</f>
        <v>64</v>
      </c>
      <c r="B73" s="716" t="s">
        <v>1799</v>
      </c>
      <c r="C73" s="875" t="s">
        <v>2065</v>
      </c>
      <c r="D73" s="520" t="s">
        <v>2066</v>
      </c>
      <c r="E73" s="876">
        <v>379</v>
      </c>
      <c r="F73" s="722">
        <v>194.51618400000004</v>
      </c>
      <c r="G73" s="988">
        <v>45592</v>
      </c>
      <c r="H73" s="756"/>
      <c r="I73" s="878"/>
    </row>
    <row r="74" spans="1:9">
      <c r="A74" s="545">
        <f>MAX($A$10:A73)+1</f>
        <v>65</v>
      </c>
      <c r="B74" s="716" t="s">
        <v>1799</v>
      </c>
      <c r="C74" s="875" t="s">
        <v>2067</v>
      </c>
      <c r="D74" s="520" t="s">
        <v>2068</v>
      </c>
      <c r="E74" s="876">
        <v>379</v>
      </c>
      <c r="F74" s="722">
        <v>194.51618400000004</v>
      </c>
      <c r="G74" s="988">
        <v>45349</v>
      </c>
      <c r="H74" s="756"/>
      <c r="I74" s="878"/>
    </row>
    <row r="75" spans="1:9">
      <c r="A75" s="545">
        <f>MAX($A$10:A74)+1</f>
        <v>66</v>
      </c>
      <c r="B75" s="716" t="s">
        <v>1799</v>
      </c>
      <c r="C75" s="875" t="s">
        <v>2069</v>
      </c>
      <c r="D75" s="520" t="s">
        <v>2070</v>
      </c>
      <c r="E75" s="876">
        <v>379</v>
      </c>
      <c r="F75" s="722">
        <v>194.51618400000004</v>
      </c>
      <c r="G75" s="988">
        <v>45378</v>
      </c>
      <c r="H75" s="756"/>
      <c r="I75" s="878"/>
    </row>
    <row r="76" spans="1:9">
      <c r="A76" s="545">
        <f>MAX($A$10:A75)+1</f>
        <v>67</v>
      </c>
      <c r="B76" s="716" t="s">
        <v>1799</v>
      </c>
      <c r="C76" s="875" t="s">
        <v>2081</v>
      </c>
      <c r="D76" s="520" t="s">
        <v>2082</v>
      </c>
      <c r="E76" s="876">
        <v>379</v>
      </c>
      <c r="F76" s="722">
        <v>221.46808799999999</v>
      </c>
      <c r="G76" s="988">
        <v>45349</v>
      </c>
      <c r="H76" s="756"/>
      <c r="I76" s="878"/>
    </row>
    <row r="77" spans="1:9">
      <c r="A77" s="545">
        <f>MAX($A$10:A76)+1</f>
        <v>68</v>
      </c>
      <c r="B77" s="716" t="s">
        <v>1799</v>
      </c>
      <c r="C77" s="875" t="s">
        <v>2083</v>
      </c>
      <c r="D77" s="520" t="s">
        <v>2084</v>
      </c>
      <c r="E77" s="876">
        <v>379</v>
      </c>
      <c r="F77" s="722">
        <v>221.46808799999999</v>
      </c>
      <c r="G77" s="988">
        <v>45349</v>
      </c>
      <c r="H77" s="756"/>
      <c r="I77" s="878"/>
    </row>
    <row r="78" spans="1:9">
      <c r="A78" s="545">
        <f>MAX($A$10:A77)+1</f>
        <v>69</v>
      </c>
      <c r="B78" s="716" t="s">
        <v>1799</v>
      </c>
      <c r="C78" s="875" t="s">
        <v>2087</v>
      </c>
      <c r="D78" s="520" t="s">
        <v>2088</v>
      </c>
      <c r="E78" s="876">
        <v>379</v>
      </c>
      <c r="F78" s="722">
        <v>221.46808799999999</v>
      </c>
      <c r="G78" s="988">
        <v>45349</v>
      </c>
      <c r="H78" s="756"/>
      <c r="I78" s="878"/>
    </row>
    <row r="79" spans="1:9">
      <c r="A79" s="545">
        <f>MAX($A$10:A78)+1</f>
        <v>70</v>
      </c>
      <c r="B79" s="716" t="s">
        <v>1799</v>
      </c>
      <c r="C79" s="875" t="s">
        <v>2085</v>
      </c>
      <c r="D79" s="520" t="s">
        <v>2086</v>
      </c>
      <c r="E79" s="876">
        <v>379</v>
      </c>
      <c r="F79" s="722">
        <v>221.91525799999999</v>
      </c>
      <c r="G79" s="988">
        <v>45349</v>
      </c>
      <c r="H79" s="756"/>
      <c r="I79" s="878"/>
    </row>
    <row r="80" spans="1:9">
      <c r="A80" s="545">
        <f>MAX($A$10:A79)+1</f>
        <v>71</v>
      </c>
      <c r="B80" s="716" t="s">
        <v>1799</v>
      </c>
      <c r="C80" s="875" t="s">
        <v>2269</v>
      </c>
      <c r="D80" s="520" t="s">
        <v>2270</v>
      </c>
      <c r="E80" s="876">
        <v>379</v>
      </c>
      <c r="F80" s="722"/>
      <c r="G80" s="988"/>
      <c r="H80" s="756">
        <v>150000</v>
      </c>
      <c r="I80" s="878">
        <v>45930</v>
      </c>
    </row>
    <row r="81" spans="1:9">
      <c r="A81" s="545">
        <f>MAX($A$10:A80)+1</f>
        <v>72</v>
      </c>
      <c r="B81" s="716" t="s">
        <v>1799</v>
      </c>
      <c r="C81" s="875" t="s">
        <v>2271</v>
      </c>
      <c r="D81" s="520" t="s">
        <v>2272</v>
      </c>
      <c r="E81" s="876">
        <v>379</v>
      </c>
      <c r="F81" s="722"/>
      <c r="G81" s="988"/>
      <c r="H81" s="756">
        <v>200000</v>
      </c>
      <c r="I81" s="878">
        <v>45930</v>
      </c>
    </row>
    <row r="82" spans="1:9">
      <c r="A82" s="545">
        <f>MAX($A$10:A81)+1</f>
        <v>73</v>
      </c>
      <c r="B82" s="716" t="s">
        <v>1799</v>
      </c>
      <c r="C82" s="875" t="s">
        <v>1836</v>
      </c>
      <c r="D82" s="520" t="s">
        <v>1837</v>
      </c>
      <c r="E82" s="699">
        <v>380.3</v>
      </c>
      <c r="F82" s="722">
        <v>3125.5421980000001</v>
      </c>
      <c r="G82" s="988">
        <v>45657</v>
      </c>
      <c r="H82" s="756">
        <v>2553.7090389999998</v>
      </c>
      <c r="I82" s="878">
        <v>46022</v>
      </c>
    </row>
    <row r="83" spans="1:9">
      <c r="A83" s="545">
        <f>MAX($A$10:A82)+1</f>
        <v>74</v>
      </c>
      <c r="B83" s="716" t="s">
        <v>1799</v>
      </c>
      <c r="C83" s="875" t="s">
        <v>1892</v>
      </c>
      <c r="D83" s="520" t="s">
        <v>1893</v>
      </c>
      <c r="E83" s="699">
        <v>380.3</v>
      </c>
      <c r="F83" s="722">
        <v>4289.5506019999993</v>
      </c>
      <c r="G83" s="988">
        <v>45657</v>
      </c>
      <c r="H83" s="756">
        <v>4168.1351879999993</v>
      </c>
      <c r="I83" s="878">
        <v>46022</v>
      </c>
    </row>
    <row r="84" spans="1:9">
      <c r="A84" s="545">
        <f>MAX($A$10:A83)+1</f>
        <v>75</v>
      </c>
      <c r="B84" s="716" t="s">
        <v>1799</v>
      </c>
      <c r="C84" s="875" t="s">
        <v>1876</v>
      </c>
      <c r="D84" s="520" t="s">
        <v>1877</v>
      </c>
      <c r="E84" s="699">
        <v>380.3</v>
      </c>
      <c r="F84" s="722">
        <v>4839.8499900000006</v>
      </c>
      <c r="G84" s="988">
        <v>45657</v>
      </c>
      <c r="H84" s="756">
        <v>4582.0449600000011</v>
      </c>
      <c r="I84" s="878">
        <v>46022</v>
      </c>
    </row>
    <row r="85" spans="1:9">
      <c r="A85" s="545">
        <f>MAX($A$10:A84)+1</f>
        <v>76</v>
      </c>
      <c r="B85" s="716" t="s">
        <v>1799</v>
      </c>
      <c r="C85" s="875" t="s">
        <v>1868</v>
      </c>
      <c r="D85" s="520" t="s">
        <v>1869</v>
      </c>
      <c r="E85" s="699">
        <v>380.3</v>
      </c>
      <c r="F85" s="722">
        <v>6139.8967279999997</v>
      </c>
      <c r="G85" s="988">
        <v>45657</v>
      </c>
      <c r="H85" s="756">
        <v>4584.6837239999995</v>
      </c>
      <c r="I85" s="878">
        <v>46022</v>
      </c>
    </row>
    <row r="86" spans="1:9">
      <c r="A86" s="545">
        <f>MAX($A$10:A85)+1</f>
        <v>77</v>
      </c>
      <c r="B86" s="716" t="s">
        <v>1799</v>
      </c>
      <c r="C86" s="875" t="s">
        <v>1828</v>
      </c>
      <c r="D86" s="520" t="s">
        <v>1829</v>
      </c>
      <c r="E86" s="699">
        <v>380.3</v>
      </c>
      <c r="F86" s="722">
        <v>11139.219525999999</v>
      </c>
      <c r="G86" s="988">
        <v>45657</v>
      </c>
      <c r="H86" s="756">
        <v>8642.9280369999997</v>
      </c>
      <c r="I86" s="878">
        <v>46022</v>
      </c>
    </row>
    <row r="87" spans="1:9">
      <c r="A87" s="545">
        <f>MAX($A$10:A86)+1</f>
        <v>78</v>
      </c>
      <c r="B87" s="716" t="s">
        <v>1799</v>
      </c>
      <c r="C87" s="875" t="s">
        <v>1884</v>
      </c>
      <c r="D87" s="520" t="s">
        <v>1885</v>
      </c>
      <c r="E87" s="699">
        <v>380.3</v>
      </c>
      <c r="F87" s="722">
        <v>11173.056004</v>
      </c>
      <c r="G87" s="988">
        <v>45657</v>
      </c>
      <c r="H87" s="756">
        <v>10051.959323999999</v>
      </c>
      <c r="I87" s="878">
        <v>46022</v>
      </c>
    </row>
    <row r="88" spans="1:9">
      <c r="A88" s="545">
        <f>MAX($A$10:A87)+1</f>
        <v>79</v>
      </c>
      <c r="B88" s="716" t="s">
        <v>1799</v>
      </c>
      <c r="C88" s="875" t="s">
        <v>1852</v>
      </c>
      <c r="D88" s="520" t="s">
        <v>1853</v>
      </c>
      <c r="E88" s="699">
        <v>380.3</v>
      </c>
      <c r="F88" s="722">
        <v>13629.895573999998</v>
      </c>
      <c r="G88" s="988">
        <v>45657</v>
      </c>
      <c r="H88" s="756">
        <v>12809.672387999999</v>
      </c>
      <c r="I88" s="878">
        <v>46022</v>
      </c>
    </row>
    <row r="89" spans="1:9">
      <c r="A89" s="545">
        <f>MAX($A$10:A88)+1</f>
        <v>80</v>
      </c>
      <c r="B89" s="716" t="s">
        <v>1799</v>
      </c>
      <c r="C89" s="875" t="s">
        <v>1860</v>
      </c>
      <c r="D89" s="520" t="s">
        <v>1861</v>
      </c>
      <c r="E89" s="699">
        <v>380.3</v>
      </c>
      <c r="F89" s="722">
        <v>16351.522941000007</v>
      </c>
      <c r="G89" s="988">
        <v>45657</v>
      </c>
      <c r="H89" s="756">
        <v>12274.844160000001</v>
      </c>
      <c r="I89" s="878">
        <v>46022</v>
      </c>
    </row>
    <row r="90" spans="1:9">
      <c r="A90" s="545">
        <f>MAX($A$10:A89)+1</f>
        <v>81</v>
      </c>
      <c r="B90" s="716" t="s">
        <v>1799</v>
      </c>
      <c r="C90" s="875" t="s">
        <v>1844</v>
      </c>
      <c r="D90" s="520" t="s">
        <v>1845</v>
      </c>
      <c r="E90" s="699">
        <v>380.3</v>
      </c>
      <c r="F90" s="722">
        <v>15256.294815000003</v>
      </c>
      <c r="G90" s="988">
        <v>45657</v>
      </c>
      <c r="H90" s="756">
        <v>14181.624523000002</v>
      </c>
      <c r="I90" s="878">
        <v>46022</v>
      </c>
    </row>
    <row r="91" spans="1:9">
      <c r="A91" s="545">
        <f>MAX($A$10:A90)+1</f>
        <v>82</v>
      </c>
      <c r="B91" s="716" t="s">
        <v>1799</v>
      </c>
      <c r="C91" s="875" t="s">
        <v>1916</v>
      </c>
      <c r="D91" s="520" t="s">
        <v>1917</v>
      </c>
      <c r="E91" s="699">
        <v>380.3</v>
      </c>
      <c r="F91" s="722">
        <v>18139.428</v>
      </c>
      <c r="G91" s="988">
        <v>45657</v>
      </c>
      <c r="H91" s="756">
        <v>44116.547500000001</v>
      </c>
      <c r="I91" s="878">
        <v>46022</v>
      </c>
    </row>
    <row r="92" spans="1:9">
      <c r="A92" s="545">
        <f>MAX($A$10:A91)+1</f>
        <v>83</v>
      </c>
      <c r="B92" s="716" t="s">
        <v>1799</v>
      </c>
      <c r="C92" s="875" t="s">
        <v>1898</v>
      </c>
      <c r="D92" s="520" t="s">
        <v>1899</v>
      </c>
      <c r="E92" s="699">
        <v>380.3</v>
      </c>
      <c r="F92" s="722">
        <v>169712.78248600001</v>
      </c>
      <c r="G92" s="988">
        <v>45657</v>
      </c>
      <c r="H92" s="756">
        <v>193213.217749</v>
      </c>
      <c r="I92" s="878">
        <v>46022</v>
      </c>
    </row>
    <row r="93" spans="1:9">
      <c r="A93" s="545">
        <f>MAX($A$10:A92)+1</f>
        <v>84</v>
      </c>
      <c r="B93" s="716" t="s">
        <v>1799</v>
      </c>
      <c r="C93" s="875" t="s">
        <v>1934</v>
      </c>
      <c r="D93" s="520" t="s">
        <v>1935</v>
      </c>
      <c r="E93" s="876">
        <v>385</v>
      </c>
      <c r="F93" s="722">
        <v>2932.3749000000003</v>
      </c>
      <c r="G93" s="988">
        <v>45657</v>
      </c>
      <c r="H93" s="756">
        <v>2926.8097080000007</v>
      </c>
      <c r="I93" s="878">
        <v>46022</v>
      </c>
    </row>
    <row r="94" spans="1:9">
      <c r="A94" s="545">
        <f>MAX($A$10:A93)+1</f>
        <v>85</v>
      </c>
      <c r="B94" s="716" t="s">
        <v>2096</v>
      </c>
      <c r="C94" s="875" t="s">
        <v>2232</v>
      </c>
      <c r="D94" s="520" t="s">
        <v>2233</v>
      </c>
      <c r="E94" s="699">
        <v>390.1</v>
      </c>
      <c r="F94" s="722">
        <v>338.05746300000004</v>
      </c>
      <c r="G94" s="988">
        <v>45322</v>
      </c>
      <c r="H94" s="756"/>
      <c r="I94" s="878"/>
    </row>
    <row r="95" spans="1:9">
      <c r="A95" s="545">
        <f>MAX($A$10:A94)+1</f>
        <v>86</v>
      </c>
      <c r="B95" s="716" t="s">
        <v>2096</v>
      </c>
      <c r="C95" s="875" t="s">
        <v>2135</v>
      </c>
      <c r="D95" s="520" t="s">
        <v>2136</v>
      </c>
      <c r="E95" s="699">
        <v>390.1</v>
      </c>
      <c r="F95" s="722">
        <v>18724.080000000002</v>
      </c>
      <c r="G95" s="988">
        <v>45657</v>
      </c>
      <c r="H95" s="756"/>
      <c r="I95" s="878"/>
    </row>
    <row r="96" spans="1:9">
      <c r="A96" s="545">
        <f>MAX($A$10:A95)+1</f>
        <v>87</v>
      </c>
      <c r="B96" s="716" t="s">
        <v>2096</v>
      </c>
      <c r="C96" s="875" t="s">
        <v>2230</v>
      </c>
      <c r="D96" s="520" t="s">
        <v>2231</v>
      </c>
      <c r="E96" s="699">
        <v>391.3</v>
      </c>
      <c r="F96" s="722">
        <v>475.4844631854001</v>
      </c>
      <c r="G96" s="988">
        <v>45352</v>
      </c>
      <c r="H96" s="756"/>
      <c r="I96" s="878"/>
    </row>
    <row r="97" spans="1:9">
      <c r="A97" s="545">
        <f>MAX($A$10:A96)+1</f>
        <v>88</v>
      </c>
      <c r="B97" s="716" t="s">
        <v>2096</v>
      </c>
      <c r="C97" s="875" t="s">
        <v>2107</v>
      </c>
      <c r="D97" s="520" t="s">
        <v>2108</v>
      </c>
      <c r="E97" s="699">
        <v>391.5</v>
      </c>
      <c r="F97" s="722">
        <v>3519.0987650000002</v>
      </c>
      <c r="G97" s="988">
        <v>45657</v>
      </c>
      <c r="H97" s="756">
        <v>5330.1684520000008</v>
      </c>
      <c r="I97" s="878">
        <v>46022</v>
      </c>
    </row>
    <row r="98" spans="1:9">
      <c r="A98" s="545">
        <f>MAX($A$10:A97)+1</f>
        <v>89</v>
      </c>
      <c r="B98" s="716" t="s">
        <v>2096</v>
      </c>
      <c r="C98" s="875" t="s">
        <v>2101</v>
      </c>
      <c r="D98" s="520" t="s">
        <v>2102</v>
      </c>
      <c r="E98" s="699">
        <v>392.2</v>
      </c>
      <c r="F98" s="722">
        <v>-192164.69149000003</v>
      </c>
      <c r="G98" s="988">
        <v>45657</v>
      </c>
      <c r="H98" s="756">
        <v>-125577.09600000001</v>
      </c>
      <c r="I98" s="878">
        <v>46022</v>
      </c>
    </row>
    <row r="99" spans="1:9">
      <c r="A99" s="545">
        <f>MAX($A$10:A98)+1</f>
        <v>90</v>
      </c>
      <c r="B99" s="716" t="s">
        <v>2096</v>
      </c>
      <c r="C99" s="875" t="s">
        <v>2097</v>
      </c>
      <c r="D99" s="520" t="s">
        <v>2098</v>
      </c>
      <c r="E99" s="699">
        <v>396.2</v>
      </c>
      <c r="F99" s="722">
        <v>-3398310.1337099997</v>
      </c>
      <c r="G99" s="988">
        <v>45657</v>
      </c>
      <c r="H99" s="756">
        <v>-1741999.35</v>
      </c>
      <c r="I99" s="878">
        <v>46022</v>
      </c>
    </row>
    <row r="100" spans="1:9">
      <c r="A100" s="545">
        <f>MAX($A$10:A99)+1</f>
        <v>91</v>
      </c>
      <c r="B100" s="716" t="s">
        <v>2096</v>
      </c>
      <c r="C100" s="875" t="s">
        <v>2133</v>
      </c>
      <c r="D100" s="520" t="s">
        <v>2134</v>
      </c>
      <c r="E100" s="699">
        <v>397.1</v>
      </c>
      <c r="F100" s="722">
        <v>600</v>
      </c>
      <c r="G100" s="988">
        <v>45536</v>
      </c>
      <c r="H100" s="756">
        <v>600</v>
      </c>
      <c r="I100" s="878">
        <v>46022</v>
      </c>
    </row>
    <row r="101" spans="1:9" ht="15.75" thickBot="1">
      <c r="A101" s="545">
        <f>MAX($A$10:A100)+1</f>
        <v>92</v>
      </c>
      <c r="E101" s="520" t="s">
        <v>200</v>
      </c>
      <c r="F101" s="989">
        <f>ROUND(SUM(F10:F100),2)</f>
        <v>-1530560.75</v>
      </c>
      <c r="H101" s="877">
        <f>ROUND(SUM(H10:H100),2)</f>
        <v>590288.46</v>
      </c>
    </row>
    <row r="102" spans="1:9" ht="15.75" thickTop="1"/>
    <row r="106" spans="1:9">
      <c r="F106" s="722"/>
      <c r="H106" s="756"/>
    </row>
  </sheetData>
  <pageMargins left="0.7" right="0.7" top="0.75" bottom="0.75" header="0.3" footer="0.3"/>
  <pageSetup scale="64" orientation="portrait" horizontalDpi="1200" verticalDpi="1200" r:id="rId1"/>
  <headerFooter>
    <oddHeader>&amp;RPage &amp;P of &amp;N</oddHeader>
    <oddFooter>&amp;L&amp;A</oddFooter>
  </headerFooter>
  <rowBreaks count="1" manualBreakCount="1">
    <brk id="51"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96"/>
  <sheetViews>
    <sheetView view="pageBreakPreview" topLeftCell="AK1" zoomScale="60" zoomScaleNormal="100" workbookViewId="0">
      <selection activeCell="AK32" sqref="A32:XFD32"/>
    </sheetView>
  </sheetViews>
  <sheetFormatPr defaultColWidth="9.140625" defaultRowHeight="15"/>
  <cols>
    <col min="1" max="1" width="9.42578125" style="323" bestFit="1" customWidth="1"/>
    <col min="2" max="2" width="42.28515625" style="53" bestFit="1" customWidth="1"/>
    <col min="3" max="3" width="9.140625" style="53"/>
    <col min="4" max="4" width="4.5703125" style="53" customWidth="1"/>
    <col min="5" max="9" width="9.140625" style="53"/>
    <col min="10" max="10" width="21.28515625" style="53" bestFit="1" customWidth="1"/>
    <col min="11" max="12" width="20.42578125" style="53" bestFit="1" customWidth="1"/>
    <col min="13" max="13" width="21.85546875" style="53" bestFit="1" customWidth="1"/>
    <col min="14" max="14" width="20.42578125" style="53" bestFit="1" customWidth="1"/>
    <col min="15" max="15" width="19.85546875" style="53" bestFit="1" customWidth="1"/>
    <col min="16" max="16" width="21.28515625" style="53" bestFit="1" customWidth="1"/>
    <col min="17" max="18" width="20.42578125" style="53" bestFit="1" customWidth="1"/>
    <col min="19" max="19" width="20.5703125" style="53" bestFit="1" customWidth="1"/>
    <col min="20" max="21" width="19.85546875" style="53" bestFit="1" customWidth="1"/>
    <col min="22" max="22" width="20.42578125" style="53" bestFit="1" customWidth="1"/>
    <col min="23" max="23" width="19.85546875" style="53" bestFit="1" customWidth="1"/>
    <col min="24" max="24" width="20.42578125" style="53" bestFit="1" customWidth="1"/>
    <col min="25" max="25" width="21.85546875" style="53" bestFit="1" customWidth="1"/>
    <col min="26" max="27" width="20.42578125" style="53" bestFit="1" customWidth="1"/>
    <col min="28" max="28" width="20.5703125" style="53" bestFit="1" customWidth="1"/>
    <col min="29" max="30" width="20.42578125" style="53" bestFit="1" customWidth="1"/>
    <col min="31" max="31" width="20.5703125" style="53" bestFit="1" customWidth="1"/>
    <col min="32" max="32" width="19.42578125" style="53" bestFit="1" customWidth="1"/>
    <col min="33" max="34" width="19.85546875" style="53" bestFit="1" customWidth="1"/>
    <col min="35" max="36" width="20.42578125" style="53" bestFit="1" customWidth="1"/>
    <col min="37" max="37" width="21.85546875" style="53" bestFit="1" customWidth="1"/>
    <col min="38" max="38" width="19.85546875" style="53" bestFit="1" customWidth="1"/>
    <col min="39" max="39" width="20.42578125" style="53" bestFit="1" customWidth="1"/>
    <col min="40" max="40" width="21.28515625" style="53" bestFit="1" customWidth="1"/>
    <col min="41" max="41" width="20.42578125" style="53" bestFit="1" customWidth="1"/>
    <col min="42" max="42" width="19.85546875" style="53" bestFit="1" customWidth="1"/>
    <col min="43" max="43" width="21.28515625" style="53" bestFit="1" customWidth="1"/>
    <col min="44" max="44" width="19.85546875" style="53" bestFit="1" customWidth="1"/>
    <col min="45" max="45" width="19.42578125" style="53" bestFit="1" customWidth="1"/>
    <col min="46" max="46" width="21.85546875" style="53" bestFit="1" customWidth="1"/>
    <col min="47" max="47" width="20.42578125" style="53" bestFit="1" customWidth="1"/>
    <col min="48" max="48" width="19.85546875" style="53" bestFit="1" customWidth="1"/>
    <col min="49" max="49" width="20.5703125" style="53" bestFit="1" customWidth="1"/>
    <col min="50" max="51" width="17.5703125" style="53" bestFit="1" customWidth="1"/>
    <col min="52" max="52" width="9.140625" style="53"/>
    <col min="53" max="53" width="15.28515625" style="53" bestFit="1" customWidth="1"/>
    <col min="54" max="16384" width="9.140625" style="53"/>
  </cols>
  <sheetData>
    <row r="1" spans="1:51">
      <c r="B1" s="91"/>
      <c r="C1" s="427" t="str">
        <f>Company</f>
        <v>Cascade Natural Gas Corp.</v>
      </c>
      <c r="G1" s="91"/>
      <c r="H1" s="91"/>
      <c r="I1" s="91"/>
      <c r="J1" s="91"/>
      <c r="K1" s="91"/>
      <c r="Q1" s="427" t="str">
        <f>Company</f>
        <v>Cascade Natural Gas Corp.</v>
      </c>
      <c r="R1" s="91"/>
      <c r="S1" s="91"/>
      <c r="T1" s="91"/>
      <c r="U1" s="91"/>
      <c r="V1" s="91"/>
      <c r="W1" s="91"/>
      <c r="X1" s="91"/>
      <c r="Y1" s="91"/>
      <c r="Z1" s="427" t="str">
        <f>Company</f>
        <v>Cascade Natural Gas Corp.</v>
      </c>
      <c r="AA1" s="124"/>
      <c r="AB1" s="1402"/>
      <c r="AC1" s="1402"/>
      <c r="AD1" s="1402"/>
      <c r="AE1" s="1402"/>
      <c r="AF1" s="1402"/>
      <c r="AG1" s="1402"/>
      <c r="AH1" s="1402"/>
      <c r="AI1" s="1402"/>
      <c r="AJ1" s="1402"/>
      <c r="AK1" s="91"/>
      <c r="AL1" s="427" t="str">
        <f>Company</f>
        <v>Cascade Natural Gas Corp.</v>
      </c>
      <c r="AM1" s="91"/>
      <c r="AN1" s="91"/>
      <c r="AO1" s="91"/>
      <c r="AP1" s="91"/>
      <c r="AQ1" s="91"/>
      <c r="AR1" s="91"/>
      <c r="AS1" s="91"/>
      <c r="AT1" s="91"/>
      <c r="AU1" s="91"/>
      <c r="AV1" s="427" t="str">
        <f>Company</f>
        <v>Cascade Natural Gas Corp.</v>
      </c>
      <c r="AW1" s="91"/>
      <c r="AX1" s="91"/>
      <c r="AY1" s="91"/>
    </row>
    <row r="2" spans="1:51">
      <c r="B2" s="91"/>
      <c r="C2" s="427" t="str">
        <f>Title1</f>
        <v>Washington Jurisdiction</v>
      </c>
      <c r="G2" s="91"/>
      <c r="H2" s="91"/>
      <c r="I2" s="91"/>
      <c r="J2" s="91"/>
      <c r="K2" s="91"/>
      <c r="Q2" s="427" t="str">
        <f>Title1</f>
        <v>Washington Jurisdiction</v>
      </c>
      <c r="R2" s="427"/>
      <c r="S2" s="427"/>
      <c r="T2" s="427"/>
      <c r="U2" s="427"/>
      <c r="V2" s="91"/>
      <c r="W2" s="91"/>
      <c r="X2" s="91"/>
      <c r="Y2" s="91"/>
      <c r="Z2" s="427" t="str">
        <f>Title1</f>
        <v>Washington Jurisdiction</v>
      </c>
      <c r="AA2" s="124"/>
      <c r="AB2" s="427"/>
      <c r="AC2" s="427"/>
      <c r="AD2" s="427"/>
      <c r="AE2" s="427"/>
      <c r="AF2" s="427"/>
      <c r="AG2" s="427"/>
      <c r="AH2" s="427"/>
      <c r="AI2" s="427"/>
      <c r="AJ2" s="427"/>
      <c r="AK2" s="427"/>
      <c r="AL2" s="427" t="str">
        <f>Title1</f>
        <v>Washington Jurisdiction</v>
      </c>
      <c r="AM2" s="427"/>
      <c r="AN2" s="427"/>
      <c r="AO2" s="427"/>
      <c r="AP2" s="427"/>
      <c r="AQ2" s="427"/>
      <c r="AR2" s="427"/>
      <c r="AS2" s="427"/>
      <c r="AT2" s="427"/>
      <c r="AU2" s="427"/>
      <c r="AV2" s="427" t="str">
        <f>Title1</f>
        <v>Washington Jurisdiction</v>
      </c>
      <c r="AW2" s="427"/>
      <c r="AX2" s="427"/>
      <c r="AY2" s="427"/>
    </row>
    <row r="3" spans="1:51">
      <c r="C3" s="427" t="str">
        <f>Title2</f>
        <v>Twelve-Months ended December 31, 2023</v>
      </c>
      <c r="G3" s="91"/>
      <c r="H3" s="91"/>
      <c r="I3" s="91"/>
      <c r="J3" s="91"/>
      <c r="Q3" s="427" t="str">
        <f>Title2</f>
        <v>Twelve-Months ended December 31, 2023</v>
      </c>
      <c r="R3" s="91"/>
      <c r="S3" s="91"/>
      <c r="T3" s="91"/>
      <c r="U3" s="91"/>
      <c r="V3" s="91"/>
      <c r="W3" s="91"/>
      <c r="X3" s="91"/>
      <c r="Z3" s="427" t="str">
        <f>Title2</f>
        <v>Twelve-Months ended December 31, 2023</v>
      </c>
      <c r="AA3" s="124"/>
      <c r="AB3" s="1402"/>
      <c r="AC3" s="1402"/>
      <c r="AD3" s="1402"/>
      <c r="AE3" s="1402"/>
      <c r="AF3" s="1402"/>
      <c r="AG3" s="1402"/>
      <c r="AH3" s="1402"/>
      <c r="AI3" s="1402"/>
      <c r="AJ3" s="1402"/>
      <c r="AK3" s="91"/>
      <c r="AL3" s="427" t="str">
        <f>Title2</f>
        <v>Twelve-Months ended December 31, 2023</v>
      </c>
      <c r="AM3" s="91"/>
      <c r="AN3" s="91"/>
      <c r="AO3" s="91"/>
      <c r="AP3" s="91"/>
      <c r="AQ3" s="91"/>
      <c r="AR3" s="91"/>
      <c r="AS3" s="91"/>
      <c r="AT3" s="91"/>
      <c r="AU3" s="91"/>
      <c r="AV3" s="427" t="str">
        <f>Title2</f>
        <v>Twelve-Months ended December 31, 2023</v>
      </c>
      <c r="AW3" s="91"/>
      <c r="AX3" s="91"/>
      <c r="AY3" s="91"/>
    </row>
    <row r="4" spans="1:51">
      <c r="C4" s="427" t="str">
        <f>Title8</f>
        <v>UG-240008</v>
      </c>
      <c r="G4" s="91"/>
      <c r="H4" s="91"/>
      <c r="I4" s="91"/>
      <c r="J4" s="91"/>
      <c r="K4" s="124"/>
      <c r="Q4" s="427" t="str">
        <f>Title8</f>
        <v>UG-240008</v>
      </c>
      <c r="R4" s="91"/>
      <c r="S4" s="91"/>
      <c r="T4" s="91"/>
      <c r="U4" s="91"/>
      <c r="V4" s="91"/>
      <c r="W4" s="91"/>
      <c r="X4" s="91"/>
      <c r="Y4" s="124"/>
      <c r="Z4" s="427" t="str">
        <f>Title8</f>
        <v>UG-240008</v>
      </c>
      <c r="AA4" s="124"/>
      <c r="AB4" s="1402"/>
      <c r="AC4" s="1402"/>
      <c r="AD4" s="1402"/>
      <c r="AE4" s="1402"/>
      <c r="AF4" s="1402"/>
      <c r="AG4" s="1402"/>
      <c r="AH4" s="1402"/>
      <c r="AI4" s="1402"/>
      <c r="AJ4" s="1402"/>
      <c r="AK4" s="91"/>
      <c r="AL4" s="427" t="str">
        <f>Title8</f>
        <v>UG-240008</v>
      </c>
      <c r="AM4" s="91"/>
      <c r="AN4" s="91"/>
      <c r="AO4" s="91"/>
      <c r="AP4" s="91"/>
      <c r="AQ4" s="91"/>
      <c r="AR4" s="91"/>
      <c r="AS4" s="91"/>
      <c r="AT4" s="91"/>
      <c r="AU4" s="91"/>
      <c r="AV4" s="427" t="str">
        <f>Title8</f>
        <v>UG-240008</v>
      </c>
      <c r="AW4" s="91"/>
      <c r="AX4" s="91"/>
      <c r="AY4" s="91"/>
    </row>
    <row r="5" spans="1:51">
      <c r="C5" s="427" t="s">
        <v>714</v>
      </c>
      <c r="G5" s="91"/>
      <c r="H5" s="91"/>
      <c r="I5" s="91"/>
      <c r="J5" s="91"/>
      <c r="K5" s="124"/>
      <c r="Q5" s="427" t="s">
        <v>714</v>
      </c>
      <c r="R5" s="91"/>
      <c r="S5" s="91"/>
      <c r="T5" s="91"/>
      <c r="U5" s="91"/>
      <c r="V5" s="91"/>
      <c r="W5" s="91"/>
      <c r="X5" s="91"/>
      <c r="Y5" s="124"/>
      <c r="Z5" s="427" t="s">
        <v>714</v>
      </c>
      <c r="AA5" s="124"/>
      <c r="AB5" s="1402"/>
      <c r="AC5" s="1402"/>
      <c r="AD5" s="1402"/>
      <c r="AE5" s="1402"/>
      <c r="AF5" s="1402"/>
      <c r="AG5" s="1402"/>
      <c r="AH5" s="1402"/>
      <c r="AI5" s="1402"/>
      <c r="AJ5" s="1402"/>
      <c r="AK5" s="91"/>
      <c r="AL5" s="427" t="s">
        <v>714</v>
      </c>
      <c r="AM5" s="91"/>
      <c r="AN5" s="91"/>
      <c r="AO5" s="91"/>
      <c r="AP5" s="91"/>
      <c r="AQ5" s="91"/>
      <c r="AR5" s="91"/>
      <c r="AS5" s="91"/>
      <c r="AT5" s="91"/>
      <c r="AU5" s="91"/>
      <c r="AV5" s="427" t="s">
        <v>714</v>
      </c>
      <c r="AW5" s="91"/>
      <c r="AX5" s="91"/>
      <c r="AY5" s="91"/>
    </row>
    <row r="6" spans="1:51">
      <c r="B6" s="91"/>
      <c r="C6" s="427" t="s">
        <v>713</v>
      </c>
      <c r="G6" s="91"/>
      <c r="H6" s="91"/>
      <c r="I6" s="91"/>
      <c r="J6" s="91"/>
      <c r="K6" s="91"/>
      <c r="Q6" s="427" t="s">
        <v>713</v>
      </c>
      <c r="R6" s="91"/>
      <c r="S6" s="91"/>
      <c r="T6" s="91"/>
      <c r="U6" s="91"/>
      <c r="V6" s="91"/>
      <c r="W6" s="91"/>
      <c r="X6" s="91"/>
      <c r="Y6" s="91"/>
      <c r="Z6" s="427" t="s">
        <v>713</v>
      </c>
      <c r="AA6" s="124"/>
      <c r="AB6" s="1402"/>
      <c r="AC6" s="1402"/>
      <c r="AD6" s="1402"/>
      <c r="AE6" s="1402"/>
      <c r="AF6" s="1402"/>
      <c r="AG6" s="1402"/>
      <c r="AH6" s="1402"/>
      <c r="AI6" s="1402"/>
      <c r="AJ6" s="1402"/>
      <c r="AK6" s="91"/>
      <c r="AL6" s="427" t="s">
        <v>713</v>
      </c>
      <c r="AM6" s="91"/>
      <c r="AN6" s="91"/>
      <c r="AO6" s="91"/>
      <c r="AP6" s="91"/>
      <c r="AQ6" s="91"/>
      <c r="AR6" s="91"/>
      <c r="AS6" s="91"/>
      <c r="AT6" s="91"/>
      <c r="AU6" s="91"/>
      <c r="AV6" s="427" t="s">
        <v>713</v>
      </c>
      <c r="AW6" s="91"/>
      <c r="AX6" s="91"/>
      <c r="AY6" s="91"/>
    </row>
    <row r="9" spans="1:51" s="323" customFormat="1" ht="15.75" thickBot="1">
      <c r="A9" s="323" t="s">
        <v>504</v>
      </c>
      <c r="B9" s="429" t="s">
        <v>439</v>
      </c>
      <c r="C9" s="429" t="s">
        <v>208</v>
      </c>
      <c r="D9" s="429"/>
      <c r="E9" s="429" t="s">
        <v>209</v>
      </c>
      <c r="F9" s="429" t="s">
        <v>440</v>
      </c>
      <c r="G9" s="429" t="s">
        <v>441</v>
      </c>
      <c r="H9" s="429" t="s">
        <v>442</v>
      </c>
      <c r="I9" s="429" t="s">
        <v>443</v>
      </c>
      <c r="J9" s="429" t="s">
        <v>444</v>
      </c>
      <c r="K9" s="429" t="s">
        <v>445</v>
      </c>
      <c r="L9" s="429" t="s">
        <v>446</v>
      </c>
      <c r="M9" s="429" t="s">
        <v>447</v>
      </c>
      <c r="N9" s="429" t="s">
        <v>2273</v>
      </c>
      <c r="O9" s="429" t="s">
        <v>449</v>
      </c>
      <c r="P9" s="429" t="s">
        <v>450</v>
      </c>
      <c r="Q9" s="429" t="s">
        <v>451</v>
      </c>
      <c r="R9" s="429" t="s">
        <v>452</v>
      </c>
      <c r="S9" s="429" t="s">
        <v>1502</v>
      </c>
      <c r="T9" s="429" t="s">
        <v>1503</v>
      </c>
      <c r="U9" s="429" t="s">
        <v>1504</v>
      </c>
      <c r="V9" s="429" t="s">
        <v>1505</v>
      </c>
      <c r="W9" s="429" t="s">
        <v>1506</v>
      </c>
      <c r="X9" s="429" t="s">
        <v>1507</v>
      </c>
      <c r="Y9" s="429" t="s">
        <v>1508</v>
      </c>
      <c r="Z9" s="429" t="s">
        <v>1509</v>
      </c>
      <c r="AA9" s="429" t="s">
        <v>1510</v>
      </c>
      <c r="AB9" s="429" t="s">
        <v>1511</v>
      </c>
      <c r="AC9" s="429" t="s">
        <v>1512</v>
      </c>
      <c r="AD9" s="429" t="s">
        <v>1513</v>
      </c>
      <c r="AE9" s="429" t="s">
        <v>1514</v>
      </c>
      <c r="AF9" s="429" t="s">
        <v>1515</v>
      </c>
      <c r="AG9" s="429" t="s">
        <v>2274</v>
      </c>
      <c r="AH9" s="429" t="s">
        <v>2275</v>
      </c>
      <c r="AI9" s="429" t="s">
        <v>2276</v>
      </c>
      <c r="AJ9" s="429" t="s">
        <v>2277</v>
      </c>
      <c r="AK9" s="429" t="s">
        <v>2278</v>
      </c>
      <c r="AL9" s="429" t="s">
        <v>2279</v>
      </c>
      <c r="AM9" s="429" t="s">
        <v>2280</v>
      </c>
      <c r="AN9" s="429" t="s">
        <v>2281</v>
      </c>
      <c r="AO9" s="429" t="s">
        <v>2282</v>
      </c>
      <c r="AP9" s="429" t="s">
        <v>2283</v>
      </c>
      <c r="AQ9" s="429" t="s">
        <v>2284</v>
      </c>
      <c r="AR9" s="429" t="s">
        <v>2285</v>
      </c>
      <c r="AS9" s="429" t="s">
        <v>2286</v>
      </c>
      <c r="AT9" s="429" t="s">
        <v>2287</v>
      </c>
      <c r="AU9" s="429" t="s">
        <v>1679</v>
      </c>
      <c r="AV9" s="429" t="s">
        <v>2288</v>
      </c>
      <c r="AW9" s="429" t="s">
        <v>2289</v>
      </c>
      <c r="AX9" s="429" t="s">
        <v>2290</v>
      </c>
      <c r="AY9" s="429" t="s">
        <v>2291</v>
      </c>
    </row>
    <row r="10" spans="1:51">
      <c r="A10" s="449">
        <v>1</v>
      </c>
      <c r="B10" s="1481" t="s">
        <v>2292</v>
      </c>
      <c r="C10" s="1482"/>
      <c r="D10" s="1482"/>
      <c r="E10" s="1483"/>
      <c r="F10" s="1490" t="s">
        <v>2293</v>
      </c>
      <c r="G10" s="1490"/>
      <c r="H10" s="1490"/>
      <c r="I10" s="1491"/>
      <c r="J10" s="1029" t="s">
        <v>1512</v>
      </c>
      <c r="K10" s="1030" t="s">
        <v>2294</v>
      </c>
      <c r="L10" s="1031" t="s">
        <v>2295</v>
      </c>
      <c r="M10" s="1029" t="s">
        <v>1512</v>
      </c>
      <c r="N10" s="1030" t="s">
        <v>2294</v>
      </c>
      <c r="O10" s="1031" t="s">
        <v>2295</v>
      </c>
      <c r="P10" s="1029" t="s">
        <v>1512</v>
      </c>
      <c r="Q10" s="1030" t="s">
        <v>2294</v>
      </c>
      <c r="R10" s="1031" t="s">
        <v>2295</v>
      </c>
      <c r="S10" s="1029" t="s">
        <v>1512</v>
      </c>
      <c r="T10" s="1030" t="s">
        <v>2294</v>
      </c>
      <c r="U10" s="1031" t="s">
        <v>2295</v>
      </c>
      <c r="V10" s="1029" t="s">
        <v>1512</v>
      </c>
      <c r="W10" s="1030" t="s">
        <v>2294</v>
      </c>
      <c r="X10" s="1031" t="s">
        <v>2295</v>
      </c>
      <c r="Y10" s="1029" t="s">
        <v>1512</v>
      </c>
      <c r="Z10" s="1030" t="s">
        <v>2294</v>
      </c>
      <c r="AA10" s="1031" t="s">
        <v>2295</v>
      </c>
      <c r="AB10" s="1029" t="s">
        <v>1512</v>
      </c>
      <c r="AC10" s="1030" t="s">
        <v>2294</v>
      </c>
      <c r="AD10" s="1031" t="s">
        <v>2295</v>
      </c>
      <c r="AE10" s="1029" t="s">
        <v>1512</v>
      </c>
      <c r="AF10" s="1030" t="s">
        <v>2294</v>
      </c>
      <c r="AG10" s="1031" t="s">
        <v>2295</v>
      </c>
      <c r="AH10" s="1029" t="s">
        <v>1512</v>
      </c>
      <c r="AI10" s="1030" t="s">
        <v>2294</v>
      </c>
      <c r="AJ10" s="1031" t="s">
        <v>2295</v>
      </c>
      <c r="AK10" s="1029" t="s">
        <v>1512</v>
      </c>
      <c r="AL10" s="1030" t="s">
        <v>2294</v>
      </c>
      <c r="AM10" s="1031" t="s">
        <v>2295</v>
      </c>
      <c r="AN10" s="1029" t="s">
        <v>1512</v>
      </c>
      <c r="AO10" s="1030" t="s">
        <v>2294</v>
      </c>
      <c r="AP10" s="1031" t="s">
        <v>2295</v>
      </c>
      <c r="AQ10" s="1029" t="s">
        <v>1512</v>
      </c>
      <c r="AR10" s="1030" t="s">
        <v>2294</v>
      </c>
      <c r="AS10" s="1031" t="s">
        <v>2295</v>
      </c>
      <c r="AT10" s="1029" t="s">
        <v>1512</v>
      </c>
      <c r="AU10" s="1030" t="s">
        <v>2294</v>
      </c>
      <c r="AV10" s="1031" t="s">
        <v>2295</v>
      </c>
      <c r="AW10" s="1032" t="s">
        <v>2296</v>
      </c>
      <c r="AX10" s="1032" t="s">
        <v>639</v>
      </c>
      <c r="AY10" s="1032" t="s">
        <v>640</v>
      </c>
    </row>
    <row r="11" spans="1:51">
      <c r="A11" s="124">
        <f>MAX($A$8:A10)+1</f>
        <v>2</v>
      </c>
      <c r="B11" s="1484"/>
      <c r="C11" s="1485"/>
      <c r="D11" s="1485"/>
      <c r="E11" s="1486"/>
      <c r="F11" s="1492" t="s">
        <v>2297</v>
      </c>
      <c r="G11" s="1492"/>
      <c r="H11" s="1492"/>
      <c r="I11" s="1493"/>
      <c r="J11" s="1033" t="s">
        <v>2298</v>
      </c>
      <c r="K11" s="1032" t="s">
        <v>2298</v>
      </c>
      <c r="L11" s="1034" t="s">
        <v>2298</v>
      </c>
      <c r="M11" s="1033" t="s">
        <v>2299</v>
      </c>
      <c r="N11" s="1032" t="s">
        <v>2299</v>
      </c>
      <c r="O11" s="1034" t="s">
        <v>2299</v>
      </c>
      <c r="P11" s="1033" t="s">
        <v>2299</v>
      </c>
      <c r="Q11" s="1032" t="s">
        <v>2299</v>
      </c>
      <c r="R11" s="1034" t="s">
        <v>2299</v>
      </c>
      <c r="S11" s="1033" t="s">
        <v>2299</v>
      </c>
      <c r="T11" s="1032" t="s">
        <v>2299</v>
      </c>
      <c r="U11" s="1034" t="s">
        <v>2299</v>
      </c>
      <c r="V11" s="1033" t="s">
        <v>2299</v>
      </c>
      <c r="W11" s="1032" t="s">
        <v>2299</v>
      </c>
      <c r="X11" s="1034" t="s">
        <v>2299</v>
      </c>
      <c r="Y11" s="1033" t="s">
        <v>2299</v>
      </c>
      <c r="Z11" s="1032" t="s">
        <v>2299</v>
      </c>
      <c r="AA11" s="1034" t="s">
        <v>2299</v>
      </c>
      <c r="AB11" s="1033" t="s">
        <v>2299</v>
      </c>
      <c r="AC11" s="1032" t="s">
        <v>2299</v>
      </c>
      <c r="AD11" s="1034" t="s">
        <v>2299</v>
      </c>
      <c r="AE11" s="1033" t="s">
        <v>2299</v>
      </c>
      <c r="AF11" s="1032" t="s">
        <v>2299</v>
      </c>
      <c r="AG11" s="1034" t="s">
        <v>2299</v>
      </c>
      <c r="AH11" s="1033" t="s">
        <v>2299</v>
      </c>
      <c r="AI11" s="1032" t="s">
        <v>2299</v>
      </c>
      <c r="AJ11" s="1034" t="s">
        <v>2299</v>
      </c>
      <c r="AK11" s="1033" t="s">
        <v>2299</v>
      </c>
      <c r="AL11" s="1032" t="s">
        <v>2299</v>
      </c>
      <c r="AM11" s="1034" t="s">
        <v>2299</v>
      </c>
      <c r="AN11" s="1033" t="s">
        <v>2299</v>
      </c>
      <c r="AO11" s="1032" t="s">
        <v>2299</v>
      </c>
      <c r="AP11" s="1034" t="s">
        <v>2299</v>
      </c>
      <c r="AQ11" s="1033" t="s">
        <v>2299</v>
      </c>
      <c r="AR11" s="1032" t="s">
        <v>2299</v>
      </c>
      <c r="AS11" s="1034" t="s">
        <v>2299</v>
      </c>
      <c r="AT11" s="1033" t="s">
        <v>2299</v>
      </c>
      <c r="AU11" s="1032" t="s">
        <v>2299</v>
      </c>
      <c r="AV11" s="1034" t="s">
        <v>2299</v>
      </c>
      <c r="AW11" s="1"/>
      <c r="AX11" s="1"/>
      <c r="AY11" s="1"/>
    </row>
    <row r="12" spans="1:51">
      <c r="A12" s="124">
        <f>MAX($A$8:A11)+1</f>
        <v>3</v>
      </c>
      <c r="B12" s="1484"/>
      <c r="C12" s="1485"/>
      <c r="D12" s="1485"/>
      <c r="E12" s="1486"/>
      <c r="F12" s="1492" t="s">
        <v>2300</v>
      </c>
      <c r="G12" s="1492"/>
      <c r="H12" s="1492"/>
      <c r="I12" s="1493"/>
      <c r="J12" s="1033" t="s">
        <v>2273</v>
      </c>
      <c r="K12" s="1032" t="s">
        <v>2273</v>
      </c>
      <c r="L12" s="1034" t="s">
        <v>2273</v>
      </c>
      <c r="M12" s="1033" t="s">
        <v>2273</v>
      </c>
      <c r="N12" s="1032" t="s">
        <v>2273</v>
      </c>
      <c r="O12" s="1034" t="s">
        <v>2273</v>
      </c>
      <c r="P12" s="1033" t="s">
        <v>2273</v>
      </c>
      <c r="Q12" s="1032" t="s">
        <v>2273</v>
      </c>
      <c r="R12" s="1034" t="s">
        <v>2273</v>
      </c>
      <c r="S12" s="1033" t="s">
        <v>2273</v>
      </c>
      <c r="T12" s="1032" t="s">
        <v>2273</v>
      </c>
      <c r="U12" s="1034" t="s">
        <v>2273</v>
      </c>
      <c r="V12" s="1033" t="s">
        <v>2273</v>
      </c>
      <c r="W12" s="1032" t="s">
        <v>2273</v>
      </c>
      <c r="X12" s="1034" t="s">
        <v>2273</v>
      </c>
      <c r="Y12" s="1033" t="s">
        <v>2273</v>
      </c>
      <c r="Z12" s="1032" t="s">
        <v>2273</v>
      </c>
      <c r="AA12" s="1034" t="s">
        <v>2273</v>
      </c>
      <c r="AB12" s="1033" t="s">
        <v>2273</v>
      </c>
      <c r="AC12" s="1032" t="s">
        <v>2273</v>
      </c>
      <c r="AD12" s="1034" t="s">
        <v>2273</v>
      </c>
      <c r="AE12" s="1033" t="s">
        <v>2273</v>
      </c>
      <c r="AF12" s="1032" t="s">
        <v>2273</v>
      </c>
      <c r="AG12" s="1034" t="s">
        <v>2273</v>
      </c>
      <c r="AH12" s="1033" t="s">
        <v>2273</v>
      </c>
      <c r="AI12" s="1032" t="s">
        <v>2273</v>
      </c>
      <c r="AJ12" s="1034" t="s">
        <v>2273</v>
      </c>
      <c r="AK12" s="1033" t="s">
        <v>2273</v>
      </c>
      <c r="AL12" s="1032" t="s">
        <v>2273</v>
      </c>
      <c r="AM12" s="1034" t="s">
        <v>2273</v>
      </c>
      <c r="AN12" s="1033" t="s">
        <v>2273</v>
      </c>
      <c r="AO12" s="1032" t="s">
        <v>2273</v>
      </c>
      <c r="AP12" s="1034" t="s">
        <v>2273</v>
      </c>
      <c r="AQ12" s="1033" t="s">
        <v>2273</v>
      </c>
      <c r="AR12" s="1032" t="s">
        <v>2273</v>
      </c>
      <c r="AS12" s="1034" t="s">
        <v>2273</v>
      </c>
      <c r="AT12" s="1033" t="s">
        <v>2273</v>
      </c>
      <c r="AU12" s="1032" t="s">
        <v>2273</v>
      </c>
      <c r="AV12" s="1034" t="s">
        <v>2273</v>
      </c>
      <c r="AW12" s="1"/>
      <c r="AX12" s="1032" t="s">
        <v>650</v>
      </c>
      <c r="AY12" s="1"/>
    </row>
    <row r="13" spans="1:51">
      <c r="A13" s="124">
        <f>MAX($A$8:A12)+1</f>
        <v>4</v>
      </c>
      <c r="B13" s="1484"/>
      <c r="C13" s="1485"/>
      <c r="D13" s="1485"/>
      <c r="E13" s="1486"/>
      <c r="F13" s="1492" t="s">
        <v>2301</v>
      </c>
      <c r="G13" s="1492"/>
      <c r="H13" s="1492"/>
      <c r="I13" s="1493"/>
      <c r="J13" s="1033" t="s">
        <v>2302</v>
      </c>
      <c r="K13" s="1032" t="s">
        <v>2302</v>
      </c>
      <c r="L13" s="1034" t="s">
        <v>2302</v>
      </c>
      <c r="M13" s="1033" t="s">
        <v>2303</v>
      </c>
      <c r="N13" s="1032" t="s">
        <v>2303</v>
      </c>
      <c r="O13" s="1034" t="s">
        <v>2303</v>
      </c>
      <c r="P13" s="1033" t="s">
        <v>2304</v>
      </c>
      <c r="Q13" s="1032" t="s">
        <v>2304</v>
      </c>
      <c r="R13" s="1034" t="s">
        <v>2304</v>
      </c>
      <c r="S13" s="1033" t="s">
        <v>2305</v>
      </c>
      <c r="T13" s="1032" t="s">
        <v>2305</v>
      </c>
      <c r="U13" s="1034" t="s">
        <v>2305</v>
      </c>
      <c r="V13" s="1033" t="s">
        <v>2306</v>
      </c>
      <c r="W13" s="1032" t="s">
        <v>2306</v>
      </c>
      <c r="X13" s="1034" t="s">
        <v>2306</v>
      </c>
      <c r="Y13" s="1033" t="s">
        <v>2307</v>
      </c>
      <c r="Z13" s="1032" t="s">
        <v>2307</v>
      </c>
      <c r="AA13" s="1034" t="s">
        <v>2307</v>
      </c>
      <c r="AB13" s="1033" t="s">
        <v>220</v>
      </c>
      <c r="AC13" s="1032" t="s">
        <v>220</v>
      </c>
      <c r="AD13" s="1034" t="s">
        <v>220</v>
      </c>
      <c r="AE13" s="1033" t="s">
        <v>2308</v>
      </c>
      <c r="AF13" s="1032" t="s">
        <v>2308</v>
      </c>
      <c r="AG13" s="1034" t="s">
        <v>2308</v>
      </c>
      <c r="AH13" s="1033" t="s">
        <v>2309</v>
      </c>
      <c r="AI13" s="1032" t="s">
        <v>2309</v>
      </c>
      <c r="AJ13" s="1034" t="s">
        <v>2309</v>
      </c>
      <c r="AK13" s="1033" t="s">
        <v>2310</v>
      </c>
      <c r="AL13" s="1032" t="s">
        <v>2310</v>
      </c>
      <c r="AM13" s="1034" t="s">
        <v>2310</v>
      </c>
      <c r="AN13" s="1033" t="s">
        <v>2311</v>
      </c>
      <c r="AO13" s="1032" t="s">
        <v>2311</v>
      </c>
      <c r="AP13" s="1034" t="s">
        <v>2311</v>
      </c>
      <c r="AQ13" s="1033" t="s">
        <v>2312</v>
      </c>
      <c r="AR13" s="1032" t="s">
        <v>2312</v>
      </c>
      <c r="AS13" s="1034" t="s">
        <v>2312</v>
      </c>
      <c r="AT13" s="1033" t="s">
        <v>2302</v>
      </c>
      <c r="AU13" s="1032" t="s">
        <v>2302</v>
      </c>
      <c r="AV13" s="1034" t="s">
        <v>2302</v>
      </c>
      <c r="AW13" s="1"/>
      <c r="AX13" s="1"/>
      <c r="AY13" s="1"/>
    </row>
    <row r="14" spans="1:51" ht="15.75" thickBot="1">
      <c r="A14" s="124">
        <f>MAX($A$8:A13)+1</f>
        <v>5</v>
      </c>
      <c r="B14" s="1487"/>
      <c r="C14" s="1488"/>
      <c r="D14" s="1488"/>
      <c r="E14" s="1489"/>
      <c r="F14" s="1492" t="s">
        <v>2313</v>
      </c>
      <c r="G14" s="1492"/>
      <c r="H14" s="1492"/>
      <c r="I14" s="1493"/>
      <c r="J14" s="1033" t="s">
        <v>2314</v>
      </c>
      <c r="K14" s="1032" t="s">
        <v>2314</v>
      </c>
      <c r="L14" s="1034" t="s">
        <v>2314</v>
      </c>
      <c r="M14" s="1033" t="s">
        <v>2314</v>
      </c>
      <c r="N14" s="1032" t="s">
        <v>2314</v>
      </c>
      <c r="O14" s="1034" t="s">
        <v>2314</v>
      </c>
      <c r="P14" s="1033" t="s">
        <v>2314</v>
      </c>
      <c r="Q14" s="1032" t="s">
        <v>2314</v>
      </c>
      <c r="R14" s="1034" t="s">
        <v>2314</v>
      </c>
      <c r="S14" s="1033" t="s">
        <v>2314</v>
      </c>
      <c r="T14" s="1032" t="s">
        <v>2314</v>
      </c>
      <c r="U14" s="1034" t="s">
        <v>2314</v>
      </c>
      <c r="V14" s="1033" t="s">
        <v>2314</v>
      </c>
      <c r="W14" s="1032" t="s">
        <v>2314</v>
      </c>
      <c r="X14" s="1034" t="s">
        <v>2314</v>
      </c>
      <c r="Y14" s="1033" t="s">
        <v>2314</v>
      </c>
      <c r="Z14" s="1032" t="s">
        <v>2314</v>
      </c>
      <c r="AA14" s="1034" t="s">
        <v>2314</v>
      </c>
      <c r="AB14" s="1033" t="s">
        <v>2314</v>
      </c>
      <c r="AC14" s="1032" t="s">
        <v>2314</v>
      </c>
      <c r="AD14" s="1034" t="s">
        <v>2314</v>
      </c>
      <c r="AE14" s="1033" t="s">
        <v>2314</v>
      </c>
      <c r="AF14" s="1032" t="s">
        <v>2314</v>
      </c>
      <c r="AG14" s="1034" t="s">
        <v>2314</v>
      </c>
      <c r="AH14" s="1033" t="s">
        <v>2314</v>
      </c>
      <c r="AI14" s="1032" t="s">
        <v>2314</v>
      </c>
      <c r="AJ14" s="1034" t="s">
        <v>2314</v>
      </c>
      <c r="AK14" s="1033" t="s">
        <v>2314</v>
      </c>
      <c r="AL14" s="1032" t="s">
        <v>2314</v>
      </c>
      <c r="AM14" s="1034" t="s">
        <v>2314</v>
      </c>
      <c r="AN14" s="1033" t="s">
        <v>2314</v>
      </c>
      <c r="AO14" s="1032" t="s">
        <v>2314</v>
      </c>
      <c r="AP14" s="1034" t="s">
        <v>2314</v>
      </c>
      <c r="AQ14" s="1033" t="s">
        <v>2314</v>
      </c>
      <c r="AR14" s="1032" t="s">
        <v>2314</v>
      </c>
      <c r="AS14" s="1034" t="s">
        <v>2314</v>
      </c>
      <c r="AT14" s="1033" t="s">
        <v>2314</v>
      </c>
      <c r="AU14" s="1032" t="s">
        <v>2314</v>
      </c>
      <c r="AV14" s="1034" t="s">
        <v>2314</v>
      </c>
      <c r="AW14" s="1"/>
      <c r="AX14" s="1"/>
      <c r="AY14" s="1"/>
    </row>
    <row r="15" spans="1:51">
      <c r="A15" s="124">
        <f>MAX($A$8:A14)+1</f>
        <v>6</v>
      </c>
      <c r="B15" s="1035"/>
      <c r="C15" s="1"/>
      <c r="D15" s="1"/>
      <c r="E15" s="1"/>
      <c r="F15" s="1"/>
      <c r="G15" s="1"/>
      <c r="H15" s="1"/>
      <c r="I15" s="1036"/>
      <c r="J15" s="1035"/>
      <c r="K15" s="1"/>
      <c r="L15" s="1036"/>
      <c r="M15" s="1035"/>
      <c r="N15" s="1"/>
      <c r="O15" s="1036"/>
      <c r="P15" s="1035"/>
      <c r="Q15" s="1"/>
      <c r="R15" s="1036"/>
      <c r="S15" s="1035"/>
      <c r="T15" s="1"/>
      <c r="U15" s="1036"/>
      <c r="V15" s="1035"/>
      <c r="W15" s="1"/>
      <c r="X15" s="1036"/>
      <c r="Y15" s="1035"/>
      <c r="Z15" s="1"/>
      <c r="AA15" s="1036"/>
      <c r="AB15" s="1035"/>
      <c r="AC15" s="1"/>
      <c r="AD15" s="1036"/>
      <c r="AE15" s="1035"/>
      <c r="AF15" s="1"/>
      <c r="AG15" s="1036"/>
      <c r="AH15" s="1035"/>
      <c r="AI15" s="1"/>
      <c r="AJ15" s="1036"/>
      <c r="AK15" s="1035"/>
      <c r="AL15" s="1"/>
      <c r="AM15" s="1036"/>
      <c r="AN15" s="1035"/>
      <c r="AO15" s="1"/>
      <c r="AP15" s="1036"/>
      <c r="AQ15" s="1035"/>
      <c r="AR15" s="1"/>
      <c r="AS15" s="1036"/>
      <c r="AT15" s="1035"/>
      <c r="AU15" s="1"/>
      <c r="AV15" s="1036"/>
      <c r="AW15" s="1036"/>
      <c r="AX15" s="1036"/>
      <c r="AY15" s="1036"/>
    </row>
    <row r="16" spans="1:51" ht="30">
      <c r="A16" s="124">
        <f>MAX($A$8:A15)+1</f>
        <v>7</v>
      </c>
      <c r="B16" s="1037"/>
      <c r="C16" s="1038" t="s">
        <v>2315</v>
      </c>
      <c r="D16" s="1038"/>
      <c r="E16" s="1038" t="s">
        <v>2316</v>
      </c>
      <c r="F16" s="1038" t="s">
        <v>2317</v>
      </c>
      <c r="G16" s="1038" t="s">
        <v>2318</v>
      </c>
      <c r="H16" s="1038" t="s">
        <v>2319</v>
      </c>
      <c r="I16" s="1039" t="s">
        <v>2320</v>
      </c>
      <c r="J16" s="1037"/>
      <c r="K16" s="239"/>
      <c r="L16" s="1040"/>
      <c r="M16" s="1037"/>
      <c r="N16" s="239"/>
      <c r="O16" s="1040"/>
      <c r="P16" s="1037"/>
      <c r="Q16" s="239"/>
      <c r="R16" s="1040"/>
      <c r="S16" s="1037"/>
      <c r="T16" s="239"/>
      <c r="U16" s="1040"/>
      <c r="V16" s="1037"/>
      <c r="W16" s="239"/>
      <c r="X16" s="1040"/>
      <c r="Y16" s="1037"/>
      <c r="Z16" s="239"/>
      <c r="AA16" s="1040"/>
      <c r="AB16" s="1037"/>
      <c r="AC16" s="239"/>
      <c r="AD16" s="1040"/>
      <c r="AE16" s="1037"/>
      <c r="AF16" s="239"/>
      <c r="AG16" s="1040"/>
      <c r="AH16" s="1037"/>
      <c r="AI16" s="239"/>
      <c r="AJ16" s="1040"/>
      <c r="AK16" s="1037"/>
      <c r="AL16" s="239"/>
      <c r="AM16" s="1040"/>
      <c r="AN16" s="1037"/>
      <c r="AO16" s="239"/>
      <c r="AP16" s="1040"/>
      <c r="AQ16" s="1037"/>
      <c r="AR16" s="239"/>
      <c r="AS16" s="1040"/>
      <c r="AT16" s="1037"/>
      <c r="AU16" s="239"/>
      <c r="AV16" s="1040"/>
      <c r="AW16" s="1"/>
      <c r="AX16" s="1"/>
      <c r="AY16" s="1"/>
    </row>
    <row r="17" spans="1:56">
      <c r="A17" s="124">
        <f>MAX($A$8:A16)+1</f>
        <v>8</v>
      </c>
      <c r="B17" s="1478" t="s">
        <v>2321</v>
      </c>
      <c r="C17" s="1479"/>
      <c r="D17" s="1479"/>
      <c r="E17" s="1479"/>
      <c r="F17" s="1479"/>
      <c r="G17" s="1479"/>
      <c r="H17" s="1479"/>
      <c r="I17" s="1480"/>
      <c r="J17" s="1041"/>
      <c r="K17" s="65"/>
      <c r="L17" s="1042"/>
      <c r="M17" s="1041"/>
      <c r="N17" s="65"/>
      <c r="O17" s="1042"/>
      <c r="P17" s="1041"/>
      <c r="Q17" s="65"/>
      <c r="R17" s="1042"/>
      <c r="S17" s="1041"/>
      <c r="T17" s="65"/>
      <c r="U17" s="1042"/>
      <c r="V17" s="1041"/>
      <c r="W17" s="65"/>
      <c r="X17" s="1042"/>
      <c r="Y17" s="1041"/>
      <c r="Z17" s="65"/>
      <c r="AA17" s="1042"/>
      <c r="AB17" s="1041"/>
      <c r="AC17" s="65"/>
      <c r="AD17" s="1042"/>
      <c r="AE17" s="1041"/>
      <c r="AF17" s="65"/>
      <c r="AG17" s="1042"/>
      <c r="AH17" s="1041"/>
      <c r="AI17" s="65"/>
      <c r="AJ17" s="1042"/>
      <c r="AK17" s="1041"/>
      <c r="AL17" s="65"/>
      <c r="AM17" s="1042"/>
      <c r="AN17" s="1041"/>
      <c r="AO17" s="65"/>
      <c r="AP17" s="1042"/>
      <c r="AQ17" s="1041"/>
      <c r="AR17" s="65"/>
      <c r="AS17" s="1042"/>
      <c r="AT17" s="1041"/>
      <c r="AU17" s="65"/>
      <c r="AV17" s="1042"/>
      <c r="AW17" s="1"/>
      <c r="AX17" s="1"/>
      <c r="AY17" s="1"/>
    </row>
    <row r="18" spans="1:56">
      <c r="A18" s="124">
        <f>MAX($A$8:A17)+1</f>
        <v>9</v>
      </c>
      <c r="B18" s="1035" t="s">
        <v>2322</v>
      </c>
      <c r="C18" s="1032" t="s">
        <v>2323</v>
      </c>
      <c r="D18" s="1032"/>
      <c r="E18" s="1032" t="s">
        <v>2324</v>
      </c>
      <c r="F18" s="1032" t="s">
        <v>2325</v>
      </c>
      <c r="G18" s="1032" t="s">
        <v>2326</v>
      </c>
      <c r="H18" s="1032" t="s">
        <v>31</v>
      </c>
      <c r="I18" s="1034" t="s">
        <v>31</v>
      </c>
      <c r="J18" s="1041">
        <v>0</v>
      </c>
      <c r="K18" s="65">
        <v>0</v>
      </c>
      <c r="L18" s="1042"/>
      <c r="M18" s="1041">
        <v>0</v>
      </c>
      <c r="N18" s="65">
        <v>0</v>
      </c>
      <c r="O18" s="1042"/>
      <c r="P18" s="1041">
        <v>0</v>
      </c>
      <c r="Q18" s="65">
        <v>0</v>
      </c>
      <c r="R18" s="1042"/>
      <c r="S18" s="1041">
        <f t="shared" ref="S18:S23" si="0">+T18+U18</f>
        <v>0</v>
      </c>
      <c r="T18" s="65">
        <v>0</v>
      </c>
      <c r="U18" s="1042"/>
      <c r="V18" s="1041">
        <f t="shared" ref="V18:V23" si="1">+W18+X18</f>
        <v>0</v>
      </c>
      <c r="W18" s="65">
        <v>0</v>
      </c>
      <c r="X18" s="1042"/>
      <c r="Y18" s="1041">
        <f t="shared" ref="Y18:Y23" si="2">+Z18+AA18</f>
        <v>0</v>
      </c>
      <c r="Z18" s="65">
        <v>0</v>
      </c>
      <c r="AA18" s="1042"/>
      <c r="AB18" s="1041">
        <f t="shared" ref="AB18:AB23" si="3">+AC18+AD18</f>
        <v>0</v>
      </c>
      <c r="AC18" s="65">
        <v>0</v>
      </c>
      <c r="AD18" s="1042"/>
      <c r="AE18" s="1041">
        <f t="shared" ref="AE18:AE23" si="4">+AF18+AG18</f>
        <v>0</v>
      </c>
      <c r="AF18" s="65">
        <v>0</v>
      </c>
      <c r="AG18" s="1042"/>
      <c r="AH18" s="1041">
        <f t="shared" ref="AH18:AH23" si="5">+AI18+AJ18</f>
        <v>0</v>
      </c>
      <c r="AI18" s="65">
        <v>0</v>
      </c>
      <c r="AJ18" s="1042"/>
      <c r="AK18" s="1041">
        <f t="shared" ref="AK18:AK23" si="6">+AL18+AM18</f>
        <v>0</v>
      </c>
      <c r="AL18" s="65">
        <v>0</v>
      </c>
      <c r="AM18" s="1042"/>
      <c r="AN18" s="1041">
        <f t="shared" ref="AN18:AN23" si="7">+AO18+AP18</f>
        <v>0</v>
      </c>
      <c r="AO18" s="65">
        <v>0</v>
      </c>
      <c r="AP18" s="1042"/>
      <c r="AQ18" s="1041">
        <f t="shared" ref="AQ18:AQ23" si="8">+AR18+AS18</f>
        <v>0</v>
      </c>
      <c r="AR18" s="65">
        <v>0</v>
      </c>
      <c r="AS18" s="1042"/>
      <c r="AT18" s="1041">
        <f t="shared" ref="AT18:AT23" si="9">+AU18+AV18</f>
        <v>0</v>
      </c>
      <c r="AU18" s="65">
        <v>0</v>
      </c>
      <c r="AV18" s="1042"/>
      <c r="AW18" s="1"/>
      <c r="AX18" s="1"/>
      <c r="AY18" s="1"/>
    </row>
    <row r="19" spans="1:56">
      <c r="A19" s="124">
        <f>MAX($A$8:A18)+1</f>
        <v>10</v>
      </c>
      <c r="B19" s="1035" t="s">
        <v>2327</v>
      </c>
      <c r="C19" s="1032" t="s">
        <v>2323</v>
      </c>
      <c r="D19" s="1032"/>
      <c r="E19" s="1032" t="s">
        <v>31</v>
      </c>
      <c r="F19" s="1032" t="s">
        <v>2325</v>
      </c>
      <c r="G19" s="1032" t="s">
        <v>2328</v>
      </c>
      <c r="H19" s="1032" t="s">
        <v>31</v>
      </c>
      <c r="I19" s="1034" t="s">
        <v>31</v>
      </c>
      <c r="J19" s="1041">
        <f>+L19+K19</f>
        <v>-208663</v>
      </c>
      <c r="K19" s="65">
        <v>0</v>
      </c>
      <c r="L19" s="1042">
        <v>-208663</v>
      </c>
      <c r="M19" s="1041">
        <f>+O19+N19</f>
        <v>-214364.74</v>
      </c>
      <c r="N19" s="65">
        <v>0</v>
      </c>
      <c r="O19" s="1042">
        <v>-214364.74</v>
      </c>
      <c r="P19" s="1041">
        <f>+Q19+R19</f>
        <v>-214365</v>
      </c>
      <c r="Q19" s="65">
        <v>0</v>
      </c>
      <c r="R19" s="1042">
        <v>-214365</v>
      </c>
      <c r="S19" s="1041">
        <f t="shared" si="0"/>
        <v>-217074</v>
      </c>
      <c r="T19" s="65">
        <v>0</v>
      </c>
      <c r="U19" s="1042">
        <v>-217074</v>
      </c>
      <c r="V19" s="1041">
        <f t="shared" si="1"/>
        <v>-217074</v>
      </c>
      <c r="W19" s="65">
        <v>0</v>
      </c>
      <c r="X19" s="1042">
        <v>-217074</v>
      </c>
      <c r="Y19" s="1041">
        <f t="shared" si="2"/>
        <v>-218604.83</v>
      </c>
      <c r="Z19" s="65">
        <v>0</v>
      </c>
      <c r="AA19" s="1042">
        <v>-218604.83</v>
      </c>
      <c r="AB19" s="1041">
        <f t="shared" si="3"/>
        <v>-218604.83</v>
      </c>
      <c r="AC19" s="65">
        <v>0</v>
      </c>
      <c r="AD19" s="1042">
        <v>-218604.83</v>
      </c>
      <c r="AE19" s="1041">
        <f t="shared" si="4"/>
        <v>-218604.83</v>
      </c>
      <c r="AF19" s="65">
        <v>0</v>
      </c>
      <c r="AG19" s="1042">
        <v>-218604.83</v>
      </c>
      <c r="AH19" s="1041">
        <f t="shared" si="5"/>
        <v>-222635.33</v>
      </c>
      <c r="AI19" s="65">
        <v>0</v>
      </c>
      <c r="AJ19" s="1042">
        <v>-222635.33</v>
      </c>
      <c r="AK19" s="1041">
        <f t="shared" si="6"/>
        <v>-148123.01</v>
      </c>
      <c r="AL19" s="65">
        <v>0</v>
      </c>
      <c r="AM19" s="1042">
        <v>-148123.01</v>
      </c>
      <c r="AN19" s="1041">
        <f t="shared" si="7"/>
        <v>-158166</v>
      </c>
      <c r="AO19" s="65">
        <v>0</v>
      </c>
      <c r="AP19" s="1042">
        <v>-158166</v>
      </c>
      <c r="AQ19" s="1041">
        <f t="shared" si="8"/>
        <v>-158165.96</v>
      </c>
      <c r="AR19" s="65">
        <v>0</v>
      </c>
      <c r="AS19" s="1042">
        <v>-158165.96</v>
      </c>
      <c r="AT19" s="1041">
        <f t="shared" si="9"/>
        <v>-158165.96</v>
      </c>
      <c r="AU19" s="65">
        <v>0</v>
      </c>
      <c r="AV19" s="1042">
        <v>-158165.96</v>
      </c>
      <c r="AW19" s="1054">
        <f>+(AT19+J19+(M19+P19+S19+V19+Y19+AB19+AE19+AH19+AK19+AN19+AQ19)*2)/24</f>
        <v>-199099.75083333335</v>
      </c>
      <c r="AX19" s="1054">
        <f t="shared" ref="AX19:AY23" si="10">+(AU19+K19+(N19+Q19+T19+W19+Z19+AC19+AF19+AI19+AL19+AO19+AR19)*2)/24</f>
        <v>0</v>
      </c>
      <c r="AY19" s="1054">
        <f t="shared" si="10"/>
        <v>-199099.75083333335</v>
      </c>
    </row>
    <row r="20" spans="1:56">
      <c r="A20" s="124">
        <f>MAX($A$8:A19)+1</f>
        <v>11</v>
      </c>
      <c r="B20" s="1035" t="s">
        <v>2329</v>
      </c>
      <c r="C20" s="1032" t="s">
        <v>2323</v>
      </c>
      <c r="D20" s="1032"/>
      <c r="E20" s="1032" t="s">
        <v>2330</v>
      </c>
      <c r="F20" s="1032" t="s">
        <v>2325</v>
      </c>
      <c r="G20" s="1032" t="s">
        <v>2331</v>
      </c>
      <c r="H20" s="1032" t="s">
        <v>31</v>
      </c>
      <c r="I20" s="1034" t="s">
        <v>31</v>
      </c>
      <c r="J20" s="1041">
        <f>+L20+K20</f>
        <v>0</v>
      </c>
      <c r="K20" s="65">
        <v>0</v>
      </c>
      <c r="L20" s="1042">
        <v>0</v>
      </c>
      <c r="M20" s="1041">
        <f>+O20+N20</f>
        <v>0</v>
      </c>
      <c r="N20" s="65">
        <v>0</v>
      </c>
      <c r="O20" s="1042">
        <v>0</v>
      </c>
      <c r="P20" s="1041">
        <f>+Q20+R20</f>
        <v>0</v>
      </c>
      <c r="Q20" s="65">
        <v>0</v>
      </c>
      <c r="R20" s="1042">
        <v>0</v>
      </c>
      <c r="S20" s="1041">
        <f t="shared" si="0"/>
        <v>0</v>
      </c>
      <c r="T20" s="65">
        <v>0</v>
      </c>
      <c r="U20" s="1042">
        <v>0</v>
      </c>
      <c r="V20" s="1041">
        <f t="shared" si="1"/>
        <v>0</v>
      </c>
      <c r="W20" s="65">
        <v>0</v>
      </c>
      <c r="X20" s="1042">
        <v>0</v>
      </c>
      <c r="Y20" s="1041">
        <f t="shared" si="2"/>
        <v>0</v>
      </c>
      <c r="Z20" s="65">
        <v>0</v>
      </c>
      <c r="AA20" s="1042">
        <v>0</v>
      </c>
      <c r="AB20" s="1041">
        <f t="shared" si="3"/>
        <v>0</v>
      </c>
      <c r="AC20" s="65">
        <v>0</v>
      </c>
      <c r="AD20" s="1042">
        <v>0</v>
      </c>
      <c r="AE20" s="1041">
        <f t="shared" si="4"/>
        <v>0</v>
      </c>
      <c r="AF20" s="65">
        <v>0</v>
      </c>
      <c r="AG20" s="1042">
        <v>0</v>
      </c>
      <c r="AH20" s="1041">
        <f t="shared" si="5"/>
        <v>0</v>
      </c>
      <c r="AI20" s="65">
        <v>0</v>
      </c>
      <c r="AJ20" s="1042">
        <v>0</v>
      </c>
      <c r="AK20" s="1041">
        <f t="shared" si="6"/>
        <v>0</v>
      </c>
      <c r="AL20" s="65">
        <v>0</v>
      </c>
      <c r="AM20" s="1042">
        <v>0</v>
      </c>
      <c r="AN20" s="1041">
        <f t="shared" si="7"/>
        <v>0</v>
      </c>
      <c r="AO20" s="65">
        <v>0</v>
      </c>
      <c r="AP20" s="1042">
        <v>0</v>
      </c>
      <c r="AQ20" s="1041">
        <f t="shared" si="8"/>
        <v>0</v>
      </c>
      <c r="AR20" s="65">
        <v>0</v>
      </c>
      <c r="AS20" s="1042">
        <v>0</v>
      </c>
      <c r="AT20" s="1041">
        <f t="shared" si="9"/>
        <v>0</v>
      </c>
      <c r="AU20" s="65">
        <v>0</v>
      </c>
      <c r="AV20" s="1042">
        <v>0</v>
      </c>
      <c r="AW20" s="1054">
        <f>+(AT20+J20+(M20+P20+S20+V20+Y20+AB20+AE20+AH20+AK20+AN20+AQ20)*2)/24</f>
        <v>0</v>
      </c>
      <c r="AX20" s="1054">
        <f t="shared" si="10"/>
        <v>0</v>
      </c>
      <c r="AY20" s="1054">
        <f t="shared" si="10"/>
        <v>0</v>
      </c>
    </row>
    <row r="21" spans="1:56">
      <c r="A21" s="124">
        <f>MAX($A$8:A20)+1</f>
        <v>12</v>
      </c>
      <c r="B21" s="1035" t="s">
        <v>2332</v>
      </c>
      <c r="C21" s="1032" t="s">
        <v>2323</v>
      </c>
      <c r="D21" s="1032"/>
      <c r="E21" s="1032" t="s">
        <v>2330</v>
      </c>
      <c r="F21" s="1032" t="s">
        <v>2325</v>
      </c>
      <c r="G21" s="1032" t="s">
        <v>2333</v>
      </c>
      <c r="H21" s="1032" t="s">
        <v>31</v>
      </c>
      <c r="I21" s="1034" t="s">
        <v>31</v>
      </c>
      <c r="J21" s="1041">
        <f>+L21+K21</f>
        <v>0</v>
      </c>
      <c r="K21" s="65">
        <v>0.01</v>
      </c>
      <c r="L21" s="1042">
        <v>-0.01</v>
      </c>
      <c r="M21" s="1041">
        <f>+O21+N21</f>
        <v>0</v>
      </c>
      <c r="N21" s="65">
        <v>0.01</v>
      </c>
      <c r="O21" s="1042">
        <v>-0.01</v>
      </c>
      <c r="P21" s="1041">
        <f>+Q21+R21</f>
        <v>0</v>
      </c>
      <c r="Q21" s="65">
        <v>0.01</v>
      </c>
      <c r="R21" s="1042">
        <v>-0.01</v>
      </c>
      <c r="S21" s="1041">
        <f t="shared" si="0"/>
        <v>0</v>
      </c>
      <c r="T21" s="65">
        <v>0.01</v>
      </c>
      <c r="U21" s="1042">
        <v>-0.01</v>
      </c>
      <c r="V21" s="1041">
        <f t="shared" si="1"/>
        <v>0</v>
      </c>
      <c r="W21" s="65">
        <v>0.01</v>
      </c>
      <c r="X21" s="1042">
        <v>-0.01</v>
      </c>
      <c r="Y21" s="1041">
        <f t="shared" si="2"/>
        <v>0</v>
      </c>
      <c r="Z21" s="65">
        <v>0.01</v>
      </c>
      <c r="AA21" s="1042">
        <v>-0.01</v>
      </c>
      <c r="AB21" s="1041">
        <f t="shared" si="3"/>
        <v>0</v>
      </c>
      <c r="AC21" s="65">
        <v>0.01</v>
      </c>
      <c r="AD21" s="1042">
        <v>-0.01</v>
      </c>
      <c r="AE21" s="1041">
        <f t="shared" si="4"/>
        <v>0</v>
      </c>
      <c r="AF21" s="65">
        <v>0.01</v>
      </c>
      <c r="AG21" s="1042">
        <v>-0.01</v>
      </c>
      <c r="AH21" s="1041">
        <f t="shared" si="5"/>
        <v>0</v>
      </c>
      <c r="AI21" s="65">
        <v>0.01</v>
      </c>
      <c r="AJ21" s="1042">
        <v>-0.01</v>
      </c>
      <c r="AK21" s="1041">
        <f t="shared" si="6"/>
        <v>0</v>
      </c>
      <c r="AL21" s="65">
        <v>0.01</v>
      </c>
      <c r="AM21" s="1042">
        <v>-0.01</v>
      </c>
      <c r="AN21" s="1041">
        <f t="shared" si="7"/>
        <v>0</v>
      </c>
      <c r="AO21" s="65">
        <v>0.01</v>
      </c>
      <c r="AP21" s="1042">
        <v>-0.01</v>
      </c>
      <c r="AQ21" s="1041">
        <f t="shared" si="8"/>
        <v>0</v>
      </c>
      <c r="AR21" s="65">
        <v>0.01</v>
      </c>
      <c r="AS21" s="1042">
        <v>-0.01</v>
      </c>
      <c r="AT21" s="1041">
        <f t="shared" si="9"/>
        <v>0</v>
      </c>
      <c r="AU21" s="65">
        <v>0.01</v>
      </c>
      <c r="AV21" s="1042">
        <v>-0.01</v>
      </c>
      <c r="AW21" s="1054">
        <f>+(AT21+J21+(M21+P21+S21+V21+Y21+AB21+AE21+AH21+AK21+AN21+AQ21)*2)/24</f>
        <v>0</v>
      </c>
      <c r="AX21" s="1054">
        <f t="shared" si="10"/>
        <v>9.9999999999999985E-3</v>
      </c>
      <c r="AY21" s="1054">
        <f t="shared" si="10"/>
        <v>-9.9999999999999985E-3</v>
      </c>
    </row>
    <row r="22" spans="1:56">
      <c r="A22" s="124">
        <f>MAX($A$8:A21)+1</f>
        <v>13</v>
      </c>
      <c r="B22" s="1035" t="s">
        <v>2334</v>
      </c>
      <c r="C22" s="1032" t="s">
        <v>2323</v>
      </c>
      <c r="D22" s="1032"/>
      <c r="E22" s="1032" t="s">
        <v>2330</v>
      </c>
      <c r="F22" s="1032" t="s">
        <v>2325</v>
      </c>
      <c r="G22" s="1032" t="s">
        <v>2335</v>
      </c>
      <c r="H22" s="1032" t="s">
        <v>31</v>
      </c>
      <c r="I22" s="1034" t="s">
        <v>31</v>
      </c>
      <c r="J22" s="1041">
        <f>+L22+K22</f>
        <v>-103305</v>
      </c>
      <c r="K22" s="65">
        <v>-77555</v>
      </c>
      <c r="L22" s="1042">
        <v>-25750</v>
      </c>
      <c r="M22" s="1041">
        <f>+O22+N22</f>
        <v>-103305.22</v>
      </c>
      <c r="N22" s="65">
        <v>-59658.75</v>
      </c>
      <c r="O22" s="1042">
        <v>-43646.47</v>
      </c>
      <c r="P22" s="1041">
        <f>+Q22+R22</f>
        <v>-103305</v>
      </c>
      <c r="Q22" s="65">
        <v>-59659</v>
      </c>
      <c r="R22" s="1042">
        <v>-43646</v>
      </c>
      <c r="S22" s="1041">
        <f t="shared" si="0"/>
        <v>-103305</v>
      </c>
      <c r="T22" s="65">
        <v>-59659</v>
      </c>
      <c r="U22" s="1042">
        <v>-43646</v>
      </c>
      <c r="V22" s="1041">
        <f t="shared" si="1"/>
        <v>-103305</v>
      </c>
      <c r="W22" s="65">
        <v>-59659</v>
      </c>
      <c r="X22" s="1042">
        <v>-43646</v>
      </c>
      <c r="Y22" s="1041">
        <f t="shared" si="2"/>
        <v>-103305.22</v>
      </c>
      <c r="Z22" s="65">
        <v>-59658.75</v>
      </c>
      <c r="AA22" s="1042">
        <v>-43646.47</v>
      </c>
      <c r="AB22" s="1041">
        <f t="shared" si="3"/>
        <v>-103305.22</v>
      </c>
      <c r="AC22" s="65">
        <v>-59658.75</v>
      </c>
      <c r="AD22" s="1042">
        <v>-43646.47</v>
      </c>
      <c r="AE22" s="1041">
        <f t="shared" si="4"/>
        <v>-103305.22</v>
      </c>
      <c r="AF22" s="65">
        <v>-59658.75</v>
      </c>
      <c r="AG22" s="1042">
        <v>-43646.47</v>
      </c>
      <c r="AH22" s="1041">
        <f t="shared" si="5"/>
        <v>-103305.22</v>
      </c>
      <c r="AI22" s="65">
        <v>-59658.75</v>
      </c>
      <c r="AJ22" s="1042">
        <v>-43646.47</v>
      </c>
      <c r="AK22" s="1041">
        <f t="shared" si="6"/>
        <v>-69221.66</v>
      </c>
      <c r="AL22" s="65">
        <v>-34072.22</v>
      </c>
      <c r="AM22" s="1042">
        <v>-35149.440000000002</v>
      </c>
      <c r="AN22" s="1041">
        <f t="shared" si="7"/>
        <v>-69221.66</v>
      </c>
      <c r="AO22" s="65">
        <v>-34072.22</v>
      </c>
      <c r="AP22" s="1042">
        <v>-35149.440000000002</v>
      </c>
      <c r="AQ22" s="1041">
        <f t="shared" si="8"/>
        <v>-69221.66</v>
      </c>
      <c r="AR22" s="65">
        <v>-34072.22</v>
      </c>
      <c r="AS22" s="1042">
        <v>-35149.440000000002</v>
      </c>
      <c r="AT22" s="1041">
        <f t="shared" si="9"/>
        <v>-69221.66</v>
      </c>
      <c r="AU22" s="65">
        <v>-34072.22</v>
      </c>
      <c r="AV22" s="1042">
        <v>-35149.440000000002</v>
      </c>
      <c r="AW22" s="1054">
        <f>+(AT22+J22+(M22+P22+S22+V22+Y22+AB22+AE22+AH22+AK22+AN22+AQ22)*2)/24</f>
        <v>-93364.117499999993</v>
      </c>
      <c r="AX22" s="1054">
        <f t="shared" si="10"/>
        <v>-52941.751666666656</v>
      </c>
      <c r="AY22" s="1054">
        <f t="shared" si="10"/>
        <v>-40422.365833333337</v>
      </c>
    </row>
    <row r="23" spans="1:56" ht="15.75" thickBot="1">
      <c r="A23" s="124">
        <f>MAX($A$8:A22)+1</f>
        <v>14</v>
      </c>
      <c r="B23" s="1035" t="s">
        <v>2336</v>
      </c>
      <c r="C23" s="1032" t="s">
        <v>2323</v>
      </c>
      <c r="D23" s="1032"/>
      <c r="E23" s="1032" t="s">
        <v>2330</v>
      </c>
      <c r="F23" s="1032" t="s">
        <v>2325</v>
      </c>
      <c r="G23" s="1032" t="s">
        <v>2337</v>
      </c>
      <c r="H23" s="1032" t="s">
        <v>31</v>
      </c>
      <c r="I23" s="1034" t="s">
        <v>31</v>
      </c>
      <c r="J23" s="1041">
        <f>+L23+K23</f>
        <v>0</v>
      </c>
      <c r="K23" s="65">
        <v>0</v>
      </c>
      <c r="L23" s="1042">
        <v>0</v>
      </c>
      <c r="M23" s="1041">
        <f>+O23+N23</f>
        <v>0</v>
      </c>
      <c r="N23" s="65">
        <v>0</v>
      </c>
      <c r="O23" s="1042">
        <v>0</v>
      </c>
      <c r="P23" s="1041">
        <f>+Q23+R23</f>
        <v>0</v>
      </c>
      <c r="Q23" s="65">
        <v>0</v>
      </c>
      <c r="R23" s="1042">
        <v>0</v>
      </c>
      <c r="S23" s="1041">
        <f t="shared" si="0"/>
        <v>0</v>
      </c>
      <c r="T23" s="65">
        <v>0</v>
      </c>
      <c r="U23" s="1042">
        <v>0</v>
      </c>
      <c r="V23" s="1041">
        <f t="shared" si="1"/>
        <v>0</v>
      </c>
      <c r="W23" s="65">
        <v>0</v>
      </c>
      <c r="X23" s="1042">
        <v>0</v>
      </c>
      <c r="Y23" s="1041">
        <f t="shared" si="2"/>
        <v>0</v>
      </c>
      <c r="Z23" s="65">
        <v>0</v>
      </c>
      <c r="AA23" s="1042">
        <v>0</v>
      </c>
      <c r="AB23" s="1041">
        <f t="shared" si="3"/>
        <v>0</v>
      </c>
      <c r="AC23" s="65">
        <v>0</v>
      </c>
      <c r="AD23" s="1042">
        <v>0</v>
      </c>
      <c r="AE23" s="1041">
        <f t="shared" si="4"/>
        <v>0</v>
      </c>
      <c r="AF23" s="65">
        <v>0</v>
      </c>
      <c r="AG23" s="1042">
        <v>0</v>
      </c>
      <c r="AH23" s="1041">
        <f t="shared" si="5"/>
        <v>0</v>
      </c>
      <c r="AI23" s="65">
        <v>0</v>
      </c>
      <c r="AJ23" s="1042">
        <v>0</v>
      </c>
      <c r="AK23" s="1041">
        <f t="shared" si="6"/>
        <v>0</v>
      </c>
      <c r="AL23" s="65">
        <v>0</v>
      </c>
      <c r="AM23" s="1042">
        <v>0</v>
      </c>
      <c r="AN23" s="1041">
        <f t="shared" si="7"/>
        <v>0</v>
      </c>
      <c r="AO23" s="65">
        <v>0</v>
      </c>
      <c r="AP23" s="1042">
        <v>0</v>
      </c>
      <c r="AQ23" s="1041">
        <f t="shared" si="8"/>
        <v>0</v>
      </c>
      <c r="AR23" s="65">
        <v>0</v>
      </c>
      <c r="AS23" s="1042">
        <v>0</v>
      </c>
      <c r="AT23" s="1041">
        <f t="shared" si="9"/>
        <v>0</v>
      </c>
      <c r="AU23" s="65">
        <v>0</v>
      </c>
      <c r="AV23" s="1042">
        <v>0</v>
      </c>
      <c r="AW23" s="1055">
        <f>+(AT23+J23+(M23+P23+S23+V23+Y23+AB23+AE23+AH23+AK23+AN23+AQ23)*2)/24</f>
        <v>0</v>
      </c>
      <c r="AX23" s="1055">
        <f t="shared" si="10"/>
        <v>0</v>
      </c>
      <c r="AY23" s="1055">
        <f t="shared" si="10"/>
        <v>0</v>
      </c>
    </row>
    <row r="24" spans="1:56" ht="15.75" thickBot="1">
      <c r="A24" s="124">
        <f>MAX($A$8:A23)+1</f>
        <v>15</v>
      </c>
      <c r="B24" s="1035"/>
      <c r="C24" s="1032"/>
      <c r="D24" s="1032"/>
      <c r="E24" s="1032"/>
      <c r="F24" s="1032"/>
      <c r="G24" s="1032"/>
      <c r="H24" s="1032"/>
      <c r="I24" s="1034"/>
      <c r="J24" s="1028">
        <f>SUM(J19:J23)</f>
        <v>-311968</v>
      </c>
      <c r="K24" s="1027">
        <f>SUM(K18:K23)</f>
        <v>-77554.990000000005</v>
      </c>
      <c r="L24" s="1043">
        <f>SUM(L19:L23)</f>
        <v>-234413.01</v>
      </c>
      <c r="M24" s="1028">
        <f>SUM(M18:M23)</f>
        <v>-317669.95999999996</v>
      </c>
      <c r="N24" s="1027">
        <f>SUM(N18:N23)</f>
        <v>-59658.74</v>
      </c>
      <c r="O24" s="1043">
        <f>SUM(O19:O23)</f>
        <v>-258011.22</v>
      </c>
      <c r="P24" s="1028">
        <f>SUM(P18:P23)</f>
        <v>-317670</v>
      </c>
      <c r="Q24" s="1027">
        <f>SUM(Q18:Q23)</f>
        <v>-59658.99</v>
      </c>
      <c r="R24" s="1043">
        <f>SUM(R19:R23)</f>
        <v>-258011.01</v>
      </c>
      <c r="S24" s="1028">
        <f>SUM(S18:S23)</f>
        <v>-320379</v>
      </c>
      <c r="T24" s="1027">
        <f>SUM(T18:T23)</f>
        <v>-59658.99</v>
      </c>
      <c r="U24" s="1043">
        <f>SUM(U19:U23)</f>
        <v>-260720.01</v>
      </c>
      <c r="V24" s="1028">
        <f>SUM(V18:V23)</f>
        <v>-320379</v>
      </c>
      <c r="W24" s="1027">
        <f>SUM(W18:W23)</f>
        <v>-59658.99</v>
      </c>
      <c r="X24" s="1043">
        <f>SUM(X19:X23)</f>
        <v>-260720.01</v>
      </c>
      <c r="Y24" s="1028">
        <f>SUM(Y18:Y23)</f>
        <v>-321910.05</v>
      </c>
      <c r="Z24" s="1027">
        <f>SUM(Z18:Z23)</f>
        <v>-59658.74</v>
      </c>
      <c r="AA24" s="1043">
        <f>SUM(AA19:AA23)</f>
        <v>-262251.31</v>
      </c>
      <c r="AB24" s="1028">
        <f>SUM(AB18:AB23)</f>
        <v>-321910.05</v>
      </c>
      <c r="AC24" s="1027">
        <f>SUM(AC18:AC23)</f>
        <v>-59658.74</v>
      </c>
      <c r="AD24" s="1043">
        <f>SUM(AD19:AD23)</f>
        <v>-262251.31</v>
      </c>
      <c r="AE24" s="1028">
        <f>SUM(AE18:AE23)</f>
        <v>-321910.05</v>
      </c>
      <c r="AF24" s="1027">
        <f>SUM(AF18:AF23)</f>
        <v>-59658.74</v>
      </c>
      <c r="AG24" s="1043">
        <f>SUM(AG19:AG23)</f>
        <v>-262251.31</v>
      </c>
      <c r="AH24" s="1028">
        <f>SUM(AH18:AH23)</f>
        <v>-325940.55</v>
      </c>
      <c r="AI24" s="1027">
        <f>SUM(AI18:AI23)</f>
        <v>-59658.74</v>
      </c>
      <c r="AJ24" s="1043">
        <f>SUM(AJ19:AJ23)</f>
        <v>-266281.81</v>
      </c>
      <c r="AK24" s="1028">
        <f>SUM(AK18:AK23)</f>
        <v>-217344.67</v>
      </c>
      <c r="AL24" s="1027">
        <f>SUM(AL18:AL23)</f>
        <v>-34072.21</v>
      </c>
      <c r="AM24" s="1043">
        <f>SUM(AM19:AM23)</f>
        <v>-183272.46000000002</v>
      </c>
      <c r="AN24" s="1028">
        <f>SUM(AN18:AN23)</f>
        <v>-227387.66</v>
      </c>
      <c r="AO24" s="1027">
        <f>SUM(AO18:AO23)</f>
        <v>-34072.21</v>
      </c>
      <c r="AP24" s="1043">
        <f>SUM(AP19:AP23)</f>
        <v>-193315.45</v>
      </c>
      <c r="AQ24" s="1028">
        <f>SUM(AQ18:AQ23)</f>
        <v>-227387.62</v>
      </c>
      <c r="AR24" s="1027">
        <f>SUM(AR18:AR23)</f>
        <v>-34072.21</v>
      </c>
      <c r="AS24" s="1043">
        <f>SUM(AS19:AS23)</f>
        <v>-193315.41</v>
      </c>
      <c r="AT24" s="1028">
        <f>SUM(AT18:AT23)</f>
        <v>-227387.62</v>
      </c>
      <c r="AU24" s="1027">
        <f>SUM(AU18:AU23)</f>
        <v>-34072.21</v>
      </c>
      <c r="AV24" s="1043">
        <f>SUM(AV19:AV23)</f>
        <v>-193315.41</v>
      </c>
      <c r="AW24" s="1056">
        <f>SUM(AW19:AW23)</f>
        <v>-292463.86833333335</v>
      </c>
      <c r="AX24" s="1057">
        <f>SUM(AX19:AX23)</f>
        <v>-52941.741666666654</v>
      </c>
      <c r="AY24" s="1057">
        <f>SUM(AY19:AY23)</f>
        <v>-239522.12666666671</v>
      </c>
    </row>
    <row r="25" spans="1:56" ht="15.75" thickTop="1">
      <c r="A25" s="124">
        <f>MAX($A$8:A24)+1</f>
        <v>16</v>
      </c>
      <c r="B25" s="1035"/>
      <c r="C25" s="1032"/>
      <c r="D25" s="1032"/>
      <c r="E25" s="1032"/>
      <c r="F25" s="1032"/>
      <c r="G25" s="1032"/>
      <c r="H25" s="1032"/>
      <c r="I25" s="1034"/>
      <c r="J25" s="1041"/>
      <c r="K25" s="65"/>
      <c r="L25" s="1042">
        <v>8.7311491370201111E-10</v>
      </c>
      <c r="M25" s="1041"/>
      <c r="N25" s="65"/>
      <c r="O25" s="1042">
        <v>5.8207660913467407E-10</v>
      </c>
      <c r="P25" s="1041"/>
      <c r="Q25" s="65"/>
      <c r="R25" s="1042">
        <v>6.9849193096160889E-10</v>
      </c>
      <c r="S25" s="1041"/>
      <c r="T25" s="65"/>
      <c r="U25" s="1042">
        <v>0</v>
      </c>
      <c r="V25" s="1041"/>
      <c r="W25" s="65"/>
      <c r="X25" s="1042">
        <v>0</v>
      </c>
      <c r="Y25" s="1041"/>
      <c r="Z25" s="65"/>
      <c r="AA25" s="1042">
        <v>0</v>
      </c>
      <c r="AB25" s="1041"/>
      <c r="AC25" s="65"/>
      <c r="AD25" s="1042">
        <v>0</v>
      </c>
      <c r="AE25" s="1041"/>
      <c r="AF25" s="65"/>
      <c r="AG25" s="1042">
        <v>0</v>
      </c>
      <c r="AH25" s="1041"/>
      <c r="AI25" s="65"/>
      <c r="AJ25" s="1042">
        <v>0</v>
      </c>
      <c r="AK25" s="1041"/>
      <c r="AL25" s="65"/>
      <c r="AM25" s="1042">
        <v>4.6566128730773926E-10</v>
      </c>
      <c r="AN25" s="1041"/>
      <c r="AO25" s="65"/>
      <c r="AP25" s="1042">
        <v>4.6566128730773926E-10</v>
      </c>
      <c r="AQ25" s="1041"/>
      <c r="AR25" s="65"/>
      <c r="AS25" s="1042">
        <v>6.4028427004814148E-10</v>
      </c>
      <c r="AT25" s="1041"/>
      <c r="AU25" s="65"/>
      <c r="AV25" s="1042">
        <v>0</v>
      </c>
      <c r="AW25" s="1054"/>
      <c r="AX25" s="1054"/>
      <c r="AY25" s="1054"/>
      <c r="AZ25"/>
      <c r="BA25"/>
      <c r="BB25"/>
      <c r="BC25"/>
      <c r="BD25"/>
    </row>
    <row r="26" spans="1:56">
      <c r="A26" s="124">
        <f>MAX($A$8:A25)+1</f>
        <v>17</v>
      </c>
      <c r="B26" s="1478" t="s">
        <v>2338</v>
      </c>
      <c r="C26" s="1479"/>
      <c r="D26" s="1479"/>
      <c r="E26" s="1479"/>
      <c r="F26" s="1479"/>
      <c r="G26" s="1479"/>
      <c r="H26" s="1479"/>
      <c r="I26" s="1480"/>
      <c r="J26" s="1041"/>
      <c r="K26" s="65"/>
      <c r="L26" s="1042"/>
      <c r="M26" s="1041"/>
      <c r="N26" s="65"/>
      <c r="O26" s="1042"/>
      <c r="P26" s="1041"/>
      <c r="Q26" s="65"/>
      <c r="R26" s="1042"/>
      <c r="S26" s="1041"/>
      <c r="T26" s="65"/>
      <c r="U26" s="1042"/>
      <c r="V26" s="1041"/>
      <c r="W26" s="65"/>
      <c r="X26" s="1042"/>
      <c r="Y26" s="1041"/>
      <c r="Z26" s="65"/>
      <c r="AA26" s="1042"/>
      <c r="AB26" s="1041"/>
      <c r="AC26" s="65"/>
      <c r="AD26" s="1042"/>
      <c r="AE26" s="1041"/>
      <c r="AF26" s="65"/>
      <c r="AG26" s="1042"/>
      <c r="AH26" s="1041"/>
      <c r="AI26" s="65"/>
      <c r="AJ26" s="1042"/>
      <c r="AK26" s="1041"/>
      <c r="AL26" s="65"/>
      <c r="AM26" s="1042"/>
      <c r="AN26" s="1041"/>
      <c r="AO26" s="65"/>
      <c r="AP26" s="1042"/>
      <c r="AQ26" s="1041"/>
      <c r="AR26" s="65"/>
      <c r="AS26" s="1042"/>
      <c r="AT26" s="1041"/>
      <c r="AU26" s="65"/>
      <c r="AV26" s="1042"/>
      <c r="AW26" s="1054"/>
      <c r="AX26" s="1054"/>
      <c r="AY26" s="1054"/>
      <c r="AZ26"/>
      <c r="BA26"/>
      <c r="BB26"/>
      <c r="BC26"/>
      <c r="BD26"/>
    </row>
    <row r="27" spans="1:56">
      <c r="A27" s="124">
        <f>MAX($A$8:A26)+1</f>
        <v>18</v>
      </c>
      <c r="B27" s="1035" t="s">
        <v>2339</v>
      </c>
      <c r="C27" s="1032" t="s">
        <v>2323</v>
      </c>
      <c r="D27" s="1032"/>
      <c r="E27" s="1032" t="s">
        <v>2330</v>
      </c>
      <c r="F27" s="1032" t="s">
        <v>2340</v>
      </c>
      <c r="G27" s="1032" t="s">
        <v>2341</v>
      </c>
      <c r="H27" s="1032" t="s">
        <v>31</v>
      </c>
      <c r="I27" s="1034" t="s">
        <v>31</v>
      </c>
      <c r="J27" s="1041">
        <f>+K27+L27</f>
        <v>0</v>
      </c>
      <c r="K27" s="47">
        <v>-0.01</v>
      </c>
      <c r="L27" s="1042">
        <v>0.01</v>
      </c>
      <c r="M27" s="1041">
        <f>+N27+O27</f>
        <v>0</v>
      </c>
      <c r="N27" s="47">
        <v>-0.01</v>
      </c>
      <c r="O27" s="1042">
        <v>0.01</v>
      </c>
      <c r="P27" s="1041">
        <f>+Q27+R27</f>
        <v>0</v>
      </c>
      <c r="Q27" s="47">
        <v>-0.01</v>
      </c>
      <c r="R27" s="1042">
        <v>0.01</v>
      </c>
      <c r="S27" s="1041">
        <f>+T27+U27</f>
        <v>0</v>
      </c>
      <c r="T27" s="47">
        <v>-0.01</v>
      </c>
      <c r="U27" s="1042">
        <v>0.01</v>
      </c>
      <c r="V27" s="1041">
        <f>+W27+X27</f>
        <v>0</v>
      </c>
      <c r="W27" s="47">
        <v>-0.01</v>
      </c>
      <c r="X27" s="1042">
        <v>0.01</v>
      </c>
      <c r="Y27" s="1041">
        <f>+Z27+AA27</f>
        <v>0</v>
      </c>
      <c r="Z27" s="47">
        <v>-0.01</v>
      </c>
      <c r="AA27" s="1042">
        <v>0.01</v>
      </c>
      <c r="AB27" s="1041">
        <f>+AC27+AD27</f>
        <v>0</v>
      </c>
      <c r="AC27" s="47">
        <v>-0.01</v>
      </c>
      <c r="AD27" s="1042">
        <v>0.01</v>
      </c>
      <c r="AE27" s="1041">
        <f>+AF27+AG27</f>
        <v>0</v>
      </c>
      <c r="AF27" s="47">
        <v>-0.01</v>
      </c>
      <c r="AG27" s="1042">
        <v>0.01</v>
      </c>
      <c r="AH27" s="1041">
        <f>+AI27+AJ27</f>
        <v>0</v>
      </c>
      <c r="AI27" s="47">
        <v>-0.01</v>
      </c>
      <c r="AJ27" s="1042">
        <v>0.01</v>
      </c>
      <c r="AK27" s="1041">
        <f>+AL27+AM27</f>
        <v>0</v>
      </c>
      <c r="AL27" s="47">
        <v>-0.01</v>
      </c>
      <c r="AM27" s="1042">
        <v>0.01</v>
      </c>
      <c r="AN27" s="1041">
        <f>+AO27+AP27</f>
        <v>0</v>
      </c>
      <c r="AO27" s="47">
        <v>-0.01</v>
      </c>
      <c r="AP27" s="1042">
        <v>0.01</v>
      </c>
      <c r="AQ27" s="1041">
        <f>+AR27+AS27</f>
        <v>0</v>
      </c>
      <c r="AR27" s="47">
        <v>-0.01</v>
      </c>
      <c r="AS27" s="1042">
        <v>0.01</v>
      </c>
      <c r="AT27" s="1041">
        <f>+AU27+AV27</f>
        <v>0</v>
      </c>
      <c r="AU27" s="47">
        <v>-0.01</v>
      </c>
      <c r="AV27" s="1042">
        <v>0.01</v>
      </c>
      <c r="AW27" s="1054">
        <f t="shared" ref="AW27:AW43" si="11">+(AT27+J27+(M27+P27+S27+V27+Y27+AB27+AE27+AH27+AK27+AN27+AQ27)*2)/24</f>
        <v>0</v>
      </c>
      <c r="AX27" s="1054">
        <f t="shared" ref="AX27:AX43" si="12">+(AU27+K27+(N27+Q27+T27+W27+Z27+AC27+AF27+AI27+AL27+AO27+AR27)*2)/24</f>
        <v>-9.9999999999999985E-3</v>
      </c>
      <c r="AY27" s="1054">
        <f t="shared" ref="AY27:AY43" si="13">+(AV27+L27+(O27+R27+U27+X27+AA27+AD27+AG27+AJ27+AM27+AP27+AS27)*2)/24</f>
        <v>9.9999999999999985E-3</v>
      </c>
    </row>
    <row r="28" spans="1:56">
      <c r="A28" s="124">
        <f>MAX($A$8:A27)+1</f>
        <v>19</v>
      </c>
      <c r="B28" s="1035" t="s">
        <v>2339</v>
      </c>
      <c r="C28" s="1032" t="s">
        <v>2323</v>
      </c>
      <c r="D28" s="1032"/>
      <c r="E28" s="1032" t="s">
        <v>2342</v>
      </c>
      <c r="F28" s="1032" t="s">
        <v>2340</v>
      </c>
      <c r="G28" s="1032" t="s">
        <v>2341</v>
      </c>
      <c r="H28" s="1032" t="s">
        <v>31</v>
      </c>
      <c r="I28" s="1034" t="s">
        <v>31</v>
      </c>
      <c r="J28" s="1041">
        <f t="shared" ref="J28:J35" si="14">+K28+L28</f>
        <v>-22035185.530000001</v>
      </c>
      <c r="K28" s="47">
        <v>0</v>
      </c>
      <c r="L28" s="1042">
        <v>-22035185.530000001</v>
      </c>
      <c r="M28" s="1041">
        <f t="shared" ref="M28:M35" si="15">+N28+O28</f>
        <v>-21883765.879999999</v>
      </c>
      <c r="N28" s="47">
        <v>0</v>
      </c>
      <c r="O28" s="1042">
        <v>-21883765.879999999</v>
      </c>
      <c r="P28" s="1041">
        <f t="shared" ref="P28:P35" si="16">+Q28+R28</f>
        <v>-21861719.800000001</v>
      </c>
      <c r="Q28" s="47">
        <v>0</v>
      </c>
      <c r="R28" s="1042">
        <v>-21861719.800000001</v>
      </c>
      <c r="S28" s="1041">
        <f t="shared" ref="S28:S35" si="17">+T28+U28</f>
        <v>-21839673.73</v>
      </c>
      <c r="T28" s="47">
        <v>0</v>
      </c>
      <c r="U28" s="1042">
        <v>-21839673.73</v>
      </c>
      <c r="V28" s="1041">
        <f t="shared" ref="V28:V35" si="18">+W28+X28</f>
        <v>-21817627.649999999</v>
      </c>
      <c r="W28" s="47">
        <v>0</v>
      </c>
      <c r="X28" s="1042">
        <v>-21817627.649999999</v>
      </c>
      <c r="Y28" s="1041">
        <f t="shared" ref="Y28:Y35" si="19">+Z28+AA28</f>
        <v>-21795581.57</v>
      </c>
      <c r="Z28" s="47">
        <v>0</v>
      </c>
      <c r="AA28" s="1042">
        <v>-21795581.57</v>
      </c>
      <c r="AB28" s="1041">
        <f t="shared" ref="AB28:AB35" si="20">+AC28+AD28</f>
        <v>-21773535.489999998</v>
      </c>
      <c r="AC28" s="47">
        <v>0</v>
      </c>
      <c r="AD28" s="1042">
        <v>-21773535.489999998</v>
      </c>
      <c r="AE28" s="1041">
        <f t="shared" ref="AE28:AE35" si="21">+AF28+AG28</f>
        <v>-21751489.43</v>
      </c>
      <c r="AF28" s="47">
        <v>0</v>
      </c>
      <c r="AG28" s="1042">
        <v>-21751489.43</v>
      </c>
      <c r="AH28" s="1041">
        <f t="shared" ref="AH28:AH35" si="22">+AI28+AJ28</f>
        <v>-21729443.350000001</v>
      </c>
      <c r="AI28" s="47">
        <v>0</v>
      </c>
      <c r="AJ28" s="1042">
        <v>-21729443.350000001</v>
      </c>
      <c r="AK28" s="1041">
        <f t="shared" ref="AK28:AK35" si="23">+AL28+AM28</f>
        <v>-21707397.27</v>
      </c>
      <c r="AL28" s="47">
        <v>0</v>
      </c>
      <c r="AM28" s="1042">
        <v>-21707397.27</v>
      </c>
      <c r="AN28" s="1041">
        <f t="shared" ref="AN28:AN36" si="24">+AO28+AP28</f>
        <v>-21685351.199999999</v>
      </c>
      <c r="AO28" s="47">
        <v>0</v>
      </c>
      <c r="AP28" s="1042">
        <v>-21685351.199999999</v>
      </c>
      <c r="AQ28" s="1041">
        <f t="shared" ref="AQ28:AQ35" si="25">+AR28+AS28</f>
        <v>-21721207.27</v>
      </c>
      <c r="AR28" s="47">
        <v>0</v>
      </c>
      <c r="AS28" s="1042">
        <v>-21721207.27</v>
      </c>
      <c r="AT28" s="1041">
        <f t="shared" ref="AT28:AT35" si="26">+AU28+AV28</f>
        <v>-21871218.879999999</v>
      </c>
      <c r="AU28" s="47">
        <v>0</v>
      </c>
      <c r="AV28" s="1042">
        <v>-21871218.879999999</v>
      </c>
      <c r="AW28" s="1054">
        <f t="shared" si="11"/>
        <v>-21793332.903749999</v>
      </c>
      <c r="AX28" s="1054">
        <f t="shared" si="12"/>
        <v>0</v>
      </c>
      <c r="AY28" s="1054">
        <f t="shared" si="13"/>
        <v>-21793332.903749999</v>
      </c>
    </row>
    <row r="29" spans="1:56">
      <c r="A29" s="124">
        <f>MAX($A$8:A28)+1</f>
        <v>20</v>
      </c>
      <c r="B29" s="1035" t="s">
        <v>2339</v>
      </c>
      <c r="C29" s="1032" t="s">
        <v>2323</v>
      </c>
      <c r="D29" s="1032"/>
      <c r="E29" s="1032" t="s">
        <v>2324</v>
      </c>
      <c r="F29" s="1032" t="s">
        <v>2340</v>
      </c>
      <c r="G29" s="1032" t="s">
        <v>2341</v>
      </c>
      <c r="H29" s="1032" t="s">
        <v>31</v>
      </c>
      <c r="I29" s="1034" t="s">
        <v>31</v>
      </c>
      <c r="J29" s="1041">
        <f t="shared" si="14"/>
        <v>-77497377.159999996</v>
      </c>
      <c r="K29" s="47">
        <v>-77497377.159999996</v>
      </c>
      <c r="L29" s="1042">
        <v>0</v>
      </c>
      <c r="M29" s="1041">
        <f t="shared" si="15"/>
        <v>-77548632.900000006</v>
      </c>
      <c r="N29" s="47">
        <v>-77548632.900000006</v>
      </c>
      <c r="O29" s="1042">
        <v>0</v>
      </c>
      <c r="P29" s="1041">
        <f t="shared" si="16"/>
        <v>-77470515.060000002</v>
      </c>
      <c r="Q29" s="47">
        <v>-77470515.060000002</v>
      </c>
      <c r="R29" s="1042">
        <v>0</v>
      </c>
      <c r="S29" s="1041">
        <f t="shared" si="17"/>
        <v>-77392397.219999999</v>
      </c>
      <c r="T29" s="47">
        <v>-77392397.219999999</v>
      </c>
      <c r="U29" s="1042">
        <v>0</v>
      </c>
      <c r="V29" s="1041">
        <f t="shared" si="18"/>
        <v>-77314279.390000001</v>
      </c>
      <c r="W29" s="47">
        <v>-77314279.390000001</v>
      </c>
      <c r="X29" s="1042">
        <v>0</v>
      </c>
      <c r="Y29" s="1041">
        <f t="shared" si="19"/>
        <v>-77236161.560000002</v>
      </c>
      <c r="Z29" s="47">
        <v>-77236161.560000002</v>
      </c>
      <c r="AA29" s="1042">
        <v>0</v>
      </c>
      <c r="AB29" s="1041">
        <f t="shared" si="20"/>
        <v>-77158043.719999999</v>
      </c>
      <c r="AC29" s="47">
        <v>-77158043.719999999</v>
      </c>
      <c r="AD29" s="1042">
        <v>0</v>
      </c>
      <c r="AE29" s="1041">
        <f t="shared" si="21"/>
        <v>-77079925.890000001</v>
      </c>
      <c r="AF29" s="47">
        <v>-77079925.890000001</v>
      </c>
      <c r="AG29" s="1042">
        <v>0</v>
      </c>
      <c r="AH29" s="1041">
        <f t="shared" si="22"/>
        <v>-77001808.060000002</v>
      </c>
      <c r="AI29" s="47">
        <v>-77001808.060000002</v>
      </c>
      <c r="AJ29" s="1042">
        <v>0</v>
      </c>
      <c r="AK29" s="1041">
        <f t="shared" si="23"/>
        <v>-76923690.219999999</v>
      </c>
      <c r="AL29" s="47">
        <v>-76923690.219999999</v>
      </c>
      <c r="AM29" s="1042">
        <v>0</v>
      </c>
      <c r="AN29" s="1041">
        <f t="shared" si="24"/>
        <v>-76845572.390000001</v>
      </c>
      <c r="AO29" s="47">
        <v>-76845572.390000001</v>
      </c>
      <c r="AP29" s="1042">
        <v>0</v>
      </c>
      <c r="AQ29" s="1041">
        <f t="shared" si="25"/>
        <v>-76971079.75</v>
      </c>
      <c r="AR29" s="47">
        <v>-76971079.75</v>
      </c>
      <c r="AS29" s="1042">
        <v>0</v>
      </c>
      <c r="AT29" s="1041">
        <f t="shared" si="26"/>
        <v>-77502629.349999994</v>
      </c>
      <c r="AU29" s="47">
        <v>-77502629.349999994</v>
      </c>
      <c r="AV29" s="1042">
        <v>0</v>
      </c>
      <c r="AW29" s="1054">
        <f t="shared" si="11"/>
        <v>-77203509.117916659</v>
      </c>
      <c r="AX29" s="1054">
        <f t="shared" si="12"/>
        <v>-77203509.117916659</v>
      </c>
      <c r="AY29" s="1054">
        <f t="shared" si="13"/>
        <v>0</v>
      </c>
    </row>
    <row r="30" spans="1:56">
      <c r="A30" s="124">
        <f>MAX($A$8:A29)+1</f>
        <v>21</v>
      </c>
      <c r="B30" s="1035" t="s">
        <v>2343</v>
      </c>
      <c r="C30" s="1032" t="s">
        <v>2323</v>
      </c>
      <c r="D30" s="1032"/>
      <c r="E30" s="1032" t="s">
        <v>2330</v>
      </c>
      <c r="F30" s="1032" t="s">
        <v>2344</v>
      </c>
      <c r="G30" s="1032" t="s">
        <v>2345</v>
      </c>
      <c r="H30" s="1032" t="s">
        <v>31</v>
      </c>
      <c r="I30" s="1034" t="s">
        <v>31</v>
      </c>
      <c r="J30" s="1041">
        <f t="shared" si="14"/>
        <v>0</v>
      </c>
      <c r="K30" s="47">
        <v>-0.01</v>
      </c>
      <c r="L30" s="1042">
        <v>0.01</v>
      </c>
      <c r="M30" s="1041">
        <f t="shared" si="15"/>
        <v>0</v>
      </c>
      <c r="N30" s="47">
        <v>-0.01</v>
      </c>
      <c r="O30" s="1042">
        <v>0.01</v>
      </c>
      <c r="P30" s="1041">
        <f t="shared" si="16"/>
        <v>0</v>
      </c>
      <c r="Q30" s="47">
        <v>-0.01</v>
      </c>
      <c r="R30" s="1042">
        <v>0.01</v>
      </c>
      <c r="S30" s="1041">
        <f t="shared" si="17"/>
        <v>0</v>
      </c>
      <c r="T30" s="47">
        <v>-0.01</v>
      </c>
      <c r="U30" s="1042">
        <v>0.01</v>
      </c>
      <c r="V30" s="1041">
        <f t="shared" si="18"/>
        <v>0</v>
      </c>
      <c r="W30" s="47">
        <v>-0.01</v>
      </c>
      <c r="X30" s="1042">
        <v>0.01</v>
      </c>
      <c r="Y30" s="1041">
        <f t="shared" si="19"/>
        <v>0</v>
      </c>
      <c r="Z30" s="47">
        <v>-0.01</v>
      </c>
      <c r="AA30" s="1042">
        <v>0.01</v>
      </c>
      <c r="AB30" s="1041">
        <f t="shared" si="20"/>
        <v>0</v>
      </c>
      <c r="AC30" s="47">
        <v>-0.01</v>
      </c>
      <c r="AD30" s="1042">
        <v>0.01</v>
      </c>
      <c r="AE30" s="1041">
        <f t="shared" si="21"/>
        <v>0</v>
      </c>
      <c r="AF30" s="47">
        <v>-0.01</v>
      </c>
      <c r="AG30" s="1042">
        <v>0.01</v>
      </c>
      <c r="AH30" s="1041">
        <f t="shared" si="22"/>
        <v>0</v>
      </c>
      <c r="AI30" s="47">
        <v>-0.01</v>
      </c>
      <c r="AJ30" s="1042">
        <v>0.01</v>
      </c>
      <c r="AK30" s="1041">
        <f t="shared" si="23"/>
        <v>0</v>
      </c>
      <c r="AL30" s="47">
        <v>-0.01</v>
      </c>
      <c r="AM30" s="1042">
        <v>0.01</v>
      </c>
      <c r="AN30" s="1041">
        <f t="shared" si="24"/>
        <v>0</v>
      </c>
      <c r="AO30" s="47">
        <v>-0.01</v>
      </c>
      <c r="AP30" s="1042">
        <v>0.01</v>
      </c>
      <c r="AQ30" s="1041">
        <f t="shared" si="25"/>
        <v>0</v>
      </c>
      <c r="AR30" s="47">
        <v>-0.01</v>
      </c>
      <c r="AS30" s="1042">
        <v>0.01</v>
      </c>
      <c r="AT30" s="1041">
        <f t="shared" si="26"/>
        <v>0</v>
      </c>
      <c r="AU30" s="47">
        <v>-0.01</v>
      </c>
      <c r="AV30" s="1042">
        <v>0.01</v>
      </c>
      <c r="AW30" s="1058">
        <f t="shared" si="11"/>
        <v>0</v>
      </c>
      <c r="AX30" s="1054">
        <f t="shared" si="12"/>
        <v>-9.9999999999999985E-3</v>
      </c>
      <c r="AY30" s="1054">
        <f t="shared" si="13"/>
        <v>9.9999999999999985E-3</v>
      </c>
    </row>
    <row r="31" spans="1:56">
      <c r="A31" s="124">
        <f>MAX($A$8:A30)+1</f>
        <v>22</v>
      </c>
      <c r="B31" s="1035" t="s">
        <v>2343</v>
      </c>
      <c r="C31" s="1032" t="s">
        <v>2323</v>
      </c>
      <c r="D31" s="1032"/>
      <c r="E31" s="1032" t="s">
        <v>2342</v>
      </c>
      <c r="F31" s="1032" t="s">
        <v>2344</v>
      </c>
      <c r="G31" s="1032" t="s">
        <v>2345</v>
      </c>
      <c r="H31" s="1032" t="s">
        <v>31</v>
      </c>
      <c r="I31" s="1034" t="s">
        <v>31</v>
      </c>
      <c r="J31" s="1041">
        <f t="shared" si="14"/>
        <v>-56828.18</v>
      </c>
      <c r="K31" s="47">
        <v>0</v>
      </c>
      <c r="L31" s="1042">
        <v>-56828.18</v>
      </c>
      <c r="M31" s="1041">
        <f t="shared" si="15"/>
        <v>-55385.59</v>
      </c>
      <c r="N31" s="47">
        <v>0</v>
      </c>
      <c r="O31" s="1042">
        <v>-55385.59</v>
      </c>
      <c r="P31" s="1041">
        <f t="shared" si="16"/>
        <v>-55171.43</v>
      </c>
      <c r="Q31" s="47">
        <v>0</v>
      </c>
      <c r="R31" s="1042">
        <v>-55171.43</v>
      </c>
      <c r="S31" s="1041">
        <f t="shared" si="17"/>
        <v>-54957.27</v>
      </c>
      <c r="T31" s="47">
        <v>0</v>
      </c>
      <c r="U31" s="1042">
        <v>-54957.27</v>
      </c>
      <c r="V31" s="1041">
        <f t="shared" si="18"/>
        <v>-54743.11</v>
      </c>
      <c r="W31" s="47">
        <v>0</v>
      </c>
      <c r="X31" s="1042">
        <v>-54743.11</v>
      </c>
      <c r="Y31" s="1041">
        <f t="shared" si="19"/>
        <v>-54528.95</v>
      </c>
      <c r="Z31" s="47">
        <v>0</v>
      </c>
      <c r="AA31" s="1042">
        <v>-54528.95</v>
      </c>
      <c r="AB31" s="1041">
        <f t="shared" si="20"/>
        <v>-54314.79</v>
      </c>
      <c r="AC31" s="47">
        <v>0</v>
      </c>
      <c r="AD31" s="1042">
        <v>-54314.79</v>
      </c>
      <c r="AE31" s="1041">
        <f t="shared" si="21"/>
        <v>-54100.63</v>
      </c>
      <c r="AF31" s="47">
        <v>0</v>
      </c>
      <c r="AG31" s="1042">
        <v>-54100.63</v>
      </c>
      <c r="AH31" s="1041">
        <f t="shared" si="22"/>
        <v>-53886.47</v>
      </c>
      <c r="AI31" s="47">
        <v>0</v>
      </c>
      <c r="AJ31" s="1042">
        <v>-53886.47</v>
      </c>
      <c r="AK31" s="1041">
        <f t="shared" si="23"/>
        <v>-53672.31</v>
      </c>
      <c r="AL31" s="47">
        <v>0</v>
      </c>
      <c r="AM31" s="1042">
        <v>-53672.31</v>
      </c>
      <c r="AN31" s="1041">
        <f t="shared" si="24"/>
        <v>-53458.15</v>
      </c>
      <c r="AO31" s="47">
        <v>0</v>
      </c>
      <c r="AP31" s="1042">
        <v>-53458.15</v>
      </c>
      <c r="AQ31" s="1041">
        <f t="shared" si="25"/>
        <v>-53243.99</v>
      </c>
      <c r="AR31" s="47">
        <v>0</v>
      </c>
      <c r="AS31" s="1042">
        <v>-53243.99</v>
      </c>
      <c r="AT31" s="1041">
        <f t="shared" si="26"/>
        <v>-53029.83</v>
      </c>
      <c r="AU31" s="47">
        <v>0</v>
      </c>
      <c r="AV31" s="1042">
        <v>-53029.83</v>
      </c>
      <c r="AW31" s="1058">
        <f t="shared" si="11"/>
        <v>-54365.974583333329</v>
      </c>
      <c r="AX31" s="1054">
        <f t="shared" si="12"/>
        <v>0</v>
      </c>
      <c r="AY31" s="1054">
        <f t="shared" si="13"/>
        <v>-54365.974583333329</v>
      </c>
    </row>
    <row r="32" spans="1:56">
      <c r="A32" s="124">
        <f>MAX($A$8:A31)+1</f>
        <v>23</v>
      </c>
      <c r="B32" s="1035" t="s">
        <v>2343</v>
      </c>
      <c r="C32" s="1032" t="s">
        <v>2323</v>
      </c>
      <c r="D32" s="1032"/>
      <c r="E32" s="1032" t="s">
        <v>2324</v>
      </c>
      <c r="F32" s="1032" t="s">
        <v>2344</v>
      </c>
      <c r="G32" s="1032" t="s">
        <v>2345</v>
      </c>
      <c r="H32" s="1032" t="s">
        <v>31</v>
      </c>
      <c r="I32" s="1034" t="s">
        <v>31</v>
      </c>
      <c r="J32" s="1041">
        <f t="shared" si="14"/>
        <v>-210221.69</v>
      </c>
      <c r="K32" s="47">
        <v>-210221.69</v>
      </c>
      <c r="L32" s="1042">
        <v>0</v>
      </c>
      <c r="M32" s="1041">
        <f t="shared" si="15"/>
        <v>-210635.65</v>
      </c>
      <c r="N32" s="47">
        <v>-210635.65</v>
      </c>
      <c r="O32" s="1042">
        <v>0</v>
      </c>
      <c r="P32" s="1041">
        <f t="shared" si="16"/>
        <v>-209821.18</v>
      </c>
      <c r="Q32" s="47">
        <v>-209821.18</v>
      </c>
      <c r="R32" s="1042">
        <v>0</v>
      </c>
      <c r="S32" s="1041">
        <f t="shared" si="17"/>
        <v>-209006.71</v>
      </c>
      <c r="T32" s="47">
        <v>-209006.71</v>
      </c>
      <c r="U32" s="1042">
        <v>0</v>
      </c>
      <c r="V32" s="1041">
        <f t="shared" si="18"/>
        <v>-208192.24</v>
      </c>
      <c r="W32" s="47">
        <v>-208192.24</v>
      </c>
      <c r="X32" s="1042">
        <v>0</v>
      </c>
      <c r="Y32" s="1041">
        <f t="shared" si="19"/>
        <v>-207377.77</v>
      </c>
      <c r="Z32" s="47">
        <v>-207377.77</v>
      </c>
      <c r="AA32" s="1042">
        <v>0</v>
      </c>
      <c r="AB32" s="1041">
        <f t="shared" si="20"/>
        <v>-206563.3</v>
      </c>
      <c r="AC32" s="47">
        <v>-206563.3</v>
      </c>
      <c r="AD32" s="1042">
        <v>0</v>
      </c>
      <c r="AE32" s="1041">
        <f t="shared" si="21"/>
        <v>-205748.83</v>
      </c>
      <c r="AF32" s="47">
        <v>-205748.83</v>
      </c>
      <c r="AG32" s="1042">
        <v>0</v>
      </c>
      <c r="AH32" s="1041">
        <f t="shared" si="22"/>
        <v>-204934.36</v>
      </c>
      <c r="AI32" s="47">
        <v>-204934.36</v>
      </c>
      <c r="AJ32" s="1042">
        <v>0</v>
      </c>
      <c r="AK32" s="1041">
        <f t="shared" si="23"/>
        <v>-204119.89</v>
      </c>
      <c r="AL32" s="47">
        <v>-204119.89</v>
      </c>
      <c r="AM32" s="1042">
        <v>0</v>
      </c>
      <c r="AN32" s="1041">
        <f t="shared" si="24"/>
        <v>-203305.42</v>
      </c>
      <c r="AO32" s="47">
        <v>-203305.42</v>
      </c>
      <c r="AP32" s="1042">
        <v>0</v>
      </c>
      <c r="AQ32" s="1041">
        <f t="shared" si="25"/>
        <v>-202490.95</v>
      </c>
      <c r="AR32" s="47">
        <v>-202490.95</v>
      </c>
      <c r="AS32" s="1042">
        <v>0</v>
      </c>
      <c r="AT32" s="1041">
        <f t="shared" si="26"/>
        <v>-201676.48</v>
      </c>
      <c r="AU32" s="47">
        <v>-201676.48</v>
      </c>
      <c r="AV32" s="1042">
        <v>0</v>
      </c>
      <c r="AW32" s="1058">
        <f t="shared" si="11"/>
        <v>-206512.1154166667</v>
      </c>
      <c r="AX32" s="1054">
        <f t="shared" si="12"/>
        <v>-206512.1154166667</v>
      </c>
      <c r="AY32" s="1054">
        <f t="shared" si="13"/>
        <v>0</v>
      </c>
    </row>
    <row r="33" spans="1:51">
      <c r="A33" s="124">
        <f>MAX($A$8:A32)+1</f>
        <v>24</v>
      </c>
      <c r="B33" s="1035" t="s">
        <v>2346</v>
      </c>
      <c r="C33" s="1032" t="s">
        <v>2323</v>
      </c>
      <c r="D33" s="1032"/>
      <c r="E33" s="1032" t="s">
        <v>2330</v>
      </c>
      <c r="F33" s="1032" t="s">
        <v>2347</v>
      </c>
      <c r="G33" s="1032" t="s">
        <v>2348</v>
      </c>
      <c r="H33" s="1032" t="s">
        <v>31</v>
      </c>
      <c r="I33" s="1034" t="s">
        <v>31</v>
      </c>
      <c r="J33" s="1041">
        <f t="shared" si="14"/>
        <v>0</v>
      </c>
      <c r="K33" s="47">
        <v>0</v>
      </c>
      <c r="L33" s="1042">
        <v>0</v>
      </c>
      <c r="M33" s="1041">
        <f t="shared" si="15"/>
        <v>0</v>
      </c>
      <c r="N33" s="47">
        <v>0</v>
      </c>
      <c r="O33" s="1042">
        <v>0</v>
      </c>
      <c r="P33" s="1041">
        <f t="shared" si="16"/>
        <v>0</v>
      </c>
      <c r="Q33" s="47">
        <v>0</v>
      </c>
      <c r="R33" s="1042">
        <v>0</v>
      </c>
      <c r="S33" s="1041">
        <f t="shared" si="17"/>
        <v>0</v>
      </c>
      <c r="T33" s="47">
        <v>0</v>
      </c>
      <c r="U33" s="1042">
        <v>0</v>
      </c>
      <c r="V33" s="1041">
        <f t="shared" si="18"/>
        <v>0</v>
      </c>
      <c r="W33" s="47">
        <v>0</v>
      </c>
      <c r="X33" s="1042">
        <v>0</v>
      </c>
      <c r="Y33" s="1041">
        <f t="shared" si="19"/>
        <v>0</v>
      </c>
      <c r="Z33" s="47">
        <v>0</v>
      </c>
      <c r="AA33" s="1042">
        <v>0</v>
      </c>
      <c r="AB33" s="1041">
        <f t="shared" si="20"/>
        <v>0</v>
      </c>
      <c r="AC33" s="47">
        <v>0</v>
      </c>
      <c r="AD33" s="1042">
        <v>0</v>
      </c>
      <c r="AE33" s="1041">
        <f t="shared" si="21"/>
        <v>0</v>
      </c>
      <c r="AF33" s="47">
        <v>0</v>
      </c>
      <c r="AG33" s="1042">
        <v>0</v>
      </c>
      <c r="AH33" s="1041">
        <f t="shared" si="22"/>
        <v>0</v>
      </c>
      <c r="AI33" s="47">
        <v>0</v>
      </c>
      <c r="AJ33" s="1042">
        <v>0</v>
      </c>
      <c r="AK33" s="1041">
        <f t="shared" si="23"/>
        <v>0</v>
      </c>
      <c r="AL33" s="47">
        <v>0</v>
      </c>
      <c r="AM33" s="1042">
        <v>0</v>
      </c>
      <c r="AN33" s="1041">
        <f t="shared" si="24"/>
        <v>0</v>
      </c>
      <c r="AO33" s="47">
        <v>0</v>
      </c>
      <c r="AP33" s="1042">
        <v>0</v>
      </c>
      <c r="AQ33" s="1041">
        <f t="shared" si="25"/>
        <v>0</v>
      </c>
      <c r="AR33" s="47">
        <v>0</v>
      </c>
      <c r="AS33" s="1042">
        <v>0</v>
      </c>
      <c r="AT33" s="1041">
        <f t="shared" si="26"/>
        <v>0</v>
      </c>
      <c r="AU33" s="47">
        <v>0</v>
      </c>
      <c r="AV33" s="1042">
        <v>0</v>
      </c>
      <c r="AW33" s="1058">
        <f t="shared" si="11"/>
        <v>0</v>
      </c>
      <c r="AX33" s="1054">
        <f t="shared" si="12"/>
        <v>0</v>
      </c>
      <c r="AY33" s="1054">
        <f t="shared" si="13"/>
        <v>0</v>
      </c>
    </row>
    <row r="34" spans="1:51">
      <c r="A34" s="124">
        <f>MAX($A$8:A33)+1</f>
        <v>25</v>
      </c>
      <c r="B34" s="1035" t="s">
        <v>2346</v>
      </c>
      <c r="C34" s="1032" t="s">
        <v>2323</v>
      </c>
      <c r="D34" s="1032"/>
      <c r="E34" s="1032" t="s">
        <v>2342</v>
      </c>
      <c r="F34" s="1032" t="s">
        <v>2347</v>
      </c>
      <c r="G34" s="1032" t="s">
        <v>2348</v>
      </c>
      <c r="H34" s="1032" t="s">
        <v>31</v>
      </c>
      <c r="I34" s="1034" t="s">
        <v>31</v>
      </c>
      <c r="J34" s="1041">
        <f t="shared" si="14"/>
        <v>43028.38</v>
      </c>
      <c r="K34" s="47">
        <v>0</v>
      </c>
      <c r="L34" s="1042">
        <v>43028.38</v>
      </c>
      <c r="M34" s="1041">
        <f t="shared" si="15"/>
        <v>44204.09</v>
      </c>
      <c r="N34" s="47">
        <v>0</v>
      </c>
      <c r="O34" s="1042">
        <v>44204.09</v>
      </c>
      <c r="P34" s="1041">
        <f t="shared" si="16"/>
        <v>44204.09</v>
      </c>
      <c r="Q34" s="47">
        <v>0</v>
      </c>
      <c r="R34" s="1042">
        <v>44204.09</v>
      </c>
      <c r="S34" s="1041">
        <f t="shared" si="17"/>
        <v>44762.7</v>
      </c>
      <c r="T34" s="47">
        <v>0</v>
      </c>
      <c r="U34" s="1042">
        <v>44762.7</v>
      </c>
      <c r="V34" s="1041">
        <f t="shared" si="18"/>
        <v>44762.7</v>
      </c>
      <c r="W34" s="47">
        <v>0</v>
      </c>
      <c r="X34" s="1042">
        <v>44762.7</v>
      </c>
      <c r="Y34" s="1041">
        <f t="shared" si="19"/>
        <v>45078.44</v>
      </c>
      <c r="Z34" s="47">
        <v>0</v>
      </c>
      <c r="AA34" s="1042">
        <v>45078.44</v>
      </c>
      <c r="AB34" s="1041">
        <f t="shared" si="20"/>
        <v>45078.44</v>
      </c>
      <c r="AC34" s="47">
        <v>0</v>
      </c>
      <c r="AD34" s="1042">
        <v>45078.44</v>
      </c>
      <c r="AE34" s="1041">
        <f t="shared" si="21"/>
        <v>45078.44</v>
      </c>
      <c r="AF34" s="47">
        <v>0</v>
      </c>
      <c r="AG34" s="1042">
        <v>45078.44</v>
      </c>
      <c r="AH34" s="1041">
        <f t="shared" si="22"/>
        <v>45909.57</v>
      </c>
      <c r="AI34" s="47">
        <v>0</v>
      </c>
      <c r="AJ34" s="1042">
        <v>45909.57</v>
      </c>
      <c r="AK34" s="1041">
        <f t="shared" si="23"/>
        <v>30544.41</v>
      </c>
      <c r="AL34" s="47">
        <v>0</v>
      </c>
      <c r="AM34" s="1042">
        <v>30544.41</v>
      </c>
      <c r="AN34" s="1041">
        <f t="shared" si="24"/>
        <v>32615.37</v>
      </c>
      <c r="AO34" s="47">
        <v>0</v>
      </c>
      <c r="AP34" s="1042">
        <v>32615.37</v>
      </c>
      <c r="AQ34" s="1041">
        <f t="shared" si="25"/>
        <v>32615.37</v>
      </c>
      <c r="AR34" s="47">
        <v>0</v>
      </c>
      <c r="AS34" s="1042">
        <v>32615.37</v>
      </c>
      <c r="AT34" s="1041">
        <f t="shared" si="26"/>
        <v>32615.37</v>
      </c>
      <c r="AU34" s="47">
        <v>0</v>
      </c>
      <c r="AV34" s="1042">
        <v>32615.37</v>
      </c>
      <c r="AW34" s="1058">
        <f t="shared" si="11"/>
        <v>41056.291250000002</v>
      </c>
      <c r="AX34" s="1054">
        <f t="shared" si="12"/>
        <v>0</v>
      </c>
      <c r="AY34" s="1054">
        <f t="shared" si="13"/>
        <v>41056.291250000002</v>
      </c>
    </row>
    <row r="35" spans="1:51">
      <c r="A35" s="124">
        <f>MAX($A$8:A34)+1</f>
        <v>26</v>
      </c>
      <c r="B35" s="1035" t="s">
        <v>2346</v>
      </c>
      <c r="C35" s="1032" t="s">
        <v>2323</v>
      </c>
      <c r="D35" s="1032"/>
      <c r="E35" s="1032" t="s">
        <v>2324</v>
      </c>
      <c r="F35" s="1032" t="s">
        <v>2347</v>
      </c>
      <c r="G35" s="1032" t="s">
        <v>2348</v>
      </c>
      <c r="H35" s="1032" t="s">
        <v>31</v>
      </c>
      <c r="I35" s="1034" t="s">
        <v>31</v>
      </c>
      <c r="J35" s="1041">
        <f t="shared" si="14"/>
        <v>-6.0595084505621305E-11</v>
      </c>
      <c r="K35" s="47">
        <v>-6.0595084505621305E-11</v>
      </c>
      <c r="L35" s="1042">
        <v>0</v>
      </c>
      <c r="M35" s="1041">
        <f t="shared" si="15"/>
        <v>0</v>
      </c>
      <c r="N35" s="47">
        <v>0</v>
      </c>
      <c r="O35" s="1042">
        <v>0</v>
      </c>
      <c r="P35" s="1041">
        <f t="shared" si="16"/>
        <v>0</v>
      </c>
      <c r="Q35" s="47">
        <v>0</v>
      </c>
      <c r="R35" s="1042">
        <v>0</v>
      </c>
      <c r="S35" s="1041">
        <f t="shared" si="17"/>
        <v>0</v>
      </c>
      <c r="T35" s="47">
        <v>0</v>
      </c>
      <c r="U35" s="1042">
        <v>0</v>
      </c>
      <c r="V35" s="1041">
        <f t="shared" si="18"/>
        <v>0</v>
      </c>
      <c r="W35" s="47">
        <v>0</v>
      </c>
      <c r="X35" s="1042">
        <v>0</v>
      </c>
      <c r="Y35" s="1041">
        <f t="shared" si="19"/>
        <v>0</v>
      </c>
      <c r="Z35" s="47">
        <v>0</v>
      </c>
      <c r="AA35" s="1042">
        <v>0</v>
      </c>
      <c r="AB35" s="1041">
        <f t="shared" si="20"/>
        <v>0</v>
      </c>
      <c r="AC35" s="47">
        <v>0</v>
      </c>
      <c r="AD35" s="1042">
        <v>0</v>
      </c>
      <c r="AE35" s="1041">
        <f t="shared" si="21"/>
        <v>0</v>
      </c>
      <c r="AF35" s="47">
        <v>0</v>
      </c>
      <c r="AG35" s="1042">
        <v>0</v>
      </c>
      <c r="AH35" s="1041">
        <f t="shared" si="22"/>
        <v>0</v>
      </c>
      <c r="AI35" s="47">
        <v>0</v>
      </c>
      <c r="AJ35" s="1042">
        <v>0</v>
      </c>
      <c r="AK35" s="1041">
        <f t="shared" si="23"/>
        <v>0</v>
      </c>
      <c r="AL35" s="47">
        <v>0</v>
      </c>
      <c r="AM35" s="1042">
        <v>0</v>
      </c>
      <c r="AN35" s="1041">
        <f t="shared" si="24"/>
        <v>0</v>
      </c>
      <c r="AO35" s="47">
        <v>0</v>
      </c>
      <c r="AP35" s="1042">
        <v>0</v>
      </c>
      <c r="AQ35" s="1041">
        <f t="shared" si="25"/>
        <v>0</v>
      </c>
      <c r="AR35" s="47">
        <v>0</v>
      </c>
      <c r="AS35" s="1042">
        <v>0</v>
      </c>
      <c r="AT35" s="1041">
        <f t="shared" si="26"/>
        <v>0</v>
      </c>
      <c r="AU35" s="47">
        <v>0</v>
      </c>
      <c r="AV35" s="1042">
        <v>0</v>
      </c>
      <c r="AW35" s="1058">
        <f t="shared" si="11"/>
        <v>-2.5247951877342209E-12</v>
      </c>
      <c r="AX35" s="1054">
        <f t="shared" si="12"/>
        <v>-2.5247951877342209E-12</v>
      </c>
      <c r="AY35" s="1054">
        <f t="shared" si="13"/>
        <v>0</v>
      </c>
    </row>
    <row r="36" spans="1:51">
      <c r="A36" s="124">
        <f>MAX($A$8:A35)+1</f>
        <v>27</v>
      </c>
      <c r="B36" s="1035" t="s">
        <v>2349</v>
      </c>
      <c r="C36" s="1032" t="s">
        <v>2323</v>
      </c>
      <c r="D36" s="1032"/>
      <c r="E36" s="1032" t="s">
        <v>2324</v>
      </c>
      <c r="F36" s="1032" t="s">
        <v>2340</v>
      </c>
      <c r="G36" s="1032" t="s">
        <v>2350</v>
      </c>
      <c r="H36" s="1032" t="s">
        <v>31</v>
      </c>
      <c r="I36" s="1034" t="s">
        <v>31</v>
      </c>
      <c r="J36" s="1041">
        <f t="shared" ref="J36:J43" si="27">+K36+L36</f>
        <v>0</v>
      </c>
      <c r="K36" s="47">
        <v>0</v>
      </c>
      <c r="L36" s="1042">
        <v>0</v>
      </c>
      <c r="M36" s="1041">
        <f t="shared" ref="M36:M43" si="28">+N36+O36</f>
        <v>0</v>
      </c>
      <c r="N36" s="47">
        <v>0</v>
      </c>
      <c r="O36" s="1042">
        <v>0</v>
      </c>
      <c r="P36" s="1041">
        <f t="shared" ref="P36:P43" si="29">+Q36+R36</f>
        <v>0</v>
      </c>
      <c r="Q36" s="47">
        <v>0</v>
      </c>
      <c r="R36" s="1042">
        <v>0</v>
      </c>
      <c r="S36" s="1041">
        <f t="shared" ref="S36:S43" si="30">+T36+U36</f>
        <v>0</v>
      </c>
      <c r="T36" s="47">
        <v>0</v>
      </c>
      <c r="U36" s="1042">
        <v>0</v>
      </c>
      <c r="V36" s="1041">
        <f t="shared" ref="V36:V43" si="31">+W36+X36</f>
        <v>0</v>
      </c>
      <c r="W36" s="47">
        <v>0</v>
      </c>
      <c r="X36" s="1042">
        <v>0</v>
      </c>
      <c r="Y36" s="1041">
        <f t="shared" ref="Y36:Y43" si="32">+Z36+AA36</f>
        <v>0</v>
      </c>
      <c r="Z36" s="47">
        <v>0</v>
      </c>
      <c r="AA36" s="1042">
        <v>0</v>
      </c>
      <c r="AB36" s="1041">
        <f t="shared" ref="AB36:AB43" si="33">+AC36+AD36</f>
        <v>0</v>
      </c>
      <c r="AC36" s="47">
        <v>0</v>
      </c>
      <c r="AD36" s="1042">
        <v>0</v>
      </c>
      <c r="AE36" s="1041">
        <f t="shared" ref="AE36:AE43" si="34">+AF36+AG36</f>
        <v>0</v>
      </c>
      <c r="AF36" s="47">
        <v>0</v>
      </c>
      <c r="AG36" s="1042">
        <v>0</v>
      </c>
      <c r="AH36" s="1041">
        <f t="shared" ref="AH36:AH43" si="35">+AI36+AJ36</f>
        <v>0</v>
      </c>
      <c r="AI36" s="47">
        <v>0</v>
      </c>
      <c r="AJ36" s="1042">
        <v>0</v>
      </c>
      <c r="AK36" s="1041">
        <f t="shared" ref="AK36:AK43" si="36">+AL36+AM36</f>
        <v>0</v>
      </c>
      <c r="AL36" s="47">
        <v>0</v>
      </c>
      <c r="AM36" s="1042">
        <v>0</v>
      </c>
      <c r="AN36" s="1041">
        <f t="shared" si="24"/>
        <v>0</v>
      </c>
      <c r="AO36" s="47">
        <v>0</v>
      </c>
      <c r="AP36" s="1042">
        <v>0</v>
      </c>
      <c r="AQ36" s="1041">
        <f t="shared" ref="AQ36:AQ43" si="37">+AR36+AS36</f>
        <v>0</v>
      </c>
      <c r="AR36" s="47">
        <v>0</v>
      </c>
      <c r="AS36" s="1042">
        <v>0</v>
      </c>
      <c r="AT36" s="1041">
        <f t="shared" ref="AT36:AT43" si="38">+AU36+AV36</f>
        <v>0</v>
      </c>
      <c r="AU36" s="47">
        <v>0</v>
      </c>
      <c r="AV36" s="1042">
        <v>0</v>
      </c>
      <c r="AW36" s="1058">
        <f t="shared" si="11"/>
        <v>0</v>
      </c>
      <c r="AX36" s="1054">
        <f t="shared" si="12"/>
        <v>0</v>
      </c>
      <c r="AY36" s="1054">
        <f t="shared" si="13"/>
        <v>0</v>
      </c>
    </row>
    <row r="37" spans="1:51">
      <c r="A37" s="124">
        <f>MAX($A$8:A36)+1</f>
        <v>28</v>
      </c>
      <c r="B37" s="1035" t="s">
        <v>2351</v>
      </c>
      <c r="C37" s="1032" t="s">
        <v>2323</v>
      </c>
      <c r="D37" s="1032"/>
      <c r="E37" s="1032" t="s">
        <v>2324</v>
      </c>
      <c r="F37" s="1032" t="s">
        <v>2347</v>
      </c>
      <c r="G37" s="1032" t="s">
        <v>2352</v>
      </c>
      <c r="H37" s="1032" t="s">
        <v>31</v>
      </c>
      <c r="I37" s="1034" t="s">
        <v>31</v>
      </c>
      <c r="J37" s="1041">
        <f t="shared" si="27"/>
        <v>138173.84</v>
      </c>
      <c r="K37" s="47">
        <v>138173.84</v>
      </c>
      <c r="L37" s="1042">
        <v>0</v>
      </c>
      <c r="M37" s="1041">
        <f t="shared" si="28"/>
        <v>135870.94</v>
      </c>
      <c r="N37" s="47">
        <v>135870.94</v>
      </c>
      <c r="O37" s="1042">
        <v>0</v>
      </c>
      <c r="P37" s="1041">
        <f t="shared" si="29"/>
        <v>133568.04</v>
      </c>
      <c r="Q37" s="47">
        <v>133568.04</v>
      </c>
      <c r="R37" s="1042">
        <v>0</v>
      </c>
      <c r="S37" s="1041">
        <f t="shared" si="30"/>
        <v>131265.15</v>
      </c>
      <c r="T37" s="47">
        <v>131265.15</v>
      </c>
      <c r="U37" s="1042">
        <v>0</v>
      </c>
      <c r="V37" s="1041">
        <f t="shared" si="31"/>
        <v>128962.25</v>
      </c>
      <c r="W37" s="47">
        <v>128962.25</v>
      </c>
      <c r="X37" s="1042">
        <v>0</v>
      </c>
      <c r="Y37" s="1041">
        <f t="shared" si="32"/>
        <v>126659.35</v>
      </c>
      <c r="Z37" s="47">
        <v>126659.35</v>
      </c>
      <c r="AA37" s="1042">
        <v>0</v>
      </c>
      <c r="AB37" s="1041">
        <f t="shared" si="33"/>
        <v>124356.46</v>
      </c>
      <c r="AC37" s="47">
        <v>124356.46</v>
      </c>
      <c r="AD37" s="1042">
        <v>0</v>
      </c>
      <c r="AE37" s="1041">
        <f t="shared" si="34"/>
        <v>122053.56</v>
      </c>
      <c r="AF37" s="47">
        <v>122053.56</v>
      </c>
      <c r="AG37" s="1042">
        <v>0</v>
      </c>
      <c r="AH37" s="1041">
        <f t="shared" si="35"/>
        <v>119750.66</v>
      </c>
      <c r="AI37" s="47">
        <v>119750.66</v>
      </c>
      <c r="AJ37" s="1042">
        <v>0</v>
      </c>
      <c r="AK37" s="1041">
        <f t="shared" si="36"/>
        <v>117447.77</v>
      </c>
      <c r="AL37" s="47">
        <v>117447.77</v>
      </c>
      <c r="AM37" s="1042">
        <v>0</v>
      </c>
      <c r="AN37" s="1041">
        <f t="shared" ref="AN37:AN43" si="39">+AO37+AP37</f>
        <v>115144.87</v>
      </c>
      <c r="AO37" s="47">
        <v>115144.87</v>
      </c>
      <c r="AP37" s="1042">
        <v>0</v>
      </c>
      <c r="AQ37" s="1041">
        <f t="shared" si="37"/>
        <v>112841.97</v>
      </c>
      <c r="AR37" s="47">
        <v>112841.97</v>
      </c>
      <c r="AS37" s="1042">
        <v>0</v>
      </c>
      <c r="AT37" s="1041">
        <f t="shared" si="38"/>
        <v>110539.08</v>
      </c>
      <c r="AU37" s="47">
        <v>110539.08</v>
      </c>
      <c r="AV37" s="1042">
        <v>0</v>
      </c>
      <c r="AW37" s="1058">
        <f t="shared" si="11"/>
        <v>124356.45666666665</v>
      </c>
      <c r="AX37" s="1054">
        <f t="shared" si="12"/>
        <v>124356.45666666665</v>
      </c>
      <c r="AY37" s="1054">
        <f t="shared" si="13"/>
        <v>0</v>
      </c>
    </row>
    <row r="38" spans="1:51">
      <c r="A38" s="124">
        <f>MAX($A$8:A37)+1</f>
        <v>29</v>
      </c>
      <c r="B38" s="1035" t="s">
        <v>2351</v>
      </c>
      <c r="C38" s="1032" t="s">
        <v>2323</v>
      </c>
      <c r="D38" s="1032"/>
      <c r="E38" s="1032" t="s">
        <v>2342</v>
      </c>
      <c r="F38" s="1032" t="s">
        <v>2347</v>
      </c>
      <c r="G38" s="1032" t="s">
        <v>2352</v>
      </c>
      <c r="H38" s="1032" t="s">
        <v>31</v>
      </c>
      <c r="I38" s="1034" t="s">
        <v>31</v>
      </c>
      <c r="J38" s="1041">
        <f t="shared" si="27"/>
        <v>-1.1368683772161601E-12</v>
      </c>
      <c r="K38" s="47">
        <v>0</v>
      </c>
      <c r="L38" s="1042">
        <v>-1.1368683772161601E-12</v>
      </c>
      <c r="M38" s="1041">
        <f t="shared" si="28"/>
        <v>0</v>
      </c>
      <c r="N38" s="47">
        <v>0</v>
      </c>
      <c r="O38" s="1042">
        <v>0</v>
      </c>
      <c r="P38" s="1041">
        <f t="shared" si="29"/>
        <v>0</v>
      </c>
      <c r="Q38" s="47">
        <v>0</v>
      </c>
      <c r="R38" s="1042">
        <v>0</v>
      </c>
      <c r="S38" s="1041">
        <f t="shared" si="30"/>
        <v>0</v>
      </c>
      <c r="T38" s="47">
        <v>0</v>
      </c>
      <c r="U38" s="1042">
        <v>0</v>
      </c>
      <c r="V38" s="1041">
        <f t="shared" si="31"/>
        <v>0</v>
      </c>
      <c r="W38" s="47">
        <v>0</v>
      </c>
      <c r="X38" s="1042">
        <v>0</v>
      </c>
      <c r="Y38" s="1041">
        <f t="shared" si="32"/>
        <v>0</v>
      </c>
      <c r="Z38" s="47">
        <v>0</v>
      </c>
      <c r="AA38" s="1042">
        <v>0</v>
      </c>
      <c r="AB38" s="1041">
        <f t="shared" si="33"/>
        <v>0</v>
      </c>
      <c r="AC38" s="47">
        <v>0</v>
      </c>
      <c r="AD38" s="1042">
        <v>0</v>
      </c>
      <c r="AE38" s="1041">
        <f t="shared" si="34"/>
        <v>0</v>
      </c>
      <c r="AF38" s="47">
        <v>0</v>
      </c>
      <c r="AG38" s="1042">
        <v>0</v>
      </c>
      <c r="AH38" s="1041">
        <f t="shared" si="35"/>
        <v>0</v>
      </c>
      <c r="AI38" s="47">
        <v>0</v>
      </c>
      <c r="AJ38" s="1042">
        <v>0</v>
      </c>
      <c r="AK38" s="1041">
        <f t="shared" si="36"/>
        <v>0</v>
      </c>
      <c r="AL38" s="47">
        <v>0</v>
      </c>
      <c r="AM38" s="1042">
        <v>0</v>
      </c>
      <c r="AN38" s="1041">
        <f t="shared" si="39"/>
        <v>0</v>
      </c>
      <c r="AO38" s="47">
        <v>0</v>
      </c>
      <c r="AP38" s="1042">
        <v>0</v>
      </c>
      <c r="AQ38" s="1041">
        <f t="shared" si="37"/>
        <v>0</v>
      </c>
      <c r="AR38" s="47">
        <v>0</v>
      </c>
      <c r="AS38" s="1042">
        <v>0</v>
      </c>
      <c r="AT38" s="1041">
        <f t="shared" si="38"/>
        <v>0</v>
      </c>
      <c r="AU38" s="47">
        <v>0</v>
      </c>
      <c r="AV38" s="1042">
        <v>0</v>
      </c>
      <c r="AW38" s="1058">
        <f t="shared" si="11"/>
        <v>-4.7369515717340002E-14</v>
      </c>
      <c r="AX38" s="1054">
        <f t="shared" si="12"/>
        <v>0</v>
      </c>
      <c r="AY38" s="1054">
        <f t="shared" si="13"/>
        <v>-4.7369515717340002E-14</v>
      </c>
    </row>
    <row r="39" spans="1:51">
      <c r="A39" s="124">
        <f>MAX($A$8:A38)+1</f>
        <v>30</v>
      </c>
      <c r="B39" s="1035" t="s">
        <v>2349</v>
      </c>
      <c r="C39" s="1032" t="s">
        <v>2323</v>
      </c>
      <c r="D39" s="1032"/>
      <c r="E39" s="1032" t="s">
        <v>2342</v>
      </c>
      <c r="F39" s="1032" t="s">
        <v>2340</v>
      </c>
      <c r="G39" s="1032" t="s">
        <v>2350</v>
      </c>
      <c r="H39" s="1032" t="s">
        <v>31</v>
      </c>
      <c r="I39" s="1034" t="s">
        <v>31</v>
      </c>
      <c r="J39" s="1041">
        <f t="shared" si="27"/>
        <v>0</v>
      </c>
      <c r="K39" s="47">
        <v>0</v>
      </c>
      <c r="L39" s="1042">
        <v>0</v>
      </c>
      <c r="M39" s="1041">
        <f t="shared" si="28"/>
        <v>0</v>
      </c>
      <c r="N39" s="47">
        <v>0</v>
      </c>
      <c r="O39" s="1042">
        <v>0</v>
      </c>
      <c r="P39" s="1041">
        <f t="shared" si="29"/>
        <v>0</v>
      </c>
      <c r="Q39" s="47">
        <v>0</v>
      </c>
      <c r="R39" s="1042">
        <v>0</v>
      </c>
      <c r="S39" s="1041">
        <f t="shared" si="30"/>
        <v>0</v>
      </c>
      <c r="T39" s="47">
        <v>0</v>
      </c>
      <c r="U39" s="1042">
        <v>0</v>
      </c>
      <c r="V39" s="1041">
        <f t="shared" si="31"/>
        <v>0</v>
      </c>
      <c r="W39" s="47">
        <v>0</v>
      </c>
      <c r="X39" s="1042">
        <v>0</v>
      </c>
      <c r="Y39" s="1041">
        <f t="shared" si="32"/>
        <v>0</v>
      </c>
      <c r="Z39" s="47">
        <v>0</v>
      </c>
      <c r="AA39" s="1042">
        <v>0</v>
      </c>
      <c r="AB39" s="1041">
        <f t="shared" si="33"/>
        <v>0</v>
      </c>
      <c r="AC39" s="47">
        <v>0</v>
      </c>
      <c r="AD39" s="1042">
        <v>0</v>
      </c>
      <c r="AE39" s="1041">
        <f t="shared" si="34"/>
        <v>0</v>
      </c>
      <c r="AF39" s="47">
        <v>0</v>
      </c>
      <c r="AG39" s="1042">
        <v>0</v>
      </c>
      <c r="AH39" s="1041">
        <f t="shared" si="35"/>
        <v>0</v>
      </c>
      <c r="AI39" s="47">
        <v>0</v>
      </c>
      <c r="AJ39" s="1042">
        <v>0</v>
      </c>
      <c r="AK39" s="1041">
        <f t="shared" si="36"/>
        <v>0</v>
      </c>
      <c r="AL39" s="47">
        <v>0</v>
      </c>
      <c r="AM39" s="1042">
        <v>0</v>
      </c>
      <c r="AN39" s="1041">
        <f t="shared" si="39"/>
        <v>0</v>
      </c>
      <c r="AO39" s="47">
        <v>0</v>
      </c>
      <c r="AP39" s="1042">
        <v>0</v>
      </c>
      <c r="AQ39" s="1041">
        <f t="shared" si="37"/>
        <v>0</v>
      </c>
      <c r="AR39" s="47">
        <v>0</v>
      </c>
      <c r="AS39" s="1042">
        <v>0</v>
      </c>
      <c r="AT39" s="1041">
        <f t="shared" si="38"/>
        <v>0</v>
      </c>
      <c r="AU39" s="47">
        <v>0</v>
      </c>
      <c r="AV39" s="1042">
        <v>0</v>
      </c>
      <c r="AW39" s="1058">
        <f t="shared" si="11"/>
        <v>0</v>
      </c>
      <c r="AX39" s="1054">
        <f t="shared" si="12"/>
        <v>0</v>
      </c>
      <c r="AY39" s="1054">
        <f t="shared" si="13"/>
        <v>0</v>
      </c>
    </row>
    <row r="40" spans="1:51">
      <c r="A40" s="124">
        <f>MAX($A$8:A39)+1</f>
        <v>31</v>
      </c>
      <c r="B40" s="1035" t="s">
        <v>2353</v>
      </c>
      <c r="C40" s="1032" t="s">
        <v>2323</v>
      </c>
      <c r="D40" s="1032"/>
      <c r="E40" s="1032" t="s">
        <v>2342</v>
      </c>
      <c r="F40" s="1032" t="s">
        <v>2340</v>
      </c>
      <c r="G40" s="1032" t="s">
        <v>2354</v>
      </c>
      <c r="H40" s="1032" t="s">
        <v>31</v>
      </c>
      <c r="I40" s="1034" t="s">
        <v>31</v>
      </c>
      <c r="J40" s="1041">
        <f t="shared" si="27"/>
        <v>-5373662.8899999997</v>
      </c>
      <c r="K40" s="47">
        <v>0</v>
      </c>
      <c r="L40" s="1042">
        <v>-5373662.8899999997</v>
      </c>
      <c r="M40" s="1041">
        <f t="shared" si="28"/>
        <v>-5387824.2000000002</v>
      </c>
      <c r="N40" s="47">
        <v>0</v>
      </c>
      <c r="O40" s="1042">
        <v>-5387824.2000000002</v>
      </c>
      <c r="P40" s="1041">
        <f t="shared" si="29"/>
        <v>-5401985.5199999996</v>
      </c>
      <c r="Q40" s="47">
        <v>0</v>
      </c>
      <c r="R40" s="1042">
        <v>-5401985.5199999996</v>
      </c>
      <c r="S40" s="1041">
        <f t="shared" si="30"/>
        <v>-5416146.8300000001</v>
      </c>
      <c r="T40" s="47">
        <v>0</v>
      </c>
      <c r="U40" s="1042">
        <v>-5416146.8300000001</v>
      </c>
      <c r="V40" s="1041">
        <f t="shared" si="31"/>
        <v>-5430308.1399999997</v>
      </c>
      <c r="W40" s="47">
        <v>0</v>
      </c>
      <c r="X40" s="1042">
        <v>-5430308.1399999997</v>
      </c>
      <c r="Y40" s="1041">
        <f t="shared" si="32"/>
        <v>-5444469.46</v>
      </c>
      <c r="Z40" s="47">
        <v>0</v>
      </c>
      <c r="AA40" s="1042">
        <v>-5444469.46</v>
      </c>
      <c r="AB40" s="1041">
        <f t="shared" si="33"/>
        <v>-5458630.7699999996</v>
      </c>
      <c r="AC40" s="47">
        <v>0</v>
      </c>
      <c r="AD40" s="1042">
        <v>-5458630.7699999996</v>
      </c>
      <c r="AE40" s="1041">
        <f t="shared" si="34"/>
        <v>-5472792.0700000003</v>
      </c>
      <c r="AF40" s="47">
        <v>0</v>
      </c>
      <c r="AG40" s="1042">
        <v>-5472792.0700000003</v>
      </c>
      <c r="AH40" s="1041">
        <f t="shared" si="35"/>
        <v>-5486953.3899999997</v>
      </c>
      <c r="AI40" s="47">
        <v>0</v>
      </c>
      <c r="AJ40" s="1042">
        <v>-5486953.3899999997</v>
      </c>
      <c r="AK40" s="1041">
        <f t="shared" si="36"/>
        <v>-5501114.71</v>
      </c>
      <c r="AL40" s="47">
        <v>0</v>
      </c>
      <c r="AM40" s="1042">
        <v>-5501114.71</v>
      </c>
      <c r="AN40" s="1041">
        <f t="shared" si="39"/>
        <v>-5515276.0099999998</v>
      </c>
      <c r="AO40" s="47">
        <v>0</v>
      </c>
      <c r="AP40" s="1042">
        <v>-5515276.0099999998</v>
      </c>
      <c r="AQ40" s="1041">
        <f t="shared" si="37"/>
        <v>-5553246.75</v>
      </c>
      <c r="AR40" s="47">
        <v>0</v>
      </c>
      <c r="AS40" s="1042">
        <v>-5553246.75</v>
      </c>
      <c r="AT40" s="1041">
        <f t="shared" si="38"/>
        <v>-5627233.7999999998</v>
      </c>
      <c r="AU40" s="47">
        <v>0</v>
      </c>
      <c r="AV40" s="1042">
        <v>-5627233.7999999998</v>
      </c>
      <c r="AW40" s="1058">
        <f t="shared" si="11"/>
        <v>-5464099.6829166664</v>
      </c>
      <c r="AX40" s="1054">
        <f t="shared" si="12"/>
        <v>0</v>
      </c>
      <c r="AY40" s="1054">
        <f t="shared" si="13"/>
        <v>-5464099.6829166664</v>
      </c>
    </row>
    <row r="41" spans="1:51">
      <c r="A41" s="124">
        <f>MAX($A$8:A40)+1</f>
        <v>32</v>
      </c>
      <c r="B41" s="1035" t="s">
        <v>2355</v>
      </c>
      <c r="C41" s="1032" t="s">
        <v>2323</v>
      </c>
      <c r="D41" s="1032"/>
      <c r="E41" s="1032" t="s">
        <v>2342</v>
      </c>
      <c r="F41" s="1032" t="s">
        <v>2344</v>
      </c>
      <c r="G41" s="1032" t="s">
        <v>2356</v>
      </c>
      <c r="H41" s="1032" t="s">
        <v>31</v>
      </c>
      <c r="I41" s="1034" t="s">
        <v>31</v>
      </c>
      <c r="J41" s="1041">
        <f t="shared" si="27"/>
        <v>-23373.88</v>
      </c>
      <c r="K41" s="47">
        <v>0</v>
      </c>
      <c r="L41" s="1042">
        <v>-23373.88</v>
      </c>
      <c r="M41" s="1041">
        <f t="shared" si="28"/>
        <v>-23283.85</v>
      </c>
      <c r="N41" s="47">
        <v>0</v>
      </c>
      <c r="O41" s="1042">
        <v>-23283.85</v>
      </c>
      <c r="P41" s="1041">
        <f t="shared" si="29"/>
        <v>-23193.82</v>
      </c>
      <c r="Q41" s="47">
        <v>0</v>
      </c>
      <c r="R41" s="1042">
        <v>-23193.82</v>
      </c>
      <c r="S41" s="1041">
        <f t="shared" si="30"/>
        <v>-23103.79</v>
      </c>
      <c r="T41" s="47">
        <v>0</v>
      </c>
      <c r="U41" s="1042">
        <v>-23103.79</v>
      </c>
      <c r="V41" s="1041">
        <f t="shared" si="31"/>
        <v>-23013.759999999998</v>
      </c>
      <c r="W41" s="47">
        <v>0</v>
      </c>
      <c r="X41" s="1042">
        <v>-23013.759999999998</v>
      </c>
      <c r="Y41" s="1041">
        <f t="shared" si="32"/>
        <v>-22923.73</v>
      </c>
      <c r="Z41" s="47">
        <v>0</v>
      </c>
      <c r="AA41" s="1042">
        <v>-22923.73</v>
      </c>
      <c r="AB41" s="1041">
        <f t="shared" si="33"/>
        <v>-22833.7</v>
      </c>
      <c r="AC41" s="47">
        <v>0</v>
      </c>
      <c r="AD41" s="1042">
        <v>-22833.7</v>
      </c>
      <c r="AE41" s="1041">
        <f t="shared" si="34"/>
        <v>-22743.67</v>
      </c>
      <c r="AF41" s="47">
        <v>0</v>
      </c>
      <c r="AG41" s="1042">
        <v>-22743.67</v>
      </c>
      <c r="AH41" s="1041">
        <f t="shared" si="35"/>
        <v>-22653.64</v>
      </c>
      <c r="AI41" s="47">
        <v>0</v>
      </c>
      <c r="AJ41" s="1042">
        <v>-22653.64</v>
      </c>
      <c r="AK41" s="1041">
        <f t="shared" si="36"/>
        <v>-22563.599999999999</v>
      </c>
      <c r="AL41" s="47">
        <v>0</v>
      </c>
      <c r="AM41" s="1042">
        <v>-22563.599999999999</v>
      </c>
      <c r="AN41" s="1041">
        <f t="shared" si="39"/>
        <v>-22473.57</v>
      </c>
      <c r="AO41" s="47">
        <v>0</v>
      </c>
      <c r="AP41" s="1042">
        <v>-22473.57</v>
      </c>
      <c r="AQ41" s="1041">
        <f t="shared" si="37"/>
        <v>-22383.53</v>
      </c>
      <c r="AR41" s="47">
        <v>0</v>
      </c>
      <c r="AS41" s="1042">
        <v>-22383.53</v>
      </c>
      <c r="AT41" s="1041">
        <f t="shared" si="38"/>
        <v>-22293.5</v>
      </c>
      <c r="AU41" s="47">
        <v>0</v>
      </c>
      <c r="AV41" s="1042">
        <v>-22293.5</v>
      </c>
      <c r="AW41" s="1058">
        <f t="shared" si="11"/>
        <v>-22833.695833333335</v>
      </c>
      <c r="AX41" s="1054">
        <f t="shared" si="12"/>
        <v>0</v>
      </c>
      <c r="AY41" s="1054">
        <f t="shared" si="13"/>
        <v>-22833.695833333335</v>
      </c>
    </row>
    <row r="42" spans="1:51">
      <c r="A42" s="124">
        <f>MAX($A$8:A41)+1</f>
        <v>33</v>
      </c>
      <c r="B42" s="1035" t="s">
        <v>2357</v>
      </c>
      <c r="C42" s="1032" t="s">
        <v>2323</v>
      </c>
      <c r="D42" s="1032"/>
      <c r="E42" s="1032" t="s">
        <v>2342</v>
      </c>
      <c r="F42" s="1032" t="s">
        <v>2347</v>
      </c>
      <c r="G42" s="1032" t="s">
        <v>2358</v>
      </c>
      <c r="H42" s="1032" t="s">
        <v>31</v>
      </c>
      <c r="I42" s="1034" t="s">
        <v>31</v>
      </c>
      <c r="J42" s="1041">
        <f t="shared" si="27"/>
        <v>3766.09</v>
      </c>
      <c r="K42" s="47">
        <v>0</v>
      </c>
      <c r="L42" s="1042">
        <v>3766.09</v>
      </c>
      <c r="M42" s="1041">
        <f t="shared" si="28"/>
        <v>3869</v>
      </c>
      <c r="N42" s="47">
        <v>0</v>
      </c>
      <c r="O42" s="1042">
        <v>3869</v>
      </c>
      <c r="P42" s="1041">
        <f t="shared" si="29"/>
        <v>3869</v>
      </c>
      <c r="Q42" s="47">
        <v>0</v>
      </c>
      <c r="R42" s="1042">
        <v>3869</v>
      </c>
      <c r="S42" s="1041">
        <f t="shared" si="30"/>
        <v>3917.89</v>
      </c>
      <c r="T42" s="47">
        <v>0</v>
      </c>
      <c r="U42" s="1042">
        <v>3917.89</v>
      </c>
      <c r="V42" s="1041">
        <f t="shared" si="31"/>
        <v>3917.89</v>
      </c>
      <c r="W42" s="47">
        <v>0</v>
      </c>
      <c r="X42" s="1042">
        <v>3917.89</v>
      </c>
      <c r="Y42" s="1041">
        <f t="shared" si="32"/>
        <v>3945.52</v>
      </c>
      <c r="Z42" s="47">
        <v>0</v>
      </c>
      <c r="AA42" s="1042">
        <v>3945.52</v>
      </c>
      <c r="AB42" s="1041">
        <f t="shared" si="33"/>
        <v>3945.52</v>
      </c>
      <c r="AC42" s="47">
        <v>0</v>
      </c>
      <c r="AD42" s="1042">
        <v>3945.52</v>
      </c>
      <c r="AE42" s="1041">
        <f t="shared" si="34"/>
        <v>3945.52</v>
      </c>
      <c r="AF42" s="47">
        <v>0</v>
      </c>
      <c r="AG42" s="1042">
        <v>3945.52</v>
      </c>
      <c r="AH42" s="1041">
        <f t="shared" si="35"/>
        <v>4018.27</v>
      </c>
      <c r="AI42" s="47">
        <v>0</v>
      </c>
      <c r="AJ42" s="1042">
        <v>4018.27</v>
      </c>
      <c r="AK42" s="1041">
        <f t="shared" si="36"/>
        <v>2673.42</v>
      </c>
      <c r="AL42" s="47">
        <v>0</v>
      </c>
      <c r="AM42" s="1042">
        <v>2673.42</v>
      </c>
      <c r="AN42" s="1041">
        <f t="shared" si="39"/>
        <v>2854.68</v>
      </c>
      <c r="AO42" s="47">
        <v>0</v>
      </c>
      <c r="AP42" s="1042">
        <v>2854.68</v>
      </c>
      <c r="AQ42" s="1041">
        <f t="shared" si="37"/>
        <v>2854.68</v>
      </c>
      <c r="AR42" s="47">
        <v>0</v>
      </c>
      <c r="AS42" s="1042">
        <v>2854.68</v>
      </c>
      <c r="AT42" s="1041">
        <f t="shared" si="38"/>
        <v>2854.68</v>
      </c>
      <c r="AU42" s="47">
        <v>0</v>
      </c>
      <c r="AV42" s="1042">
        <v>2854.68</v>
      </c>
      <c r="AW42" s="1058">
        <f t="shared" si="11"/>
        <v>3593.4812500000003</v>
      </c>
      <c r="AX42" s="1054">
        <f t="shared" si="12"/>
        <v>0</v>
      </c>
      <c r="AY42" s="1054">
        <f t="shared" si="13"/>
        <v>3593.4812500000003</v>
      </c>
    </row>
    <row r="43" spans="1:51">
      <c r="A43" s="124">
        <f>MAX($A$8:A42)+1</f>
        <v>34</v>
      </c>
      <c r="B43" s="1035" t="s">
        <v>2359</v>
      </c>
      <c r="C43" s="1032" t="s">
        <v>2323</v>
      </c>
      <c r="D43" s="1032"/>
      <c r="E43" s="1032" t="s">
        <v>2342</v>
      </c>
      <c r="F43" s="1032" t="s">
        <v>2347</v>
      </c>
      <c r="G43" s="1032" t="s">
        <v>2360</v>
      </c>
      <c r="H43" s="1032" t="s">
        <v>31</v>
      </c>
      <c r="I43" s="1034" t="s">
        <v>31</v>
      </c>
      <c r="J43" s="1041">
        <f t="shared" si="27"/>
        <v>-8.5265128291211997E-14</v>
      </c>
      <c r="K43" s="47">
        <v>0</v>
      </c>
      <c r="L43" s="1042">
        <v>-8.5265128291211997E-14</v>
      </c>
      <c r="M43" s="1041">
        <f t="shared" si="28"/>
        <v>0</v>
      </c>
      <c r="N43" s="47">
        <v>0</v>
      </c>
      <c r="O43" s="1042">
        <v>0</v>
      </c>
      <c r="P43" s="1041">
        <f t="shared" si="29"/>
        <v>0</v>
      </c>
      <c r="Q43" s="47">
        <v>0</v>
      </c>
      <c r="R43" s="1042">
        <v>0</v>
      </c>
      <c r="S43" s="1041">
        <f t="shared" si="30"/>
        <v>0</v>
      </c>
      <c r="T43" s="47">
        <v>0</v>
      </c>
      <c r="U43" s="1042">
        <v>0</v>
      </c>
      <c r="V43" s="1041">
        <f t="shared" si="31"/>
        <v>0</v>
      </c>
      <c r="W43" s="47">
        <v>0</v>
      </c>
      <c r="X43" s="1042">
        <v>0</v>
      </c>
      <c r="Y43" s="1041">
        <f t="shared" si="32"/>
        <v>0</v>
      </c>
      <c r="Z43" s="47">
        <v>0</v>
      </c>
      <c r="AA43" s="1042">
        <v>0</v>
      </c>
      <c r="AB43" s="1041">
        <f t="shared" si="33"/>
        <v>0</v>
      </c>
      <c r="AC43" s="47">
        <v>0</v>
      </c>
      <c r="AD43" s="1042">
        <v>0</v>
      </c>
      <c r="AE43" s="1041">
        <f t="shared" si="34"/>
        <v>0</v>
      </c>
      <c r="AF43" s="47">
        <v>0</v>
      </c>
      <c r="AG43" s="1042">
        <v>0</v>
      </c>
      <c r="AH43" s="1041">
        <f t="shared" si="35"/>
        <v>0</v>
      </c>
      <c r="AI43" s="47">
        <v>0</v>
      </c>
      <c r="AJ43" s="1042">
        <v>0</v>
      </c>
      <c r="AK43" s="1041">
        <f t="shared" si="36"/>
        <v>0</v>
      </c>
      <c r="AL43" s="47">
        <v>0</v>
      </c>
      <c r="AM43" s="1042">
        <v>0</v>
      </c>
      <c r="AN43" s="1041">
        <f t="shared" si="39"/>
        <v>0</v>
      </c>
      <c r="AO43" s="47">
        <v>0</v>
      </c>
      <c r="AP43" s="1042">
        <v>0</v>
      </c>
      <c r="AQ43" s="1041">
        <f t="shared" si="37"/>
        <v>0</v>
      </c>
      <c r="AR43" s="47">
        <v>0</v>
      </c>
      <c r="AS43" s="1042">
        <v>0</v>
      </c>
      <c r="AT43" s="1041">
        <f t="shared" si="38"/>
        <v>0</v>
      </c>
      <c r="AU43" s="47">
        <v>0</v>
      </c>
      <c r="AV43" s="1042">
        <v>0</v>
      </c>
      <c r="AW43" s="1058">
        <f t="shared" si="11"/>
        <v>-3.5527136788004997E-15</v>
      </c>
      <c r="AX43" s="1054">
        <f t="shared" si="12"/>
        <v>0</v>
      </c>
      <c r="AY43" s="1054">
        <f t="shared" si="13"/>
        <v>-3.5527136788004997E-15</v>
      </c>
    </row>
    <row r="44" spans="1:51" ht="15.75" thickBot="1">
      <c r="A44" s="124">
        <f>MAX($A$8:A43)+1</f>
        <v>35</v>
      </c>
      <c r="B44" s="1035"/>
      <c r="C44" s="1032"/>
      <c r="D44" s="1032"/>
      <c r="E44" s="1032"/>
      <c r="F44" s="1032"/>
      <c r="G44" s="1032"/>
      <c r="H44" s="1032"/>
      <c r="I44" s="1034"/>
      <c r="J44" s="1028">
        <f t="shared" ref="J44:AV44" si="40">SUM(J27:J43)</f>
        <v>-105011681.02</v>
      </c>
      <c r="K44" s="1028">
        <f t="shared" si="40"/>
        <v>-77569425.030000001</v>
      </c>
      <c r="L44" s="1028">
        <f t="shared" si="40"/>
        <v>-27442255.989999998</v>
      </c>
      <c r="M44" s="1028">
        <f t="shared" si="40"/>
        <v>-104925584.04000001</v>
      </c>
      <c r="N44" s="1028">
        <f t="shared" si="40"/>
        <v>-77623397.630000025</v>
      </c>
      <c r="O44" s="1028">
        <f t="shared" si="40"/>
        <v>-27302186.409999996</v>
      </c>
      <c r="P44" s="1028">
        <f t="shared" si="40"/>
        <v>-104840765.67999999</v>
      </c>
      <c r="Q44" s="1028">
        <f t="shared" si="40"/>
        <v>-77546768.220000014</v>
      </c>
      <c r="R44" s="1028">
        <f t="shared" si="40"/>
        <v>-27293997.459999997</v>
      </c>
      <c r="S44" s="1028">
        <f t="shared" si="40"/>
        <v>-104755339.80999999</v>
      </c>
      <c r="T44" s="1028">
        <f t="shared" si="40"/>
        <v>-77470138.799999997</v>
      </c>
      <c r="U44" s="1028">
        <f t="shared" si="40"/>
        <v>-27285201.009999998</v>
      </c>
      <c r="V44" s="1028">
        <f t="shared" si="40"/>
        <v>-104670521.44999999</v>
      </c>
      <c r="W44" s="1028">
        <f t="shared" si="40"/>
        <v>-77393509.400000006</v>
      </c>
      <c r="X44" s="1028">
        <f t="shared" si="40"/>
        <v>-27277012.049999997</v>
      </c>
      <c r="Y44" s="1028">
        <f t="shared" si="40"/>
        <v>-104585359.73</v>
      </c>
      <c r="Z44" s="1028">
        <f t="shared" si="40"/>
        <v>-77316880.000000015</v>
      </c>
      <c r="AA44" s="1028">
        <f t="shared" si="40"/>
        <v>-27268479.729999997</v>
      </c>
      <c r="AB44" s="1028">
        <f t="shared" si="40"/>
        <v>-104500541.35000001</v>
      </c>
      <c r="AC44" s="1028">
        <f t="shared" si="40"/>
        <v>-77240250.580000013</v>
      </c>
      <c r="AD44" s="1028">
        <f t="shared" si="40"/>
        <v>-27260290.769999992</v>
      </c>
      <c r="AE44" s="1028">
        <f t="shared" si="40"/>
        <v>-104415723</v>
      </c>
      <c r="AF44" s="1028">
        <f t="shared" si="40"/>
        <v>-77163621.180000007</v>
      </c>
      <c r="AG44" s="1028">
        <f t="shared" si="40"/>
        <v>-27252101.819999997</v>
      </c>
      <c r="AH44" s="1028">
        <f t="shared" si="40"/>
        <v>-104330000.77000001</v>
      </c>
      <c r="AI44" s="1028">
        <f t="shared" si="40"/>
        <v>-77086991.780000016</v>
      </c>
      <c r="AJ44" s="1028">
        <f t="shared" si="40"/>
        <v>-27243008.989999998</v>
      </c>
      <c r="AK44" s="1028">
        <f t="shared" si="40"/>
        <v>-104261892.39999999</v>
      </c>
      <c r="AL44" s="1028">
        <f t="shared" si="40"/>
        <v>-77010362.360000014</v>
      </c>
      <c r="AM44" s="1028">
        <f t="shared" si="40"/>
        <v>-27251530.039999995</v>
      </c>
      <c r="AN44" s="1028">
        <f t="shared" si="40"/>
        <v>-104174821.81999999</v>
      </c>
      <c r="AO44" s="1028">
        <f t="shared" si="40"/>
        <v>-76933732.960000008</v>
      </c>
      <c r="AP44" s="1028">
        <f t="shared" si="40"/>
        <v>-27241088.859999992</v>
      </c>
      <c r="AQ44" s="1028">
        <f t="shared" si="40"/>
        <v>-104375340.21999998</v>
      </c>
      <c r="AR44" s="1028">
        <f t="shared" si="40"/>
        <v>-77060728.750000015</v>
      </c>
      <c r="AS44" s="1028">
        <f t="shared" si="40"/>
        <v>-27314611.469999995</v>
      </c>
      <c r="AT44" s="1028">
        <f t="shared" si="40"/>
        <v>-105132072.70999998</v>
      </c>
      <c r="AU44" s="1028">
        <f>SUM(AU27:AU43)</f>
        <v>-77593766.770000011</v>
      </c>
      <c r="AV44" s="1028">
        <f t="shared" si="40"/>
        <v>-27538305.939999994</v>
      </c>
      <c r="AW44" s="1059">
        <f>SUM(AW26:AW43)</f>
        <v>-104575647.26124999</v>
      </c>
      <c r="AX44" s="1060">
        <f>SUM(AX26:AX43)</f>
        <v>-77285664.796666667</v>
      </c>
      <c r="AY44" s="1060">
        <f>SUM(AY26:AY43)</f>
        <v>-27289982.464583326</v>
      </c>
    </row>
    <row r="45" spans="1:51" ht="16.5" thickTop="1" thickBot="1">
      <c r="A45" s="124">
        <f>MAX($A$8:A44)+1</f>
        <v>36</v>
      </c>
      <c r="B45" s="1044" t="s">
        <v>2361</v>
      </c>
      <c r="C45" s="1045"/>
      <c r="D45" s="1045"/>
      <c r="E45" s="1045"/>
      <c r="F45" s="1045"/>
      <c r="G45" s="1045"/>
      <c r="H45" s="1045"/>
      <c r="I45" s="1045"/>
      <c r="J45" s="1045"/>
      <c r="K45" s="1045"/>
      <c r="L45" s="1045"/>
      <c r="M45" s="1045" t="s">
        <v>2362</v>
      </c>
      <c r="N45" s="1045"/>
      <c r="O45" s="1045"/>
      <c r="P45" s="1045" t="s">
        <v>2363</v>
      </c>
      <c r="Q45" s="1045"/>
      <c r="R45" s="1045"/>
      <c r="S45" s="1045" t="s">
        <v>2364</v>
      </c>
      <c r="T45" s="1045"/>
      <c r="U45" s="1045"/>
      <c r="V45" s="1045" t="s">
        <v>2365</v>
      </c>
      <c r="W45" s="1045"/>
      <c r="X45" s="1045"/>
      <c r="Y45" s="1045" t="s">
        <v>2366</v>
      </c>
      <c r="Z45" s="1045"/>
      <c r="AA45" s="1045"/>
      <c r="AB45" s="1045" t="s">
        <v>2367</v>
      </c>
      <c r="AC45" s="1045"/>
      <c r="AD45" s="1045"/>
      <c r="AE45" s="1045" t="s">
        <v>2368</v>
      </c>
      <c r="AF45" s="1045"/>
      <c r="AG45" s="1045"/>
      <c r="AH45" s="1045" t="s">
        <v>2369</v>
      </c>
      <c r="AI45" s="1045"/>
      <c r="AJ45" s="1045"/>
      <c r="AK45" s="1045" t="s">
        <v>2370</v>
      </c>
      <c r="AL45" s="1045"/>
      <c r="AM45" s="1045"/>
      <c r="AN45" s="1045" t="s">
        <v>2371</v>
      </c>
      <c r="AO45" s="1045"/>
      <c r="AP45" s="1045"/>
      <c r="AQ45" s="1045" t="s">
        <v>2372</v>
      </c>
      <c r="AR45" s="1045"/>
      <c r="AS45" s="1045"/>
      <c r="AT45" s="1045" t="s">
        <v>2373</v>
      </c>
      <c r="AU45" s="1045"/>
      <c r="AV45" s="1045"/>
      <c r="AW45" s="1045"/>
      <c r="AX45" s="1045"/>
      <c r="AY45" s="1045"/>
    </row>
    <row r="46" spans="1:51">
      <c r="A46" s="124">
        <f>MAX($A$8:A45)+1</f>
        <v>37</v>
      </c>
      <c r="B46" s="1"/>
      <c r="C46" s="1045"/>
      <c r="D46" s="1"/>
      <c r="E46" s="1045"/>
      <c r="F46" s="1046"/>
      <c r="G46" s="1046"/>
      <c r="H46" s="1045"/>
      <c r="I46" s="1045"/>
      <c r="J46" s="1047"/>
      <c r="K46" s="1048"/>
      <c r="L46" s="1049"/>
      <c r="M46" s="1048"/>
      <c r="N46" s="1048"/>
      <c r="O46" s="1049"/>
      <c r="P46" s="1048"/>
      <c r="Q46" s="1048"/>
      <c r="R46" s="1049"/>
      <c r="S46" s="1048"/>
      <c r="T46" s="1048"/>
      <c r="U46" s="1049"/>
      <c r="V46" s="1048"/>
      <c r="W46" s="1048"/>
      <c r="X46" s="1049"/>
      <c r="Y46" s="1048"/>
      <c r="Z46" s="1048"/>
      <c r="AA46" s="1048"/>
      <c r="AB46" s="1045"/>
      <c r="AC46" s="1048"/>
      <c r="AD46" s="1049"/>
      <c r="AE46" s="1048"/>
      <c r="AF46" s="1048"/>
      <c r="AG46" s="1049"/>
      <c r="AH46" s="1048"/>
      <c r="AI46" s="1048"/>
      <c r="AJ46" s="1049"/>
      <c r="AK46" s="1048"/>
      <c r="AL46" s="1048"/>
      <c r="AM46" s="1049"/>
      <c r="AN46" s="1048"/>
      <c r="AO46" s="1048"/>
      <c r="AP46" s="1049"/>
      <c r="AQ46" s="1048"/>
      <c r="AR46" s="1048"/>
      <c r="AS46" s="1049"/>
      <c r="AT46" s="1048"/>
      <c r="AU46" s="1048"/>
      <c r="AV46" s="1049"/>
      <c r="AW46" s="1050"/>
      <c r="AX46" s="1045"/>
      <c r="AY46" s="1045"/>
    </row>
    <row r="47" spans="1:51">
      <c r="A47" s="124">
        <f>MAX($A$8:A46)+1</f>
        <v>38</v>
      </c>
      <c r="B47" s="1" t="s">
        <v>2374</v>
      </c>
      <c r="C47" s="1045" t="s">
        <v>2323</v>
      </c>
      <c r="D47" s="1"/>
      <c r="E47" s="1045"/>
      <c r="F47" s="1046" t="s">
        <v>2347</v>
      </c>
      <c r="G47" s="1046" t="s">
        <v>2375</v>
      </c>
      <c r="H47" s="1045"/>
      <c r="I47" s="1051"/>
      <c r="J47" s="1054">
        <f>+'Working Capital (AMA)'!F225</f>
        <v>-36729.72</v>
      </c>
      <c r="K47" s="1054"/>
      <c r="L47" s="1061"/>
      <c r="M47" s="1054">
        <f>+'Working Capital (AMA)'!G225</f>
        <v>-36117.56</v>
      </c>
      <c r="N47" s="1054"/>
      <c r="O47" s="1061"/>
      <c r="P47" s="1054">
        <f>+'Working Capital (AMA)'!H225</f>
        <v>-35505.39</v>
      </c>
      <c r="Q47" s="1054"/>
      <c r="R47" s="1061"/>
      <c r="S47" s="1054">
        <f>+'Working Capital (AMA)'!I225</f>
        <v>-34893.24</v>
      </c>
      <c r="T47" s="1054"/>
      <c r="U47" s="1061"/>
      <c r="V47" s="1054">
        <f>+'Working Capital (AMA)'!J225</f>
        <v>-34281.07</v>
      </c>
      <c r="W47" s="1054"/>
      <c r="X47" s="1061"/>
      <c r="Y47" s="1054">
        <f>+'Working Capital (AMA)'!K225</f>
        <v>-33668.9</v>
      </c>
      <c r="Z47" s="1054"/>
      <c r="AA47" s="1061"/>
      <c r="AB47" s="1054">
        <f>+'Working Capital (AMA)'!L225</f>
        <v>-33056.74</v>
      </c>
      <c r="AC47" s="1054"/>
      <c r="AD47" s="1061"/>
      <c r="AE47" s="1054">
        <f>+'Working Capital (AMA)'!M225</f>
        <v>-32444.58</v>
      </c>
      <c r="AF47" s="1054"/>
      <c r="AG47" s="1061"/>
      <c r="AH47" s="1054">
        <f>+'Working Capital (AMA)'!N225</f>
        <v>-31832.41</v>
      </c>
      <c r="AI47" s="1054"/>
      <c r="AJ47" s="1061"/>
      <c r="AK47" s="1054">
        <f>+'Working Capital (AMA)'!O225</f>
        <v>-31220.28</v>
      </c>
      <c r="AL47" s="1054"/>
      <c r="AM47" s="1061"/>
      <c r="AN47" s="1054">
        <f>+'Working Capital (AMA)'!P225</f>
        <v>-30608.13</v>
      </c>
      <c r="AO47" s="1054"/>
      <c r="AP47" s="1061"/>
      <c r="AQ47" s="1054">
        <f>+'Working Capital (AMA)'!Q225</f>
        <v>-29995.98</v>
      </c>
      <c r="AR47" s="1054"/>
      <c r="AS47" s="1061"/>
      <c r="AT47" s="1054">
        <f>+'Working Capital (AMA)'!R225</f>
        <v>-29383.78</v>
      </c>
      <c r="AU47" s="1054"/>
      <c r="AV47" s="1061"/>
      <c r="AW47" s="1061">
        <f>+(AT47+J47+(M47+P47+S47+V47+Y47+AB47+AE47+AH47+AK47+AN47+AQ47)*2)/24</f>
        <v>-33056.752499999995</v>
      </c>
      <c r="AX47" s="1045"/>
      <c r="AY47" s="1045"/>
    </row>
    <row r="48" spans="1:51">
      <c r="A48" s="124">
        <f>MAX($A$8:A47)+1</f>
        <v>39</v>
      </c>
      <c r="B48" s="1" t="s">
        <v>2376</v>
      </c>
      <c r="C48" s="1045" t="s">
        <v>2323</v>
      </c>
      <c r="D48" s="1"/>
      <c r="E48" s="1045"/>
      <c r="F48" s="1046" t="s">
        <v>2347</v>
      </c>
      <c r="G48" s="1046" t="s">
        <v>2377</v>
      </c>
      <c r="H48" s="1045"/>
      <c r="I48" s="1051"/>
      <c r="J48" s="1054">
        <f>+'Working Capital (AMA)'!F226</f>
        <v>-138173.73000000001</v>
      </c>
      <c r="K48" s="1054"/>
      <c r="L48" s="1061"/>
      <c r="M48" s="1054">
        <f>+'Working Capital (AMA)'!G226</f>
        <v>-135870.82</v>
      </c>
      <c r="N48" s="1054"/>
      <c r="O48" s="1061"/>
      <c r="P48" s="1054">
        <f>+'Working Capital (AMA)'!H226</f>
        <v>-133567.93</v>
      </c>
      <c r="Q48" s="1054"/>
      <c r="R48" s="1061"/>
      <c r="S48" s="1054">
        <f>+'Working Capital (AMA)'!I226</f>
        <v>-131265.01999999999</v>
      </c>
      <c r="T48" s="1054"/>
      <c r="U48" s="1061"/>
      <c r="V48" s="1054">
        <f>+'Working Capital (AMA)'!J226</f>
        <v>-128962.14</v>
      </c>
      <c r="W48" s="1054"/>
      <c r="X48" s="1061"/>
      <c r="Y48" s="1054">
        <f>+'Working Capital (AMA)'!K226</f>
        <v>-126659.24</v>
      </c>
      <c r="Z48" s="1054"/>
      <c r="AA48" s="1061"/>
      <c r="AB48" s="1054">
        <f>+'Working Capital (AMA)'!L226</f>
        <v>-124356.38</v>
      </c>
      <c r="AC48" s="1054"/>
      <c r="AD48" s="1061"/>
      <c r="AE48" s="1054">
        <f>+'Working Capital (AMA)'!M226</f>
        <v>-122053.51</v>
      </c>
      <c r="AF48" s="1054"/>
      <c r="AG48" s="1061"/>
      <c r="AH48" s="1054">
        <f>+'Working Capital (AMA)'!N226</f>
        <v>-119750.62</v>
      </c>
      <c r="AI48" s="1054"/>
      <c r="AJ48" s="1061"/>
      <c r="AK48" s="1054">
        <f>+'Working Capital (AMA)'!O226</f>
        <v>-117447.73</v>
      </c>
      <c r="AL48" s="1054"/>
      <c r="AM48" s="1061"/>
      <c r="AN48" s="1054">
        <f>+'Working Capital (AMA)'!P226</f>
        <v>-115144.89</v>
      </c>
      <c r="AO48" s="1054"/>
      <c r="AP48" s="1061"/>
      <c r="AQ48" s="1054">
        <f>+'Working Capital (AMA)'!Q226</f>
        <v>-112842</v>
      </c>
      <c r="AR48" s="1054"/>
      <c r="AS48" s="1061"/>
      <c r="AT48" s="1054">
        <f>+'Working Capital (AMA)'!R226</f>
        <v>-110539.11</v>
      </c>
      <c r="AU48" s="1054"/>
      <c r="AV48" s="1061"/>
      <c r="AW48" s="1061">
        <f t="shared" ref="AW48:AW56" si="41">+(AT48+J48+(M48+P48+S48+V48+Y48+AB48+AE48+AH48+AK48+AN48+AQ48)*2)/24</f>
        <v>-124356.39166666666</v>
      </c>
      <c r="AX48" s="1045"/>
      <c r="AY48" s="1045"/>
    </row>
    <row r="49" spans="1:51">
      <c r="A49" s="124">
        <f>MAX($A$8:A48)+1</f>
        <v>40</v>
      </c>
      <c r="B49" s="1" t="s">
        <v>2378</v>
      </c>
      <c r="C49" s="1045" t="s">
        <v>2323</v>
      </c>
      <c r="D49" s="1"/>
      <c r="E49" s="1"/>
      <c r="F49" s="1052">
        <v>1900</v>
      </c>
      <c r="G49" s="1052">
        <v>964</v>
      </c>
      <c r="H49" s="1045"/>
      <c r="I49" s="1051"/>
      <c r="J49" s="1054">
        <f>+'Working Capital (AMA)'!F228</f>
        <v>714372.44</v>
      </c>
      <c r="K49" s="1054"/>
      <c r="L49" s="1061"/>
      <c r="M49" s="1054">
        <f>+'Working Capital (AMA)'!G228</f>
        <v>709487.65</v>
      </c>
      <c r="N49" s="1054"/>
      <c r="O49" s="1061"/>
      <c r="P49" s="1054">
        <f>+'Working Capital (AMA)'!H228</f>
        <v>705822.32</v>
      </c>
      <c r="Q49" s="1054"/>
      <c r="R49" s="1061"/>
      <c r="S49" s="1054">
        <f>+'Working Capital (AMA)'!I228</f>
        <v>707907.01</v>
      </c>
      <c r="T49" s="1054"/>
      <c r="U49" s="1061"/>
      <c r="V49" s="1054">
        <f>+'Working Capital (AMA)'!J228</f>
        <v>705100.38</v>
      </c>
      <c r="W49" s="1054"/>
      <c r="X49" s="1061"/>
      <c r="Y49" s="1054">
        <f>+'Working Capital (AMA)'!K228</f>
        <v>701725.9</v>
      </c>
      <c r="Z49" s="1054"/>
      <c r="AA49" s="1061"/>
      <c r="AB49" s="1054">
        <f>+'Working Capital (AMA)'!L228</f>
        <v>697072.79</v>
      </c>
      <c r="AC49" s="1054"/>
      <c r="AD49" s="1061"/>
      <c r="AE49" s="1054">
        <f>+'Working Capital (AMA)'!M228</f>
        <v>865866.65</v>
      </c>
      <c r="AF49" s="1054"/>
      <c r="AG49" s="1061"/>
      <c r="AH49" s="1054">
        <f>+'Working Capital (AMA)'!N228</f>
        <v>862265.2</v>
      </c>
      <c r="AI49" s="1054"/>
      <c r="AJ49" s="1061"/>
      <c r="AK49" s="1054">
        <f>+'Working Capital (AMA)'!O228</f>
        <v>858108.95</v>
      </c>
      <c r="AL49" s="1054"/>
      <c r="AM49" s="1061"/>
      <c r="AN49" s="1054">
        <f>+'Working Capital (AMA)'!P228</f>
        <v>854191.87</v>
      </c>
      <c r="AO49" s="1054"/>
      <c r="AP49" s="1061"/>
      <c r="AQ49" s="1054">
        <f>+'Working Capital (AMA)'!Q228</f>
        <v>852913.26</v>
      </c>
      <c r="AR49" s="1054"/>
      <c r="AS49" s="1061"/>
      <c r="AT49" s="1054">
        <f>+'Working Capital (AMA)'!R228</f>
        <v>873735.72</v>
      </c>
      <c r="AU49" s="1054"/>
      <c r="AV49" s="1061"/>
      <c r="AW49" s="1061">
        <f t="shared" si="41"/>
        <v>776209.67166666675</v>
      </c>
      <c r="AX49" s="1045"/>
      <c r="AY49" s="1045"/>
    </row>
    <row r="50" spans="1:51">
      <c r="A50" s="124">
        <f>MAX($A$8:A49)+1</f>
        <v>41</v>
      </c>
      <c r="B50" s="1" t="s">
        <v>2379</v>
      </c>
      <c r="C50" s="1045" t="s">
        <v>2323</v>
      </c>
      <c r="D50" s="1"/>
      <c r="E50" s="1045"/>
      <c r="F50" s="1046" t="s">
        <v>2347</v>
      </c>
      <c r="G50" s="1046" t="s">
        <v>2380</v>
      </c>
      <c r="H50" s="1045"/>
      <c r="I50" s="1051"/>
      <c r="J50" s="1054">
        <f>+'Working Capital (AMA)'!F229</f>
        <v>5143359.8099999996</v>
      </c>
      <c r="K50" s="1054"/>
      <c r="L50" s="1061"/>
      <c r="M50" s="1054">
        <f>+'Working Capital (AMA)'!G229</f>
        <v>5125552.3</v>
      </c>
      <c r="N50" s="1054"/>
      <c r="O50" s="1061"/>
      <c r="P50" s="1054">
        <f>+'Working Capital (AMA)'!H229</f>
        <v>5112100.16</v>
      </c>
      <c r="Q50" s="1054"/>
      <c r="R50" s="1061"/>
      <c r="S50" s="1054">
        <f>+'Working Capital (AMA)'!I229</f>
        <v>9615983.9900000002</v>
      </c>
      <c r="T50" s="1054"/>
      <c r="U50" s="1061"/>
      <c r="V50" s="1054">
        <f>+'Working Capital (AMA)'!J229</f>
        <v>9711076.5099999998</v>
      </c>
      <c r="W50" s="1054"/>
      <c r="X50" s="1061"/>
      <c r="Y50" s="1054">
        <f>+'Working Capital (AMA)'!K229</f>
        <v>9698526.9399999995</v>
      </c>
      <c r="Z50" s="1054"/>
      <c r="AA50" s="1061"/>
      <c r="AB50" s="1054">
        <f>+'Working Capital (AMA)'!L229</f>
        <v>9136837.7100000009</v>
      </c>
      <c r="AC50" s="1054"/>
      <c r="AD50" s="1061"/>
      <c r="AE50" s="1054">
        <f>+'Working Capital (AMA)'!M229</f>
        <v>9154314.9900000002</v>
      </c>
      <c r="AF50" s="1054"/>
      <c r="AG50" s="1061"/>
      <c r="AH50" s="1054">
        <f>+'Working Capital (AMA)'!N229</f>
        <v>19220994.18</v>
      </c>
      <c r="AI50" s="1054"/>
      <c r="AJ50" s="1061"/>
      <c r="AK50" s="1054">
        <f>+'Working Capital (AMA)'!O229</f>
        <v>19807783.050000001</v>
      </c>
      <c r="AL50" s="1054"/>
      <c r="AM50" s="1061"/>
      <c r="AN50" s="1054">
        <f>+'Working Capital (AMA)'!P229</f>
        <v>21348998.34</v>
      </c>
      <c r="AO50" s="1054"/>
      <c r="AP50" s="1061"/>
      <c r="AQ50" s="1054">
        <f>+'Working Capital (AMA)'!Q229</f>
        <v>30098285.120000001</v>
      </c>
      <c r="AR50" s="1054"/>
      <c r="AS50" s="1061"/>
      <c r="AT50" s="1054">
        <f>+'Working Capital (AMA)'!R229</f>
        <v>31483489.199999999</v>
      </c>
      <c r="AU50" s="1054"/>
      <c r="AV50" s="1061"/>
      <c r="AW50" s="1061">
        <f t="shared" si="41"/>
        <v>13861989.816249998</v>
      </c>
      <c r="AX50" s="1045"/>
      <c r="AY50" s="1045"/>
    </row>
    <row r="51" spans="1:51">
      <c r="A51" s="124">
        <f>MAX($A$8:A50)+1</f>
        <v>42</v>
      </c>
      <c r="B51" s="1" t="s">
        <v>2381</v>
      </c>
      <c r="C51" s="1045" t="s">
        <v>2323</v>
      </c>
      <c r="D51" s="1"/>
      <c r="E51" s="1045"/>
      <c r="F51" s="1046" t="s">
        <v>2347</v>
      </c>
      <c r="G51" s="1046" t="s">
        <v>2382</v>
      </c>
      <c r="H51" s="1045"/>
      <c r="I51" s="1051"/>
      <c r="J51" s="1054">
        <f>+'Working Capital (AMA)'!F230</f>
        <v>1352982.12</v>
      </c>
      <c r="K51" s="1054"/>
      <c r="L51" s="1061"/>
      <c r="M51" s="1054">
        <f>+'Working Capital (AMA)'!G230</f>
        <v>1391041.69</v>
      </c>
      <c r="N51" s="1054"/>
      <c r="O51" s="1061"/>
      <c r="P51" s="1054">
        <f>+'Working Capital (AMA)'!H230</f>
        <v>1287805.9099999999</v>
      </c>
      <c r="Q51" s="1054"/>
      <c r="R51" s="1061"/>
      <c r="S51" s="1054">
        <f>+'Working Capital (AMA)'!I230</f>
        <v>1070799.54</v>
      </c>
      <c r="T51" s="1054"/>
      <c r="U51" s="1061"/>
      <c r="V51" s="1054">
        <f>+'Working Capital (AMA)'!J230</f>
        <v>1036590.85</v>
      </c>
      <c r="W51" s="1054"/>
      <c r="X51" s="1061"/>
      <c r="Y51" s="1054">
        <f>+'Working Capital (AMA)'!K230</f>
        <v>1041406.63</v>
      </c>
      <c r="Z51" s="1054"/>
      <c r="AA51" s="1061"/>
      <c r="AB51" s="1054">
        <f>+'Working Capital (AMA)'!L230</f>
        <v>1016925.27</v>
      </c>
      <c r="AC51" s="1054"/>
      <c r="AD51" s="1061"/>
      <c r="AE51" s="1054">
        <f>+'Working Capital (AMA)'!M230</f>
        <v>1025071.85</v>
      </c>
      <c r="AF51" s="1054"/>
      <c r="AG51" s="1061"/>
      <c r="AH51" s="1054">
        <f>+'Working Capital (AMA)'!N230</f>
        <v>1031875.19</v>
      </c>
      <c r="AI51" s="1054"/>
      <c r="AJ51" s="1061"/>
      <c r="AK51" s="1054">
        <f>+'Working Capital (AMA)'!O230</f>
        <v>1157124.3700000001</v>
      </c>
      <c r="AL51" s="1054"/>
      <c r="AM51" s="1061"/>
      <c r="AN51" s="1054">
        <f>+'Working Capital (AMA)'!P230</f>
        <v>1200345.21</v>
      </c>
      <c r="AO51" s="1054"/>
      <c r="AP51" s="1061"/>
      <c r="AQ51" s="1054">
        <f>+'Working Capital (AMA)'!Q230</f>
        <v>1185662.49</v>
      </c>
      <c r="AR51" s="1054"/>
      <c r="AS51" s="1061"/>
      <c r="AT51" s="1054">
        <f>+'Working Capital (AMA)'!R230</f>
        <v>1295514.8</v>
      </c>
      <c r="AU51" s="1054"/>
      <c r="AV51" s="1061"/>
      <c r="AW51" s="1061">
        <f t="shared" si="41"/>
        <v>1147408.1216666664</v>
      </c>
      <c r="AX51" s="1045"/>
      <c r="AY51" s="1045"/>
    </row>
    <row r="52" spans="1:51">
      <c r="A52" s="124">
        <f>MAX($A$8:A51)+1</f>
        <v>43</v>
      </c>
      <c r="B52" s="1" t="s">
        <v>2383</v>
      </c>
      <c r="C52" s="688" t="s">
        <v>2342</v>
      </c>
      <c r="D52" s="1"/>
      <c r="E52" s="1045"/>
      <c r="F52" s="688" t="s">
        <v>2347</v>
      </c>
      <c r="G52" s="688" t="s">
        <v>2384</v>
      </c>
      <c r="H52" s="1045"/>
      <c r="I52" s="1051"/>
      <c r="J52" s="1054">
        <f>'Working Capital (AMA)'!F231</f>
        <v>-3214.81</v>
      </c>
      <c r="K52" s="1054"/>
      <c r="L52" s="1061"/>
      <c r="M52" s="1054">
        <f>'Working Capital (AMA)'!G231</f>
        <v>-3161.23</v>
      </c>
      <c r="N52" s="1054"/>
      <c r="O52" s="1061"/>
      <c r="P52" s="1054">
        <f>'Working Capital (AMA)'!H231</f>
        <v>-3107.65</v>
      </c>
      <c r="Q52" s="1054"/>
      <c r="R52" s="1061"/>
      <c r="S52" s="1054">
        <f>'Working Capital (AMA)'!I231</f>
        <v>-3054.07</v>
      </c>
      <c r="T52" s="1054"/>
      <c r="U52" s="1061"/>
      <c r="V52" s="1054">
        <f>'Working Capital (AMA)'!J231</f>
        <v>-3000.49</v>
      </c>
      <c r="W52" s="1054"/>
      <c r="X52" s="1061"/>
      <c r="Y52" s="1054">
        <f>'Working Capital (AMA)'!K231</f>
        <v>-2946.91</v>
      </c>
      <c r="Z52" s="1054"/>
      <c r="AA52" s="1061"/>
      <c r="AB52" s="1054">
        <f>'Working Capital (AMA)'!L231</f>
        <v>-2893.33</v>
      </c>
      <c r="AC52" s="1054"/>
      <c r="AD52" s="1061"/>
      <c r="AE52" s="1054">
        <f>'Working Capital (AMA)'!M231</f>
        <v>-2839.75</v>
      </c>
      <c r="AF52" s="1054"/>
      <c r="AG52" s="1061"/>
      <c r="AH52" s="1054">
        <f>'Working Capital (AMA)'!N231</f>
        <v>-2786.17</v>
      </c>
      <c r="AI52" s="1054"/>
      <c r="AJ52" s="1061"/>
      <c r="AK52" s="1054">
        <f>'Working Capital (AMA)'!O231</f>
        <v>-2732.59</v>
      </c>
      <c r="AL52" s="1054"/>
      <c r="AM52" s="1061"/>
      <c r="AN52" s="1054">
        <f>'Working Capital (AMA)'!P231</f>
        <v>-2679.01</v>
      </c>
      <c r="AO52" s="1054"/>
      <c r="AP52" s="1061"/>
      <c r="AQ52" s="1054">
        <f>'Working Capital (AMA)'!Q231</f>
        <v>-2625.43</v>
      </c>
      <c r="AR52" s="1054"/>
      <c r="AS52" s="1061"/>
      <c r="AT52" s="1054">
        <f>'Working Capital (AMA)'!R231</f>
        <v>-2571.85</v>
      </c>
      <c r="AU52" s="1054"/>
      <c r="AV52" s="1061"/>
      <c r="AW52" s="1061">
        <f t="shared" si="41"/>
        <v>-2893.33</v>
      </c>
      <c r="AX52" s="1045"/>
      <c r="AY52" s="1045"/>
    </row>
    <row r="53" spans="1:51">
      <c r="A53" s="124">
        <f>MAX($A$8:A52)+1</f>
        <v>44</v>
      </c>
      <c r="B53" s="1" t="s">
        <v>2385</v>
      </c>
      <c r="C53" s="688" t="s">
        <v>2342</v>
      </c>
      <c r="D53" s="1"/>
      <c r="E53" s="1045"/>
      <c r="F53" s="688" t="s">
        <v>2347</v>
      </c>
      <c r="G53" s="688" t="s">
        <v>2386</v>
      </c>
      <c r="H53" s="1045"/>
      <c r="I53" s="1051"/>
      <c r="J53" s="1054">
        <f>'Working Capital (AMA)'!F232</f>
        <v>4.0000000000048899E-2</v>
      </c>
      <c r="K53" s="1054"/>
      <c r="L53" s="1061"/>
      <c r="M53" s="1054">
        <f>'Working Capital (AMA)'!G232</f>
        <v>0.02</v>
      </c>
      <c r="N53" s="1054"/>
      <c r="O53" s="1061"/>
      <c r="P53" s="1054">
        <f>'Working Capital (AMA)'!H232</f>
        <v>7.0000000000000007E-2</v>
      </c>
      <c r="Q53" s="1054"/>
      <c r="R53" s="1061"/>
      <c r="S53" s="1054">
        <f>'Working Capital (AMA)'!I232</f>
        <v>0.09</v>
      </c>
      <c r="T53" s="1054"/>
      <c r="U53" s="1061"/>
      <c r="V53" s="1054">
        <f>'Working Capital (AMA)'!J232</f>
        <v>7.0000000000000007E-2</v>
      </c>
      <c r="W53" s="1054"/>
      <c r="X53" s="1061"/>
      <c r="Y53" s="1054">
        <f>'Working Capital (AMA)'!K232</f>
        <v>0.09</v>
      </c>
      <c r="Z53" s="1054"/>
      <c r="AA53" s="1061"/>
      <c r="AB53" s="1054">
        <f>'Working Capital (AMA)'!L232</f>
        <v>0.11</v>
      </c>
      <c r="AC53" s="1054"/>
      <c r="AD53" s="1061"/>
      <c r="AE53" s="1054">
        <f>'Working Capital (AMA)'!M232</f>
        <v>0.08</v>
      </c>
      <c r="AF53" s="1054"/>
      <c r="AG53" s="1061"/>
      <c r="AH53" s="1054">
        <f>'Working Capital (AMA)'!N232</f>
        <v>0.08</v>
      </c>
      <c r="AI53" s="1054"/>
      <c r="AJ53" s="1061"/>
      <c r="AK53" s="1054">
        <f>'Working Capital (AMA)'!O232</f>
        <v>0.05</v>
      </c>
      <c r="AL53" s="1054"/>
      <c r="AM53" s="1061"/>
      <c r="AN53" s="1054">
        <f>'Working Capital (AMA)'!P232</f>
        <v>0.05</v>
      </c>
      <c r="AO53" s="1054"/>
      <c r="AP53" s="1061"/>
      <c r="AQ53" s="1054">
        <f>'Working Capital (AMA)'!Q232</f>
        <v>0.04</v>
      </c>
      <c r="AR53" s="1054"/>
      <c r="AS53" s="1061"/>
      <c r="AT53" s="1054">
        <f>'Working Capital (AMA)'!R232</f>
        <v>7.0000000000000007E-2</v>
      </c>
      <c r="AU53" s="1054"/>
      <c r="AV53" s="1061"/>
      <c r="AW53" s="1061">
        <f t="shared" si="41"/>
        <v>6.7083333333335368E-2</v>
      </c>
      <c r="AX53" s="1045"/>
      <c r="AY53" s="1045"/>
    </row>
    <row r="54" spans="1:51">
      <c r="A54" s="124">
        <f>MAX($A$8:A53)+1</f>
        <v>45</v>
      </c>
      <c r="B54" s="1" t="s">
        <v>2387</v>
      </c>
      <c r="C54" s="688" t="s">
        <v>2342</v>
      </c>
      <c r="D54" s="1"/>
      <c r="E54" s="1045"/>
      <c r="F54" s="688" t="s">
        <v>2347</v>
      </c>
      <c r="G54" s="688" t="s">
        <v>2388</v>
      </c>
      <c r="H54" s="1045"/>
      <c r="I54" s="1051"/>
      <c r="J54" s="1054">
        <f>'Working Capital (AMA)'!F235</f>
        <v>62526.15</v>
      </c>
      <c r="K54" s="1054"/>
      <c r="L54" s="1061"/>
      <c r="M54" s="1054">
        <f>'Working Capital (AMA)'!G235</f>
        <v>62098.6</v>
      </c>
      <c r="N54" s="1054"/>
      <c r="O54" s="1061"/>
      <c r="P54" s="1054">
        <f>'Working Capital (AMA)'!H235</f>
        <v>61777.79</v>
      </c>
      <c r="Q54" s="1054"/>
      <c r="R54" s="1061"/>
      <c r="S54" s="1054">
        <f>'Working Capital (AMA)'!I235</f>
        <v>61960.25</v>
      </c>
      <c r="T54" s="1054"/>
      <c r="U54" s="1061"/>
      <c r="V54" s="1054">
        <f>'Working Capital (AMA)'!J235</f>
        <v>61714.6</v>
      </c>
      <c r="W54" s="1054"/>
      <c r="X54" s="1061"/>
      <c r="Y54" s="1054">
        <f>'Working Capital (AMA)'!K235</f>
        <v>61419.24</v>
      </c>
      <c r="Z54" s="1054"/>
      <c r="AA54" s="1061"/>
      <c r="AB54" s="1054">
        <f>'Working Capital (AMA)'!L235</f>
        <v>61011.97</v>
      </c>
      <c r="AC54" s="1054"/>
      <c r="AD54" s="1061"/>
      <c r="AE54" s="1054">
        <f>'Working Capital (AMA)'!M235</f>
        <v>75785.81</v>
      </c>
      <c r="AF54" s="1054"/>
      <c r="AG54" s="1061"/>
      <c r="AH54" s="1054">
        <f>'Working Capital (AMA)'!N235</f>
        <v>75470.59</v>
      </c>
      <c r="AI54" s="1054"/>
      <c r="AJ54" s="1061"/>
      <c r="AK54" s="1054">
        <f>'Working Capital (AMA)'!O235</f>
        <v>75106.820000000007</v>
      </c>
      <c r="AL54" s="1054"/>
      <c r="AM54" s="1061"/>
      <c r="AN54" s="1054">
        <f>'Working Capital (AMA)'!P235</f>
        <v>74763.97</v>
      </c>
      <c r="AO54" s="1054"/>
      <c r="AP54" s="1061"/>
      <c r="AQ54" s="1054">
        <f>'Working Capital (AMA)'!Q235</f>
        <v>74652.06</v>
      </c>
      <c r="AR54" s="1054"/>
      <c r="AS54" s="1061"/>
      <c r="AT54" s="1054">
        <f>'Working Capital (AMA)'!R235</f>
        <v>76474.55</v>
      </c>
      <c r="AU54" s="1054"/>
      <c r="AV54" s="1061"/>
      <c r="AW54" s="1061">
        <f t="shared" si="41"/>
        <v>67938.50416666668</v>
      </c>
      <c r="AX54" s="1045"/>
      <c r="AY54" s="1045"/>
    </row>
    <row r="55" spans="1:51">
      <c r="A55" s="124">
        <f>MAX($A$8:A54)+1</f>
        <v>46</v>
      </c>
      <c r="B55" s="1" t="s">
        <v>2389</v>
      </c>
      <c r="C55" s="688" t="s">
        <v>2342</v>
      </c>
      <c r="D55" s="1"/>
      <c r="E55" s="1045"/>
      <c r="F55" s="688" t="s">
        <v>2347</v>
      </c>
      <c r="G55" s="688" t="s">
        <v>2390</v>
      </c>
      <c r="H55" s="1045"/>
      <c r="I55" s="1051"/>
      <c r="J55" s="1054">
        <f>'Working Capital (AMA)'!F236</f>
        <v>450177.49</v>
      </c>
      <c r="K55" s="1054"/>
      <c r="L55" s="1061"/>
      <c r="M55" s="1054">
        <f>'Working Capital (AMA)'!G236</f>
        <v>448618.88</v>
      </c>
      <c r="N55" s="1054"/>
      <c r="O55" s="1061"/>
      <c r="P55" s="1054">
        <f>'Working Capital (AMA)'!H236</f>
        <v>447441.47</v>
      </c>
      <c r="Q55" s="1054"/>
      <c r="R55" s="1061"/>
      <c r="S55" s="1054">
        <f>'Working Capital (AMA)'!I236</f>
        <v>841648.26</v>
      </c>
      <c r="T55" s="1054"/>
      <c r="U55" s="1061"/>
      <c r="V55" s="1054">
        <f>'Working Capital (AMA)'!J236</f>
        <v>849971.33</v>
      </c>
      <c r="W55" s="1054"/>
      <c r="X55" s="1061"/>
      <c r="Y55" s="1054">
        <f>'Working Capital (AMA)'!K236</f>
        <v>848872.91</v>
      </c>
      <c r="Z55" s="1054"/>
      <c r="AA55" s="1061"/>
      <c r="AB55" s="1054">
        <f>'Working Capital (AMA)'!L236</f>
        <v>799710.51</v>
      </c>
      <c r="AC55" s="1054"/>
      <c r="AD55" s="1061"/>
      <c r="AE55" s="1054">
        <f>'Working Capital (AMA)'!M236</f>
        <v>801240.22</v>
      </c>
      <c r="AF55" s="1054"/>
      <c r="AG55" s="1061"/>
      <c r="AH55" s="1054">
        <f>'Working Capital (AMA)'!N236</f>
        <v>1682336.08</v>
      </c>
      <c r="AI55" s="1054"/>
      <c r="AJ55" s="1061"/>
      <c r="AK55" s="1054">
        <f>'Working Capital (AMA)'!O236</f>
        <v>1733695.35</v>
      </c>
      <c r="AL55" s="1054"/>
      <c r="AM55" s="1061"/>
      <c r="AN55" s="1054">
        <f>'Working Capital (AMA)'!P236</f>
        <v>1868591.71</v>
      </c>
      <c r="AO55" s="1054"/>
      <c r="AP55" s="1061"/>
      <c r="AQ55" s="1054">
        <f>'Working Capital (AMA)'!Q236</f>
        <v>2634381.5099999998</v>
      </c>
      <c r="AR55" s="1054"/>
      <c r="AS55" s="1061"/>
      <c r="AT55" s="1054">
        <f>'Working Capital (AMA)'!R236</f>
        <v>2755622.86</v>
      </c>
      <c r="AU55" s="1054"/>
      <c r="AV55" s="1061"/>
      <c r="AW55" s="1061">
        <f t="shared" si="41"/>
        <v>1213284.0337499997</v>
      </c>
      <c r="AX55" s="1045"/>
      <c r="AY55" s="1045"/>
    </row>
    <row r="56" spans="1:51">
      <c r="A56" s="124">
        <f>MAX($A$8:A55)+1</f>
        <v>47</v>
      </c>
      <c r="B56" s="1" t="s">
        <v>2391</v>
      </c>
      <c r="C56" s="688" t="s">
        <v>2342</v>
      </c>
      <c r="D56" s="1"/>
      <c r="E56" s="1045"/>
      <c r="F56" s="688" t="s">
        <v>2347</v>
      </c>
      <c r="G56" s="688" t="s">
        <v>843</v>
      </c>
      <c r="H56" s="1045"/>
      <c r="I56" s="1051"/>
      <c r="J56" s="1054">
        <f>'Working Capital (AMA)'!F237</f>
        <v>118421.05</v>
      </c>
      <c r="K56" s="1054"/>
      <c r="L56" s="1061"/>
      <c r="M56" s="1054">
        <f>'Working Capital (AMA)'!G237</f>
        <v>121752.26</v>
      </c>
      <c r="N56" s="1054"/>
      <c r="O56" s="1061"/>
      <c r="P56" s="1054">
        <f>'Working Capital (AMA)'!H237</f>
        <v>112716.44</v>
      </c>
      <c r="Q56" s="1054"/>
      <c r="R56" s="1061"/>
      <c r="S56" s="1054">
        <f>'Working Capital (AMA)'!I237</f>
        <v>93722.72</v>
      </c>
      <c r="T56" s="1054"/>
      <c r="U56" s="1061"/>
      <c r="V56" s="1054">
        <f>'Working Capital (AMA)'!J237</f>
        <v>90728.58</v>
      </c>
      <c r="W56" s="1054"/>
      <c r="X56" s="1061"/>
      <c r="Y56" s="1054">
        <f>'Working Capital (AMA)'!K237</f>
        <v>91150.080000000002</v>
      </c>
      <c r="Z56" s="1054"/>
      <c r="AA56" s="1061"/>
      <c r="AB56" s="1054">
        <f>'Working Capital (AMA)'!L237</f>
        <v>89007.33</v>
      </c>
      <c r="AC56" s="1054"/>
      <c r="AD56" s="1061"/>
      <c r="AE56" s="1054">
        <f>'Working Capital (AMA)'!M237</f>
        <v>89720.37</v>
      </c>
      <c r="AF56" s="1054"/>
      <c r="AG56" s="1061"/>
      <c r="AH56" s="1054">
        <f>'Working Capital (AMA)'!N237</f>
        <v>90315.83</v>
      </c>
      <c r="AI56" s="1054"/>
      <c r="AJ56" s="1061"/>
      <c r="AK56" s="1054">
        <f>'Working Capital (AMA)'!O237</f>
        <v>101278.39999999999</v>
      </c>
      <c r="AL56" s="1054"/>
      <c r="AM56" s="1061"/>
      <c r="AN56" s="1054">
        <f>'Working Capital (AMA)'!P237</f>
        <v>105061.35</v>
      </c>
      <c r="AO56" s="1054"/>
      <c r="AP56" s="1061"/>
      <c r="AQ56" s="1054">
        <f>'Working Capital (AMA)'!Q237</f>
        <v>103776.23</v>
      </c>
      <c r="AR56" s="1054"/>
      <c r="AS56" s="1061"/>
      <c r="AT56" s="1054">
        <f>'Working Capital (AMA)'!R237</f>
        <v>113391.16</v>
      </c>
      <c r="AU56" s="1054"/>
      <c r="AV56" s="1061"/>
      <c r="AW56" s="1061">
        <f t="shared" si="41"/>
        <v>100427.97458333334</v>
      </c>
      <c r="AX56" s="1045"/>
      <c r="AY56" s="1045"/>
    </row>
    <row r="57" spans="1:51" ht="15.75" thickBot="1">
      <c r="A57" s="124">
        <f>MAX($A$8:A56)+1</f>
        <v>48</v>
      </c>
      <c r="B57" s="1" t="s">
        <v>2392</v>
      </c>
      <c r="C57" s="1045"/>
      <c r="D57" s="1"/>
      <c r="E57" s="1045"/>
      <c r="F57" s="1045"/>
      <c r="G57" s="1045"/>
      <c r="H57" s="1045"/>
      <c r="I57" s="1051"/>
      <c r="J57" s="1062">
        <f>SUM(J33:J35,J37:J38,J42:J43,J47:J56)</f>
        <v>7848689.1500000004</v>
      </c>
      <c r="K57" s="1054"/>
      <c r="L57" s="1061"/>
      <c r="M57" s="1062">
        <f>SUM(M33:M35,M37:M38,M42:M43,M47:M56)</f>
        <v>7867345.8199999975</v>
      </c>
      <c r="N57" s="1054"/>
      <c r="O57" s="1054"/>
      <c r="P57" s="1062">
        <f>SUM(P33:P35,P37:P38,P42:P43,P47:P56)</f>
        <v>7737124.3200000003</v>
      </c>
      <c r="Q57" s="1054"/>
      <c r="R57" s="1054"/>
      <c r="S57" s="1062">
        <f>SUM(S33:S35,S37:S38,S42:S43,S47:S56)</f>
        <v>12402755.27</v>
      </c>
      <c r="T57" s="1054"/>
      <c r="U57" s="1054"/>
      <c r="V57" s="1062">
        <f>SUM(V33:V35,V37:V38,V42:V43,V47:V56)</f>
        <v>12466581.459999999</v>
      </c>
      <c r="W57" s="1054"/>
      <c r="X57" s="1054"/>
      <c r="Y57" s="1062">
        <f>SUM(Y33:Y35,Y37:Y38,Y42:Y43,Y47:Y56)</f>
        <v>12455510.050000001</v>
      </c>
      <c r="Z57" s="1054"/>
      <c r="AA57" s="1054"/>
      <c r="AB57" s="1062">
        <f>SUM(AB33:AB35,AB37:AB38,AB42:AB43,AB47:AB56)</f>
        <v>11813639.66</v>
      </c>
      <c r="AC57" s="1054"/>
      <c r="AD57" s="1054"/>
      <c r="AE57" s="1062">
        <f>SUM(AE33:AE35,AE37:AE38,AE42:AE43,AE47:AE56)</f>
        <v>12025739.65</v>
      </c>
      <c r="AF57" s="1054"/>
      <c r="AG57" s="1054"/>
      <c r="AH57" s="1062">
        <f>SUM(AH33:AH35,AH37:AH38,AH42:AH43,AH47:AH56)</f>
        <v>22978566.449999996</v>
      </c>
      <c r="AI57" s="1054"/>
      <c r="AJ57" s="1054"/>
      <c r="AK57" s="1062">
        <f>SUM(AK33:AK35,AK37:AK38,AK42:AK43,AK47:AK56)</f>
        <v>23732361.990000002</v>
      </c>
      <c r="AL57" s="1054"/>
      <c r="AM57" s="1054"/>
      <c r="AN57" s="1062">
        <f>SUM(AN33:AN35,AN37:AN38,AN42:AN43,AN47:AN56)</f>
        <v>25454135.390000001</v>
      </c>
      <c r="AO57" s="1054"/>
      <c r="AP57" s="1054"/>
      <c r="AQ57" s="1062">
        <f>SUM(AQ33:AQ35,AQ37:AQ38,AQ42:AQ43,AQ47:AQ56)</f>
        <v>34952519.319999993</v>
      </c>
      <c r="AR57" s="1054"/>
      <c r="AS57" s="1054"/>
      <c r="AT57" s="1062">
        <f>SUM(AT33:AT35,AT37:AT38,AT42:AT43,AT47:AT56)</f>
        <v>36601742.749999993</v>
      </c>
      <c r="AU57" s="1054"/>
      <c r="AV57" s="1054"/>
      <c r="AW57" s="1062">
        <f>SUM(AW33:AW35,AW37:AW38,AW42:AW43,AW47:AW56)</f>
        <v>17175957.94416666</v>
      </c>
      <c r="AX57" s="1045"/>
      <c r="AY57" s="1045"/>
    </row>
    <row r="58" spans="1:51" ht="15.75" thickTop="1">
      <c r="A58" s="124">
        <f>MAX($A$8:A57)+1</f>
        <v>49</v>
      </c>
      <c r="B58" s="1"/>
      <c r="C58" s="1"/>
      <c r="D58" s="1"/>
      <c r="E58" s="1"/>
      <c r="F58" s="1"/>
      <c r="G58" s="1"/>
      <c r="H58" s="1"/>
      <c r="I58" s="1051"/>
      <c r="J58" s="1054"/>
      <c r="K58" s="1054"/>
      <c r="L58" s="1061"/>
      <c r="M58" s="1054"/>
      <c r="N58" s="1054"/>
      <c r="O58" s="1061"/>
      <c r="P58" s="1054"/>
      <c r="Q58" s="1054"/>
      <c r="R58" s="1061"/>
      <c r="S58" s="1054"/>
      <c r="T58" s="1054"/>
      <c r="U58" s="1061"/>
      <c r="V58" s="1054"/>
      <c r="W58" s="1054"/>
      <c r="X58" s="1061"/>
      <c r="Y58" s="1054"/>
      <c r="Z58" s="1054"/>
      <c r="AA58" s="1061"/>
      <c r="AB58" s="1054"/>
      <c r="AC58" s="1054"/>
      <c r="AD58" s="1061"/>
      <c r="AE58" s="1054"/>
      <c r="AF58" s="1054"/>
      <c r="AG58" s="1061"/>
      <c r="AH58" s="1054"/>
      <c r="AI58" s="1054"/>
      <c r="AJ58" s="1061"/>
      <c r="AK58" s="1054"/>
      <c r="AL58" s="1054"/>
      <c r="AM58" s="1061"/>
      <c r="AN58" s="1054"/>
      <c r="AO58" s="1054"/>
      <c r="AP58" s="1061"/>
      <c r="AQ58" s="1054"/>
      <c r="AR58" s="1054"/>
      <c r="AS58" s="1061"/>
      <c r="AT58" s="1054"/>
      <c r="AU58" s="1054"/>
      <c r="AV58" s="1061"/>
      <c r="AW58" s="1061"/>
      <c r="AX58" s="1045"/>
      <c r="AY58" s="1045"/>
    </row>
    <row r="59" spans="1:51">
      <c r="A59" s="124">
        <f>MAX($A$8:A58)+1</f>
        <v>50</v>
      </c>
      <c r="B59" s="1" t="s">
        <v>2374</v>
      </c>
      <c r="C59" s="1045" t="s">
        <v>2323</v>
      </c>
      <c r="D59" s="1"/>
      <c r="E59" s="1045"/>
      <c r="F59" s="1045" t="s">
        <v>2340</v>
      </c>
      <c r="G59" s="1053">
        <v>961</v>
      </c>
      <c r="H59" s="1045"/>
      <c r="I59" s="1045"/>
      <c r="J59" s="1058">
        <f>+'Working Capital (AMA)'!F709</f>
        <v>8163738.3799999999</v>
      </c>
      <c r="K59" s="1054"/>
      <c r="L59" s="1061"/>
      <c r="M59" s="1054">
        <f>+'Working Capital (AMA)'!G709</f>
        <v>8113577.0300000003</v>
      </c>
      <c r="N59" s="1054"/>
      <c r="O59" s="1061"/>
      <c r="P59" s="1054">
        <f>+'Working Capital (AMA)'!H709</f>
        <v>8063415.6399999997</v>
      </c>
      <c r="Q59" s="1054"/>
      <c r="R59" s="1061"/>
      <c r="S59" s="1054">
        <f>+'Working Capital (AMA)'!I709</f>
        <v>8013254.29</v>
      </c>
      <c r="T59" s="1054"/>
      <c r="U59" s="1061"/>
      <c r="V59" s="1054">
        <f>+'Working Capital (AMA)'!J709</f>
        <v>7963092.9100000001</v>
      </c>
      <c r="W59" s="1054"/>
      <c r="X59" s="1061"/>
      <c r="Y59" s="1054">
        <f>+'Working Capital (AMA)'!K709</f>
        <v>7912931.5800000001</v>
      </c>
      <c r="Z59" s="1054"/>
      <c r="AA59" s="1061"/>
      <c r="AB59" s="1054">
        <f>+'Working Capital (AMA)'!L709</f>
        <v>7862770.1900000004</v>
      </c>
      <c r="AC59" s="1054"/>
      <c r="AD59" s="1061"/>
      <c r="AE59" s="1054">
        <f>+'Working Capital (AMA)'!M709</f>
        <v>7812608.8499999996</v>
      </c>
      <c r="AF59" s="1054"/>
      <c r="AG59" s="1061"/>
      <c r="AH59" s="1054">
        <f>+'Working Capital (AMA)'!N709</f>
        <v>7762447.4800000004</v>
      </c>
      <c r="AI59" s="1054"/>
      <c r="AJ59" s="1061"/>
      <c r="AK59" s="1054">
        <f>+'Working Capital (AMA)'!O709</f>
        <v>7712286.1200000001</v>
      </c>
      <c r="AL59" s="1054"/>
      <c r="AM59" s="1061"/>
      <c r="AN59" s="1054">
        <f>+'Working Capital (AMA)'!P709</f>
        <v>7662124.7400000002</v>
      </c>
      <c r="AO59" s="1054"/>
      <c r="AP59" s="1061"/>
      <c r="AQ59" s="1054">
        <f>+'Working Capital (AMA)'!Q709</f>
        <v>7601811.5700000003</v>
      </c>
      <c r="AR59" s="1054"/>
      <c r="AS59" s="1061"/>
      <c r="AT59" s="1054">
        <f>+'Working Capital (AMA)'!R709</f>
        <v>7584980.04</v>
      </c>
      <c r="AU59" s="1054"/>
      <c r="AV59" s="1061"/>
      <c r="AW59" s="1061">
        <f t="shared" ref="AW59:AW74" si="42">+(AT59+J59+(M59+P59+S59+V59+Y59+AB59+AE59+AH59+AK59+AN59+AQ59)*2)/24</f>
        <v>7862889.9675000003</v>
      </c>
      <c r="AX59" s="1045"/>
      <c r="AY59" s="1045"/>
    </row>
    <row r="60" spans="1:51">
      <c r="A60" s="124">
        <f>MAX($A$8:A59)+1</f>
        <v>51</v>
      </c>
      <c r="B60" s="1" t="s">
        <v>2376</v>
      </c>
      <c r="C60" s="1045" t="s">
        <v>2323</v>
      </c>
      <c r="D60" s="1"/>
      <c r="E60" s="1045"/>
      <c r="F60" s="1045" t="s">
        <v>2340</v>
      </c>
      <c r="G60" s="1053">
        <v>962</v>
      </c>
      <c r="H60" s="1045"/>
      <c r="I60" s="1045"/>
      <c r="J60" s="1058">
        <f>+'Working Capital (AMA)'!F710</f>
        <v>31300040.329999998</v>
      </c>
      <c r="K60" s="1054"/>
      <c r="L60" s="1061"/>
      <c r="M60" s="1054">
        <f>+'Working Capital (AMA)'!G710</f>
        <v>31105896.760000002</v>
      </c>
      <c r="N60" s="1054"/>
      <c r="O60" s="1061"/>
      <c r="P60" s="1054">
        <f>+'Working Capital (AMA)'!H710</f>
        <v>30911753.190000001</v>
      </c>
      <c r="Q60" s="1054"/>
      <c r="R60" s="1061"/>
      <c r="S60" s="1054">
        <f>+'Working Capital (AMA)'!I710</f>
        <v>30717609.600000001</v>
      </c>
      <c r="T60" s="1054"/>
      <c r="U60" s="1061"/>
      <c r="V60" s="1054">
        <f>+'Working Capital (AMA)'!J710</f>
        <v>30523466.02</v>
      </c>
      <c r="W60" s="1054"/>
      <c r="X60" s="1061"/>
      <c r="Y60" s="1054">
        <f>+'Working Capital (AMA)'!K710</f>
        <v>30329322.420000002</v>
      </c>
      <c r="Z60" s="1054"/>
      <c r="AA60" s="1061"/>
      <c r="AB60" s="1054">
        <f>+'Working Capital (AMA)'!L710</f>
        <v>30135178.859999999</v>
      </c>
      <c r="AC60" s="1054"/>
      <c r="AD60" s="1061"/>
      <c r="AE60" s="1054">
        <f>+'Working Capital (AMA)'!M710</f>
        <v>29941035.280000001</v>
      </c>
      <c r="AF60" s="1054"/>
      <c r="AG60" s="1061"/>
      <c r="AH60" s="1054">
        <f>+'Working Capital (AMA)'!N710</f>
        <v>29746891.699999999</v>
      </c>
      <c r="AI60" s="1054"/>
      <c r="AJ60" s="1061"/>
      <c r="AK60" s="1054">
        <f>+'Working Capital (AMA)'!O710</f>
        <v>29552748.09</v>
      </c>
      <c r="AL60" s="1054"/>
      <c r="AM60" s="1061"/>
      <c r="AN60" s="1054">
        <f>+'Working Capital (AMA)'!P710</f>
        <v>29358604.539999999</v>
      </c>
      <c r="AO60" s="1054"/>
      <c r="AP60" s="1061"/>
      <c r="AQ60" s="1054">
        <f>+'Working Capital (AMA)'!Q710</f>
        <v>29126425.390000001</v>
      </c>
      <c r="AR60" s="1054"/>
      <c r="AS60" s="1061"/>
      <c r="AT60" s="1054">
        <f>+'Working Capital (AMA)'!R710</f>
        <v>29064346.780000001</v>
      </c>
      <c r="AU60" s="1054"/>
      <c r="AV60" s="1061"/>
      <c r="AW60" s="1061">
        <f t="shared" si="42"/>
        <v>30135927.117083337</v>
      </c>
      <c r="AX60" s="1045"/>
      <c r="AY60" s="1045"/>
    </row>
    <row r="61" spans="1:51">
      <c r="A61" s="124">
        <f>MAX($A$8:A60)+1</f>
        <v>52</v>
      </c>
      <c r="B61" s="1" t="s">
        <v>2379</v>
      </c>
      <c r="C61" s="1045" t="s">
        <v>2323</v>
      </c>
      <c r="D61" s="1"/>
      <c r="E61" s="1045"/>
      <c r="F61" s="1045" t="s">
        <v>2340</v>
      </c>
      <c r="G61" s="1053">
        <v>965</v>
      </c>
      <c r="H61" s="1045"/>
      <c r="I61" s="1045"/>
      <c r="J61" s="1058">
        <f>+'Working Capital (AMA)'!F712</f>
        <v>966597.04</v>
      </c>
      <c r="K61" s="1054"/>
      <c r="L61" s="1061"/>
      <c r="M61" s="1054">
        <f>+'Working Capital (AMA)'!G712</f>
        <v>918320.19</v>
      </c>
      <c r="N61" s="1054"/>
      <c r="O61" s="1061"/>
      <c r="P61" s="1054">
        <f>+'Working Capital (AMA)'!H712</f>
        <v>866902</v>
      </c>
      <c r="Q61" s="1054"/>
      <c r="R61" s="1061"/>
      <c r="S61" s="1054">
        <f>+'Working Capital (AMA)'!I712</f>
        <v>899480.04</v>
      </c>
      <c r="T61" s="1054"/>
      <c r="U61" s="1061"/>
      <c r="V61" s="1054">
        <f>+'Working Capital (AMA)'!J712</f>
        <v>854436.7</v>
      </c>
      <c r="W61" s="1054"/>
      <c r="X61" s="1061"/>
      <c r="Y61" s="1054">
        <f>+'Working Capital (AMA)'!K712</f>
        <v>837844.28</v>
      </c>
      <c r="Z61" s="1054"/>
      <c r="AA61" s="1061"/>
      <c r="AB61" s="1054">
        <f>+'Working Capital (AMA)'!L712</f>
        <v>802027.57</v>
      </c>
      <c r="AC61" s="1054"/>
      <c r="AD61" s="1061"/>
      <c r="AE61" s="1054">
        <f>+'Working Capital (AMA)'!M712</f>
        <v>788968.64</v>
      </c>
      <c r="AF61" s="1054"/>
      <c r="AG61" s="1061"/>
      <c r="AH61" s="1054">
        <f>+'Working Capital (AMA)'!N712</f>
        <v>742195.24</v>
      </c>
      <c r="AI61" s="1054"/>
      <c r="AJ61" s="1061"/>
      <c r="AK61" s="1054">
        <f>+'Working Capital (AMA)'!O712</f>
        <v>738814.61</v>
      </c>
      <c r="AL61" s="1054"/>
      <c r="AM61" s="1061"/>
      <c r="AN61" s="1054">
        <f>+'Working Capital (AMA)'!P712</f>
        <v>720221.03</v>
      </c>
      <c r="AO61" s="1054"/>
      <c r="AP61" s="1061"/>
      <c r="AQ61" s="1054">
        <f>+'Working Capital (AMA)'!Q712</f>
        <v>356199.43</v>
      </c>
      <c r="AR61" s="1054"/>
      <c r="AS61" s="1061"/>
      <c r="AT61" s="1054">
        <f>+'Working Capital (AMA)'!R712</f>
        <v>463309.99</v>
      </c>
      <c r="AU61" s="1054"/>
      <c r="AV61" s="1061"/>
      <c r="AW61" s="1061">
        <f t="shared" si="42"/>
        <v>770030.27041666675</v>
      </c>
      <c r="AX61" s="1045"/>
      <c r="AY61" s="1045"/>
    </row>
    <row r="62" spans="1:51">
      <c r="A62" s="124">
        <f>MAX($A$8:A61)+1</f>
        <v>53</v>
      </c>
      <c r="B62" s="1" t="s">
        <v>2383</v>
      </c>
      <c r="C62" s="688" t="s">
        <v>2342</v>
      </c>
      <c r="D62" s="1"/>
      <c r="E62" s="1045"/>
      <c r="F62" s="1045" t="s">
        <v>2340</v>
      </c>
      <c r="G62" s="1053" t="s">
        <v>2384</v>
      </c>
      <c r="H62" s="1045"/>
      <c r="I62" s="1045"/>
      <c r="J62" s="1058">
        <f>'Working Capital (AMA)'!F718</f>
        <v>714539.12</v>
      </c>
      <c r="K62" s="1054"/>
      <c r="L62" s="1061"/>
      <c r="M62" s="1054">
        <f>'Working Capital (AMA)'!G718</f>
        <v>710148.71</v>
      </c>
      <c r="N62" s="1054"/>
      <c r="O62" s="1061"/>
      <c r="P62" s="1054">
        <f>'Working Capital (AMA)'!H718</f>
        <v>705758.28</v>
      </c>
      <c r="Q62" s="1054"/>
      <c r="R62" s="1061"/>
      <c r="S62" s="1054">
        <f>'Working Capital (AMA)'!I718</f>
        <v>701367.86</v>
      </c>
      <c r="T62" s="1054"/>
      <c r="U62" s="1061"/>
      <c r="V62" s="1054">
        <f>'Working Capital (AMA)'!J718</f>
        <v>696977.43</v>
      </c>
      <c r="W62" s="1054"/>
      <c r="X62" s="1061"/>
      <c r="Y62" s="1054">
        <f>'Working Capital (AMA)'!K718</f>
        <v>692587.02</v>
      </c>
      <c r="Z62" s="1054"/>
      <c r="AA62" s="1061"/>
      <c r="AB62" s="1054">
        <f>'Working Capital (AMA)'!L718</f>
        <v>688196.6</v>
      </c>
      <c r="AC62" s="1054"/>
      <c r="AD62" s="1061"/>
      <c r="AE62" s="1054">
        <f>'Working Capital (AMA)'!M718</f>
        <v>683806.17</v>
      </c>
      <c r="AF62" s="1054"/>
      <c r="AG62" s="1061"/>
      <c r="AH62" s="1054">
        <f>'Working Capital (AMA)'!N718</f>
        <v>679415.76</v>
      </c>
      <c r="AI62" s="1054"/>
      <c r="AJ62" s="1061"/>
      <c r="AK62" s="1054">
        <f>'Working Capital (AMA)'!O718</f>
        <v>675025.34</v>
      </c>
      <c r="AL62" s="1054"/>
      <c r="AM62" s="1061"/>
      <c r="AN62" s="1054">
        <f>'Working Capital (AMA)'!P718</f>
        <v>670634.9</v>
      </c>
      <c r="AO62" s="1054"/>
      <c r="AP62" s="1061"/>
      <c r="AQ62" s="1054">
        <f>'Working Capital (AMA)'!Q718</f>
        <v>665355.92000000004</v>
      </c>
      <c r="AR62" s="1054"/>
      <c r="AS62" s="1061"/>
      <c r="AT62" s="1054">
        <f>'Working Capital (AMA)'!R718</f>
        <v>663882.75</v>
      </c>
      <c r="AU62" s="1054"/>
      <c r="AV62" s="1061"/>
      <c r="AW62" s="1061">
        <f t="shared" si="42"/>
        <v>688207.0770833334</v>
      </c>
      <c r="AX62" s="1045"/>
      <c r="AY62" s="1045"/>
    </row>
    <row r="63" spans="1:51">
      <c r="A63" s="124">
        <f>MAX($A$8:A62)+1</f>
        <v>54</v>
      </c>
      <c r="B63" s="1" t="s">
        <v>2385</v>
      </c>
      <c r="C63" s="688" t="s">
        <v>2342</v>
      </c>
      <c r="D63" s="1"/>
      <c r="E63" s="1045"/>
      <c r="F63" s="1045" t="s">
        <v>2340</v>
      </c>
      <c r="G63" s="1053" t="s">
        <v>2386</v>
      </c>
      <c r="H63" s="1045"/>
      <c r="I63" s="1045"/>
      <c r="J63" s="1058">
        <f>'Working Capital (AMA)'!F719</f>
        <v>-840697.73</v>
      </c>
      <c r="K63" s="1054"/>
      <c r="L63" s="1061"/>
      <c r="M63" s="1054">
        <f>'Working Capital (AMA)'!G719</f>
        <v>-835432.52</v>
      </c>
      <c r="N63" s="1054"/>
      <c r="O63" s="1061"/>
      <c r="P63" s="1054">
        <f>'Working Capital (AMA)'!H719</f>
        <v>-830167.32</v>
      </c>
      <c r="Q63" s="1054"/>
      <c r="R63" s="1061"/>
      <c r="S63" s="1054">
        <f>'Working Capital (AMA)'!I719</f>
        <v>-824902.13</v>
      </c>
      <c r="T63" s="1054"/>
      <c r="U63" s="1061"/>
      <c r="V63" s="1054">
        <f>'Working Capital (AMA)'!J719</f>
        <v>-819636.92</v>
      </c>
      <c r="W63" s="1054"/>
      <c r="X63" s="1061"/>
      <c r="Y63" s="1054">
        <f>'Working Capital (AMA)'!K719</f>
        <v>-814371.72</v>
      </c>
      <c r="Z63" s="1054"/>
      <c r="AA63" s="1061"/>
      <c r="AB63" s="1054">
        <f>'Working Capital (AMA)'!L719</f>
        <v>-809106.52</v>
      </c>
      <c r="AC63" s="1054"/>
      <c r="AD63" s="1061"/>
      <c r="AE63" s="1054">
        <f>'Working Capital (AMA)'!M719</f>
        <v>-803841.33</v>
      </c>
      <c r="AF63" s="1054"/>
      <c r="AG63" s="1061"/>
      <c r="AH63" s="1054">
        <f>'Working Capital (AMA)'!N719</f>
        <v>-798576.12</v>
      </c>
      <c r="AI63" s="1054"/>
      <c r="AJ63" s="1061"/>
      <c r="AK63" s="1054">
        <f>'Working Capital (AMA)'!O719</f>
        <v>-793310.91</v>
      </c>
      <c r="AL63" s="1054"/>
      <c r="AM63" s="1061"/>
      <c r="AN63" s="1054">
        <f>'Working Capital (AMA)'!P719</f>
        <v>-788045.73</v>
      </c>
      <c r="AO63" s="1054"/>
      <c r="AP63" s="1061"/>
      <c r="AQ63" s="1054">
        <f>'Working Capital (AMA)'!Q719</f>
        <v>-275102.86</v>
      </c>
      <c r="AR63" s="1054"/>
      <c r="AS63" s="1061"/>
      <c r="AT63" s="1054">
        <f>'Working Capital (AMA)'!R719</f>
        <v>-276518.86</v>
      </c>
      <c r="AU63" s="1054"/>
      <c r="AV63" s="1061"/>
      <c r="AW63" s="1061">
        <f t="shared" si="42"/>
        <v>-745925.19791666651</v>
      </c>
      <c r="AX63" s="1045"/>
      <c r="AY63" s="1045"/>
    </row>
    <row r="64" spans="1:51">
      <c r="A64" s="124">
        <f>MAX($A$8:A63)+1</f>
        <v>55</v>
      </c>
      <c r="B64" s="1" t="s">
        <v>2393</v>
      </c>
      <c r="C64" s="688" t="s">
        <v>2342</v>
      </c>
      <c r="D64" s="1"/>
      <c r="E64" s="1"/>
      <c r="F64" s="1045" t="s">
        <v>2340</v>
      </c>
      <c r="G64" s="14" t="s">
        <v>2390</v>
      </c>
      <c r="H64" s="1045"/>
      <c r="I64" s="1045"/>
      <c r="J64" s="1058">
        <f>'Working Capital (AMA)'!F721</f>
        <v>84602.33</v>
      </c>
      <c r="K64" s="1054"/>
      <c r="L64" s="1061"/>
      <c r="M64" s="1054">
        <f>'Working Capital (AMA)'!G721</f>
        <v>80376.86</v>
      </c>
      <c r="N64" s="1054"/>
      <c r="O64" s="1061"/>
      <c r="P64" s="1054">
        <f>'Working Capital (AMA)'!H721</f>
        <v>75876.429999999993</v>
      </c>
      <c r="Q64" s="1054"/>
      <c r="R64" s="1061"/>
      <c r="S64" s="1054">
        <f>'Working Capital (AMA)'!I721</f>
        <v>78727.87</v>
      </c>
      <c r="T64" s="1054"/>
      <c r="U64" s="1061"/>
      <c r="V64" s="1054">
        <f>'Working Capital (AMA)'!J721</f>
        <v>74785.399999999994</v>
      </c>
      <c r="W64" s="1054"/>
      <c r="X64" s="1061"/>
      <c r="Y64" s="1054">
        <f>'Working Capital (AMA)'!K721</f>
        <v>73333.13</v>
      </c>
      <c r="Z64" s="1054"/>
      <c r="AA64" s="1061"/>
      <c r="AB64" s="1054">
        <f>'Working Capital (AMA)'!L721</f>
        <v>70198.23</v>
      </c>
      <c r="AC64" s="1054"/>
      <c r="AD64" s="1061"/>
      <c r="AE64" s="1054">
        <f>'Working Capital (AMA)'!M721</f>
        <v>69055.25</v>
      </c>
      <c r="AF64" s="1054"/>
      <c r="AG64" s="1061"/>
      <c r="AH64" s="1054">
        <f>'Working Capital (AMA)'!N721</f>
        <v>64961.37</v>
      </c>
      <c r="AI64" s="1054"/>
      <c r="AJ64" s="1061"/>
      <c r="AK64" s="1054">
        <f>'Working Capital (AMA)'!O721</f>
        <v>64665.47</v>
      </c>
      <c r="AL64" s="1054"/>
      <c r="AM64" s="1061"/>
      <c r="AN64" s="1054">
        <f>'Working Capital (AMA)'!P721</f>
        <v>63038.06</v>
      </c>
      <c r="AO64" s="1054"/>
      <c r="AP64" s="1061"/>
      <c r="AQ64" s="1054">
        <f>'Working Capital (AMA)'!Q721</f>
        <v>31176.7</v>
      </c>
      <c r="AR64" s="1054"/>
      <c r="AS64" s="1061"/>
      <c r="AT64" s="1054">
        <f>'Working Capital (AMA)'!R721</f>
        <v>40551.67</v>
      </c>
      <c r="AU64" s="1054"/>
      <c r="AV64" s="1061"/>
      <c r="AW64" s="1061">
        <f t="shared" si="42"/>
        <v>67397.647499999977</v>
      </c>
      <c r="AX64" s="1045"/>
      <c r="AY64" s="1045"/>
    </row>
    <row r="65" spans="1:51" ht="15.75" thickBot="1">
      <c r="A65" s="124">
        <f>MAX($A$8:A64)+1</f>
        <v>56</v>
      </c>
      <c r="B65" s="1" t="s">
        <v>2394</v>
      </c>
      <c r="C65" s="1045"/>
      <c r="D65" s="1"/>
      <c r="E65" s="1045"/>
      <c r="F65" s="1045"/>
      <c r="G65" s="1045"/>
      <c r="H65" s="1045"/>
      <c r="I65" s="1045"/>
      <c r="J65" s="1063">
        <f>SUM(J27:J29,J36,J39:J40,J59:J64)</f>
        <v>-64517406.110000007</v>
      </c>
      <c r="K65" s="1054"/>
      <c r="L65" s="1061"/>
      <c r="M65" s="1063">
        <f>SUM(M27:M29,M36,M39:M40,M59:M64)</f>
        <v>-64727335.950000003</v>
      </c>
      <c r="N65" s="1054"/>
      <c r="O65" s="1061"/>
      <c r="P65" s="1063">
        <f>SUM(P27:P29,P36,P39:P40,P59:P64)</f>
        <v>-64940682.159999996</v>
      </c>
      <c r="Q65" s="1054"/>
      <c r="R65" s="1061"/>
      <c r="S65" s="1063">
        <f>SUM(S27:S29,S36,S39:S40,S59:S64)</f>
        <v>-65062680.25</v>
      </c>
      <c r="T65" s="1054"/>
      <c r="U65" s="1061"/>
      <c r="V65" s="1063">
        <f>SUM(V27:V29,V36,V39:V40,V59:V64)</f>
        <v>-65269093.640000001</v>
      </c>
      <c r="W65" s="1054"/>
      <c r="X65" s="1061"/>
      <c r="Y65" s="1063">
        <f>SUM(Y27:Y29,Y36,Y39:Y40,Y59:Y64)</f>
        <v>-65444565.87999998</v>
      </c>
      <c r="Z65" s="1054"/>
      <c r="AA65" s="1061"/>
      <c r="AB65" s="1063">
        <f>SUM(AB27:AB29,AB36,AB39:AB40,AB59:AB64)</f>
        <v>-65640945.049999997</v>
      </c>
      <c r="AC65" s="1054"/>
      <c r="AD65" s="1061"/>
      <c r="AE65" s="1063">
        <f>SUM(AE27:AE29,AE36,AE39:AE40,AE59:AE64)</f>
        <v>-65812574.529999986</v>
      </c>
      <c r="AF65" s="1054"/>
      <c r="AG65" s="1061"/>
      <c r="AH65" s="1063">
        <f>SUM(AH27:AH29,AH36,AH39:AH40,AH59:AH64)</f>
        <v>-66020869.36999999</v>
      </c>
      <c r="AI65" s="1054"/>
      <c r="AJ65" s="1061"/>
      <c r="AK65" s="1063">
        <f>SUM(AK27:AK29,AK36,AK39:AK40,AK59:AK64)</f>
        <v>-66181973.479999974</v>
      </c>
      <c r="AL65" s="1054"/>
      <c r="AM65" s="1061"/>
      <c r="AN65" s="1063">
        <f>SUM(AN27:AN29,AN36,AN39:AN40,AN59:AN64)</f>
        <v>-66359622.06000001</v>
      </c>
      <c r="AO65" s="1054"/>
      <c r="AP65" s="1061"/>
      <c r="AQ65" s="1063">
        <f>SUM(AQ27:AQ29,AQ36,AQ39:AQ40,AQ59:AQ64)</f>
        <v>-66739667.619999975</v>
      </c>
      <c r="AR65" s="1054"/>
      <c r="AS65" s="1061"/>
      <c r="AT65" s="1063">
        <f>SUM(AT27:AT29,AT36,AT39:AT40,AT59:AT64)</f>
        <v>-67460529.659999982</v>
      </c>
      <c r="AU65" s="1054"/>
      <c r="AV65" s="1061"/>
      <c r="AW65" s="1063">
        <f>SUM(AW27:AW29,AW36,AW39:AW40,AW59:AW64)</f>
        <v>-65682414.822916649</v>
      </c>
      <c r="AX65" s="1045"/>
      <c r="AY65" s="1045"/>
    </row>
    <row r="66" spans="1:51" ht="15.75" thickTop="1">
      <c r="A66" s="124">
        <f>MAX($A$8:A65)+1</f>
        <v>57</v>
      </c>
      <c r="B66" s="1"/>
      <c r="C66" s="1045"/>
      <c r="D66" s="1"/>
      <c r="E66" s="1045"/>
      <c r="F66" s="1045"/>
      <c r="G66" s="1045"/>
      <c r="H66" s="1045"/>
      <c r="I66" s="1045"/>
      <c r="J66" s="1058"/>
      <c r="K66" s="1054"/>
      <c r="L66" s="1061"/>
      <c r="M66" s="1054"/>
      <c r="N66" s="1054"/>
      <c r="O66" s="1061"/>
      <c r="P66" s="1054"/>
      <c r="Q66" s="1054"/>
      <c r="R66" s="1061"/>
      <c r="S66" s="1054"/>
      <c r="T66" s="1054"/>
      <c r="U66" s="1061"/>
      <c r="V66" s="1054"/>
      <c r="W66" s="1054"/>
      <c r="X66" s="1061"/>
      <c r="Y66" s="1054"/>
      <c r="Z66" s="1054"/>
      <c r="AA66" s="1061"/>
      <c r="AB66" s="1054"/>
      <c r="AC66" s="1054"/>
      <c r="AD66" s="1061"/>
      <c r="AE66" s="1054"/>
      <c r="AF66" s="1054"/>
      <c r="AG66" s="1061"/>
      <c r="AH66" s="1054"/>
      <c r="AI66" s="1054"/>
      <c r="AJ66" s="1061"/>
      <c r="AK66" s="1054"/>
      <c r="AL66" s="1054"/>
      <c r="AM66" s="1061"/>
      <c r="AN66" s="1054"/>
      <c r="AO66" s="1054"/>
      <c r="AP66" s="1061"/>
      <c r="AQ66" s="1054"/>
      <c r="AR66" s="1054"/>
      <c r="AS66" s="1061"/>
      <c r="AT66" s="1054"/>
      <c r="AU66" s="1054"/>
      <c r="AV66" s="1061"/>
      <c r="AW66" s="1061"/>
      <c r="AX66" s="1045"/>
      <c r="AY66" s="1045"/>
    </row>
    <row r="67" spans="1:51">
      <c r="A67" s="124">
        <f>MAX($A$8:A66)+1</f>
        <v>58</v>
      </c>
      <c r="B67" s="1" t="s">
        <v>2374</v>
      </c>
      <c r="C67" s="1045" t="s">
        <v>2323</v>
      </c>
      <c r="D67" s="1"/>
      <c r="E67" s="1045"/>
      <c r="F67" s="1045" t="s">
        <v>2344</v>
      </c>
      <c r="G67" s="1045" t="s">
        <v>2375</v>
      </c>
      <c r="H67" s="1045"/>
      <c r="I67" s="1045"/>
      <c r="J67" s="1058">
        <f>+'Working Capital (AMA)'!F713</f>
        <v>928258.48</v>
      </c>
      <c r="K67" s="1054"/>
      <c r="L67" s="1061"/>
      <c r="M67" s="1058">
        <f>+'Working Capital (AMA)'!G713</f>
        <v>912901.52</v>
      </c>
      <c r="N67" s="1054"/>
      <c r="O67" s="1061"/>
      <c r="P67" s="1058">
        <f>+'Working Capital (AMA)'!H713</f>
        <v>897544.56</v>
      </c>
      <c r="Q67" s="1054"/>
      <c r="R67" s="1061"/>
      <c r="S67" s="1058">
        <f>+'Working Capital (AMA)'!I713</f>
        <v>882187.58</v>
      </c>
      <c r="T67" s="1054"/>
      <c r="U67" s="1061"/>
      <c r="V67" s="1058">
        <f>+'Working Capital (AMA)'!J713</f>
        <v>866830.61</v>
      </c>
      <c r="W67" s="1054"/>
      <c r="X67" s="1061"/>
      <c r="Y67" s="1058">
        <f>+'Working Capital (AMA)'!K713</f>
        <v>851473.65</v>
      </c>
      <c r="Z67" s="1054"/>
      <c r="AA67" s="1054"/>
      <c r="AB67" s="1054">
        <f>+'Working Capital (AMA)'!L713</f>
        <v>836116.66</v>
      </c>
      <c r="AC67" s="1054"/>
      <c r="AD67" s="1061"/>
      <c r="AE67" s="1058">
        <f>+'Working Capital (AMA)'!M713</f>
        <v>820759.69</v>
      </c>
      <c r="AF67" s="1054"/>
      <c r="AG67" s="1061"/>
      <c r="AH67" s="1058">
        <f>+'Working Capital (AMA)'!N713</f>
        <v>805402.72</v>
      </c>
      <c r="AI67" s="1054"/>
      <c r="AJ67" s="1061"/>
      <c r="AK67" s="1058">
        <f>+'Working Capital (AMA)'!O713</f>
        <v>790045.75</v>
      </c>
      <c r="AL67" s="1054"/>
      <c r="AM67" s="1054"/>
      <c r="AN67" s="1054">
        <f>+'Working Capital (AMA)'!P713</f>
        <v>774688.8</v>
      </c>
      <c r="AO67" s="1054"/>
      <c r="AP67" s="1054"/>
      <c r="AQ67" s="1054">
        <f>+'Working Capital (AMA)'!Q713</f>
        <v>759331.81</v>
      </c>
      <c r="AR67" s="1054"/>
      <c r="AS67" s="1054"/>
      <c r="AT67" s="1054">
        <f>+'Working Capital (AMA)'!R713</f>
        <v>743974.88</v>
      </c>
      <c r="AU67" s="1054"/>
      <c r="AV67" s="1061"/>
      <c r="AW67" s="1061">
        <f t="shared" si="42"/>
        <v>836116.66916666657</v>
      </c>
      <c r="AX67" s="1045"/>
      <c r="AY67" s="1045"/>
    </row>
    <row r="68" spans="1:51">
      <c r="A68" s="124">
        <f>MAX($A$8:A67)+1</f>
        <v>59</v>
      </c>
      <c r="B68" s="1" t="s">
        <v>2376</v>
      </c>
      <c r="C68" s="1045" t="s">
        <v>2323</v>
      </c>
      <c r="D68" s="1"/>
      <c r="E68" s="1045"/>
      <c r="F68" s="1045" t="s">
        <v>2344</v>
      </c>
      <c r="G68" s="1045" t="s">
        <v>2377</v>
      </c>
      <c r="H68" s="1045"/>
      <c r="I68" s="1045"/>
      <c r="J68" s="1058">
        <f>+'Working Capital (AMA)'!F714</f>
        <v>3433569.53</v>
      </c>
      <c r="K68" s="1054"/>
      <c r="L68" s="1054"/>
      <c r="M68" s="1058">
        <f>+'Working Capital (AMA)'!G714</f>
        <v>3376406.91</v>
      </c>
      <c r="N68" s="1054"/>
      <c r="O68" s="1054"/>
      <c r="P68" s="1058">
        <f>+'Working Capital (AMA)'!H714</f>
        <v>3319244.25</v>
      </c>
      <c r="Q68" s="1054"/>
      <c r="R68" s="1054"/>
      <c r="S68" s="1058">
        <f>+'Working Capital (AMA)'!I714</f>
        <v>3262081.64</v>
      </c>
      <c r="T68" s="1054"/>
      <c r="U68" s="1054"/>
      <c r="V68" s="1058">
        <f>+'Working Capital (AMA)'!J714</f>
        <v>3204919.04</v>
      </c>
      <c r="W68" s="1054"/>
      <c r="X68" s="1054"/>
      <c r="Y68" s="1058">
        <f>+'Working Capital (AMA)'!K714</f>
        <v>3147756.48</v>
      </c>
      <c r="Z68" s="1054"/>
      <c r="AA68" s="1054"/>
      <c r="AB68" s="1054">
        <f>+'Working Capital (AMA)'!L714</f>
        <v>3090593.81</v>
      </c>
      <c r="AC68" s="1054"/>
      <c r="AD68" s="1054"/>
      <c r="AE68" s="1058">
        <f>+'Working Capital (AMA)'!M714</f>
        <v>3033431.17</v>
      </c>
      <c r="AF68" s="1054"/>
      <c r="AG68" s="1054"/>
      <c r="AH68" s="1058">
        <f>+'Working Capital (AMA)'!N714</f>
        <v>2976268.58</v>
      </c>
      <c r="AI68" s="1054"/>
      <c r="AJ68" s="1054"/>
      <c r="AK68" s="1058">
        <f>+'Working Capital (AMA)'!O714</f>
        <v>2919105.99</v>
      </c>
      <c r="AL68" s="1054"/>
      <c r="AM68" s="1054"/>
      <c r="AN68" s="1054">
        <f>+'Working Capital (AMA)'!P714</f>
        <v>2861943.4</v>
      </c>
      <c r="AO68" s="1054"/>
      <c r="AP68" s="1054"/>
      <c r="AQ68" s="1054">
        <f>+'Working Capital (AMA)'!Q714</f>
        <v>2804780.8</v>
      </c>
      <c r="AR68" s="1054"/>
      <c r="AS68" s="1054"/>
      <c r="AT68" s="1054">
        <f>+'Working Capital (AMA)'!R714</f>
        <v>2747618.24</v>
      </c>
      <c r="AU68" s="1054"/>
      <c r="AV68" s="1061"/>
      <c r="AW68" s="1061">
        <f t="shared" si="42"/>
        <v>3090593.8295833324</v>
      </c>
      <c r="AX68" s="1045"/>
      <c r="AY68" s="1045"/>
    </row>
    <row r="69" spans="1:51">
      <c r="A69" s="124">
        <f>MAX($A$8:A68)+1</f>
        <v>60</v>
      </c>
      <c r="B69" s="1" t="s">
        <v>2395</v>
      </c>
      <c r="C69" s="1045" t="s">
        <v>2323</v>
      </c>
      <c r="D69" s="1"/>
      <c r="E69" s="1045"/>
      <c r="F69" s="1045" t="s">
        <v>2344</v>
      </c>
      <c r="G69" s="1053">
        <v>964</v>
      </c>
      <c r="H69" s="1045"/>
      <c r="I69" s="1045"/>
      <c r="J69" s="1058">
        <f>+'Working Capital (AMA)'!F716</f>
        <v>171199.88</v>
      </c>
      <c r="K69" s="1054"/>
      <c r="L69" s="1061"/>
      <c r="M69" s="1058">
        <f>+'Working Capital (AMA)'!G716</f>
        <v>171199.88</v>
      </c>
      <c r="N69" s="1054"/>
      <c r="O69" s="1061"/>
      <c r="P69" s="1058">
        <f>+'Working Capital (AMA)'!H716</f>
        <v>171199.88</v>
      </c>
      <c r="Q69" s="1054"/>
      <c r="R69" s="1061"/>
      <c r="S69" s="1058">
        <f>+'Working Capital (AMA)'!I716</f>
        <v>171199.88</v>
      </c>
      <c r="T69" s="1054"/>
      <c r="U69" s="1061"/>
      <c r="V69" s="1058">
        <f>+'Working Capital (AMA)'!J716</f>
        <v>171199.88</v>
      </c>
      <c r="W69" s="1054"/>
      <c r="X69" s="1061"/>
      <c r="Y69" s="1058">
        <f>+'Working Capital (AMA)'!K716</f>
        <v>171199.88</v>
      </c>
      <c r="Z69" s="1054"/>
      <c r="AA69" s="1061"/>
      <c r="AB69" s="1054">
        <f>+'Working Capital (AMA)'!L716</f>
        <v>171199.88</v>
      </c>
      <c r="AC69" s="1054"/>
      <c r="AD69" s="1061"/>
      <c r="AE69" s="1058">
        <f>+'Working Capital (AMA)'!M716</f>
        <v>0</v>
      </c>
      <c r="AF69" s="1054"/>
      <c r="AG69" s="1061"/>
      <c r="AH69" s="1058">
        <f>+'Working Capital (AMA)'!N716</f>
        <v>0</v>
      </c>
      <c r="AI69" s="1054"/>
      <c r="AJ69" s="1061"/>
      <c r="AK69" s="1058">
        <f>+'Working Capital (AMA)'!O716</f>
        <v>0</v>
      </c>
      <c r="AL69" s="1054"/>
      <c r="AM69" s="1061"/>
      <c r="AN69" s="1054">
        <f>+'Working Capital (AMA)'!P716</f>
        <v>0</v>
      </c>
      <c r="AO69" s="1054"/>
      <c r="AP69" s="1061"/>
      <c r="AQ69" s="1054">
        <f>+'Working Capital (AMA)'!Q716</f>
        <v>0</v>
      </c>
      <c r="AR69" s="1054"/>
      <c r="AS69" s="1061"/>
      <c r="AT69" s="1054">
        <f>+'Working Capital (AMA)'!R716</f>
        <v>0</v>
      </c>
      <c r="AU69" s="1054"/>
      <c r="AV69" s="1061"/>
      <c r="AW69" s="1061">
        <f t="shared" si="42"/>
        <v>92733.268333333326</v>
      </c>
      <c r="AX69" s="1045"/>
      <c r="AY69" s="1045"/>
    </row>
    <row r="70" spans="1:51">
      <c r="A70" s="124">
        <f>MAX($A$8:A69)+1</f>
        <v>61</v>
      </c>
      <c r="B70" s="1" t="s">
        <v>2396</v>
      </c>
      <c r="C70" s="1045" t="s">
        <v>2323</v>
      </c>
      <c r="D70" s="1"/>
      <c r="E70" s="1045"/>
      <c r="F70" s="1045" t="s">
        <v>2344</v>
      </c>
      <c r="G70" s="1053">
        <v>965</v>
      </c>
      <c r="H70" s="1045"/>
      <c r="I70" s="1045"/>
      <c r="J70" s="1058">
        <f>+'Working Capital (AMA)'!F717</f>
        <v>-42415846.770000003</v>
      </c>
      <c r="K70" s="1054"/>
      <c r="L70" s="1061"/>
      <c r="M70" s="1058">
        <f>+'Working Capital (AMA)'!G717</f>
        <v>-62624830.950000003</v>
      </c>
      <c r="N70" s="1054"/>
      <c r="O70" s="1061"/>
      <c r="P70" s="1058">
        <f>+'Working Capital (AMA)'!H717</f>
        <v>-63356014.619999997</v>
      </c>
      <c r="Q70" s="1054"/>
      <c r="R70" s="1061"/>
      <c r="S70" s="1058">
        <f>+'Working Capital (AMA)'!I717</f>
        <v>-66596820.270000003</v>
      </c>
      <c r="T70" s="1054"/>
      <c r="U70" s="1061"/>
      <c r="V70" s="1058">
        <f>+'Working Capital (AMA)'!J717</f>
        <v>-65071037.039999999</v>
      </c>
      <c r="W70" s="1054"/>
      <c r="X70" s="1061"/>
      <c r="Y70" s="1058">
        <f>+'Working Capital (AMA)'!K717</f>
        <v>-64778555.770000003</v>
      </c>
      <c r="Z70" s="1054"/>
      <c r="AA70" s="1061"/>
      <c r="AB70" s="1054">
        <f>+'Working Capital (AMA)'!L717</f>
        <v>-64508001.119999997</v>
      </c>
      <c r="AC70" s="1054"/>
      <c r="AD70" s="1061"/>
      <c r="AE70" s="1058">
        <f>+'Working Capital (AMA)'!M717</f>
        <v>-65723791.659999996</v>
      </c>
      <c r="AF70" s="1054"/>
      <c r="AG70" s="1061"/>
      <c r="AH70" s="1058">
        <f>+'Working Capital (AMA)'!N717</f>
        <v>-69272440.349999994</v>
      </c>
      <c r="AI70" s="1054"/>
      <c r="AJ70" s="1061"/>
      <c r="AK70" s="1058">
        <f>+'Working Capital (AMA)'!O717</f>
        <v>-70162646.780000001</v>
      </c>
      <c r="AL70" s="1054"/>
      <c r="AM70" s="1061"/>
      <c r="AN70" s="1054">
        <f>+'Working Capital (AMA)'!P717</f>
        <v>-71137627.939999998</v>
      </c>
      <c r="AO70" s="1054"/>
      <c r="AP70" s="1061"/>
      <c r="AQ70" s="1054">
        <f>+'Working Capital (AMA)'!Q717</f>
        <v>-78328059.590000004</v>
      </c>
      <c r="AR70" s="1054"/>
      <c r="AS70" s="1061"/>
      <c r="AT70" s="1054">
        <f>+'Working Capital (AMA)'!R717</f>
        <v>-73730498.829999998</v>
      </c>
      <c r="AU70" s="1054"/>
      <c r="AV70" s="1061"/>
      <c r="AW70" s="1061">
        <f t="shared" si="42"/>
        <v>-66636083.240833335</v>
      </c>
      <c r="AX70" s="1045"/>
      <c r="AY70" s="1045"/>
    </row>
    <row r="71" spans="1:51">
      <c r="A71" s="124">
        <f>MAX($A$8:A70)+1</f>
        <v>62</v>
      </c>
      <c r="B71" s="1" t="s">
        <v>2383</v>
      </c>
      <c r="C71" s="688" t="s">
        <v>2342</v>
      </c>
      <c r="D71" s="1"/>
      <c r="E71" s="1045"/>
      <c r="F71" s="688" t="s">
        <v>2344</v>
      </c>
      <c r="G71" s="688" t="s">
        <v>2384</v>
      </c>
      <c r="H71" s="1045"/>
      <c r="I71" s="1045"/>
      <c r="J71" s="1058">
        <f>'Working Capital (AMA)'!F724</f>
        <v>81246.710000000006</v>
      </c>
      <c r="K71" s="1054"/>
      <c r="L71" s="1061"/>
      <c r="M71" s="1058">
        <f>'Working Capital (AMA)'!G724</f>
        <v>79902.59</v>
      </c>
      <c r="N71" s="1054"/>
      <c r="O71" s="1061"/>
      <c r="P71" s="1058">
        <f>'Working Capital (AMA)'!H724</f>
        <v>78558.460000000006</v>
      </c>
      <c r="Q71" s="1054"/>
      <c r="R71" s="1061"/>
      <c r="S71" s="1058">
        <f>'Working Capital (AMA)'!I724</f>
        <v>77214.31</v>
      </c>
      <c r="T71" s="1054"/>
      <c r="U71" s="1061"/>
      <c r="V71" s="1058">
        <f>'Working Capital (AMA)'!J724</f>
        <v>75870.19</v>
      </c>
      <c r="W71" s="1054"/>
      <c r="X71" s="1061"/>
      <c r="Y71" s="1058">
        <f>'Working Capital (AMA)'!K724</f>
        <v>74526.05</v>
      </c>
      <c r="Z71" s="1054"/>
      <c r="AA71" s="1061"/>
      <c r="AB71" s="1054">
        <f>'Working Capital (AMA)'!L724</f>
        <v>73181.919999999998</v>
      </c>
      <c r="AC71" s="1054"/>
      <c r="AD71" s="1061"/>
      <c r="AE71" s="1058">
        <f>'Working Capital (AMA)'!M724</f>
        <v>71837.78</v>
      </c>
      <c r="AF71" s="1054"/>
      <c r="AG71" s="1061"/>
      <c r="AH71" s="1058">
        <f>'Working Capital (AMA)'!N724</f>
        <v>70493.64</v>
      </c>
      <c r="AI71" s="1054"/>
      <c r="AJ71" s="1061"/>
      <c r="AK71" s="1058">
        <f>'Working Capital (AMA)'!O724</f>
        <v>69149.52</v>
      </c>
      <c r="AL71" s="1054"/>
      <c r="AM71" s="1061"/>
      <c r="AN71" s="1054">
        <f>'Working Capital (AMA)'!P724</f>
        <v>67805.38</v>
      </c>
      <c r="AO71" s="1054"/>
      <c r="AP71" s="1061"/>
      <c r="AQ71" s="1054">
        <f>'Working Capital (AMA)'!Q724</f>
        <v>66461.25</v>
      </c>
      <c r="AR71" s="1054"/>
      <c r="AS71" s="1061"/>
      <c r="AT71" s="1054">
        <f>'Working Capital (AMA)'!R724</f>
        <v>65117.11</v>
      </c>
      <c r="AU71" s="1054"/>
      <c r="AV71" s="1061"/>
      <c r="AW71" s="1061">
        <f t="shared" si="42"/>
        <v>73181.916666666672</v>
      </c>
      <c r="AX71" s="1045"/>
      <c r="AY71" s="1045"/>
    </row>
    <row r="72" spans="1:51">
      <c r="A72" s="124">
        <f>MAX($A$8:A71)+1</f>
        <v>63</v>
      </c>
      <c r="B72" s="1" t="s">
        <v>2385</v>
      </c>
      <c r="C72" s="688" t="s">
        <v>2342</v>
      </c>
      <c r="D72" s="1"/>
      <c r="E72" s="1045"/>
      <c r="F72" s="688" t="s">
        <v>2344</v>
      </c>
      <c r="G72" s="688" t="s">
        <v>2386</v>
      </c>
      <c r="H72" s="1045"/>
      <c r="I72" s="1045"/>
      <c r="J72" s="1058">
        <f>'Working Capital (AMA)'!F725</f>
        <v>58450.61</v>
      </c>
      <c r="K72" s="1054"/>
      <c r="L72" s="1061"/>
      <c r="M72" s="1058">
        <f>'Working Capital (AMA)'!G725</f>
        <v>57841.75</v>
      </c>
      <c r="N72" s="1054"/>
      <c r="O72" s="1061"/>
      <c r="P72" s="1058">
        <f>'Working Capital (AMA)'!H725</f>
        <v>57232.88</v>
      </c>
      <c r="Q72" s="1054"/>
      <c r="R72" s="1061"/>
      <c r="S72" s="1058">
        <f>'Working Capital (AMA)'!I725</f>
        <v>56624.02</v>
      </c>
      <c r="T72" s="1054"/>
      <c r="U72" s="1061"/>
      <c r="V72" s="1058">
        <f>'Working Capital (AMA)'!J725</f>
        <v>56015.21</v>
      </c>
      <c r="W72" s="1054"/>
      <c r="X72" s="1061"/>
      <c r="Y72" s="1058">
        <f>'Working Capital (AMA)'!K725</f>
        <v>55406.31</v>
      </c>
      <c r="Z72" s="1054"/>
      <c r="AA72" s="1061"/>
      <c r="AB72" s="1054">
        <f>'Working Capital (AMA)'!L725</f>
        <v>54797.440000000002</v>
      </c>
      <c r="AC72" s="1054"/>
      <c r="AD72" s="1061"/>
      <c r="AE72" s="1058">
        <f>'Working Capital (AMA)'!M725</f>
        <v>54188.58</v>
      </c>
      <c r="AF72" s="1054"/>
      <c r="AG72" s="1061"/>
      <c r="AH72" s="1058">
        <f>'Working Capital (AMA)'!N725</f>
        <v>53579.73</v>
      </c>
      <c r="AI72" s="1054"/>
      <c r="AJ72" s="1061"/>
      <c r="AK72" s="1058">
        <f>'Working Capital (AMA)'!O725</f>
        <v>52970.84</v>
      </c>
      <c r="AL72" s="1054"/>
      <c r="AM72" s="1061"/>
      <c r="AN72" s="1054">
        <f>'Working Capital (AMA)'!P725</f>
        <v>52361.99</v>
      </c>
      <c r="AO72" s="1054"/>
      <c r="AP72" s="1061"/>
      <c r="AQ72" s="1054">
        <f>'Working Capital (AMA)'!Q725</f>
        <v>51753.120000000003</v>
      </c>
      <c r="AR72" s="1054"/>
      <c r="AS72" s="1061"/>
      <c r="AT72" s="1054">
        <f>'Working Capital (AMA)'!R725</f>
        <v>51144.28</v>
      </c>
      <c r="AU72" s="1054"/>
      <c r="AV72" s="1061"/>
      <c r="AW72" s="1061">
        <f t="shared" si="42"/>
        <v>54797.44291666666</v>
      </c>
      <c r="AX72" s="1045"/>
      <c r="AY72" s="1045"/>
    </row>
    <row r="73" spans="1:51">
      <c r="A73" s="124">
        <f>MAX($A$8:A72)+1</f>
        <v>64</v>
      </c>
      <c r="B73" s="1" t="s">
        <v>2397</v>
      </c>
      <c r="C73" s="688" t="s">
        <v>2342</v>
      </c>
      <c r="D73" s="1"/>
      <c r="E73" s="1045"/>
      <c r="F73" s="688" t="s">
        <v>2344</v>
      </c>
      <c r="G73" s="688" t="s">
        <v>2388</v>
      </c>
      <c r="H73" s="1045"/>
      <c r="I73" s="1045"/>
      <c r="J73" s="1058">
        <f>'Working Capital (AMA)'!F727</f>
        <v>14984.44</v>
      </c>
      <c r="K73" s="1054"/>
      <c r="L73" s="1061"/>
      <c r="M73" s="1058">
        <f>'Working Capital (AMA)'!G727</f>
        <v>14984.44</v>
      </c>
      <c r="N73" s="1054"/>
      <c r="O73" s="1061"/>
      <c r="P73" s="1058">
        <f>'Working Capital (AMA)'!H727</f>
        <v>14984.44</v>
      </c>
      <c r="Q73" s="1054"/>
      <c r="R73" s="1061"/>
      <c r="S73" s="1058">
        <f>'Working Capital (AMA)'!I727</f>
        <v>14984.44</v>
      </c>
      <c r="T73" s="1054"/>
      <c r="U73" s="1061"/>
      <c r="V73" s="1058">
        <f>'Working Capital (AMA)'!J727</f>
        <v>14984.44</v>
      </c>
      <c r="W73" s="1054"/>
      <c r="X73" s="1061"/>
      <c r="Y73" s="1058">
        <f>'Working Capital (AMA)'!K727</f>
        <v>14984.44</v>
      </c>
      <c r="Z73" s="1054"/>
      <c r="AA73" s="1061"/>
      <c r="AB73" s="1054">
        <f>'Working Capital (AMA)'!L727</f>
        <v>14984.44</v>
      </c>
      <c r="AC73" s="1054"/>
      <c r="AD73" s="1061"/>
      <c r="AE73" s="1058">
        <f>'Working Capital (AMA)'!M727</f>
        <v>0</v>
      </c>
      <c r="AF73" s="1054"/>
      <c r="AG73" s="1061"/>
      <c r="AH73" s="1058">
        <f>'Working Capital (AMA)'!N727</f>
        <v>0</v>
      </c>
      <c r="AI73" s="1054"/>
      <c r="AJ73" s="1061"/>
      <c r="AK73" s="1058">
        <f>'Working Capital (AMA)'!O727</f>
        <v>0</v>
      </c>
      <c r="AL73" s="1054"/>
      <c r="AM73" s="1061"/>
      <c r="AN73" s="1054">
        <f>'Working Capital (AMA)'!P727</f>
        <v>0</v>
      </c>
      <c r="AO73" s="1054"/>
      <c r="AP73" s="1061"/>
      <c r="AQ73" s="1054">
        <f>'Working Capital (AMA)'!Q727</f>
        <v>0</v>
      </c>
      <c r="AR73" s="1054"/>
      <c r="AS73" s="1061"/>
      <c r="AT73" s="1054">
        <f>'Working Capital (AMA)'!R727</f>
        <v>0</v>
      </c>
      <c r="AU73" s="1054"/>
      <c r="AV73" s="1061"/>
      <c r="AW73" s="1061">
        <f t="shared" si="42"/>
        <v>8116.5716666666667</v>
      </c>
      <c r="AX73" s="1045"/>
      <c r="AY73" s="1045"/>
    </row>
    <row r="74" spans="1:51">
      <c r="A74" s="124">
        <f>MAX($A$8:A73)+1</f>
        <v>65</v>
      </c>
      <c r="B74" s="697" t="s">
        <v>2398</v>
      </c>
      <c r="C74" s="688" t="s">
        <v>2342</v>
      </c>
      <c r="D74" s="1"/>
      <c r="E74" s="1"/>
      <c r="F74" s="688" t="s">
        <v>2344</v>
      </c>
      <c r="G74" s="688" t="s">
        <v>2390</v>
      </c>
      <c r="H74" s="1045"/>
      <c r="I74" s="1045"/>
      <c r="J74" s="1058">
        <f>'Working Capital (AMA)'!F728</f>
        <v>-3470412.08</v>
      </c>
      <c r="K74" s="1054"/>
      <c r="L74" s="1061"/>
      <c r="M74" s="1058">
        <f>'Working Capital (AMA)'!G728</f>
        <v>-5243617.3600000003</v>
      </c>
      <c r="N74" s="1054"/>
      <c r="O74" s="1061"/>
      <c r="P74" s="1058">
        <f>'Working Capital (AMA)'!H728</f>
        <v>-5312009.26</v>
      </c>
      <c r="Q74" s="1054"/>
      <c r="R74" s="1061"/>
      <c r="S74" s="1058">
        <f>'Working Capital (AMA)'!I728</f>
        <v>-5600058.2800000003</v>
      </c>
      <c r="T74" s="1054"/>
      <c r="U74" s="1061"/>
      <c r="V74" s="1058">
        <f>'Working Capital (AMA)'!J728</f>
        <v>-5470906.9900000002</v>
      </c>
      <c r="W74" s="1054"/>
      <c r="X74" s="1061"/>
      <c r="Y74" s="1058">
        <f>'Working Capital (AMA)'!K728</f>
        <v>-5449701.6200000001</v>
      </c>
      <c r="Z74" s="1054"/>
      <c r="AA74" s="1061"/>
      <c r="AB74" s="1054">
        <f>'Working Capital (AMA)'!L728</f>
        <v>-5430415.4100000001</v>
      </c>
      <c r="AC74" s="1054"/>
      <c r="AD74" s="1061"/>
      <c r="AE74" s="1058">
        <f>'Working Capital (AMA)'!M728</f>
        <v>-5541223.0300000003</v>
      </c>
      <c r="AF74" s="1054"/>
      <c r="AG74" s="1061"/>
      <c r="AH74" s="1058">
        <f>'Working Capital (AMA)'!N728</f>
        <v>-5856216.2800000003</v>
      </c>
      <c r="AI74" s="1054"/>
      <c r="AJ74" s="1061"/>
      <c r="AK74" s="1058">
        <f>'Working Capital (AMA)'!O728</f>
        <v>-5938526.79</v>
      </c>
      <c r="AL74" s="1054"/>
      <c r="AM74" s="1061"/>
      <c r="AN74" s="1054">
        <f>'Working Capital (AMA)'!P728</f>
        <v>-6028257.3200000003</v>
      </c>
      <c r="AO74" s="1054"/>
      <c r="AP74" s="1061"/>
      <c r="AQ74" s="1054">
        <f>'Working Capital (AMA)'!Q728</f>
        <v>-6662001.1699999999</v>
      </c>
      <c r="AR74" s="1054"/>
      <c r="AS74" s="1061"/>
      <c r="AT74" s="1054">
        <f>'Working Capital (AMA)'!R728</f>
        <v>-6263989.5800000001</v>
      </c>
      <c r="AU74" s="1054"/>
      <c r="AV74" s="1061"/>
      <c r="AW74" s="1064">
        <f t="shared" si="42"/>
        <v>-5616677.8616666673</v>
      </c>
      <c r="AX74" s="1045"/>
      <c r="AY74" s="1045"/>
    </row>
    <row r="75" spans="1:51" ht="15.75" thickBot="1">
      <c r="A75" s="124">
        <f>MAX($A$8:A74)+1</f>
        <v>66</v>
      </c>
      <c r="B75" s="1" t="s">
        <v>2399</v>
      </c>
      <c r="C75" s="1045"/>
      <c r="D75" s="1"/>
      <c r="E75" s="1"/>
      <c r="F75" s="1"/>
      <c r="G75" s="1"/>
      <c r="H75" s="1045"/>
      <c r="I75" s="1045"/>
      <c r="J75" s="1063">
        <f>SUM(J30:J32,J41,J67:J74)</f>
        <v>-41488972.950000003</v>
      </c>
      <c r="K75" s="1054"/>
      <c r="L75" s="1061"/>
      <c r="M75" s="1063">
        <f>SUM(M30:M32,M41,M67:M74)</f>
        <v>-63544516.310000002</v>
      </c>
      <c r="N75" s="1054"/>
      <c r="O75" s="1061"/>
      <c r="P75" s="1063">
        <f>SUM(P30:P32,P41,P67:P74)</f>
        <v>-64417445.839999996</v>
      </c>
      <c r="Q75" s="1054"/>
      <c r="R75" s="1061"/>
      <c r="S75" s="1063">
        <f>SUM(S30:S32,S41,S67:S74)</f>
        <v>-68019654.450000003</v>
      </c>
      <c r="T75" s="1054"/>
      <c r="U75" s="1061"/>
      <c r="V75" s="1063">
        <f>SUM(V30:V32,V41,V67:V74)</f>
        <v>-66438073.770000003</v>
      </c>
      <c r="W75" s="1054"/>
      <c r="X75" s="1061"/>
      <c r="Y75" s="1063">
        <f>SUM(Y30:Y32,Y41,Y67:Y74)</f>
        <v>-66197741.030000001</v>
      </c>
      <c r="Z75" s="1054"/>
      <c r="AA75" s="1061"/>
      <c r="AB75" s="1063">
        <f>SUM(AB30:AB32,AB41,AB67:AB74)</f>
        <v>-65981254.170000002</v>
      </c>
      <c r="AC75" s="1054"/>
      <c r="AD75" s="1061"/>
      <c r="AE75" s="1063">
        <f>SUM(AE30:AE32,AE41,AE67:AE74)</f>
        <v>-67567390.599999994</v>
      </c>
      <c r="AF75" s="1054"/>
      <c r="AG75" s="1061"/>
      <c r="AH75" s="1063">
        <f>SUM(AH30:AH32,AH41,AH67:AH74)</f>
        <v>-71504386.429999992</v>
      </c>
      <c r="AI75" s="1054"/>
      <c r="AJ75" s="1061"/>
      <c r="AK75" s="1063">
        <f>SUM(AK30:AK32,AK41,AK67:AK74)</f>
        <v>-72550257.269999996</v>
      </c>
      <c r="AL75" s="1054"/>
      <c r="AM75" s="1061"/>
      <c r="AN75" s="1063">
        <f>SUM(AN30:AN32,AN41,AN67:AN74)</f>
        <v>-73688322.830000013</v>
      </c>
      <c r="AO75" s="1054"/>
      <c r="AP75" s="1061"/>
      <c r="AQ75" s="1063">
        <f>SUM(AQ30:AQ32,AQ41,AQ67:AQ74)</f>
        <v>-81585852.25</v>
      </c>
      <c r="AR75" s="1054"/>
      <c r="AS75" s="1061"/>
      <c r="AT75" s="1063">
        <f>SUM(AT30:AT32,AT41,AT67:AT74)</f>
        <v>-76663633.709999993</v>
      </c>
      <c r="AU75" s="1054"/>
      <c r="AV75" s="1061"/>
      <c r="AW75" s="1065">
        <f>SUM(AW30:AW32,AW41,AW67:AW74)</f>
        <v>-68380933.190000013</v>
      </c>
      <c r="AX75" s="1045"/>
      <c r="AY75" s="1045"/>
    </row>
    <row r="76" spans="1:51" customFormat="1" ht="15.75" thickTop="1">
      <c r="A76" s="124">
        <f>MAX($A$8:A75)+1</f>
        <v>67</v>
      </c>
      <c r="B76" s="1"/>
      <c r="C76" s="1"/>
      <c r="D76" s="1"/>
      <c r="E76" s="1"/>
      <c r="F76" s="1"/>
      <c r="G76" s="1"/>
      <c r="H76" s="1"/>
      <c r="I76" s="1"/>
      <c r="J76" s="1054">
        <f>J75+J65+J57</f>
        <v>-98157689.909999996</v>
      </c>
      <c r="K76" s="1054"/>
      <c r="L76" s="1054"/>
      <c r="M76" s="1054">
        <f>M75+M65+M57</f>
        <v>-120404506.44000001</v>
      </c>
      <c r="N76" s="1054"/>
      <c r="O76" s="1054"/>
      <c r="P76" s="1054">
        <f>P75+P65+P57</f>
        <v>-121621003.68000001</v>
      </c>
      <c r="Q76" s="1054"/>
      <c r="R76" s="1054"/>
      <c r="S76" s="1054">
        <f>S75+S65+S57</f>
        <v>-120679579.43000001</v>
      </c>
      <c r="T76" s="1054"/>
      <c r="U76" s="1054"/>
      <c r="V76" s="1054">
        <f>V75+V65+V57</f>
        <v>-119240585.95</v>
      </c>
      <c r="W76" s="1054"/>
      <c r="X76" s="1054"/>
      <c r="Y76" s="1054">
        <f>Y75+Y65+Y57</f>
        <v>-119186796.85999998</v>
      </c>
      <c r="Z76" s="1054"/>
      <c r="AA76" s="1054"/>
      <c r="AB76" s="1054">
        <f>AB75+AB65+AB57</f>
        <v>-119808559.56</v>
      </c>
      <c r="AC76" s="1054"/>
      <c r="AD76" s="1054"/>
      <c r="AE76" s="1054">
        <f>AE75+AE65+AE57</f>
        <v>-121354225.47999997</v>
      </c>
      <c r="AF76" s="1054"/>
      <c r="AG76" s="1054"/>
      <c r="AH76" s="1054">
        <f>AH75+AH65+AH57</f>
        <v>-114546689.34999999</v>
      </c>
      <c r="AI76" s="1054"/>
      <c r="AJ76" s="1054"/>
      <c r="AK76" s="1054">
        <f>AK75+AK65+AK57</f>
        <v>-114999868.75999996</v>
      </c>
      <c r="AL76" s="1054"/>
      <c r="AM76" s="1054"/>
      <c r="AN76" s="1054">
        <f>AN75+AN65+AN57</f>
        <v>-114593809.50000001</v>
      </c>
      <c r="AO76" s="1054"/>
      <c r="AP76" s="1054"/>
      <c r="AQ76" s="1054">
        <f>AQ75+AQ65+AQ57</f>
        <v>-113373000.54999998</v>
      </c>
      <c r="AR76" s="1054"/>
      <c r="AS76" s="1054"/>
      <c r="AT76" s="1054">
        <f>AT75+AT65+AT57</f>
        <v>-107522420.61999997</v>
      </c>
      <c r="AU76" s="1054"/>
      <c r="AV76" s="1054"/>
      <c r="AW76" s="1054">
        <f>AW75+AW65+AW57</f>
        <v>-116887390.06874999</v>
      </c>
      <c r="AX76" s="1"/>
      <c r="AY76" s="1"/>
    </row>
    <row r="77" spans="1:51" customFormat="1">
      <c r="A77" s="124">
        <f>MAX($A$8:A76)+1</f>
        <v>68</v>
      </c>
      <c r="B77" s="1"/>
      <c r="C77" s="1"/>
      <c r="D77" s="1"/>
      <c r="E77" s="1"/>
      <c r="F77" s="1"/>
      <c r="G77" s="1"/>
      <c r="H77" s="1"/>
      <c r="I77" s="1"/>
      <c r="J77" s="1054">
        <f>SUM('Working Capital (AMA)'!F709:F732,'Working Capital (AMA)'!F225:F241)</f>
        <v>-98157689.909999996</v>
      </c>
      <c r="K77" s="1054"/>
      <c r="L77" s="1054"/>
      <c r="M77" s="1054">
        <f>SUM('Working Capital (AMA)'!G709:G732,'Working Capital (AMA)'!G225:G241)</f>
        <v>-120404506.44000003</v>
      </c>
      <c r="N77" s="1054"/>
      <c r="O77" s="1054"/>
      <c r="P77" s="1054">
        <f>SUM('Working Capital (AMA)'!H709:H732,'Working Capital (AMA)'!H225:H241)</f>
        <v>-121621003.68000002</v>
      </c>
      <c r="Q77" s="1054"/>
      <c r="R77" s="1054"/>
      <c r="S77" s="1054">
        <f>SUM('Working Capital (AMA)'!I709:I732,'Working Capital (AMA)'!I225:I241)</f>
        <v>-120679579.42999996</v>
      </c>
      <c r="T77" s="1054"/>
      <c r="U77" s="1054"/>
      <c r="V77" s="1054">
        <f>SUM('Working Capital (AMA)'!J709:J732,'Working Capital (AMA)'!J225:J241)</f>
        <v>-119240585.95</v>
      </c>
      <c r="W77" s="1054"/>
      <c r="X77" s="1054"/>
      <c r="Y77" s="1054">
        <f>SUM('Working Capital (AMA)'!K709:K732,'Working Capital (AMA)'!K225:K241)</f>
        <v>-119186796.86000003</v>
      </c>
      <c r="Z77" s="1054"/>
      <c r="AA77" s="1054"/>
      <c r="AB77" s="1054">
        <f>SUM('Working Capital (AMA)'!L709:L732,'Working Capital (AMA)'!L225:L241)</f>
        <v>-119808559.55999999</v>
      </c>
      <c r="AC77" s="1054"/>
      <c r="AD77" s="1054"/>
      <c r="AE77" s="1054">
        <f>SUM('Working Capital (AMA)'!M709:M732,'Working Capital (AMA)'!M225:M241)</f>
        <v>-121354225.48</v>
      </c>
      <c r="AF77" s="1054"/>
      <c r="AG77" s="1054"/>
      <c r="AH77" s="1054">
        <f>SUM('Working Capital (AMA)'!N709:N732,'Working Capital (AMA)'!N225:N241)</f>
        <v>-114546689.35000004</v>
      </c>
      <c r="AI77" s="1054"/>
      <c r="AJ77" s="1054"/>
      <c r="AK77" s="1054">
        <f>SUM('Working Capital (AMA)'!O709:O732,'Working Capital (AMA)'!O225:O241)</f>
        <v>-114999868.75999999</v>
      </c>
      <c r="AL77" s="1054"/>
      <c r="AM77" s="1054"/>
      <c r="AN77" s="1054">
        <f>SUM('Working Capital (AMA)'!P709:P732,'Working Capital (AMA)'!P225:P241)</f>
        <v>-114593809.49999997</v>
      </c>
      <c r="AO77" s="1054"/>
      <c r="AP77" s="1054"/>
      <c r="AQ77" s="1054">
        <f>SUM('Working Capital (AMA)'!Q709:Q732,'Working Capital (AMA)'!Q225:Q241)</f>
        <v>-113373000.54999995</v>
      </c>
      <c r="AR77" s="1054"/>
      <c r="AS77" s="1054"/>
      <c r="AT77" s="1054">
        <f>SUM('Working Capital (AMA)'!R709:R732,'Working Capital (AMA)'!R225:R241)</f>
        <v>-107522420.61999999</v>
      </c>
      <c r="AU77" s="1054"/>
      <c r="AV77" s="1054"/>
      <c r="AW77" s="1054">
        <f>SUM('Working Capital (AMA)'!S709:S732,'Working Capital (AMA)'!S225:S241)</f>
        <v>-116887390.06874998</v>
      </c>
      <c r="AX77" s="1"/>
      <c r="AY77" s="1"/>
    </row>
    <row r="78" spans="1:51" customFormat="1">
      <c r="A78" s="124">
        <f>MAX($A$8:A77)+1</f>
        <v>69</v>
      </c>
      <c r="B78" s="1"/>
      <c r="C78" s="1"/>
      <c r="D78" s="1"/>
      <c r="E78" s="1"/>
      <c r="F78" s="1"/>
      <c r="G78" s="1"/>
      <c r="H78" s="1"/>
      <c r="I78" s="1"/>
      <c r="J78" s="1054">
        <f>J76-J77</f>
        <v>0</v>
      </c>
      <c r="K78" s="1054"/>
      <c r="L78" s="1054"/>
      <c r="M78" s="1054">
        <f>M76-M77</f>
        <v>0</v>
      </c>
      <c r="N78" s="1054"/>
      <c r="O78" s="1054"/>
      <c r="P78" s="1054">
        <f>P76-P77</f>
        <v>0</v>
      </c>
      <c r="Q78" s="1054"/>
      <c r="R78" s="1054"/>
      <c r="S78" s="1054">
        <f>S76-S77</f>
        <v>0</v>
      </c>
      <c r="T78" s="1054"/>
      <c r="U78" s="1054"/>
      <c r="V78" s="1054">
        <f>V76-V77</f>
        <v>0</v>
      </c>
      <c r="W78" s="1054"/>
      <c r="X78" s="1054"/>
      <c r="Y78" s="1054">
        <f>Y76-Y77</f>
        <v>0</v>
      </c>
      <c r="Z78" s="1054"/>
      <c r="AA78" s="1054"/>
      <c r="AB78" s="1054">
        <f>AB76-AB77</f>
        <v>0</v>
      </c>
      <c r="AC78" s="1054"/>
      <c r="AD78" s="1054"/>
      <c r="AE78" s="1054">
        <f>AE76-AE77</f>
        <v>0</v>
      </c>
      <c r="AF78" s="1054"/>
      <c r="AG78" s="1054"/>
      <c r="AH78" s="1054">
        <f>AH76-AH77</f>
        <v>0</v>
      </c>
      <c r="AI78" s="1054"/>
      <c r="AJ78" s="1054"/>
      <c r="AK78" s="1054">
        <f>AK76-AK77</f>
        <v>0</v>
      </c>
      <c r="AL78" s="1054"/>
      <c r="AM78" s="1054"/>
      <c r="AN78" s="1054">
        <f>AN76-AN77</f>
        <v>0</v>
      </c>
      <c r="AO78" s="1054"/>
      <c r="AP78" s="1054"/>
      <c r="AQ78" s="1054">
        <f>AQ76-AQ77</f>
        <v>0</v>
      </c>
      <c r="AR78" s="1054"/>
      <c r="AS78" s="1054"/>
      <c r="AT78" s="1054">
        <f>AT76-AT77</f>
        <v>0</v>
      </c>
      <c r="AU78" s="1054"/>
      <c r="AV78" s="1054"/>
      <c r="AW78" s="1054">
        <f>AW76-AW77</f>
        <v>0</v>
      </c>
      <c r="AX78" s="1"/>
      <c r="AY78" s="1"/>
    </row>
    <row r="79" spans="1:51" customFormat="1"/>
    <row r="80" spans="1:51" customFormat="1"/>
    <row r="81" spans="2:51" customFormat="1"/>
    <row r="82" spans="2:51" customFormat="1"/>
    <row r="83" spans="2:51" customFormat="1"/>
    <row r="84" spans="2:51" customFormat="1"/>
    <row r="85" spans="2:51" customFormat="1"/>
    <row r="86" spans="2:51" customFormat="1"/>
    <row r="87" spans="2:51" customFormat="1"/>
    <row r="88" spans="2:51" customFormat="1"/>
    <row r="89" spans="2:51" customFormat="1"/>
    <row r="90" spans="2:51">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row>
    <row r="91" spans="2:51">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row>
    <row r="92" spans="2:51">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row>
    <row r="93" spans="2:51">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row>
    <row r="94" spans="2:51">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row>
    <row r="95" spans="2:51">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row>
    <row r="96" spans="2:51">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row>
  </sheetData>
  <mergeCells count="13">
    <mergeCell ref="AB1:AJ1"/>
    <mergeCell ref="AB4:AJ4"/>
    <mergeCell ref="AB5:AJ5"/>
    <mergeCell ref="AB6:AJ6"/>
    <mergeCell ref="AB3:AJ3"/>
    <mergeCell ref="B17:I17"/>
    <mergeCell ref="B26:I26"/>
    <mergeCell ref="B10:E14"/>
    <mergeCell ref="F10:I10"/>
    <mergeCell ref="F11:I11"/>
    <mergeCell ref="F12:I12"/>
    <mergeCell ref="F13:I13"/>
    <mergeCell ref="F14:I14"/>
  </mergeCells>
  <phoneticPr fontId="122" type="noConversion"/>
  <printOptions horizontalCentered="1"/>
  <pageMargins left="0.31" right="0.3" top="1" bottom="1" header="0.5" footer="0.5"/>
  <pageSetup scale="54" fitToHeight="0" orientation="landscape" r:id="rId1"/>
  <headerFooter scaleWithDoc="0" alignWithMargins="0">
    <oddHeader>&amp;RPage &amp;P of &amp;N</oddHeader>
    <oddFooter>&amp;LElectronic Tab Name: &amp;A</oddFooter>
  </headerFooter>
  <rowBreaks count="1" manualBreakCount="1">
    <brk id="44" max="16383" man="1"/>
  </rowBreaks>
  <colBreaks count="4" manualBreakCount="4">
    <brk id="14" max="80" man="1"/>
    <brk id="24" max="80" man="1"/>
    <brk id="33" max="1048575" man="1"/>
    <brk id="45"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DFAAE-28F4-4D89-BF40-7FA68D0DD8AB}">
  <sheetPr codeName="Sheet78"/>
  <dimension ref="A1:P83"/>
  <sheetViews>
    <sheetView view="pageBreakPreview" zoomScale="60" zoomScaleNormal="100" workbookViewId="0">
      <selection activeCell="B9" sqref="B9:M9"/>
    </sheetView>
  </sheetViews>
  <sheetFormatPr defaultRowHeight="15"/>
  <cols>
    <col min="2" max="2" width="50.140625" customWidth="1"/>
    <col min="3" max="3" width="17.28515625" customWidth="1"/>
    <col min="4" max="4" width="13.85546875" bestFit="1" customWidth="1"/>
    <col min="5" max="5" width="16" bestFit="1" customWidth="1"/>
    <col min="6" max="7" width="15.7109375" bestFit="1" customWidth="1"/>
    <col min="8" max="8" width="2.28515625" customWidth="1"/>
    <col min="9" max="9" width="13.85546875" bestFit="1" customWidth="1"/>
    <col min="10" max="10" width="13.7109375" bestFit="1" customWidth="1"/>
    <col min="11" max="11" width="14.5703125" bestFit="1" customWidth="1"/>
    <col min="12" max="12" width="11.42578125" customWidth="1"/>
    <col min="14" max="14" width="22.5703125" customWidth="1"/>
  </cols>
  <sheetData>
    <row r="1" spans="1:13">
      <c r="A1" s="1402" t="str">
        <f>Company</f>
        <v>Cascade Natural Gas Corp.</v>
      </c>
      <c r="B1" s="1402"/>
      <c r="C1" s="1402"/>
      <c r="D1" s="1402"/>
      <c r="E1" s="1402"/>
      <c r="F1" s="1402"/>
      <c r="G1" s="1402"/>
      <c r="H1" s="1402"/>
      <c r="I1" s="1402"/>
      <c r="J1" s="1402"/>
      <c r="K1" s="1402"/>
      <c r="L1" s="1402"/>
      <c r="M1" s="1402"/>
    </row>
    <row r="2" spans="1:13">
      <c r="A2" s="1402" t="str">
        <f>Title1</f>
        <v>Washington Jurisdiction</v>
      </c>
      <c r="B2" s="1402"/>
      <c r="C2" s="1402"/>
      <c r="D2" s="1402"/>
      <c r="E2" s="1402"/>
      <c r="F2" s="1402"/>
      <c r="G2" s="1402"/>
      <c r="H2" s="1402"/>
      <c r="I2" s="1402"/>
      <c r="J2" s="1402"/>
      <c r="K2" s="1402"/>
      <c r="L2" s="1402"/>
      <c r="M2" s="1402"/>
    </row>
    <row r="3" spans="1:13">
      <c r="A3" s="1402" t="str">
        <f>Title2</f>
        <v>Twelve-Months ended December 31, 2023</v>
      </c>
      <c r="B3" s="1402"/>
      <c r="C3" s="1402"/>
      <c r="D3" s="1402"/>
      <c r="E3" s="1402"/>
      <c r="F3" s="1402"/>
      <c r="G3" s="1402"/>
      <c r="H3" s="1402"/>
      <c r="I3" s="1402"/>
      <c r="J3" s="1402"/>
      <c r="K3" s="1402"/>
      <c r="L3" s="1402"/>
      <c r="M3" s="1402"/>
    </row>
    <row r="4" spans="1:13">
      <c r="A4" s="1402" t="str">
        <f>Title8</f>
        <v>UG-240008</v>
      </c>
      <c r="B4" s="1402"/>
      <c r="C4" s="1402"/>
      <c r="D4" s="1402"/>
      <c r="E4" s="1402"/>
      <c r="F4" s="1402"/>
      <c r="G4" s="1402"/>
      <c r="H4" s="1402"/>
      <c r="I4" s="1402"/>
      <c r="J4" s="1402"/>
      <c r="K4" s="1402"/>
      <c r="L4" s="1402"/>
      <c r="M4" s="1402"/>
    </row>
    <row r="5" spans="1:13">
      <c r="A5" s="1402" t="s">
        <v>717</v>
      </c>
      <c r="B5" s="1402"/>
      <c r="C5" s="1402"/>
      <c r="D5" s="1402"/>
      <c r="E5" s="1402"/>
      <c r="F5" s="1402"/>
      <c r="G5" s="1402"/>
      <c r="H5" s="1402"/>
      <c r="I5" s="1402"/>
      <c r="J5" s="1402"/>
      <c r="K5" s="1402"/>
      <c r="L5" s="1402"/>
      <c r="M5" s="1402"/>
    </row>
    <row r="6" spans="1:13">
      <c r="A6" s="1402" t="s">
        <v>716</v>
      </c>
      <c r="B6" s="1402"/>
      <c r="C6" s="1402"/>
      <c r="D6" s="1402"/>
      <c r="E6" s="1402"/>
      <c r="F6" s="1402"/>
      <c r="G6" s="1402"/>
      <c r="H6" s="1402"/>
      <c r="I6" s="1402"/>
      <c r="J6" s="1402"/>
      <c r="K6" s="1402"/>
      <c r="L6" s="1402"/>
      <c r="M6" s="1402"/>
    </row>
    <row r="7" spans="1:13">
      <c r="A7" s="723"/>
      <c r="I7" s="723"/>
    </row>
    <row r="8" spans="1:13">
      <c r="A8" s="476" t="s">
        <v>536</v>
      </c>
      <c r="I8" s="723"/>
    </row>
    <row r="9" spans="1:13">
      <c r="A9" s="531"/>
      <c r="B9" s="805" t="s">
        <v>439</v>
      </c>
      <c r="C9" s="805" t="s">
        <v>208</v>
      </c>
      <c r="D9" s="805" t="s">
        <v>209</v>
      </c>
      <c r="E9" s="806" t="s">
        <v>440</v>
      </c>
      <c r="F9" s="806" t="s">
        <v>441</v>
      </c>
      <c r="G9" s="805" t="s">
        <v>442</v>
      </c>
      <c r="H9" s="805" t="s">
        <v>443</v>
      </c>
      <c r="I9" s="807" t="s">
        <v>444</v>
      </c>
      <c r="J9" s="807" t="s">
        <v>445</v>
      </c>
      <c r="K9" s="807" t="s">
        <v>446</v>
      </c>
      <c r="L9" s="807" t="s">
        <v>447</v>
      </c>
      <c r="M9" s="807" t="s">
        <v>448</v>
      </c>
    </row>
    <row r="10" spans="1:13">
      <c r="A10" s="449">
        <v>1</v>
      </c>
      <c r="C10" s="449" t="s">
        <v>2400</v>
      </c>
      <c r="D10" s="1413" t="s">
        <v>2401</v>
      </c>
      <c r="E10" s="1413"/>
      <c r="F10" s="1413" t="s">
        <v>2402</v>
      </c>
      <c r="G10" s="1413"/>
    </row>
    <row r="11" spans="1:13">
      <c r="A11" s="449">
        <f>MAX($A10:A$10)+1</f>
        <v>2</v>
      </c>
      <c r="B11" s="481" t="s">
        <v>2403</v>
      </c>
      <c r="C11" s="531">
        <v>2023</v>
      </c>
      <c r="D11" s="706" t="s">
        <v>2404</v>
      </c>
      <c r="E11" s="706" t="s">
        <v>2405</v>
      </c>
      <c r="F11" s="707" t="s">
        <v>2404</v>
      </c>
      <c r="G11" s="706" t="s">
        <v>2405</v>
      </c>
    </row>
    <row r="12" spans="1:13">
      <c r="A12" s="449">
        <f>MAX($A$10:A11)+1</f>
        <v>3</v>
      </c>
      <c r="B12" t="s">
        <v>2406</v>
      </c>
      <c r="C12" s="757">
        <f>'CAC-Def Tax'!AU29-C13</f>
        <v>-54667276.969999999</v>
      </c>
      <c r="D12" s="522">
        <f>G27+G42+G64</f>
        <v>-1720895.1299299626</v>
      </c>
      <c r="E12" s="708">
        <f>SUM(C12:D12)</f>
        <v>-56388172.099929959</v>
      </c>
      <c r="F12" s="840">
        <f>L27+L42+G58+G65</f>
        <v>-3415067.139752714</v>
      </c>
      <c r="G12" s="708">
        <f>SUM(E12:F12)</f>
        <v>-59803239.239682674</v>
      </c>
    </row>
    <row r="13" spans="1:13">
      <c r="A13" s="449">
        <f>MAX($A$10:A12)+1</f>
        <v>4</v>
      </c>
      <c r="B13" t="s">
        <v>2407</v>
      </c>
      <c r="C13" s="757">
        <v>-22835352.379999999</v>
      </c>
      <c r="D13" s="708">
        <f>2319106.61*'Exh JAD-8, State Allocators'!H12</f>
        <v>1807511.6918339999</v>
      </c>
      <c r="E13" s="708">
        <f>SUM(C13:D13)</f>
        <v>-21027840.688166</v>
      </c>
      <c r="F13" s="709">
        <f>2137340.61*'Exh JAD-8, State Allocators'!H12</f>
        <v>1665843.2714339998</v>
      </c>
      <c r="G13" s="708">
        <f>SUM(E13:F13)</f>
        <v>-19361997.416731998</v>
      </c>
    </row>
    <row r="14" spans="1:13">
      <c r="A14" s="449">
        <f>MAX($A$10:A13)+1</f>
        <v>5</v>
      </c>
      <c r="B14" t="s">
        <v>2408</v>
      </c>
      <c r="C14" s="757">
        <f>'CAC-Def Tax'!AU37</f>
        <v>110539.08</v>
      </c>
      <c r="D14" s="708">
        <f>-27635</f>
        <v>-27635</v>
      </c>
      <c r="E14" s="708">
        <f>SUM(C14:D14)</f>
        <v>82904.08</v>
      </c>
      <c r="F14" s="709">
        <f>D14</f>
        <v>-27635</v>
      </c>
      <c r="G14" s="708">
        <f>SUM(E14:F14)</f>
        <v>55269.08</v>
      </c>
    </row>
    <row r="15" spans="1:13">
      <c r="A15" s="449">
        <f>MAX($A$10:A14)+1</f>
        <v>6</v>
      </c>
      <c r="B15" t="s">
        <v>2409</v>
      </c>
      <c r="C15" s="758">
        <f>'CAC-Def Tax'!AU32</f>
        <v>-201676.48</v>
      </c>
      <c r="D15" s="758">
        <f>815*12</f>
        <v>9780</v>
      </c>
      <c r="E15" s="759">
        <f>SUM(C15:D15)</f>
        <v>-191896.48</v>
      </c>
      <c r="F15" s="758">
        <f>815*12</f>
        <v>9780</v>
      </c>
      <c r="G15" s="760">
        <f>SUM(E15:F15)</f>
        <v>-182116.48000000001</v>
      </c>
    </row>
    <row r="16" spans="1:13">
      <c r="A16" s="449">
        <f>MAX($A$10:A15)+1</f>
        <v>7</v>
      </c>
      <c r="B16" t="s">
        <v>2405</v>
      </c>
      <c r="C16" s="708">
        <f>SUM(C12:C15)</f>
        <v>-77593766.75</v>
      </c>
      <c r="D16" s="708">
        <f>SUM(D12:D15)</f>
        <v>68761.561904037371</v>
      </c>
      <c r="E16" s="708">
        <f>SUM(E12:E15)</f>
        <v>-77525005.188095957</v>
      </c>
      <c r="F16" s="709">
        <f>SUM(F12:F15)</f>
        <v>-1767078.8683187142</v>
      </c>
      <c r="G16" s="708">
        <f>SUM(G12:G15)</f>
        <v>-79292084.056414679</v>
      </c>
    </row>
    <row r="17" spans="1:12">
      <c r="A17" s="449">
        <f>MAX($A$10:A16)+1</f>
        <v>8</v>
      </c>
      <c r="C17" s="529"/>
    </row>
    <row r="18" spans="1:12">
      <c r="A18" s="449">
        <f>MAX($A$10:A17)+1</f>
        <v>9</v>
      </c>
    </row>
    <row r="19" spans="1:12" ht="15.75">
      <c r="A19" s="449">
        <f>MAX($A$10:A18)+1</f>
        <v>10</v>
      </c>
      <c r="B19" s="1494" t="s">
        <v>2410</v>
      </c>
      <c r="C19" s="1494"/>
      <c r="D19" s="1494"/>
      <c r="E19" s="1494"/>
      <c r="F19" s="1494"/>
      <c r="G19" s="1494"/>
      <c r="H19" s="1494"/>
      <c r="I19" s="1494"/>
      <c r="J19" s="1494"/>
      <c r="K19" s="1494"/>
      <c r="L19" s="1494"/>
    </row>
    <row r="20" spans="1:12">
      <c r="A20" s="449">
        <f>MAX($A$10:A19)+1</f>
        <v>11</v>
      </c>
      <c r="C20" s="644">
        <v>2023</v>
      </c>
      <c r="D20" s="1495" t="s">
        <v>2401</v>
      </c>
      <c r="E20" s="1495"/>
      <c r="F20" s="1495"/>
      <c r="G20" s="1495"/>
      <c r="I20" s="1495" t="s">
        <v>2402</v>
      </c>
      <c r="J20" s="1495"/>
      <c r="K20" s="1495"/>
      <c r="L20" s="1495"/>
    </row>
    <row r="21" spans="1:12">
      <c r="A21" s="449">
        <f>MAX($A$10:A20)+1</f>
        <v>12</v>
      </c>
      <c r="C21" s="449" t="s">
        <v>2411</v>
      </c>
      <c r="D21" s="449" t="s">
        <v>2412</v>
      </c>
      <c r="E21" s="449" t="s">
        <v>384</v>
      </c>
      <c r="F21" s="449" t="s">
        <v>2413</v>
      </c>
      <c r="G21" s="449" t="s">
        <v>2414</v>
      </c>
      <c r="I21" s="449" t="s">
        <v>2412</v>
      </c>
      <c r="J21" s="449" t="s">
        <v>384</v>
      </c>
      <c r="K21" s="449" t="s">
        <v>2413</v>
      </c>
      <c r="L21" s="449" t="s">
        <v>2414</v>
      </c>
    </row>
    <row r="22" spans="1:12">
      <c r="A22" s="449">
        <f>MAX($A$10:A21)+1</f>
        <v>13</v>
      </c>
      <c r="C22" s="531" t="s">
        <v>2415</v>
      </c>
      <c r="D22" s="531" t="s">
        <v>2416</v>
      </c>
      <c r="E22" s="531" t="s">
        <v>2416</v>
      </c>
      <c r="F22" s="531" t="s">
        <v>201</v>
      </c>
      <c r="G22" s="531" t="s">
        <v>384</v>
      </c>
      <c r="I22" s="531" t="s">
        <v>2416</v>
      </c>
      <c r="J22" s="531" t="s">
        <v>2416</v>
      </c>
      <c r="K22" s="531" t="s">
        <v>201</v>
      </c>
      <c r="L22" s="531" t="s">
        <v>384</v>
      </c>
    </row>
    <row r="23" spans="1:12">
      <c r="A23" s="449">
        <f>MAX($A$10:A22)+1</f>
        <v>14</v>
      </c>
      <c r="B23" t="s">
        <v>2417</v>
      </c>
      <c r="C23" s="522">
        <f>SUM('EOP Depn Exp Adj'!C10:C12)</f>
        <v>57258914.680000007</v>
      </c>
      <c r="D23" s="522">
        <f>SUM('EOP Depn Exp Adj'!E10:E12)*12</f>
        <v>3451568.5200000005</v>
      </c>
      <c r="E23" s="522">
        <v>1462294.57</v>
      </c>
      <c r="F23" s="522">
        <f>D23-E23</f>
        <v>1989273.9500000004</v>
      </c>
      <c r="G23" s="522">
        <f>F23*0.21</f>
        <v>417747.52950000006</v>
      </c>
      <c r="H23" s="522"/>
      <c r="I23" s="522">
        <f>D23</f>
        <v>3451568.5200000005</v>
      </c>
      <c r="J23" s="522">
        <v>1086497.83</v>
      </c>
      <c r="K23" s="522">
        <f>I23-J23</f>
        <v>2365070.6900000004</v>
      </c>
      <c r="L23" s="522">
        <f>K23*0.21</f>
        <v>496664.84490000008</v>
      </c>
    </row>
    <row r="24" spans="1:12">
      <c r="A24" s="449">
        <f>MAX($A$10:A23)+1</f>
        <v>15</v>
      </c>
      <c r="B24" t="s">
        <v>2418</v>
      </c>
      <c r="C24" s="522">
        <f>SUM('EOP Depn Exp Adj'!C13:C17)</f>
        <v>18923801.059999999</v>
      </c>
      <c r="D24" s="522">
        <f>SUM('EOP Depn Exp Adj'!E13:E17)*12</f>
        <v>267646.75902</v>
      </c>
      <c r="E24" s="522">
        <v>373846.47</v>
      </c>
      <c r="F24" s="522">
        <f>D24-E24</f>
        <v>-106199.71097999997</v>
      </c>
      <c r="G24" s="522">
        <f>F24*0.21</f>
        <v>-22301.939305799995</v>
      </c>
      <c r="H24" s="522"/>
      <c r="I24" s="522">
        <f>D24</f>
        <v>267646.75902</v>
      </c>
      <c r="J24" s="522">
        <v>367615.46</v>
      </c>
      <c r="K24" s="522">
        <f>I24-J24</f>
        <v>-99968.700980000023</v>
      </c>
      <c r="L24" s="522">
        <f>K24*0.21</f>
        <v>-20993.427205800002</v>
      </c>
    </row>
    <row r="25" spans="1:12">
      <c r="A25" s="449">
        <f>MAX($A$10:A24)+1</f>
        <v>16</v>
      </c>
      <c r="B25" t="s">
        <v>2419</v>
      </c>
      <c r="C25" s="522">
        <f>SUM('EOP Depn Exp Adj'!C18:C32)</f>
        <v>1003185858.9599999</v>
      </c>
      <c r="D25" s="522">
        <f>SUM('EOP Depn Exp Adj'!E18:E32)*12</f>
        <v>26266009.745216995</v>
      </c>
      <c r="E25" s="522">
        <v>28178609.640000001</v>
      </c>
      <c r="F25" s="522">
        <f>D25-E25</f>
        <v>-1912599.8947830051</v>
      </c>
      <c r="G25" s="522">
        <f>F25*0.21</f>
        <v>-401645.97790443106</v>
      </c>
      <c r="H25" s="522"/>
      <c r="I25" s="522">
        <f>D25</f>
        <v>26266009.745216995</v>
      </c>
      <c r="J25" s="522">
        <v>25783712.359999999</v>
      </c>
      <c r="K25" s="522">
        <f>I25-J25</f>
        <v>482297.38521699607</v>
      </c>
      <c r="L25" s="522">
        <f>K25*0.21</f>
        <v>101282.45089556917</v>
      </c>
    </row>
    <row r="26" spans="1:12">
      <c r="A26" s="449">
        <f>MAX($A$10:A25)+1</f>
        <v>17</v>
      </c>
      <c r="B26" t="s">
        <v>2420</v>
      </c>
      <c r="C26" s="616">
        <f>SUM('EOP Depn Exp Adj'!C33:C52)</f>
        <v>62396509.469999991</v>
      </c>
      <c r="D26" s="616">
        <f>SUM('EOP Depn Exp Adj'!E33:E52)*12</f>
        <v>2300104.2749040001</v>
      </c>
      <c r="E26" s="616">
        <v>3596285.88</v>
      </c>
      <c r="F26" s="616">
        <f>D26-E26</f>
        <v>-1296181.6050959998</v>
      </c>
      <c r="G26" s="616">
        <f>F26*0.21</f>
        <v>-272198.13707015995</v>
      </c>
      <c r="H26" s="522"/>
      <c r="I26" s="616">
        <f>D26</f>
        <v>2300104.2749040001</v>
      </c>
      <c r="J26" s="616">
        <v>2494584.6800000002</v>
      </c>
      <c r="K26" s="616">
        <f>I26-J26</f>
        <v>-194480.40509600006</v>
      </c>
      <c r="L26" s="616">
        <f>K26*0.21</f>
        <v>-40840.885070160009</v>
      </c>
    </row>
    <row r="27" spans="1:12">
      <c r="A27" s="449">
        <f>MAX($A$10:A26)+1</f>
        <v>18</v>
      </c>
      <c r="C27" s="522">
        <f>SUM(C23:C26)</f>
        <v>1141765084.1699998</v>
      </c>
      <c r="D27" s="522">
        <f>SUM(D23:D26)</f>
        <v>32285329.299140997</v>
      </c>
      <c r="E27" s="522">
        <f>SUM(E23:E26)</f>
        <v>33611036.560000002</v>
      </c>
      <c r="F27" s="522">
        <f>SUM(F23:F26)</f>
        <v>-1325707.2608590045</v>
      </c>
      <c r="G27" s="522">
        <f>SUM(G23:G26)</f>
        <v>-278398.52478039096</v>
      </c>
      <c r="H27" s="522"/>
      <c r="I27" s="522">
        <f>SUM(I23:I26)</f>
        <v>32285329.299140997</v>
      </c>
      <c r="J27" s="522">
        <f>SUM(J23:J26)</f>
        <v>29732410.329999998</v>
      </c>
      <c r="K27" s="522">
        <f>SUM(K23:K26)</f>
        <v>2552918.9691409962</v>
      </c>
      <c r="L27" s="522">
        <f>SUM(L23:L26)</f>
        <v>536112.9835196092</v>
      </c>
    </row>
    <row r="28" spans="1:12">
      <c r="A28" s="449">
        <f>MAX($A$10:A27)+1</f>
        <v>19</v>
      </c>
      <c r="C28" s="530"/>
      <c r="D28" s="530"/>
      <c r="E28" s="530"/>
      <c r="F28" s="530"/>
      <c r="G28" s="530"/>
      <c r="I28" s="530"/>
      <c r="J28" s="530"/>
      <c r="K28" s="530"/>
      <c r="L28" s="530"/>
    </row>
    <row r="29" spans="1:12">
      <c r="A29" s="449">
        <f>MAX($A$10:A28)+1</f>
        <v>20</v>
      </c>
    </row>
    <row r="30" spans="1:12" ht="15.75">
      <c r="A30" s="449">
        <f>MAX($A$10:A29)+1</f>
        <v>21</v>
      </c>
      <c r="B30" s="1494" t="s">
        <v>2421</v>
      </c>
      <c r="C30" s="1494"/>
      <c r="D30" s="1494"/>
      <c r="E30" s="1494"/>
      <c r="F30" s="1494"/>
      <c r="G30" s="1494"/>
      <c r="H30" s="1494"/>
      <c r="I30" s="1494"/>
      <c r="J30" s="1494"/>
      <c r="K30" s="1494"/>
      <c r="L30" s="1494"/>
    </row>
    <row r="31" spans="1:12">
      <c r="A31" s="449">
        <f>MAX($A$10:A30)+1</f>
        <v>22</v>
      </c>
      <c r="C31" s="644">
        <v>2024</v>
      </c>
      <c r="D31" s="1413" t="s">
        <v>2401</v>
      </c>
      <c r="E31" s="1413"/>
      <c r="F31" s="1413"/>
      <c r="G31" s="1413"/>
      <c r="I31" s="1413" t="s">
        <v>2402</v>
      </c>
      <c r="J31" s="1413"/>
      <c r="K31" s="1413"/>
      <c r="L31" s="1413"/>
    </row>
    <row r="32" spans="1:12">
      <c r="A32" s="449">
        <f>MAX($A$10:A31)+1</f>
        <v>23</v>
      </c>
      <c r="C32" s="449" t="s">
        <v>2422</v>
      </c>
      <c r="D32" s="449" t="s">
        <v>2412</v>
      </c>
      <c r="E32" s="449" t="s">
        <v>384</v>
      </c>
      <c r="F32" s="449" t="s">
        <v>2413</v>
      </c>
      <c r="G32" s="449" t="s">
        <v>2414</v>
      </c>
      <c r="I32" s="449" t="s">
        <v>2412</v>
      </c>
      <c r="J32" s="449" t="s">
        <v>384</v>
      </c>
      <c r="K32" s="449" t="s">
        <v>2413</v>
      </c>
      <c r="L32" s="449" t="s">
        <v>2414</v>
      </c>
    </row>
    <row r="33" spans="1:16">
      <c r="A33" s="449">
        <f>MAX($A$10:A32)+1</f>
        <v>24</v>
      </c>
      <c r="C33" s="531" t="s">
        <v>2423</v>
      </c>
      <c r="D33" s="531" t="s">
        <v>2416</v>
      </c>
      <c r="E33" s="531" t="s">
        <v>2416</v>
      </c>
      <c r="F33" s="531" t="s">
        <v>201</v>
      </c>
      <c r="G33" s="531" t="s">
        <v>384</v>
      </c>
      <c r="I33" s="531" t="s">
        <v>2416</v>
      </c>
      <c r="J33" s="531" t="s">
        <v>2416</v>
      </c>
      <c r="K33" s="531" t="s">
        <v>201</v>
      </c>
      <c r="L33" s="531" t="s">
        <v>384</v>
      </c>
    </row>
    <row r="34" spans="1:16">
      <c r="A34" s="449">
        <f>MAX($A$10:A33)+1</f>
        <v>25</v>
      </c>
      <c r="B34" t="s">
        <v>2417</v>
      </c>
      <c r="C34" s="522">
        <f>'24-25 Plant Additions'!G31</f>
        <v>9006672.1762900017</v>
      </c>
      <c r="D34" s="522">
        <f>SUM('24-25 Plant Additions'!H266)/2</f>
        <v>372711.61499999999</v>
      </c>
      <c r="E34" s="522">
        <f>C34*C75</f>
        <v>3001923.8363574576</v>
      </c>
      <c r="F34" s="522">
        <f>D34-E34</f>
        <v>-2629212.2213574573</v>
      </c>
      <c r="G34" s="522">
        <f>F34*0.21</f>
        <v>-552134.56648506597</v>
      </c>
      <c r="H34" s="522"/>
      <c r="I34" s="522">
        <f>SUM('24-25 Plant Additions'!H266)</f>
        <v>745423.23</v>
      </c>
      <c r="J34" s="522">
        <f>C34*D75</f>
        <v>4003465.7823609058</v>
      </c>
      <c r="K34" s="522">
        <f>I34-J34</f>
        <v>-3258042.5523609058</v>
      </c>
      <c r="L34" s="522">
        <f>K34*0.21</f>
        <v>-684188.93599579018</v>
      </c>
    </row>
    <row r="35" spans="1:16">
      <c r="A35" s="449">
        <f>MAX($A$10:A34)+1</f>
        <v>26</v>
      </c>
      <c r="B35" t="s">
        <v>2419</v>
      </c>
      <c r="C35" s="522">
        <f>'24-25 Plant Additions'!G183</f>
        <v>122284663.83724491</v>
      </c>
      <c r="D35" s="522">
        <f>SUM('24-25 Plant Additions'!H268:H282)/2</f>
        <v>1262089.9133145048</v>
      </c>
      <c r="E35" s="522">
        <f>C35*C70</f>
        <v>4585674.8938966841</v>
      </c>
      <c r="F35" s="522">
        <f t="shared" ref="F35:F41" si="0">D35-E35</f>
        <v>-3323584.9805821795</v>
      </c>
      <c r="G35" s="522">
        <f t="shared" ref="G35:G41" si="1">F35*0.21</f>
        <v>-697952.84592225763</v>
      </c>
      <c r="H35" s="522"/>
      <c r="I35" s="522">
        <f>SUM('24-25 Plant Additions'!H268:H282)</f>
        <v>2524179.8266290096</v>
      </c>
      <c r="J35" s="522">
        <f>C35*D70</f>
        <v>8827729.8824107107</v>
      </c>
      <c r="K35" s="522">
        <f t="shared" ref="K35:K41" si="2">I35-J35</f>
        <v>-6303550.0557817016</v>
      </c>
      <c r="L35" s="522">
        <f t="shared" ref="L35:L41" si="3">K35*0.21</f>
        <v>-1323745.5117141572</v>
      </c>
    </row>
    <row r="36" spans="1:16">
      <c r="A36" s="449">
        <f>MAX($A$10:A35)+1</f>
        <v>27</v>
      </c>
      <c r="B36" t="s">
        <v>2420</v>
      </c>
      <c r="C36" s="522"/>
      <c r="D36" s="522"/>
      <c r="E36" s="522"/>
      <c r="F36" s="522"/>
      <c r="G36" s="522"/>
      <c r="H36" s="522"/>
      <c r="I36" s="522"/>
      <c r="J36" s="522"/>
      <c r="K36" s="522"/>
      <c r="L36" s="522"/>
    </row>
    <row r="37" spans="1:16">
      <c r="A37" s="449">
        <f>MAX($A$10:A36)+1</f>
        <v>28</v>
      </c>
      <c r="B37" s="646" t="s">
        <v>2424</v>
      </c>
      <c r="C37" s="522">
        <f>SUM('24-25 Plant Additions'!F283:F301)-SUM(C38:C41)</f>
        <v>3987602.2525809994</v>
      </c>
      <c r="D37" s="522">
        <f>(SUM('24-25 Plant Additions'!H283:H301)/2)-SUM(D38:D41)</f>
        <v>179571.35524300789</v>
      </c>
      <c r="E37" s="522">
        <f>C37*C72</f>
        <v>569828.36189382477</v>
      </c>
      <c r="F37" s="522">
        <f t="shared" si="0"/>
        <v>-390257.00665081688</v>
      </c>
      <c r="G37" s="522">
        <f t="shared" si="1"/>
        <v>-81953.971396671535</v>
      </c>
      <c r="H37" s="522"/>
      <c r="I37" s="522">
        <f>(SUM('24-25 Plant Additions'!H283:H301))-SUM(I38:I41)</f>
        <v>359142.71048601577</v>
      </c>
      <c r="J37" s="522">
        <f>C37*D72</f>
        <v>976563.79165708681</v>
      </c>
      <c r="K37" s="522">
        <f t="shared" si="2"/>
        <v>-617421.08117107104</v>
      </c>
      <c r="L37" s="522">
        <f t="shared" si="3"/>
        <v>-129658.42704592491</v>
      </c>
    </row>
    <row r="38" spans="1:16">
      <c r="A38" s="449">
        <f>MAX($A$10:A37)+1</f>
        <v>29</v>
      </c>
      <c r="B38" s="646" t="s">
        <v>2425</v>
      </c>
      <c r="C38" s="522">
        <f>SUMIF('24-25 Plant Additions'!$E$266:$E$301,390.1,'24-25 Plant Additions'!$F$266:$F$301)</f>
        <v>543949.35173200001</v>
      </c>
      <c r="D38" s="522">
        <f>SUMIF('24-25 Plant Additions'!$E$266:$E$301,390.1,'24-25 Plant Additions'!$H$266:$H$301)/2</f>
        <v>3916.4353324703998</v>
      </c>
      <c r="E38" s="522">
        <f>C38*C73</f>
        <v>7566.3354825921206</v>
      </c>
      <c r="F38" s="522">
        <f t="shared" si="0"/>
        <v>-3649.9001501217208</v>
      </c>
      <c r="G38" s="522">
        <f t="shared" si="1"/>
        <v>-766.47903152556137</v>
      </c>
      <c r="H38" s="522"/>
      <c r="I38" s="522">
        <f>SUMIF('24-25 Plant Additions'!$E$266:$E$301,390.1,'24-25 Plant Additions'!$H$266:$H$301)</f>
        <v>7832.8706649407995</v>
      </c>
      <c r="J38" s="522">
        <f>C38*D73</f>
        <v>13946.861378408479</v>
      </c>
      <c r="K38" s="522">
        <f t="shared" si="2"/>
        <v>-6113.9907134676796</v>
      </c>
      <c r="L38" s="522">
        <f t="shared" si="3"/>
        <v>-1283.9380498282126</v>
      </c>
    </row>
    <row r="39" spans="1:16">
      <c r="A39" s="449">
        <f>MAX($A$10:A38)+1</f>
        <v>30</v>
      </c>
      <c r="B39" s="646" t="s">
        <v>2426</v>
      </c>
      <c r="C39" s="522">
        <f>SUMIF('24-25 Plant Additions'!$E$266:$E$301,391.3,'24-25 Plant Additions'!$F$266:$F$301)+'24-25 Plant Additions'!F299</f>
        <v>845980.57949581463</v>
      </c>
      <c r="D39" s="522">
        <f>(SUMIF('24-25 Plant Additions'!$E$266:$E$301,391.3,'24-25 Plant Additions'!$H$266:$H$301)+'24-25 Plant Additions'!H299)/2</f>
        <v>139705.23234640813</v>
      </c>
      <c r="E39" s="522">
        <f>C39*C74</f>
        <v>169196.11589916295</v>
      </c>
      <c r="F39" s="522">
        <f t="shared" si="0"/>
        <v>-29490.883552754822</v>
      </c>
      <c r="G39" s="522">
        <f t="shared" si="1"/>
        <v>-6193.0855460785124</v>
      </c>
      <c r="H39" s="522"/>
      <c r="I39" s="522">
        <f>SUMIF('24-25 Plant Additions'!$E$266:$E$301,391.3,'24-25 Plant Additions'!$H$266:$H$301)+'24-25 Plant Additions'!H299</f>
        <v>279410.46469281625</v>
      </c>
      <c r="J39" s="522">
        <f>C39*D74</f>
        <v>270713.78543866071</v>
      </c>
      <c r="K39" s="522">
        <f t="shared" si="2"/>
        <v>8696.6792541555478</v>
      </c>
      <c r="L39" s="522">
        <f t="shared" si="3"/>
        <v>1826.302643372665</v>
      </c>
    </row>
    <row r="40" spans="1:16">
      <c r="A40" s="449">
        <f>MAX($A$10:A39)+1</f>
        <v>31</v>
      </c>
      <c r="B40" s="646" t="s">
        <v>2427</v>
      </c>
      <c r="C40" s="522">
        <f>SUMIF('24-25 Plant Additions'!$E$266:$E$301,392.1,'24-25 Plant Additions'!$F$266:$F$301)+SUMIF('24-25 Plant Additions'!$E$266:$E$301,392.2,'24-25 Plant Additions'!$F$266:$F$301)</f>
        <v>1060664.9308400003</v>
      </c>
      <c r="D40" s="522">
        <f>(SUMIF('24-25 Plant Additions'!$E$266:$E$301,392.1,'24-25 Plant Additions'!$H$266:$H$301)+SUMIF('24-25 Plant Additions'!$E$266:$E$301,392.2,'24-25 Plant Additions'!$H$266:$H$301))/2</f>
        <v>31236.582213238009</v>
      </c>
      <c r="E40" s="522">
        <f>C40*C74</f>
        <v>212132.98616800006</v>
      </c>
      <c r="F40" s="522">
        <f t="shared" si="0"/>
        <v>-180896.40395476206</v>
      </c>
      <c r="G40" s="522">
        <f t="shared" si="1"/>
        <v>-37988.244830500029</v>
      </c>
      <c r="H40" s="522"/>
      <c r="I40" s="522">
        <f>(SUMIF('24-25 Plant Additions'!$E$266:$E$301,392.1,'24-25 Plant Additions'!$H$266:$H$301)+SUMIF('24-25 Plant Additions'!$E$266:$E$301,392.2,'24-25 Plant Additions'!$H$266:$H$301))</f>
        <v>62473.164426476018</v>
      </c>
      <c r="J40" s="522">
        <f>C40*D74</f>
        <v>339412.7778688001</v>
      </c>
      <c r="K40" s="522">
        <f t="shared" si="2"/>
        <v>-276939.6134423241</v>
      </c>
      <c r="L40" s="522">
        <f t="shared" si="3"/>
        <v>-58157.318822888061</v>
      </c>
      <c r="O40" s="652"/>
      <c r="P40" s="653"/>
    </row>
    <row r="41" spans="1:16">
      <c r="A41" s="449">
        <f>MAX($A$10:A40)+1</f>
        <v>32</v>
      </c>
      <c r="B41" s="646" t="s">
        <v>2428</v>
      </c>
      <c r="C41" s="616">
        <f>SUMIF('24-25 Plant Additions'!$E$266:$E$301,396.1,'24-25 Plant Additions'!$F$266:$F$301)+SUMIF('24-25 Plant Additions'!$E$266:$E$301,396.2,'24-25 Plant Additions'!$F$266:$F$301)</f>
        <v>2463904.4573269999</v>
      </c>
      <c r="D41" s="616">
        <f>(SUMIF('24-25 Plant Additions'!$E$266:$E$301,396.1,'24-25 Plant Additions'!$H$266:$H$301)+SUMIF('24-25 Plant Additions'!$E$266:$E$301,396.2,'24-25 Plant Additions'!$H$266:$H$301))/2</f>
        <v>118636.99962029504</v>
      </c>
      <c r="E41" s="616">
        <f>C41*C74</f>
        <v>492780.8914654</v>
      </c>
      <c r="F41" s="616">
        <f t="shared" si="0"/>
        <v>-374143.89184510498</v>
      </c>
      <c r="G41" s="616">
        <f t="shared" si="1"/>
        <v>-78570.217287472042</v>
      </c>
      <c r="H41" s="522"/>
      <c r="I41" s="616">
        <f>(SUMIF('24-25 Plant Additions'!$E$266:$E$301,396.1,'24-25 Plant Additions'!$H$266:$H$301)+SUMIF('24-25 Plant Additions'!$E$266:$E$301,396.2,'24-25 Plant Additions'!$H$266:$H$301))</f>
        <v>237273.99924059008</v>
      </c>
      <c r="J41" s="616">
        <f>C41*D74</f>
        <v>788449.42634463997</v>
      </c>
      <c r="K41" s="616">
        <f t="shared" si="2"/>
        <v>-551175.42710404983</v>
      </c>
      <c r="L41" s="616">
        <f t="shared" si="3"/>
        <v>-115746.83969185046</v>
      </c>
      <c r="O41" s="652"/>
      <c r="P41" s="653"/>
    </row>
    <row r="42" spans="1:16">
      <c r="A42" s="449">
        <f>MAX($A$10:A41)+1</f>
        <v>33</v>
      </c>
      <c r="B42" s="646" t="s">
        <v>200</v>
      </c>
      <c r="C42" s="522">
        <f>SUM(C34:C41)</f>
        <v>140193437.5855107</v>
      </c>
      <c r="D42" s="522">
        <f>SUM(D34:D41)</f>
        <v>2107868.1330699241</v>
      </c>
      <c r="E42" s="522">
        <f>SUM(E34:E41)</f>
        <v>9039103.4211631212</v>
      </c>
      <c r="F42" s="522">
        <f>SUM(F34:F41)</f>
        <v>-6931235.2880931981</v>
      </c>
      <c r="G42" s="522">
        <f>SUM(G34:G41)</f>
        <v>-1455559.4104995716</v>
      </c>
      <c r="H42" s="522"/>
      <c r="I42" s="522">
        <f>SUM(I34:I41)</f>
        <v>4215736.2661398482</v>
      </c>
      <c r="J42" s="522">
        <f>SUM(J34:J41)</f>
        <v>15220282.307459213</v>
      </c>
      <c r="K42" s="522">
        <f>SUM(K34:K41)</f>
        <v>-11004546.041319365</v>
      </c>
      <c r="L42" s="522">
        <f>SUM(L34:L41)</f>
        <v>-2310954.6686770665</v>
      </c>
      <c r="O42" s="652"/>
      <c r="P42" s="653"/>
    </row>
    <row r="43" spans="1:16">
      <c r="A43" s="449">
        <f>MAX($A$10:A42)+1</f>
        <v>34</v>
      </c>
      <c r="B43" s="646"/>
      <c r="C43" s="530"/>
      <c r="D43" s="530"/>
      <c r="E43" s="530"/>
      <c r="F43" s="530"/>
      <c r="G43" s="530"/>
      <c r="I43" s="530"/>
      <c r="J43" s="530"/>
      <c r="K43" s="530"/>
      <c r="L43" s="530"/>
      <c r="O43" s="652"/>
      <c r="P43" s="653"/>
    </row>
    <row r="44" spans="1:16">
      <c r="A44" s="449">
        <f>MAX($A$10:A43)+1</f>
        <v>35</v>
      </c>
      <c r="B44" s="646"/>
      <c r="C44" s="530"/>
      <c r="D44" s="530"/>
      <c r="E44" s="530"/>
      <c r="F44" s="530"/>
      <c r="G44" s="530"/>
      <c r="I44" s="530"/>
      <c r="J44" s="530"/>
      <c r="K44" s="530"/>
      <c r="L44" s="530"/>
      <c r="O44" s="652"/>
      <c r="P44" s="653"/>
    </row>
    <row r="45" spans="1:16" ht="15.75">
      <c r="A45" s="449">
        <f>MAX($A$10:A44)+1</f>
        <v>36</v>
      </c>
      <c r="B45" s="1494" t="s">
        <v>2429</v>
      </c>
      <c r="C45" s="1494"/>
      <c r="D45" s="1494"/>
      <c r="E45" s="1494"/>
      <c r="F45" s="1494"/>
      <c r="G45" s="1494"/>
      <c r="H45" s="1494"/>
      <c r="I45" s="1494"/>
      <c r="J45" s="1494"/>
      <c r="K45" s="1494"/>
      <c r="L45" s="1494"/>
      <c r="O45" s="652"/>
      <c r="P45" s="653"/>
    </row>
    <row r="46" spans="1:16">
      <c r="A46" s="449">
        <f>MAX($A$10:A45)+1</f>
        <v>37</v>
      </c>
      <c r="C46" s="644">
        <v>2025</v>
      </c>
      <c r="D46" s="1413" t="s">
        <v>2402</v>
      </c>
      <c r="E46" s="1413"/>
      <c r="F46" s="1413"/>
      <c r="G46" s="1413"/>
      <c r="O46" s="652"/>
      <c r="P46" s="653"/>
    </row>
    <row r="47" spans="1:16">
      <c r="A47" s="449">
        <f>MAX($A$10:A46)+1</f>
        <v>38</v>
      </c>
      <c r="C47" s="449" t="s">
        <v>2422</v>
      </c>
      <c r="D47" s="449" t="s">
        <v>2412</v>
      </c>
      <c r="E47" s="449" t="s">
        <v>384</v>
      </c>
      <c r="F47" s="449" t="s">
        <v>2413</v>
      </c>
      <c r="G47" s="449" t="s">
        <v>2414</v>
      </c>
      <c r="O47" s="652"/>
      <c r="P47" s="653"/>
    </row>
    <row r="48" spans="1:16">
      <c r="A48" s="449">
        <f>MAX($A$10:A47)+1</f>
        <v>39</v>
      </c>
      <c r="C48" s="531" t="s">
        <v>2423</v>
      </c>
      <c r="D48" s="531" t="s">
        <v>2416</v>
      </c>
      <c r="E48" s="531" t="s">
        <v>2416</v>
      </c>
      <c r="F48" s="531" t="s">
        <v>201</v>
      </c>
      <c r="G48" s="531" t="s">
        <v>384</v>
      </c>
      <c r="O48" s="652"/>
      <c r="P48" s="653"/>
    </row>
    <row r="49" spans="1:16">
      <c r="A49" s="449">
        <f>MAX($A$10:A48)+1</f>
        <v>40</v>
      </c>
      <c r="B49" t="s">
        <v>2417</v>
      </c>
      <c r="C49" s="522">
        <f>'24-25 Plant Additions'!J31</f>
        <v>10841022.621869002</v>
      </c>
      <c r="D49" s="522">
        <f>SUM('24-25 Plant Additions'!M266)/2</f>
        <v>402360.26</v>
      </c>
      <c r="E49" s="522">
        <f>C49*C75</f>
        <v>3613312.8398689381</v>
      </c>
      <c r="F49" s="522">
        <f>D49-E49</f>
        <v>-3210952.5798689378</v>
      </c>
      <c r="G49" s="522">
        <f>F49*0.21</f>
        <v>-674300.04177247698</v>
      </c>
      <c r="O49" s="654"/>
      <c r="P49" s="653"/>
    </row>
    <row r="50" spans="1:16">
      <c r="A50" s="449">
        <f>MAX($A$10:A49)+1</f>
        <v>41</v>
      </c>
      <c r="B50" t="s">
        <v>2430</v>
      </c>
      <c r="C50" s="522">
        <f>'24-25 Plant Additions'!J34</f>
        <v>17454194.260000002</v>
      </c>
      <c r="D50" s="522">
        <f>'24-25 Plant Additions'!M267/2</f>
        <v>436354.85650000005</v>
      </c>
      <c r="E50" s="522">
        <f>C50*C71</f>
        <v>2494204.3597540003</v>
      </c>
      <c r="F50" s="522">
        <f t="shared" ref="F50:F57" si="4">D50-E50</f>
        <v>-2057849.5032540003</v>
      </c>
      <c r="G50" s="522">
        <f>F50*0.21</f>
        <v>-432148.39568334003</v>
      </c>
      <c r="O50" s="654"/>
      <c r="P50" s="653"/>
    </row>
    <row r="51" spans="1:16">
      <c r="A51" s="449">
        <f>MAX($A$10:A50)+1</f>
        <v>42</v>
      </c>
      <c r="B51" t="s">
        <v>2419</v>
      </c>
      <c r="C51" s="522">
        <f>'24-25 Plant Additions'!J183</f>
        <v>73254259.277644008</v>
      </c>
      <c r="D51" s="522">
        <f>SUM('24-25 Plant Additions'!M268:M282)/2</f>
        <v>843878.19252482941</v>
      </c>
      <c r="E51" s="522">
        <f>C51*C70</f>
        <v>2747034.7229116503</v>
      </c>
      <c r="F51" s="522">
        <f t="shared" si="4"/>
        <v>-1903156.5303868209</v>
      </c>
      <c r="G51" s="522">
        <f t="shared" ref="G51:G57" si="5">F51*0.21</f>
        <v>-399662.8713812324</v>
      </c>
      <c r="O51" s="654"/>
      <c r="P51" s="653"/>
    </row>
    <row r="52" spans="1:16">
      <c r="A52" s="449">
        <f>MAX($A$10:A51)+1</f>
        <v>43</v>
      </c>
      <c r="B52" t="s">
        <v>2420</v>
      </c>
      <c r="C52" s="522"/>
      <c r="D52" s="522"/>
      <c r="E52" s="522"/>
      <c r="F52" s="522"/>
      <c r="G52" s="522"/>
      <c r="O52" s="654"/>
      <c r="P52" s="653"/>
    </row>
    <row r="53" spans="1:16">
      <c r="A53" s="449">
        <f>MAX($A$10:A52)+1</f>
        <v>44</v>
      </c>
      <c r="B53" s="646" t="s">
        <v>2424</v>
      </c>
      <c r="C53" s="522">
        <f>SUM('24-25 Plant Additions'!K283:K301)-SUM(C54:C57)</f>
        <v>2411673.9392680004</v>
      </c>
      <c r="D53" s="522">
        <f>(SUM('24-25 Plant Additions'!M283:M301)/2)-SUM(D54:D57)</f>
        <v>132543.78924421797</v>
      </c>
      <c r="E53" s="522">
        <f>C53*C72</f>
        <v>344628.20592139725</v>
      </c>
      <c r="F53" s="522">
        <f t="shared" si="4"/>
        <v>-212084.41667717928</v>
      </c>
      <c r="G53" s="522">
        <f t="shared" si="5"/>
        <v>-44537.72750220765</v>
      </c>
      <c r="O53" s="654"/>
      <c r="P53" s="653"/>
    </row>
    <row r="54" spans="1:16">
      <c r="A54" s="449">
        <f>MAX($A$10:A53)+1</f>
        <v>45</v>
      </c>
      <c r="B54" s="646" t="s">
        <v>2425</v>
      </c>
      <c r="C54" s="522">
        <f>SUMIF('24-25 Plant Additions'!$E$266:$E$301,390.1,'24-25 Plant Additions'!$K$266:$K$301)</f>
        <v>0</v>
      </c>
      <c r="D54" s="522">
        <f>SUMIF('24-25 Plant Additions'!$E$266:$E$301,390.1,'24-25 Plant Additions'!$M$266:$M$301)/2</f>
        <v>0</v>
      </c>
      <c r="E54" s="522">
        <f>C54*C73</f>
        <v>0</v>
      </c>
      <c r="F54" s="522">
        <f t="shared" si="4"/>
        <v>0</v>
      </c>
      <c r="G54" s="522">
        <f t="shared" si="5"/>
        <v>0</v>
      </c>
      <c r="O54" s="654"/>
      <c r="P54" s="653"/>
    </row>
    <row r="55" spans="1:16">
      <c r="A55" s="449">
        <f>MAX($A$10:A54)+1</f>
        <v>46</v>
      </c>
      <c r="B55" s="646" t="s">
        <v>2426</v>
      </c>
      <c r="C55" s="522">
        <f>SUMIF('24-25 Plant Additions'!$E$266:$E$301,391.3,'24-25 Plant Additions'!$K$266:$K$301)+'24-25 Plant Additions'!K299</f>
        <v>238306.31219999999</v>
      </c>
      <c r="D55" s="522">
        <f>(SUMIF('24-25 Plant Additions'!$E$266:$E$301,391.3,'24-25 Plant Additions'!$M$266:$M$301)+'24-25 Plant Additions'!M299)/2</f>
        <v>52451.219315219998</v>
      </c>
      <c r="E55" s="522">
        <f>C55*C74</f>
        <v>47661.262439999999</v>
      </c>
      <c r="F55" s="522">
        <f t="shared" si="4"/>
        <v>4789.9568752199993</v>
      </c>
      <c r="G55" s="522">
        <f t="shared" si="5"/>
        <v>1005.8909437961998</v>
      </c>
      <c r="O55" s="654"/>
      <c r="P55" s="653"/>
    </row>
    <row r="56" spans="1:16">
      <c r="A56" s="449">
        <f>MAX($A$10:A55)+1</f>
        <v>47</v>
      </c>
      <c r="B56" s="646" t="s">
        <v>2427</v>
      </c>
      <c r="C56" s="522">
        <f>SUMIF('24-25 Plant Additions'!$E$266:$E$301,392.1,'24-25 Plant Additions'!$K$266:$K$301)+SUMIF('24-25 Plant Additions'!$E$266:$E$301,392.2,'24-25 Plant Additions'!$K$266:$K$301)</f>
        <v>769996.95369600004</v>
      </c>
      <c r="D56" s="522">
        <f>(SUMIF('24-25 Plant Additions'!$E$266:$E$301,392.1,'24-25 Plant Additions'!$M$266:$M$301)+SUMIF('24-25 Plant Additions'!$E$266:$E$301,392.2,'24-25 Plant Additions'!$M$266:$M$301))/2</f>
        <v>22676.4102863472</v>
      </c>
      <c r="E56" s="522">
        <f>C56*C74</f>
        <v>153999.39073920003</v>
      </c>
      <c r="F56" s="522">
        <f t="shared" si="4"/>
        <v>-131322.98045285282</v>
      </c>
      <c r="G56" s="522">
        <f t="shared" si="5"/>
        <v>-27577.825895099089</v>
      </c>
      <c r="O56" s="654"/>
      <c r="P56" s="653"/>
    </row>
    <row r="57" spans="1:16">
      <c r="A57" s="449">
        <f>MAX($A$10:A56)+1</f>
        <v>48</v>
      </c>
      <c r="B57" s="646" t="s">
        <v>2428</v>
      </c>
      <c r="C57" s="616">
        <f>SUMIF('24-25 Plant Additions'!$E$266:$E$301,396.1,'24-25 Plant Additions'!$K$266:$K$301)+SUMIF('24-25 Plant Additions'!$E$266:$E$301,396.2,'24-25 Plant Additions'!$K$266:$K$301)</f>
        <v>2289180.1058280002</v>
      </c>
      <c r="D57" s="616">
        <f>(SUMIF('24-25 Plant Additions'!$E$266:$E$301,396.1,'24-25 Plant Additions'!$M$266:$M$301)+SUMIF('24-25 Plant Additions'!$E$266:$E$301,396.2,'24-25 Plant Additions'!$M$266:$M$301))/2</f>
        <v>110224.0220956182</v>
      </c>
      <c r="E57" s="616">
        <f>C57*C74</f>
        <v>457836.02116560005</v>
      </c>
      <c r="F57" s="616">
        <f t="shared" si="4"/>
        <v>-347611.99906998186</v>
      </c>
      <c r="G57" s="616">
        <f t="shared" si="5"/>
        <v>-72998.519804696189</v>
      </c>
      <c r="O57" s="654"/>
      <c r="P57" s="653"/>
    </row>
    <row r="58" spans="1:16">
      <c r="A58" s="449">
        <f>MAX($A$10:A57)+1</f>
        <v>49</v>
      </c>
      <c r="B58" s="646" t="s">
        <v>200</v>
      </c>
      <c r="C58" s="522">
        <f>SUM(C49:C57)</f>
        <v>107258633.47050501</v>
      </c>
      <c r="D58" s="522">
        <f>SUM(D49:D57)</f>
        <v>2000488.7499662328</v>
      </c>
      <c r="E58" s="522">
        <f>SUM(E49:E57)</f>
        <v>9858676.8028007858</v>
      </c>
      <c r="F58" s="522">
        <f>SUM(F49:F57)</f>
        <v>-7858188.0528345536</v>
      </c>
      <c r="G58" s="522">
        <f>SUM(G49:G57)</f>
        <v>-1650219.4910952565</v>
      </c>
    </row>
    <row r="59" spans="1:16">
      <c r="A59" s="449">
        <f>MAX($A$10:A58)+1</f>
        <v>50</v>
      </c>
      <c r="D59" s="530"/>
    </row>
    <row r="60" spans="1:16">
      <c r="A60" s="449">
        <f>MAX($A$10:A59)+1</f>
        <v>51</v>
      </c>
      <c r="M60" s="646"/>
    </row>
    <row r="61" spans="1:16" ht="15.75">
      <c r="A61" s="449">
        <f>MAX($A$10:A60)+1</f>
        <v>52</v>
      </c>
      <c r="B61" s="1494" t="s">
        <v>2431</v>
      </c>
      <c r="C61" s="1494"/>
      <c r="D61" s="1494"/>
      <c r="E61" s="1494"/>
      <c r="F61" s="1494"/>
      <c r="G61" s="1494"/>
      <c r="H61" s="1494"/>
      <c r="I61" s="1494"/>
      <c r="J61" s="1494"/>
      <c r="K61" s="1494"/>
      <c r="L61" s="1494"/>
      <c r="M61" s="1494"/>
      <c r="O61" s="652"/>
      <c r="P61" s="653"/>
    </row>
    <row r="62" spans="1:16">
      <c r="A62" s="449">
        <f>MAX($A$10:A61)+1</f>
        <v>53</v>
      </c>
      <c r="C62" s="449" t="s">
        <v>2422</v>
      </c>
      <c r="D62" s="449" t="s">
        <v>2412</v>
      </c>
      <c r="E62" s="449" t="s">
        <v>384</v>
      </c>
      <c r="F62" s="449" t="s">
        <v>2413</v>
      </c>
      <c r="G62" s="449" t="s">
        <v>2414</v>
      </c>
      <c r="O62" s="652"/>
      <c r="P62" s="653"/>
    </row>
    <row r="63" spans="1:16">
      <c r="A63" s="449">
        <f>MAX($A$10:A62)+1</f>
        <v>54</v>
      </c>
      <c r="C63" s="531" t="s">
        <v>2432</v>
      </c>
      <c r="D63" s="531" t="s">
        <v>2416</v>
      </c>
      <c r="E63" s="531" t="s">
        <v>2416</v>
      </c>
      <c r="F63" s="531" t="s">
        <v>201</v>
      </c>
      <c r="G63" s="531" t="s">
        <v>384</v>
      </c>
      <c r="O63" s="652"/>
      <c r="P63" s="653"/>
    </row>
    <row r="64" spans="1:16">
      <c r="A64" s="449">
        <f>MAX($A$10:A63)+1</f>
        <v>55</v>
      </c>
      <c r="B64" t="s">
        <v>2433</v>
      </c>
      <c r="C64" s="522">
        <f>'Provisional Plant Additions'!C12</f>
        <v>-4065610</v>
      </c>
      <c r="D64" s="522">
        <f>-'Provisional Plant Additions'!C30/2</f>
        <v>62203.834999999999</v>
      </c>
      <c r="E64" s="522">
        <v>0</v>
      </c>
      <c r="F64" s="522">
        <f>D64-E64</f>
        <v>62203.834999999999</v>
      </c>
      <c r="G64" s="522">
        <f>F64*0.21</f>
        <v>13062.805349999999</v>
      </c>
      <c r="O64" s="654"/>
      <c r="P64" s="653"/>
    </row>
    <row r="65" spans="1:16">
      <c r="A65" s="449">
        <f>MAX($A$10:A64)+1</f>
        <v>56</v>
      </c>
      <c r="B65" t="s">
        <v>2434</v>
      </c>
      <c r="C65" s="522">
        <f>'Provisional Plant Additions'!C42</f>
        <v>-3110500</v>
      </c>
      <c r="D65" s="522">
        <f>-'Provisional Plant Additions'!C60/2</f>
        <v>47590.65</v>
      </c>
      <c r="E65" s="522">
        <v>0</v>
      </c>
      <c r="F65" s="522">
        <f>D65-E65</f>
        <v>47590.65</v>
      </c>
      <c r="G65" s="522">
        <f>F65*0.21</f>
        <v>9994.0365000000002</v>
      </c>
      <c r="O65" s="654"/>
      <c r="P65" s="653"/>
    </row>
    <row r="66" spans="1:16">
      <c r="A66" s="449">
        <f>MAX($A$10:A65)+1</f>
        <v>57</v>
      </c>
    </row>
    <row r="67" spans="1:16">
      <c r="A67" s="449">
        <f>MAX($A$10:A66)+1</f>
        <v>58</v>
      </c>
    </row>
    <row r="68" spans="1:16">
      <c r="A68" s="449">
        <f>MAX($A$10:A67)+1</f>
        <v>59</v>
      </c>
    </row>
    <row r="69" spans="1:16">
      <c r="A69" s="449">
        <f>MAX($A$10:A68)+1</f>
        <v>60</v>
      </c>
      <c r="B69" s="645" t="s">
        <v>2435</v>
      </c>
      <c r="C69" s="648" t="s">
        <v>2436</v>
      </c>
      <c r="D69" s="648" t="s">
        <v>2437</v>
      </c>
      <c r="E69" s="647"/>
    </row>
    <row r="70" spans="1:16">
      <c r="A70" s="449">
        <f>MAX($A$10:A69)+1</f>
        <v>61</v>
      </c>
      <c r="B70" s="646" t="s">
        <v>557</v>
      </c>
      <c r="C70" s="649">
        <v>3.7499999999999999E-2</v>
      </c>
      <c r="D70" s="650">
        <v>7.2190000000000004E-2</v>
      </c>
      <c r="E70" s="645" t="s">
        <v>2438</v>
      </c>
    </row>
    <row r="71" spans="1:16">
      <c r="A71" s="449">
        <f>MAX($A$10:A70)+1</f>
        <v>62</v>
      </c>
      <c r="B71" t="s">
        <v>556</v>
      </c>
      <c r="C71" s="649">
        <v>0.1429</v>
      </c>
      <c r="D71" s="650">
        <v>0.24490000000000001</v>
      </c>
      <c r="E71" s="645" t="s">
        <v>2439</v>
      </c>
    </row>
    <row r="72" spans="1:16">
      <c r="A72" s="449">
        <f>MAX($A$10:A71)+1</f>
        <v>63</v>
      </c>
      <c r="B72" s="646" t="s">
        <v>2440</v>
      </c>
      <c r="C72" s="649">
        <v>0.1429</v>
      </c>
      <c r="D72" s="650">
        <v>0.24490000000000001</v>
      </c>
      <c r="E72" s="645" t="s">
        <v>2439</v>
      </c>
    </row>
    <row r="73" spans="1:16">
      <c r="A73" s="449">
        <f>MAX($A$10:A72)+1</f>
        <v>64</v>
      </c>
      <c r="B73" s="646" t="s">
        <v>863</v>
      </c>
      <c r="C73" s="651">
        <v>1.391E-2</v>
      </c>
      <c r="D73" s="650">
        <v>2.564E-2</v>
      </c>
      <c r="E73" s="645" t="s">
        <v>2441</v>
      </c>
    </row>
    <row r="74" spans="1:16">
      <c r="A74" s="449">
        <f>MAX($A$10:A73)+1</f>
        <v>65</v>
      </c>
      <c r="B74" s="646" t="s">
        <v>2442</v>
      </c>
      <c r="C74" s="649">
        <v>0.2</v>
      </c>
      <c r="D74" s="650">
        <v>0.32</v>
      </c>
      <c r="E74" s="645" t="s">
        <v>2443</v>
      </c>
      <c r="N74" s="705"/>
    </row>
    <row r="75" spans="1:16">
      <c r="A75" s="449">
        <f>MAX($A$10:A74)+1</f>
        <v>66</v>
      </c>
      <c r="B75" s="646" t="s">
        <v>2444</v>
      </c>
      <c r="C75" s="649">
        <v>0.33329999999999999</v>
      </c>
      <c r="D75" s="650">
        <v>0.44450000000000001</v>
      </c>
      <c r="E75" s="645" t="s">
        <v>2445</v>
      </c>
      <c r="N75" s="705"/>
    </row>
    <row r="76" spans="1:16">
      <c r="N76" s="705"/>
    </row>
    <row r="77" spans="1:16">
      <c r="N77" s="705"/>
    </row>
    <row r="78" spans="1:16">
      <c r="N78" s="705"/>
    </row>
    <row r="79" spans="1:16">
      <c r="N79" s="705"/>
    </row>
    <row r="80" spans="1:16">
      <c r="N80" s="705"/>
    </row>
    <row r="81" spans="14:14">
      <c r="N81" s="705"/>
    </row>
    <row r="82" spans="14:14">
      <c r="N82" s="705"/>
    </row>
    <row r="83" spans="14:14">
      <c r="N83" s="705"/>
    </row>
  </sheetData>
  <mergeCells count="17">
    <mergeCell ref="B61:M61"/>
    <mergeCell ref="D46:G46"/>
    <mergeCell ref="D10:E10"/>
    <mergeCell ref="F10:G10"/>
    <mergeCell ref="B19:L19"/>
    <mergeCell ref="B30:L30"/>
    <mergeCell ref="B45:L45"/>
    <mergeCell ref="I20:L20"/>
    <mergeCell ref="D20:G20"/>
    <mergeCell ref="D31:G31"/>
    <mergeCell ref="I31:L31"/>
    <mergeCell ref="A6:M6"/>
    <mergeCell ref="A1:M1"/>
    <mergeCell ref="A2:M2"/>
    <mergeCell ref="A3:M3"/>
    <mergeCell ref="A4:M4"/>
    <mergeCell ref="A5:M5"/>
  </mergeCells>
  <pageMargins left="0.7" right="0.7" top="0.75" bottom="0.75" header="0.3" footer="0.3"/>
  <pageSetup scale="44" orientation="portrait" horizontalDpi="1200" verticalDpi="1200" r:id="rId1"/>
  <headerFooter>
    <oddFooter>&amp;LElectronic Tab Name: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8072-AA35-4F60-9D91-33C476CE1FA0}">
  <sheetPr codeName="Sheet33">
    <pageSetUpPr fitToPage="1"/>
  </sheetPr>
  <dimension ref="A1:W96"/>
  <sheetViews>
    <sheetView zoomScaleNormal="100" workbookViewId="0"/>
  </sheetViews>
  <sheetFormatPr defaultColWidth="9.140625" defaultRowHeight="15" outlineLevelCol="1"/>
  <cols>
    <col min="1" max="1" width="6.5703125" style="124" customWidth="1"/>
    <col min="2" max="2" width="43.7109375" style="53" bestFit="1" customWidth="1"/>
    <col min="3" max="3" width="9.5703125" style="53" bestFit="1" customWidth="1"/>
    <col min="4" max="4" width="17.28515625" style="53" bestFit="1" customWidth="1"/>
    <col min="5" max="5" width="13.85546875" style="53" bestFit="1" customWidth="1"/>
    <col min="6" max="6" width="20.28515625" style="53" bestFit="1" customWidth="1"/>
    <col min="7" max="7" width="8.140625" style="53" bestFit="1" customWidth="1"/>
    <col min="8" max="8" width="17.5703125" style="53" customWidth="1"/>
    <col min="9" max="9" width="19" style="53" customWidth="1"/>
    <col min="10" max="10" width="16.28515625" style="53" bestFit="1" customWidth="1"/>
    <col min="11" max="11" width="19.5703125" style="53" customWidth="1"/>
    <col min="12" max="12" width="18.42578125" style="53" customWidth="1"/>
    <col min="13" max="13" width="8.85546875" style="53" customWidth="1" outlineLevel="1"/>
    <col min="14" max="14" width="19" style="53" customWidth="1" outlineLevel="1"/>
    <col min="15" max="15" width="17.85546875" style="53" customWidth="1" outlineLevel="1"/>
    <col min="16" max="16" width="9.140625" style="53"/>
    <col min="17" max="17" width="14.42578125" style="53" bestFit="1" customWidth="1"/>
    <col min="18" max="18" width="9.140625" style="53"/>
    <col min="19" max="19" width="11.5703125" style="53" bestFit="1" customWidth="1"/>
    <col min="20" max="21" width="9.140625" style="53"/>
    <col min="22" max="22" width="22.7109375" style="53" customWidth="1"/>
    <col min="23" max="23" width="24" style="53" bestFit="1" customWidth="1"/>
    <col min="24" max="16384" width="9.140625" style="53"/>
  </cols>
  <sheetData>
    <row r="1" spans="1:23">
      <c r="A1" s="91" t="str">
        <f>Company</f>
        <v>Cascade Natural Gas Corp.</v>
      </c>
      <c r="C1" s="228"/>
      <c r="D1" s="228"/>
      <c r="G1" s="91"/>
      <c r="H1" s="91"/>
      <c r="I1" s="91"/>
      <c r="J1" s="91"/>
      <c r="K1" s="91"/>
      <c r="L1" s="91"/>
      <c r="N1" s="228"/>
      <c r="O1" s="228"/>
    </row>
    <row r="2" spans="1:23">
      <c r="A2" s="91" t="str">
        <f>Title1</f>
        <v>Washington Jurisdiction</v>
      </c>
      <c r="C2" s="228"/>
      <c r="D2" s="228"/>
      <c r="E2"/>
      <c r="F2"/>
      <c r="G2"/>
      <c r="K2"/>
      <c r="L2" s="91"/>
      <c r="N2" s="228"/>
      <c r="O2" s="837"/>
    </row>
    <row r="3" spans="1:23">
      <c r="A3" s="91" t="str">
        <f>Title2</f>
        <v>Twelve-Months ended December 31, 2023</v>
      </c>
      <c r="C3" s="232"/>
      <c r="E3"/>
      <c r="F3"/>
      <c r="G3"/>
      <c r="K3"/>
      <c r="L3" s="91"/>
      <c r="N3" s="431"/>
      <c r="O3" s="431"/>
    </row>
    <row r="4" spans="1:23">
      <c r="A4" s="91" t="str">
        <f>Title8</f>
        <v>UG-240008</v>
      </c>
      <c r="C4" s="229"/>
      <c r="E4" s="423"/>
      <c r="F4"/>
      <c r="G4"/>
      <c r="K4"/>
      <c r="L4" s="91"/>
      <c r="N4" s="109"/>
      <c r="O4" s="230"/>
    </row>
    <row r="5" spans="1:23">
      <c r="A5" s="91" t="s">
        <v>237</v>
      </c>
      <c r="C5" s="229"/>
      <c r="D5" s="229"/>
      <c r="E5"/>
      <c r="F5"/>
      <c r="G5"/>
      <c r="K5"/>
      <c r="L5" s="91"/>
      <c r="N5" s="231"/>
      <c r="O5" s="230"/>
    </row>
    <row r="6" spans="1:23">
      <c r="A6" s="91" t="s">
        <v>669</v>
      </c>
      <c r="C6" s="229"/>
      <c r="D6" s="229"/>
      <c r="E6" s="91"/>
      <c r="F6" s="91"/>
      <c r="G6" s="91"/>
      <c r="K6" s="91"/>
      <c r="L6" s="91"/>
      <c r="N6" s="229"/>
      <c r="O6" s="230"/>
    </row>
    <row r="7" spans="1:23">
      <c r="C7" s="232"/>
      <c r="D7" s="232"/>
      <c r="E7" s="232"/>
      <c r="F7" s="427"/>
      <c r="G7" s="427"/>
      <c r="H7" s="427"/>
      <c r="I7" s="427"/>
      <c r="J7" s="427"/>
      <c r="K7" s="427"/>
      <c r="L7" s="427"/>
      <c r="M7" s="427"/>
      <c r="N7" s="431"/>
      <c r="O7" s="431"/>
    </row>
    <row r="8" spans="1:23" ht="45">
      <c r="A8" s="172" t="s">
        <v>536</v>
      </c>
      <c r="B8" s="257"/>
      <c r="C8" s="172" t="s">
        <v>1266</v>
      </c>
      <c r="D8" s="476" t="s">
        <v>1267</v>
      </c>
      <c r="E8" s="172" t="s">
        <v>1268</v>
      </c>
      <c r="F8" s="172" t="s">
        <v>1269</v>
      </c>
      <c r="G8" s="172" t="s">
        <v>1270</v>
      </c>
      <c r="H8" s="476" t="s">
        <v>1271</v>
      </c>
      <c r="I8" s="172" t="s">
        <v>1272</v>
      </c>
      <c r="J8" s="476" t="s">
        <v>1273</v>
      </c>
      <c r="K8" s="172" t="s">
        <v>1274</v>
      </c>
      <c r="L8" s="476" t="s">
        <v>1275</v>
      </c>
      <c r="M8" s="172"/>
      <c r="N8" s="476" t="s">
        <v>1276</v>
      </c>
      <c r="O8" s="476" t="s">
        <v>1277</v>
      </c>
      <c r="U8" t="s">
        <v>4203</v>
      </c>
      <c r="V8"/>
      <c r="W8">
        <v>2024</v>
      </c>
    </row>
    <row r="9" spans="1:23">
      <c r="A9" s="487"/>
      <c r="B9" s="487" t="s">
        <v>439</v>
      </c>
      <c r="C9" s="487" t="s">
        <v>208</v>
      </c>
      <c r="D9" s="487" t="s">
        <v>209</v>
      </c>
      <c r="E9" s="487" t="s">
        <v>440</v>
      </c>
      <c r="F9" s="487" t="s">
        <v>441</v>
      </c>
      <c r="G9" s="487" t="s">
        <v>442</v>
      </c>
      <c r="H9" s="487" t="s">
        <v>443</v>
      </c>
      <c r="I9" s="487" t="s">
        <v>444</v>
      </c>
      <c r="J9" s="487" t="s">
        <v>445</v>
      </c>
      <c r="K9" s="487" t="s">
        <v>446</v>
      </c>
      <c r="L9" s="487" t="s">
        <v>447</v>
      </c>
      <c r="M9" s="487" t="s">
        <v>448</v>
      </c>
      <c r="N9" s="487" t="s">
        <v>449</v>
      </c>
      <c r="O9" s="487" t="s">
        <v>450</v>
      </c>
      <c r="U9"/>
      <c r="V9" s="53" t="s">
        <v>4198</v>
      </c>
      <c r="W9" s="1244">
        <f>+'Table 7'!M16</f>
        <v>3.9912568306010913E-2</v>
      </c>
    </row>
    <row r="10" spans="1:23">
      <c r="A10" s="124">
        <v>1</v>
      </c>
      <c r="B10" s="53" t="s">
        <v>1278</v>
      </c>
      <c r="D10" s="233">
        <f>+D43+D89</f>
        <v>13733694.52</v>
      </c>
      <c r="E10"/>
      <c r="F10" s="233"/>
      <c r="G10" s="57"/>
      <c r="H10" s="233"/>
      <c r="I10" s="233">
        <f>+D10+H10</f>
        <v>13733694.52</v>
      </c>
      <c r="J10" s="1244">
        <f>+W14</f>
        <v>2.7412568306010958E-2</v>
      </c>
      <c r="K10" s="233">
        <f>+I10*J10</f>
        <v>376475.83912338834</v>
      </c>
      <c r="L10" s="233">
        <f>+I10+K10</f>
        <v>14110170.359123388</v>
      </c>
      <c r="M10" s="1243">
        <v>2.1000000000000001E-2</v>
      </c>
      <c r="N10" s="233">
        <f>+L10*M10</f>
        <v>296313.57754159119</v>
      </c>
      <c r="O10" s="233">
        <f>+L10+N10</f>
        <v>14406483.93666498</v>
      </c>
      <c r="Q10" s="57"/>
      <c r="S10" s="436"/>
      <c r="U10"/>
    </row>
    <row r="11" spans="1:23">
      <c r="A11" s="124">
        <v>2</v>
      </c>
      <c r="D11" s="233"/>
      <c r="F11" s="233"/>
      <c r="G11" s="57"/>
      <c r="H11" s="233"/>
      <c r="I11" s="233"/>
      <c r="J11" s="57"/>
      <c r="K11" s="233"/>
      <c r="L11" s="233"/>
      <c r="M11" s="57"/>
      <c r="N11" s="233"/>
      <c r="O11" s="233"/>
      <c r="Q11" s="57"/>
      <c r="U11"/>
      <c r="V11" t="s">
        <v>4201</v>
      </c>
      <c r="W11" s="762">
        <v>0.8</v>
      </c>
    </row>
    <row r="12" spans="1:23" ht="15.75" thickBot="1">
      <c r="A12" s="124">
        <v>3</v>
      </c>
      <c r="B12" s="53" t="s">
        <v>1279</v>
      </c>
      <c r="D12" s="525">
        <f>+D67</f>
        <v>11338527.860000001</v>
      </c>
      <c r="E12" s="526" t="s">
        <v>1280</v>
      </c>
      <c r="F12" s="525">
        <f>+F67</f>
        <v>2979806.5600000005</v>
      </c>
      <c r="G12" s="554">
        <v>0.03</v>
      </c>
      <c r="H12" s="525">
        <f>+F12*G12</f>
        <v>89394.196800000005</v>
      </c>
      <c r="I12" s="525">
        <f>+D12+H12</f>
        <v>11427922.0568</v>
      </c>
      <c r="J12" s="1242">
        <f>+W26</f>
        <v>1.218354430379745E-2</v>
      </c>
      <c r="K12" s="525">
        <f>+I12*J12</f>
        <v>139232.59467936688</v>
      </c>
      <c r="L12" s="525">
        <f>+I12+K12</f>
        <v>11567154.651479367</v>
      </c>
      <c r="M12" s="1242">
        <f>5%*0.25+3%*0.75</f>
        <v>3.5000000000000003E-2</v>
      </c>
      <c r="N12" s="525">
        <f>+L12*M12</f>
        <v>404850.41280177789</v>
      </c>
      <c r="O12" s="525">
        <f>+L12+N12</f>
        <v>11972005.064281145</v>
      </c>
      <c r="Q12" s="57"/>
      <c r="U12" s="91"/>
      <c r="V12" t="s">
        <v>4202</v>
      </c>
      <c r="W12" s="1336">
        <v>0.79</v>
      </c>
    </row>
    <row r="13" spans="1:23">
      <c r="A13" s="124">
        <v>4</v>
      </c>
      <c r="D13" s="233"/>
      <c r="F13" s="233"/>
      <c r="G13" s="57"/>
      <c r="H13" s="233"/>
      <c r="I13" s="233"/>
      <c r="J13" s="57"/>
      <c r="K13" s="233"/>
      <c r="L13" s="233"/>
      <c r="M13" s="57"/>
      <c r="N13" s="109"/>
      <c r="V13" s="91" t="s">
        <v>4199</v>
      </c>
      <c r="W13" s="1337">
        <f>+W12/W11-1</f>
        <v>-1.2499999999999956E-2</v>
      </c>
    </row>
    <row r="14" spans="1:23">
      <c r="A14" s="124">
        <v>5</v>
      </c>
      <c r="B14" t="s">
        <v>4108</v>
      </c>
      <c r="D14" s="233">
        <f>+D12+D10</f>
        <v>25072222.380000003</v>
      </c>
      <c r="F14" s="233">
        <f>+F12+F10</f>
        <v>2979806.5600000005</v>
      </c>
      <c r="G14" s="57"/>
      <c r="H14" s="234">
        <f>+H10+H12</f>
        <v>89394.196800000005</v>
      </c>
      <c r="I14" s="233">
        <f>+I10+I12</f>
        <v>25161616.5768</v>
      </c>
      <c r="J14" s="57"/>
      <c r="K14" s="234">
        <f>+K10+K12</f>
        <v>515708.4338027552</v>
      </c>
      <c r="L14" s="233">
        <f>+L10+L12</f>
        <v>25677325.010602757</v>
      </c>
      <c r="N14" s="234">
        <f>+N10+N12</f>
        <v>701163.99034336908</v>
      </c>
      <c r="V14" s="53" t="s">
        <v>4204</v>
      </c>
      <c r="W14" s="57">
        <f>+W9+W13</f>
        <v>2.7412568306010958E-2</v>
      </c>
    </row>
    <row r="15" spans="1:23">
      <c r="B15" s="53" t="s">
        <v>4141</v>
      </c>
      <c r="D15" s="233"/>
      <c r="F15" s="233"/>
      <c r="G15" s="57"/>
      <c r="H15" s="1080">
        <f>+'Wage Adjustments'!H14</f>
        <v>89394.196800000005</v>
      </c>
      <c r="I15" s="1080"/>
      <c r="J15" s="752"/>
      <c r="K15" s="1080">
        <f>+'Wage Adjustments'!K14</f>
        <v>1418765.0547239999</v>
      </c>
      <c r="L15" s="1080"/>
      <c r="M15"/>
      <c r="N15" s="1080">
        <f>+'Wage Adjustments'!N14</f>
        <v>943222.08366455999</v>
      </c>
    </row>
    <row r="16" spans="1:23">
      <c r="A16" s="124">
        <v>6</v>
      </c>
      <c r="B16" s="53" t="s">
        <v>4142</v>
      </c>
      <c r="D16" s="233"/>
      <c r="F16" s="233"/>
      <c r="G16" s="57"/>
      <c r="H16" s="234">
        <f>+H14-H15</f>
        <v>0</v>
      </c>
      <c r="I16" s="233"/>
      <c r="J16" s="57"/>
      <c r="K16" s="234">
        <f>+K14-K15</f>
        <v>-903056.62092124473</v>
      </c>
      <c r="L16" s="233"/>
      <c r="N16" s="234">
        <f>+N14-N15</f>
        <v>-242058.09332119091</v>
      </c>
      <c r="Q16" s="53" t="s">
        <v>1281</v>
      </c>
    </row>
    <row r="17" spans="1:23">
      <c r="D17" s="233"/>
      <c r="F17" s="233"/>
      <c r="G17" s="57"/>
      <c r="H17" s="235"/>
      <c r="I17" s="233"/>
      <c r="J17" s="57"/>
      <c r="K17" s="235"/>
      <c r="L17" s="233"/>
      <c r="N17" s="873"/>
      <c r="Q17" s="836"/>
    </row>
    <row r="18" spans="1:23">
      <c r="A18" s="124">
        <v>7</v>
      </c>
      <c r="B18" s="53" t="s">
        <v>1282</v>
      </c>
      <c r="D18" s="233"/>
      <c r="F18" s="233"/>
      <c r="G18" s="57"/>
      <c r="H18" s="235">
        <f>+H14*Q18</f>
        <v>6838.6560552000001</v>
      </c>
      <c r="I18" s="233"/>
      <c r="J18" s="57"/>
      <c r="K18" s="235">
        <f>+K14*Q18</f>
        <v>39451.695185910772</v>
      </c>
      <c r="L18" s="233"/>
      <c r="N18" s="873">
        <f>+N14*Q18</f>
        <v>53639.045261267733</v>
      </c>
      <c r="Q18" s="836">
        <v>7.6499999999999999E-2</v>
      </c>
    </row>
    <row r="19" spans="1:23">
      <c r="B19" s="53" t="s">
        <v>4141</v>
      </c>
      <c r="D19" s="233"/>
      <c r="G19" s="57"/>
      <c r="H19" s="1080">
        <f>+'Wage Adjustments'!H16</f>
        <v>6838.6560552000001</v>
      </c>
      <c r="I19"/>
      <c r="J19"/>
      <c r="K19" s="1080">
        <f>+'Wage Adjustments'!K16</f>
        <v>108535.52668638599</v>
      </c>
      <c r="L19" s="1080"/>
      <c r="M19"/>
      <c r="N19" s="1080">
        <f>+'Wage Adjustments'!N16</f>
        <v>72156.489400338833</v>
      </c>
    </row>
    <row r="20" spans="1:23">
      <c r="B20" s="53" t="s">
        <v>4142</v>
      </c>
      <c r="D20" s="233"/>
      <c r="G20" s="57"/>
      <c r="K20" s="234">
        <f>+K18-K19</f>
        <v>-69083.831500475208</v>
      </c>
      <c r="L20" s="233"/>
      <c r="N20" s="234">
        <f>+N18-N19</f>
        <v>-18517.4441390711</v>
      </c>
      <c r="U20" s="53" t="s">
        <v>4197</v>
      </c>
    </row>
    <row r="21" spans="1:23" ht="15.75" thickBot="1">
      <c r="A21" s="124">
        <v>8</v>
      </c>
      <c r="D21" s="233"/>
      <c r="G21" s="57"/>
      <c r="K21" s="233"/>
      <c r="L21" s="233"/>
      <c r="N21" s="109"/>
      <c r="V21" s="53" t="s">
        <v>4198</v>
      </c>
      <c r="W21" s="1242">
        <f>5%*0.75</f>
        <v>3.7500000000000006E-2</v>
      </c>
    </row>
    <row r="22" spans="1:23">
      <c r="A22" s="124">
        <v>9</v>
      </c>
      <c r="B22" s="4" t="s">
        <v>1278</v>
      </c>
      <c r="E22" s="215"/>
    </row>
    <row r="23" spans="1:23">
      <c r="A23" s="124">
        <v>10</v>
      </c>
      <c r="B23" s="53" t="s">
        <v>1283</v>
      </c>
      <c r="C23" s="224" t="s">
        <v>1284</v>
      </c>
      <c r="D23" s="121">
        <v>200653.79</v>
      </c>
      <c r="G23" s="57"/>
      <c r="H23" s="233">
        <f>+F23*G23</f>
        <v>0</v>
      </c>
      <c r="I23" s="233">
        <f>+D23+H23</f>
        <v>200653.79</v>
      </c>
      <c r="J23" s="57">
        <f>$J$10</f>
        <v>2.7412568306010958E-2</v>
      </c>
      <c r="K23" s="233">
        <f>+I23*J23</f>
        <v>5500.4357242349788</v>
      </c>
      <c r="L23" s="233">
        <f>+I23+K23</f>
        <v>206154.22572423497</v>
      </c>
      <c r="M23" s="57">
        <f>$M$10</f>
        <v>2.1000000000000001E-2</v>
      </c>
      <c r="N23" s="109">
        <f>+L23*M23</f>
        <v>4329.2387402089344</v>
      </c>
      <c r="O23" s="233">
        <f>+N23+L23</f>
        <v>210483.46446444391</v>
      </c>
      <c r="V23" t="s">
        <v>4201</v>
      </c>
      <c r="W23" s="762">
        <v>0.79</v>
      </c>
    </row>
    <row r="24" spans="1:23">
      <c r="A24" s="124">
        <v>12</v>
      </c>
      <c r="B24" s="53" t="s">
        <v>1285</v>
      </c>
      <c r="C24" s="224" t="s">
        <v>1286</v>
      </c>
      <c r="D24" s="121">
        <v>1358575.02</v>
      </c>
      <c r="G24" s="57"/>
      <c r="H24" s="233">
        <f t="shared" ref="H24:H42" si="0">+F24*G24</f>
        <v>0</v>
      </c>
      <c r="I24" s="233">
        <f t="shared" ref="I24:I42" si="1">+D24+H24</f>
        <v>1358575.02</v>
      </c>
      <c r="J24" s="57">
        <f t="shared" ref="J24:J42" si="2">$J$10</f>
        <v>2.7412568306010958E-2</v>
      </c>
      <c r="K24" s="233">
        <f t="shared" ref="K24:K42" si="3">+I24*J24</f>
        <v>37242.030534590202</v>
      </c>
      <c r="L24" s="233">
        <f t="shared" ref="L24:L42" si="4">+I24+K24</f>
        <v>1395817.0505345901</v>
      </c>
      <c r="M24" s="57">
        <f t="shared" ref="M24:M42" si="5">$M$10</f>
        <v>2.1000000000000001E-2</v>
      </c>
      <c r="N24" s="109">
        <f t="shared" ref="N24:N42" si="6">+L24*M24</f>
        <v>29312.158061226393</v>
      </c>
      <c r="O24" s="233">
        <f t="shared" ref="O24:O42" si="7">+N24+L24</f>
        <v>1425129.2085958165</v>
      </c>
      <c r="V24" t="s">
        <v>4202</v>
      </c>
      <c r="W24" s="1336">
        <v>0.77</v>
      </c>
    </row>
    <row r="25" spans="1:23">
      <c r="A25" s="124">
        <v>13</v>
      </c>
      <c r="B25" s="53" t="s">
        <v>838</v>
      </c>
      <c r="C25" s="224" t="s">
        <v>1287</v>
      </c>
      <c r="D25" s="121">
        <v>193490.37</v>
      </c>
      <c r="G25" s="57"/>
      <c r="H25" s="233">
        <f t="shared" si="0"/>
        <v>0</v>
      </c>
      <c r="I25" s="233">
        <f t="shared" si="1"/>
        <v>193490.37</v>
      </c>
      <c r="J25" s="57">
        <f t="shared" si="2"/>
        <v>2.7412568306010958E-2</v>
      </c>
      <c r="K25" s="233">
        <f t="shared" si="3"/>
        <v>5304.067984180333</v>
      </c>
      <c r="L25" s="233">
        <f t="shared" si="4"/>
        <v>198794.43798418032</v>
      </c>
      <c r="M25" s="57">
        <f t="shared" si="5"/>
        <v>2.1000000000000001E-2</v>
      </c>
      <c r="N25" s="109">
        <f t="shared" si="6"/>
        <v>4174.6831976677868</v>
      </c>
      <c r="O25" s="233">
        <f t="shared" si="7"/>
        <v>202969.12118184811</v>
      </c>
      <c r="V25" s="91" t="s">
        <v>4199</v>
      </c>
      <c r="W25" s="1337">
        <f>+W24/W23-1</f>
        <v>-2.5316455696202556E-2</v>
      </c>
    </row>
    <row r="26" spans="1:23">
      <c r="A26" s="124">
        <v>14</v>
      </c>
      <c r="B26" s="53" t="s">
        <v>1288</v>
      </c>
      <c r="C26" s="224" t="s">
        <v>1289</v>
      </c>
      <c r="D26" s="121">
        <v>100550.03</v>
      </c>
      <c r="G26" s="57"/>
      <c r="H26" s="233">
        <f t="shared" si="0"/>
        <v>0</v>
      </c>
      <c r="I26" s="233">
        <f t="shared" si="1"/>
        <v>100550.03</v>
      </c>
      <c r="J26" s="57">
        <f t="shared" si="2"/>
        <v>2.7412568306010958E-2</v>
      </c>
      <c r="K26" s="233">
        <f t="shared" si="3"/>
        <v>2756.3345655464509</v>
      </c>
      <c r="L26" s="233">
        <f t="shared" si="4"/>
        <v>103306.36456554645</v>
      </c>
      <c r="M26" s="57">
        <f t="shared" si="5"/>
        <v>2.1000000000000001E-2</v>
      </c>
      <c r="N26" s="109">
        <f t="shared" si="6"/>
        <v>2169.4336558764758</v>
      </c>
      <c r="O26" s="233">
        <f t="shared" si="7"/>
        <v>105475.79822142293</v>
      </c>
      <c r="R26" s="577"/>
      <c r="S26" s="555"/>
      <c r="T26" s="577"/>
      <c r="V26" s="53" t="s">
        <v>4200</v>
      </c>
      <c r="W26" s="113">
        <f>+W21+W25</f>
        <v>1.218354430379745E-2</v>
      </c>
    </row>
    <row r="27" spans="1:23">
      <c r="A27" s="124">
        <v>15</v>
      </c>
      <c r="B27" s="53" t="s">
        <v>1290</v>
      </c>
      <c r="C27" s="224">
        <v>28750</v>
      </c>
      <c r="D27" s="121">
        <v>204.66</v>
      </c>
      <c r="G27" s="57"/>
      <c r="H27" s="233">
        <f t="shared" si="0"/>
        <v>0</v>
      </c>
      <c r="I27" s="233">
        <f t="shared" si="1"/>
        <v>204.66</v>
      </c>
      <c r="J27" s="57">
        <f t="shared" si="2"/>
        <v>2.7412568306010958E-2</v>
      </c>
      <c r="K27" s="233">
        <f t="shared" si="3"/>
        <v>5.6102562295082024</v>
      </c>
      <c r="L27" s="233">
        <f t="shared" si="4"/>
        <v>210.27025622950819</v>
      </c>
      <c r="M27" s="57">
        <f t="shared" si="5"/>
        <v>2.1000000000000001E-2</v>
      </c>
      <c r="N27" s="109">
        <f t="shared" si="6"/>
        <v>4.415675380819672</v>
      </c>
      <c r="O27" s="233">
        <f t="shared" si="7"/>
        <v>214.68593161032786</v>
      </c>
      <c r="R27" s="577"/>
      <c r="S27" s="555"/>
      <c r="T27" s="577"/>
    </row>
    <row r="28" spans="1:23">
      <c r="A28" s="124">
        <v>16</v>
      </c>
      <c r="B28" s="53" t="s">
        <v>1291</v>
      </c>
      <c r="C28" s="224">
        <v>28760</v>
      </c>
      <c r="D28" s="530">
        <v>689.87</v>
      </c>
      <c r="G28" s="57"/>
      <c r="H28" s="233">
        <f t="shared" si="0"/>
        <v>0</v>
      </c>
      <c r="I28" s="233">
        <f t="shared" si="1"/>
        <v>689.87</v>
      </c>
      <c r="J28" s="57">
        <f t="shared" si="2"/>
        <v>2.7412568306010958E-2</v>
      </c>
      <c r="K28" s="233">
        <f t="shared" si="3"/>
        <v>18.911108497267779</v>
      </c>
      <c r="L28" s="233">
        <f t="shared" si="4"/>
        <v>708.78110849726784</v>
      </c>
      <c r="M28" s="57">
        <f t="shared" si="5"/>
        <v>2.1000000000000001E-2</v>
      </c>
      <c r="N28" s="109">
        <f t="shared" si="6"/>
        <v>14.884403278442626</v>
      </c>
      <c r="O28" s="233">
        <f t="shared" si="7"/>
        <v>723.66551177571046</v>
      </c>
      <c r="R28" s="577"/>
      <c r="S28" s="555"/>
      <c r="T28" s="577"/>
    </row>
    <row r="29" spans="1:23">
      <c r="A29" s="124">
        <v>17</v>
      </c>
      <c r="B29" s="53" t="s">
        <v>847</v>
      </c>
      <c r="C29" s="224">
        <v>28770</v>
      </c>
      <c r="D29" s="530">
        <v>173.4</v>
      </c>
      <c r="G29" s="57"/>
      <c r="H29" s="233">
        <f t="shared" si="0"/>
        <v>0</v>
      </c>
      <c r="I29" s="233">
        <f t="shared" si="1"/>
        <v>173.4</v>
      </c>
      <c r="J29" s="57">
        <f t="shared" si="2"/>
        <v>2.7412568306010958E-2</v>
      </c>
      <c r="K29" s="233">
        <f t="shared" si="3"/>
        <v>4.7533393442623</v>
      </c>
      <c r="L29" s="233">
        <f t="shared" si="4"/>
        <v>178.15333934426229</v>
      </c>
      <c r="M29" s="57">
        <f t="shared" si="5"/>
        <v>2.1000000000000001E-2</v>
      </c>
      <c r="N29" s="109">
        <f t="shared" si="6"/>
        <v>3.7412201262295084</v>
      </c>
      <c r="O29" s="233">
        <f t="shared" si="7"/>
        <v>181.8945594704918</v>
      </c>
      <c r="S29" s="555"/>
      <c r="T29" s="577"/>
    </row>
    <row r="30" spans="1:23">
      <c r="A30" s="124">
        <v>18</v>
      </c>
      <c r="B30" s="53" t="s">
        <v>1292</v>
      </c>
      <c r="C30" s="224" t="s">
        <v>1293</v>
      </c>
      <c r="D30" s="121">
        <v>96493.41</v>
      </c>
      <c r="G30" s="57"/>
      <c r="H30" s="233">
        <f t="shared" si="0"/>
        <v>0</v>
      </c>
      <c r="I30" s="233">
        <f t="shared" si="1"/>
        <v>96493.41</v>
      </c>
      <c r="J30" s="57">
        <f t="shared" si="2"/>
        <v>2.7412568306010958E-2</v>
      </c>
      <c r="K30" s="233">
        <f t="shared" si="3"/>
        <v>2645.1321927049207</v>
      </c>
      <c r="L30" s="233">
        <f t="shared" si="4"/>
        <v>99138.542192704917</v>
      </c>
      <c r="M30" s="57">
        <f t="shared" si="5"/>
        <v>2.1000000000000001E-2</v>
      </c>
      <c r="N30" s="109">
        <f t="shared" si="6"/>
        <v>2081.9093860468033</v>
      </c>
      <c r="O30" s="233">
        <f t="shared" si="7"/>
        <v>101220.45157875172</v>
      </c>
      <c r="R30" s="577"/>
      <c r="S30" s="555"/>
      <c r="T30" s="577"/>
    </row>
    <row r="31" spans="1:23">
      <c r="A31" s="124">
        <v>19</v>
      </c>
      <c r="B31" s="53" t="s">
        <v>1294</v>
      </c>
      <c r="C31" s="224">
        <v>28850</v>
      </c>
      <c r="D31" s="121">
        <v>938182.87</v>
      </c>
      <c r="G31" s="57"/>
      <c r="H31" s="233">
        <f t="shared" si="0"/>
        <v>0</v>
      </c>
      <c r="I31" s="233">
        <f t="shared" si="1"/>
        <v>938182.87</v>
      </c>
      <c r="J31" s="57">
        <f t="shared" si="2"/>
        <v>2.7412568306010958E-2</v>
      </c>
      <c r="K31" s="233">
        <f t="shared" si="3"/>
        <v>25718.002007404397</v>
      </c>
      <c r="L31" s="233">
        <f t="shared" si="4"/>
        <v>963900.87200740434</v>
      </c>
      <c r="M31" s="57">
        <f t="shared" si="5"/>
        <v>2.1000000000000001E-2</v>
      </c>
      <c r="N31" s="109">
        <f t="shared" si="6"/>
        <v>20241.918312155492</v>
      </c>
      <c r="O31" s="233">
        <f t="shared" si="7"/>
        <v>984142.79031955986</v>
      </c>
      <c r="R31" s="577"/>
      <c r="S31" s="555"/>
      <c r="T31" s="577"/>
    </row>
    <row r="32" spans="1:23">
      <c r="A32" s="124">
        <v>20</v>
      </c>
      <c r="B32" s="53" t="s">
        <v>1295</v>
      </c>
      <c r="C32" s="224" t="s">
        <v>1296</v>
      </c>
      <c r="D32" s="121">
        <v>57466.7</v>
      </c>
      <c r="G32" s="57"/>
      <c r="H32" s="233">
        <f t="shared" si="0"/>
        <v>0</v>
      </c>
      <c r="I32" s="233">
        <f t="shared" si="1"/>
        <v>57466.7</v>
      </c>
      <c r="J32" s="57">
        <f t="shared" si="2"/>
        <v>2.7412568306010958E-2</v>
      </c>
      <c r="K32" s="233">
        <f t="shared" si="3"/>
        <v>1575.3098390710397</v>
      </c>
      <c r="L32" s="233">
        <f t="shared" si="4"/>
        <v>59042.009839071034</v>
      </c>
      <c r="M32" s="57">
        <f t="shared" si="5"/>
        <v>2.1000000000000001E-2</v>
      </c>
      <c r="N32" s="109">
        <f t="shared" si="6"/>
        <v>1239.8822066204918</v>
      </c>
      <c r="O32" s="233">
        <f t="shared" si="7"/>
        <v>60281.892045691522</v>
      </c>
      <c r="R32" s="577"/>
      <c r="S32" s="555"/>
      <c r="T32" s="577"/>
    </row>
    <row r="33" spans="1:20">
      <c r="A33" s="124">
        <v>21</v>
      </c>
      <c r="B33" s="53" t="s">
        <v>1297</v>
      </c>
      <c r="C33" s="224">
        <v>28890</v>
      </c>
      <c r="D33" s="121">
        <v>563.54999999999995</v>
      </c>
      <c r="G33" s="57"/>
      <c r="H33" s="233">
        <f t="shared" si="0"/>
        <v>0</v>
      </c>
      <c r="I33" s="233">
        <f t="shared" si="1"/>
        <v>563.54999999999995</v>
      </c>
      <c r="J33" s="57">
        <f t="shared" si="2"/>
        <v>2.7412568306010958E-2</v>
      </c>
      <c r="K33" s="233">
        <f t="shared" si="3"/>
        <v>15.448352868852474</v>
      </c>
      <c r="L33" s="233">
        <f t="shared" si="4"/>
        <v>578.99835286885241</v>
      </c>
      <c r="M33" s="57">
        <f t="shared" si="5"/>
        <v>2.1000000000000001E-2</v>
      </c>
      <c r="N33" s="109">
        <f t="shared" si="6"/>
        <v>12.158965410245901</v>
      </c>
      <c r="O33" s="233">
        <f t="shared" si="7"/>
        <v>591.15731827909826</v>
      </c>
      <c r="R33" s="577"/>
      <c r="S33" s="555"/>
      <c r="T33" s="577"/>
    </row>
    <row r="34" spans="1:20">
      <c r="A34" s="124">
        <v>22</v>
      </c>
      <c r="B34" s="53" t="s">
        <v>1298</v>
      </c>
      <c r="C34" s="224" t="s">
        <v>1299</v>
      </c>
      <c r="D34" s="121">
        <v>15667.84</v>
      </c>
      <c r="G34" s="57"/>
      <c r="H34" s="233">
        <f t="shared" si="0"/>
        <v>0</v>
      </c>
      <c r="I34" s="233">
        <f t="shared" si="1"/>
        <v>15667.84</v>
      </c>
      <c r="J34" s="57">
        <f t="shared" si="2"/>
        <v>2.7412568306010958E-2</v>
      </c>
      <c r="K34" s="233">
        <f t="shared" si="3"/>
        <v>429.49573420765074</v>
      </c>
      <c r="L34" s="233">
        <f t="shared" si="4"/>
        <v>16097.335734207651</v>
      </c>
      <c r="M34" s="57">
        <f t="shared" si="5"/>
        <v>2.1000000000000001E-2</v>
      </c>
      <c r="N34" s="109">
        <f t="shared" si="6"/>
        <v>338.04405041836071</v>
      </c>
      <c r="O34" s="233">
        <f t="shared" si="7"/>
        <v>16435.379784626013</v>
      </c>
      <c r="R34" s="577"/>
      <c r="S34" s="555"/>
      <c r="T34" s="577"/>
    </row>
    <row r="35" spans="1:20">
      <c r="A35" s="124">
        <v>23</v>
      </c>
      <c r="B35" t="s">
        <v>1300</v>
      </c>
      <c r="C35" s="224" t="s">
        <v>1301</v>
      </c>
      <c r="D35" s="121">
        <v>1189.73</v>
      </c>
      <c r="F35" s="236"/>
      <c r="G35" s="57"/>
      <c r="H35" s="233">
        <f t="shared" si="0"/>
        <v>0</v>
      </c>
      <c r="I35" s="233">
        <f t="shared" si="1"/>
        <v>1189.73</v>
      </c>
      <c r="J35" s="57">
        <f t="shared" si="2"/>
        <v>2.7412568306010958E-2</v>
      </c>
      <c r="K35" s="233">
        <f t="shared" si="3"/>
        <v>32.613554890710418</v>
      </c>
      <c r="L35" s="233">
        <f t="shared" si="4"/>
        <v>1222.3435548907105</v>
      </c>
      <c r="M35" s="57">
        <f t="shared" si="5"/>
        <v>2.1000000000000001E-2</v>
      </c>
      <c r="N35" s="109">
        <f t="shared" si="6"/>
        <v>25.669214652704923</v>
      </c>
      <c r="O35" s="233">
        <f t="shared" si="7"/>
        <v>1248.0127695434155</v>
      </c>
      <c r="R35" s="577"/>
      <c r="S35" s="555"/>
      <c r="T35" s="577"/>
    </row>
    <row r="36" spans="1:20">
      <c r="A36" s="124">
        <v>24</v>
      </c>
      <c r="B36" s="53" t="s">
        <v>1302</v>
      </c>
      <c r="C36" s="224">
        <v>28940</v>
      </c>
      <c r="D36" s="121">
        <v>5253.01</v>
      </c>
      <c r="G36" s="57"/>
      <c r="H36" s="233">
        <f t="shared" si="0"/>
        <v>0</v>
      </c>
      <c r="I36" s="233">
        <f t="shared" si="1"/>
        <v>5253.01</v>
      </c>
      <c r="J36" s="57">
        <f t="shared" si="2"/>
        <v>2.7412568306010958E-2</v>
      </c>
      <c r="K36" s="233">
        <f t="shared" si="3"/>
        <v>143.99849543715862</v>
      </c>
      <c r="L36" s="233">
        <f t="shared" si="4"/>
        <v>5397.0084954371587</v>
      </c>
      <c r="M36" s="57">
        <f t="shared" si="5"/>
        <v>2.1000000000000001E-2</v>
      </c>
      <c r="N36" s="109">
        <f t="shared" si="6"/>
        <v>113.33717840418034</v>
      </c>
      <c r="O36" s="233">
        <f t="shared" si="7"/>
        <v>5510.3456738413388</v>
      </c>
      <c r="R36" s="577"/>
      <c r="S36" s="555"/>
      <c r="T36" s="577"/>
    </row>
    <row r="37" spans="1:20">
      <c r="A37" s="124">
        <v>25</v>
      </c>
      <c r="B37" t="s">
        <v>1303</v>
      </c>
      <c r="C37" s="224">
        <v>29010</v>
      </c>
      <c r="D37" s="121">
        <v>80761.039999999994</v>
      </c>
      <c r="G37" s="57"/>
      <c r="H37" s="233">
        <f t="shared" si="0"/>
        <v>0</v>
      </c>
      <c r="I37" s="233">
        <f t="shared" si="1"/>
        <v>80761.039999999994</v>
      </c>
      <c r="J37" s="57">
        <f t="shared" si="2"/>
        <v>2.7412568306010958E-2</v>
      </c>
      <c r="K37" s="233">
        <f t="shared" si="3"/>
        <v>2213.8675254644832</v>
      </c>
      <c r="L37" s="233">
        <f t="shared" si="4"/>
        <v>82974.90752546447</v>
      </c>
      <c r="M37" s="57">
        <f t="shared" si="5"/>
        <v>2.1000000000000001E-2</v>
      </c>
      <c r="N37" s="109">
        <f t="shared" si="6"/>
        <v>1742.4730580347539</v>
      </c>
      <c r="O37" s="233">
        <f t="shared" si="7"/>
        <v>84717.380583499224</v>
      </c>
      <c r="R37" s="577"/>
      <c r="S37" s="555"/>
      <c r="T37" s="577"/>
    </row>
    <row r="38" spans="1:20">
      <c r="A38" s="124">
        <v>26</v>
      </c>
      <c r="B38" s="53" t="s">
        <v>1304</v>
      </c>
      <c r="C38" s="224">
        <v>29020</v>
      </c>
      <c r="D38" s="121">
        <v>46137.58</v>
      </c>
      <c r="G38" s="57"/>
      <c r="H38" s="233">
        <f t="shared" si="0"/>
        <v>0</v>
      </c>
      <c r="I38" s="233">
        <f t="shared" si="1"/>
        <v>46137.58</v>
      </c>
      <c r="J38" s="57">
        <f t="shared" si="2"/>
        <v>2.7412568306010958E-2</v>
      </c>
      <c r="K38" s="233">
        <f t="shared" si="3"/>
        <v>1264.749563224045</v>
      </c>
      <c r="L38" s="233">
        <f t="shared" si="4"/>
        <v>47402.329563224048</v>
      </c>
      <c r="M38" s="57">
        <f t="shared" si="5"/>
        <v>2.1000000000000001E-2</v>
      </c>
      <c r="N38" s="109">
        <f t="shared" si="6"/>
        <v>995.44892082770502</v>
      </c>
      <c r="O38" s="233">
        <f t="shared" si="7"/>
        <v>48397.778484051756</v>
      </c>
      <c r="R38" s="577"/>
      <c r="S38" s="555"/>
      <c r="T38" s="577"/>
    </row>
    <row r="39" spans="1:20">
      <c r="A39" s="124">
        <v>27</v>
      </c>
      <c r="B39" s="53" t="s">
        <v>1305</v>
      </c>
      <c r="C39" s="224" t="s">
        <v>1306</v>
      </c>
      <c r="D39" s="121">
        <v>624530.49</v>
      </c>
      <c r="G39" s="57"/>
      <c r="H39" s="233">
        <f t="shared" si="0"/>
        <v>0</v>
      </c>
      <c r="I39" s="233">
        <f t="shared" si="1"/>
        <v>624530.49</v>
      </c>
      <c r="J39" s="57">
        <f t="shared" si="2"/>
        <v>2.7412568306010958E-2</v>
      </c>
      <c r="K39" s="233">
        <f t="shared" si="3"/>
        <v>17119.984716311494</v>
      </c>
      <c r="L39" s="233">
        <f t="shared" si="4"/>
        <v>641650.47471631144</v>
      </c>
      <c r="M39" s="57">
        <f t="shared" si="5"/>
        <v>2.1000000000000001E-2</v>
      </c>
      <c r="N39" s="109">
        <f t="shared" si="6"/>
        <v>13474.659969042541</v>
      </c>
      <c r="O39" s="233">
        <f t="shared" si="7"/>
        <v>655125.13468535396</v>
      </c>
      <c r="R39" s="577"/>
      <c r="S39" s="555"/>
      <c r="T39" s="577"/>
    </row>
    <row r="40" spans="1:20">
      <c r="A40" s="124">
        <v>28</v>
      </c>
      <c r="B40" t="s">
        <v>1307</v>
      </c>
      <c r="C40" s="224">
        <v>29080</v>
      </c>
      <c r="D40" s="121">
        <v>19140.259999999998</v>
      </c>
      <c r="G40" s="57"/>
      <c r="H40" s="233">
        <f t="shared" si="0"/>
        <v>0</v>
      </c>
      <c r="I40" s="233">
        <f t="shared" si="1"/>
        <v>19140.259999999998</v>
      </c>
      <c r="J40" s="57">
        <f t="shared" si="2"/>
        <v>2.7412568306010958E-2</v>
      </c>
      <c r="K40" s="233">
        <f t="shared" si="3"/>
        <v>524.6836846448092</v>
      </c>
      <c r="L40" s="233">
        <f t="shared" si="4"/>
        <v>19664.943684644808</v>
      </c>
      <c r="M40" s="57">
        <f t="shared" si="5"/>
        <v>2.1000000000000001E-2</v>
      </c>
      <c r="N40" s="109">
        <f t="shared" si="6"/>
        <v>412.96381737754098</v>
      </c>
      <c r="O40" s="233">
        <f t="shared" si="7"/>
        <v>20077.90750202235</v>
      </c>
      <c r="R40" s="577"/>
      <c r="S40" s="555"/>
      <c r="T40" s="577"/>
    </row>
    <row r="41" spans="1:20">
      <c r="A41" s="124">
        <v>29</v>
      </c>
      <c r="B41" s="53" t="s">
        <v>1308</v>
      </c>
      <c r="C41" s="224">
        <v>29100</v>
      </c>
      <c r="D41" s="121">
        <v>137461.32</v>
      </c>
      <c r="G41" s="57"/>
      <c r="H41" s="233">
        <f t="shared" si="0"/>
        <v>0</v>
      </c>
      <c r="I41" s="233">
        <f t="shared" si="1"/>
        <v>137461.32</v>
      </c>
      <c r="J41" s="57">
        <f t="shared" si="2"/>
        <v>2.7412568306010958E-2</v>
      </c>
      <c r="K41" s="233">
        <f t="shared" si="3"/>
        <v>3768.1678239344305</v>
      </c>
      <c r="L41" s="233">
        <f t="shared" si="4"/>
        <v>141229.48782393444</v>
      </c>
      <c r="M41" s="57">
        <f t="shared" si="5"/>
        <v>2.1000000000000001E-2</v>
      </c>
      <c r="N41" s="109">
        <f t="shared" si="6"/>
        <v>2965.8192443026232</v>
      </c>
      <c r="O41" s="233">
        <f t="shared" si="7"/>
        <v>144195.30706823707</v>
      </c>
      <c r="R41" s="577"/>
      <c r="S41" s="555"/>
      <c r="T41" s="577"/>
    </row>
    <row r="42" spans="1:20">
      <c r="A42" s="124">
        <v>30</v>
      </c>
      <c r="B42" s="53" t="s">
        <v>1309</v>
      </c>
      <c r="C42" s="224" t="s">
        <v>1310</v>
      </c>
      <c r="D42" s="285">
        <v>2597381.19</v>
      </c>
      <c r="G42" s="57"/>
      <c r="H42" s="233">
        <f t="shared" si="0"/>
        <v>0</v>
      </c>
      <c r="I42" s="310">
        <f t="shared" si="1"/>
        <v>2597381.19</v>
      </c>
      <c r="J42" s="57">
        <f t="shared" si="2"/>
        <v>2.7412568306010958E-2</v>
      </c>
      <c r="K42" s="310">
        <f t="shared" si="3"/>
        <v>71200.889287623024</v>
      </c>
      <c r="L42" s="310">
        <f t="shared" si="4"/>
        <v>2668582.0792876231</v>
      </c>
      <c r="M42" s="57">
        <f t="shared" si="5"/>
        <v>2.1000000000000001E-2</v>
      </c>
      <c r="N42" s="1017">
        <f t="shared" si="6"/>
        <v>56040.223665040088</v>
      </c>
      <c r="O42" s="310">
        <f t="shared" si="7"/>
        <v>2724622.302952663</v>
      </c>
      <c r="R42"/>
      <c r="S42" s="555"/>
      <c r="T42" s="577"/>
    </row>
    <row r="43" spans="1:20">
      <c r="A43" s="124">
        <v>32</v>
      </c>
      <c r="D43" s="215">
        <f>SUM(D23:D42)</f>
        <v>6474566.129999999</v>
      </c>
      <c r="F43" s="215"/>
      <c r="H43" s="215"/>
      <c r="I43" s="215">
        <f>SUM(I23:I42)</f>
        <v>6474566.129999999</v>
      </c>
      <c r="K43" s="215">
        <f>SUM(K23:K42)</f>
        <v>177484.48629041002</v>
      </c>
      <c r="L43" s="215">
        <f>SUM(L23:L42)</f>
        <v>6652050.6162904091</v>
      </c>
      <c r="N43" s="215">
        <f>SUM(N23:N42)</f>
        <v>139693.06294209859</v>
      </c>
      <c r="O43" s="215">
        <f>SUM(O23:O42)</f>
        <v>6791743.6792325079</v>
      </c>
      <c r="R43"/>
      <c r="S43" s="555"/>
      <c r="T43" s="577"/>
    </row>
    <row r="44" spans="1:20">
      <c r="A44" s="124">
        <v>33</v>
      </c>
      <c r="B44" s="4" t="s">
        <v>1279</v>
      </c>
      <c r="R44"/>
      <c r="S44" s="555"/>
      <c r="T44" s="577"/>
    </row>
    <row r="45" spans="1:20">
      <c r="A45" s="124">
        <v>35</v>
      </c>
      <c r="B45" s="53" t="s">
        <v>838</v>
      </c>
      <c r="C45" s="424">
        <v>28710</v>
      </c>
      <c r="D45" s="121">
        <v>502.19</v>
      </c>
      <c r="F45" s="421">
        <v>369.98</v>
      </c>
      <c r="G45" s="57">
        <f>+$G$12</f>
        <v>0.03</v>
      </c>
      <c r="H45" s="233">
        <f>+F45*G45</f>
        <v>11.099399999999999</v>
      </c>
      <c r="I45" s="233">
        <f t="shared" ref="I45:I66" si="8">+D45+H45</f>
        <v>513.2894</v>
      </c>
      <c r="J45" s="57">
        <f>+$J$12</f>
        <v>1.218354430379745E-2</v>
      </c>
      <c r="K45" s="233">
        <f t="shared" ref="K45:K66" si="9">+I45*J45</f>
        <v>6.2536841455696113</v>
      </c>
      <c r="L45" s="233">
        <f t="shared" ref="L45:L66" si="10">+I45+K45</f>
        <v>519.54308414556965</v>
      </c>
      <c r="M45" s="57">
        <f>+$M$12</f>
        <v>3.5000000000000003E-2</v>
      </c>
      <c r="N45" s="109">
        <f t="shared" ref="N45:N66" si="11">+L45*M45</f>
        <v>18.18400794509494</v>
      </c>
      <c r="O45" s="109">
        <f>+L45+N45</f>
        <v>537.72709209066454</v>
      </c>
      <c r="R45"/>
      <c r="S45" s="555"/>
      <c r="T45" s="577"/>
    </row>
    <row r="46" spans="1:20">
      <c r="A46" s="124">
        <v>36</v>
      </c>
      <c r="B46" s="53" t="s">
        <v>1311</v>
      </c>
      <c r="C46" s="424">
        <v>28720</v>
      </c>
      <c r="D46" s="121">
        <v>14993.51</v>
      </c>
      <c r="F46" s="421">
        <v>8764</v>
      </c>
      <c r="G46" s="57">
        <f t="shared" ref="G46:G66" si="12">+$G$12</f>
        <v>0.03</v>
      </c>
      <c r="H46" s="233">
        <f t="shared" ref="H46:H66" si="13">+F46*G46</f>
        <v>262.92</v>
      </c>
      <c r="I46" s="233">
        <f t="shared" si="8"/>
        <v>15256.43</v>
      </c>
      <c r="J46" s="57">
        <f t="shared" ref="J46:J66" si="14">+$J$12</f>
        <v>1.218354430379745E-2</v>
      </c>
      <c r="K46" s="233">
        <f t="shared" si="9"/>
        <v>185.87739082278452</v>
      </c>
      <c r="L46" s="233">
        <f t="shared" si="10"/>
        <v>15442.307390822785</v>
      </c>
      <c r="M46" s="57">
        <f t="shared" ref="M46:M66" si="15">+$M$12</f>
        <v>3.5000000000000003E-2</v>
      </c>
      <c r="N46" s="109">
        <f t="shared" si="11"/>
        <v>540.48075867879754</v>
      </c>
      <c r="O46" s="109">
        <f t="shared" ref="O46:O66" si="16">+L46+N46</f>
        <v>15982.788149501583</v>
      </c>
      <c r="R46"/>
      <c r="S46" s="555"/>
    </row>
    <row r="47" spans="1:20">
      <c r="A47" s="124">
        <v>37</v>
      </c>
      <c r="B47" s="53" t="s">
        <v>1288</v>
      </c>
      <c r="C47" s="424">
        <v>28740</v>
      </c>
      <c r="D47" s="121">
        <v>1180256.32</v>
      </c>
      <c r="F47" s="421">
        <v>427244.9</v>
      </c>
      <c r="G47" s="57">
        <f t="shared" si="12"/>
        <v>0.03</v>
      </c>
      <c r="H47" s="233">
        <f t="shared" si="13"/>
        <v>12817.347</v>
      </c>
      <c r="I47" s="233">
        <f t="shared" si="8"/>
        <v>1193073.6670000001</v>
      </c>
      <c r="J47" s="57">
        <f t="shared" si="14"/>
        <v>1.218354430379745E-2</v>
      </c>
      <c r="K47" s="233">
        <f t="shared" si="9"/>
        <v>14535.865879588588</v>
      </c>
      <c r="L47" s="233">
        <f t="shared" si="10"/>
        <v>1207609.5328795887</v>
      </c>
      <c r="M47" s="57">
        <f t="shared" si="15"/>
        <v>3.5000000000000003E-2</v>
      </c>
      <c r="N47" s="109">
        <f t="shared" si="11"/>
        <v>42266.333650785607</v>
      </c>
      <c r="O47" s="109">
        <f t="shared" si="16"/>
        <v>1249875.8665303742</v>
      </c>
      <c r="R47"/>
      <c r="S47" s="555"/>
    </row>
    <row r="48" spans="1:20">
      <c r="A48" s="124">
        <v>38</v>
      </c>
      <c r="B48" t="s">
        <v>1312</v>
      </c>
      <c r="C48" s="424" t="s">
        <v>1313</v>
      </c>
      <c r="D48" s="121">
        <v>804823.75</v>
      </c>
      <c r="F48" s="421">
        <v>36255.449999999997</v>
      </c>
      <c r="G48" s="57">
        <f t="shared" si="12"/>
        <v>0.03</v>
      </c>
      <c r="H48" s="233">
        <f t="shared" si="13"/>
        <v>1087.6634999999999</v>
      </c>
      <c r="I48" s="233">
        <f t="shared" si="8"/>
        <v>805911.41350000002</v>
      </c>
      <c r="J48" s="57">
        <f t="shared" si="14"/>
        <v>1.218354430379745E-2</v>
      </c>
      <c r="K48" s="233">
        <f t="shared" si="9"/>
        <v>9818.8574113132763</v>
      </c>
      <c r="L48" s="233">
        <f t="shared" si="10"/>
        <v>815730.27091131324</v>
      </c>
      <c r="M48" s="57">
        <f t="shared" si="15"/>
        <v>3.5000000000000003E-2</v>
      </c>
      <c r="N48" s="109">
        <f t="shared" si="11"/>
        <v>28550.559481895965</v>
      </c>
      <c r="O48" s="109">
        <f t="shared" si="16"/>
        <v>844280.83039320924</v>
      </c>
      <c r="R48"/>
      <c r="S48" s="555"/>
    </row>
    <row r="49" spans="1:19">
      <c r="A49" s="124">
        <v>39</v>
      </c>
      <c r="B49" t="s">
        <v>1314</v>
      </c>
      <c r="C49" s="424" t="s">
        <v>1315</v>
      </c>
      <c r="D49" s="121">
        <v>174678.3</v>
      </c>
      <c r="F49" s="421">
        <v>884.52</v>
      </c>
      <c r="G49" s="57">
        <f t="shared" si="12"/>
        <v>0.03</v>
      </c>
      <c r="H49" s="233">
        <f t="shared" si="13"/>
        <v>26.535599999999999</v>
      </c>
      <c r="I49" s="233">
        <f t="shared" si="8"/>
        <v>174704.83559999999</v>
      </c>
      <c r="J49" s="57">
        <f t="shared" si="14"/>
        <v>1.218354430379745E-2</v>
      </c>
      <c r="K49" s="233">
        <f t="shared" si="9"/>
        <v>2128.52410462025</v>
      </c>
      <c r="L49" s="233">
        <f t="shared" si="10"/>
        <v>176833.35970462023</v>
      </c>
      <c r="M49" s="57">
        <f t="shared" si="15"/>
        <v>3.5000000000000003E-2</v>
      </c>
      <c r="N49" s="109">
        <f t="shared" si="11"/>
        <v>6189.1675896617089</v>
      </c>
      <c r="O49" s="109">
        <f t="shared" si="16"/>
        <v>183022.52729428193</v>
      </c>
      <c r="R49"/>
      <c r="S49" s="555"/>
    </row>
    <row r="50" spans="1:19">
      <c r="A50" s="124">
        <v>40</v>
      </c>
      <c r="B50" s="53" t="s">
        <v>1290</v>
      </c>
      <c r="C50" s="424">
        <v>28750</v>
      </c>
      <c r="D50" s="121">
        <v>188175.82</v>
      </c>
      <c r="F50" s="421">
        <v>87649.72</v>
      </c>
      <c r="G50" s="57">
        <f t="shared" si="12"/>
        <v>0.03</v>
      </c>
      <c r="H50" s="233">
        <f t="shared" si="13"/>
        <v>2629.4915999999998</v>
      </c>
      <c r="I50" s="233">
        <f t="shared" si="8"/>
        <v>190805.31160000002</v>
      </c>
      <c r="J50" s="57">
        <f t="shared" si="14"/>
        <v>1.218354430379745E-2</v>
      </c>
      <c r="K50" s="233">
        <f t="shared" si="9"/>
        <v>2324.6849672784779</v>
      </c>
      <c r="L50" s="233">
        <f t="shared" si="10"/>
        <v>193129.99656727849</v>
      </c>
      <c r="M50" s="57">
        <f t="shared" si="15"/>
        <v>3.5000000000000003E-2</v>
      </c>
      <c r="N50" s="109">
        <f t="shared" si="11"/>
        <v>6759.5498798547478</v>
      </c>
      <c r="O50" s="109">
        <f t="shared" si="16"/>
        <v>199889.54644713324</v>
      </c>
      <c r="R50"/>
      <c r="S50" s="555"/>
    </row>
    <row r="51" spans="1:19">
      <c r="A51" s="124">
        <v>41</v>
      </c>
      <c r="B51" s="53" t="s">
        <v>1291</v>
      </c>
      <c r="C51" s="424">
        <v>28760</v>
      </c>
      <c r="D51" s="121">
        <v>374932.98</v>
      </c>
      <c r="F51" s="421">
        <v>75407.42</v>
      </c>
      <c r="G51" s="57">
        <f t="shared" si="12"/>
        <v>0.03</v>
      </c>
      <c r="H51" s="233">
        <f t="shared" si="13"/>
        <v>2262.2226000000001</v>
      </c>
      <c r="I51" s="233">
        <f t="shared" si="8"/>
        <v>377195.20259999996</v>
      </c>
      <c r="J51" s="57">
        <f t="shared" si="14"/>
        <v>1.218354430379745E-2</v>
      </c>
      <c r="K51" s="233">
        <f t="shared" si="9"/>
        <v>4595.5744620569549</v>
      </c>
      <c r="L51" s="233">
        <f t="shared" si="10"/>
        <v>381790.77706205694</v>
      </c>
      <c r="M51" s="57">
        <f t="shared" si="15"/>
        <v>3.5000000000000003E-2</v>
      </c>
      <c r="N51" s="109">
        <f t="shared" si="11"/>
        <v>13362.677197171994</v>
      </c>
      <c r="O51" s="109">
        <f t="shared" si="16"/>
        <v>395153.45425922895</v>
      </c>
      <c r="R51"/>
      <c r="S51" s="528"/>
    </row>
    <row r="52" spans="1:19">
      <c r="A52" s="124">
        <v>42</v>
      </c>
      <c r="B52" s="53" t="s">
        <v>847</v>
      </c>
      <c r="C52" s="424" t="s">
        <v>1316</v>
      </c>
      <c r="D52" s="121">
        <v>38866.769999999997</v>
      </c>
      <c r="F52" s="421">
        <v>4354.55</v>
      </c>
      <c r="G52" s="57">
        <f t="shared" si="12"/>
        <v>0.03</v>
      </c>
      <c r="H52" s="233">
        <f t="shared" si="13"/>
        <v>130.63650000000001</v>
      </c>
      <c r="I52" s="233">
        <f t="shared" si="8"/>
        <v>38997.406499999997</v>
      </c>
      <c r="J52" s="57">
        <f t="shared" si="14"/>
        <v>1.218354430379745E-2</v>
      </c>
      <c r="K52" s="233">
        <f t="shared" si="9"/>
        <v>475.12662982594861</v>
      </c>
      <c r="L52" s="233">
        <f t="shared" si="10"/>
        <v>39472.533129825948</v>
      </c>
      <c r="M52" s="57">
        <f t="shared" si="15"/>
        <v>3.5000000000000003E-2</v>
      </c>
      <c r="N52" s="109">
        <f t="shared" si="11"/>
        <v>1381.5386595439084</v>
      </c>
      <c r="O52" s="109">
        <f t="shared" si="16"/>
        <v>40854.071789369853</v>
      </c>
      <c r="R52"/>
      <c r="S52" s="528"/>
    </row>
    <row r="53" spans="1:19">
      <c r="A53" s="124">
        <v>43</v>
      </c>
      <c r="B53" s="53" t="s">
        <v>1317</v>
      </c>
      <c r="C53" s="424">
        <v>28780</v>
      </c>
      <c r="D53" s="121">
        <v>797955.27</v>
      </c>
      <c r="F53" s="421">
        <v>179348.36</v>
      </c>
      <c r="G53" s="57">
        <f t="shared" si="12"/>
        <v>0.03</v>
      </c>
      <c r="H53" s="233">
        <f t="shared" si="13"/>
        <v>5380.4507999999996</v>
      </c>
      <c r="I53" s="233">
        <f t="shared" si="8"/>
        <v>803335.72080000001</v>
      </c>
      <c r="J53" s="57">
        <f t="shared" si="14"/>
        <v>1.218354430379745E-2</v>
      </c>
      <c r="K53" s="233">
        <f t="shared" si="9"/>
        <v>9787.476345189858</v>
      </c>
      <c r="L53" s="233">
        <f t="shared" si="10"/>
        <v>813123.19714518986</v>
      </c>
      <c r="M53" s="57">
        <f t="shared" si="15"/>
        <v>3.5000000000000003E-2</v>
      </c>
      <c r="N53" s="109">
        <f t="shared" si="11"/>
        <v>28459.311900081648</v>
      </c>
      <c r="O53" s="109">
        <f t="shared" si="16"/>
        <v>841582.50904527155</v>
      </c>
      <c r="R53"/>
      <c r="S53" s="528"/>
    </row>
    <row r="54" spans="1:19">
      <c r="A54" s="124">
        <v>44</v>
      </c>
      <c r="B54" s="53" t="s">
        <v>1318</v>
      </c>
      <c r="C54" s="424">
        <v>28790</v>
      </c>
      <c r="D54" s="121">
        <v>374667.26</v>
      </c>
      <c r="F54" s="421">
        <v>96791.2</v>
      </c>
      <c r="G54" s="57">
        <f t="shared" si="12"/>
        <v>0.03</v>
      </c>
      <c r="H54" s="233">
        <f t="shared" si="13"/>
        <v>2903.7359999999999</v>
      </c>
      <c r="I54" s="233">
        <f t="shared" si="8"/>
        <v>377570.99599999998</v>
      </c>
      <c r="J54" s="57">
        <f t="shared" si="14"/>
        <v>1.218354430379745E-2</v>
      </c>
      <c r="K54" s="233">
        <f t="shared" si="9"/>
        <v>4600.1529575949298</v>
      </c>
      <c r="L54" s="233">
        <f t="shared" si="10"/>
        <v>382171.14895759494</v>
      </c>
      <c r="M54" s="57">
        <f t="shared" si="15"/>
        <v>3.5000000000000003E-2</v>
      </c>
      <c r="N54" s="109">
        <f t="shared" si="11"/>
        <v>13375.990213515825</v>
      </c>
      <c r="O54" s="109">
        <f t="shared" si="16"/>
        <v>395547.13917111076</v>
      </c>
      <c r="R54"/>
      <c r="S54" s="528"/>
    </row>
    <row r="55" spans="1:19">
      <c r="A55" s="124">
        <v>45</v>
      </c>
      <c r="B55" s="53" t="s">
        <v>1292</v>
      </c>
      <c r="C55" s="424">
        <v>28800</v>
      </c>
      <c r="D55" s="121">
        <v>3094333.21</v>
      </c>
      <c r="F55" s="421">
        <v>969538.64</v>
      </c>
      <c r="G55" s="57">
        <f t="shared" si="12"/>
        <v>0.03</v>
      </c>
      <c r="H55" s="233">
        <f t="shared" si="13"/>
        <v>29086.159199999998</v>
      </c>
      <c r="I55" s="233">
        <f t="shared" si="8"/>
        <v>3123419.3692000001</v>
      </c>
      <c r="J55" s="57">
        <f t="shared" si="14"/>
        <v>1.218354430379745E-2</v>
      </c>
      <c r="K55" s="233">
        <f t="shared" si="9"/>
        <v>38054.318263987283</v>
      </c>
      <c r="L55" s="233">
        <f t="shared" si="10"/>
        <v>3161473.6874639872</v>
      </c>
      <c r="M55" s="57">
        <f t="shared" si="15"/>
        <v>3.5000000000000003E-2</v>
      </c>
      <c r="N55" s="109">
        <f t="shared" si="11"/>
        <v>110651.57906123956</v>
      </c>
      <c r="O55" s="109">
        <f t="shared" si="16"/>
        <v>3272125.2665252266</v>
      </c>
      <c r="R55"/>
      <c r="S55" s="528"/>
    </row>
    <row r="56" spans="1:19">
      <c r="A56" s="124">
        <v>46</v>
      </c>
      <c r="B56" s="53" t="s">
        <v>1295</v>
      </c>
      <c r="C56" s="424">
        <v>28870</v>
      </c>
      <c r="D56" s="121">
        <v>560998.06999999995</v>
      </c>
      <c r="F56" s="421">
        <v>106013.5</v>
      </c>
      <c r="G56" s="57">
        <f t="shared" si="12"/>
        <v>0.03</v>
      </c>
      <c r="H56" s="233">
        <f t="shared" si="13"/>
        <v>3180.4049999999997</v>
      </c>
      <c r="I56" s="233">
        <f t="shared" si="8"/>
        <v>564178.47499999998</v>
      </c>
      <c r="J56" s="57">
        <f t="shared" si="14"/>
        <v>1.218354430379745E-2</v>
      </c>
      <c r="K56" s="233">
        <f t="shared" si="9"/>
        <v>6873.6934454113816</v>
      </c>
      <c r="L56" s="233">
        <f t="shared" si="10"/>
        <v>571052.16844541137</v>
      </c>
      <c r="M56" s="57">
        <f t="shared" si="15"/>
        <v>3.5000000000000003E-2</v>
      </c>
      <c r="N56" s="109">
        <f t="shared" si="11"/>
        <v>19986.825895589402</v>
      </c>
      <c r="O56" s="109">
        <f t="shared" si="16"/>
        <v>591038.9943410008</v>
      </c>
      <c r="R56"/>
      <c r="S56" s="528"/>
    </row>
    <row r="57" spans="1:19">
      <c r="A57" s="124">
        <v>47</v>
      </c>
      <c r="B57" s="53" t="s">
        <v>1319</v>
      </c>
      <c r="C57" s="424">
        <v>28880</v>
      </c>
      <c r="D57" s="121">
        <v>54613.61</v>
      </c>
      <c r="F57" s="421">
        <v>17544.23</v>
      </c>
      <c r="G57" s="57">
        <f t="shared" si="12"/>
        <v>0.03</v>
      </c>
      <c r="H57" s="233">
        <f t="shared" si="13"/>
        <v>526.32690000000002</v>
      </c>
      <c r="I57" s="233">
        <f t="shared" si="8"/>
        <v>55139.936900000001</v>
      </c>
      <c r="J57" s="57">
        <f t="shared" si="14"/>
        <v>1.218354430379745E-2</v>
      </c>
      <c r="K57" s="233">
        <f t="shared" si="9"/>
        <v>671.79986412974586</v>
      </c>
      <c r="L57" s="233">
        <f t="shared" si="10"/>
        <v>55811.736764129746</v>
      </c>
      <c r="M57" s="57">
        <f t="shared" si="15"/>
        <v>3.5000000000000003E-2</v>
      </c>
      <c r="N57" s="109">
        <f t="shared" si="11"/>
        <v>1953.4107867445414</v>
      </c>
      <c r="O57" s="109">
        <f t="shared" si="16"/>
        <v>57765.147550874288</v>
      </c>
      <c r="R57"/>
      <c r="S57" s="528"/>
    </row>
    <row r="58" spans="1:19">
      <c r="A58" s="124">
        <v>48</v>
      </c>
      <c r="B58" s="53" t="s">
        <v>1297</v>
      </c>
      <c r="C58" s="424">
        <v>28890</v>
      </c>
      <c r="D58" s="121">
        <v>163451.26</v>
      </c>
      <c r="F58" s="421">
        <v>37684.31</v>
      </c>
      <c r="G58" s="57">
        <f t="shared" si="12"/>
        <v>0.03</v>
      </c>
      <c r="H58" s="233">
        <f t="shared" si="13"/>
        <v>1130.5292999999999</v>
      </c>
      <c r="I58" s="233">
        <f t="shared" si="8"/>
        <v>164581.7893</v>
      </c>
      <c r="J58" s="57">
        <f t="shared" si="14"/>
        <v>1.218354430379745E-2</v>
      </c>
      <c r="K58" s="233">
        <f t="shared" si="9"/>
        <v>2005.1895215348072</v>
      </c>
      <c r="L58" s="233">
        <f t="shared" si="10"/>
        <v>166586.97882153481</v>
      </c>
      <c r="M58" s="57">
        <f t="shared" si="15"/>
        <v>3.5000000000000003E-2</v>
      </c>
      <c r="N58" s="109">
        <f t="shared" si="11"/>
        <v>5830.5442587537191</v>
      </c>
      <c r="O58" s="109">
        <f t="shared" si="16"/>
        <v>172417.52308028852</v>
      </c>
      <c r="R58"/>
      <c r="S58" s="528"/>
    </row>
    <row r="59" spans="1:19">
      <c r="A59" s="124">
        <v>49</v>
      </c>
      <c r="B59" t="s">
        <v>1297</v>
      </c>
      <c r="C59" s="424">
        <v>28900</v>
      </c>
      <c r="D59" s="121">
        <v>222058.44</v>
      </c>
      <c r="F59" s="421">
        <v>24234.76</v>
      </c>
      <c r="G59" s="57">
        <f t="shared" si="12"/>
        <v>0.03</v>
      </c>
      <c r="H59" s="233">
        <f t="shared" si="13"/>
        <v>727.04279999999994</v>
      </c>
      <c r="I59" s="233">
        <f t="shared" si="8"/>
        <v>222785.4828</v>
      </c>
      <c r="J59" s="57">
        <f t="shared" si="14"/>
        <v>1.218354430379745E-2</v>
      </c>
      <c r="K59" s="233">
        <f t="shared" si="9"/>
        <v>2714.3167999367047</v>
      </c>
      <c r="L59" s="233">
        <f t="shared" si="10"/>
        <v>225499.7995999367</v>
      </c>
      <c r="M59" s="57">
        <f t="shared" si="15"/>
        <v>3.5000000000000003E-2</v>
      </c>
      <c r="N59" s="109">
        <f t="shared" si="11"/>
        <v>7892.4929859977856</v>
      </c>
      <c r="O59" s="109">
        <f t="shared" si="16"/>
        <v>233392.29258593448</v>
      </c>
      <c r="R59"/>
      <c r="S59" s="528"/>
    </row>
    <row r="60" spans="1:19">
      <c r="A60" s="124">
        <v>50</v>
      </c>
      <c r="B60" s="53" t="s">
        <v>870</v>
      </c>
      <c r="C60" s="424" t="s">
        <v>1320</v>
      </c>
      <c r="D60" s="121">
        <v>59297.4</v>
      </c>
      <c r="F60" s="421">
        <v>10177.27</v>
      </c>
      <c r="G60" s="57">
        <f t="shared" si="12"/>
        <v>0.03</v>
      </c>
      <c r="H60" s="233">
        <f t="shared" si="13"/>
        <v>305.31810000000002</v>
      </c>
      <c r="I60" s="233">
        <f t="shared" si="8"/>
        <v>59602.718099999998</v>
      </c>
      <c r="J60" s="57">
        <f t="shared" si="14"/>
        <v>1.218354430379745E-2</v>
      </c>
      <c r="K60" s="233">
        <f t="shared" si="9"/>
        <v>726.17235659810012</v>
      </c>
      <c r="L60" s="233">
        <f t="shared" si="10"/>
        <v>60328.890456598099</v>
      </c>
      <c r="M60" s="57">
        <f t="shared" si="15"/>
        <v>3.5000000000000003E-2</v>
      </c>
      <c r="N60" s="109">
        <f t="shared" si="11"/>
        <v>2111.5111659809336</v>
      </c>
      <c r="O60" s="109">
        <f t="shared" si="16"/>
        <v>62440.401622579033</v>
      </c>
      <c r="R60"/>
      <c r="S60" s="528"/>
    </row>
    <row r="61" spans="1:19">
      <c r="A61" s="124">
        <v>51</v>
      </c>
      <c r="B61" s="53" t="s">
        <v>1298</v>
      </c>
      <c r="C61" s="424">
        <v>28920</v>
      </c>
      <c r="D61" s="121">
        <v>687257.02</v>
      </c>
      <c r="F61" s="421">
        <v>133458.07999999999</v>
      </c>
      <c r="G61" s="57">
        <f t="shared" si="12"/>
        <v>0.03</v>
      </c>
      <c r="H61" s="233">
        <f t="shared" si="13"/>
        <v>4003.7423999999996</v>
      </c>
      <c r="I61" s="233">
        <f t="shared" si="8"/>
        <v>691260.76240000001</v>
      </c>
      <c r="J61" s="57">
        <f t="shared" si="14"/>
        <v>1.218354430379745E-2</v>
      </c>
      <c r="K61" s="233">
        <f t="shared" si="9"/>
        <v>8422.0061241772019</v>
      </c>
      <c r="L61" s="233">
        <f t="shared" si="10"/>
        <v>699682.76852417726</v>
      </c>
      <c r="M61" s="57">
        <f t="shared" si="15"/>
        <v>3.5000000000000003E-2</v>
      </c>
      <c r="N61" s="109">
        <f t="shared" si="11"/>
        <v>24488.896898346207</v>
      </c>
      <c r="O61" s="109">
        <f t="shared" si="16"/>
        <v>724171.66542252351</v>
      </c>
      <c r="R61"/>
      <c r="S61" s="528"/>
    </row>
    <row r="62" spans="1:19">
      <c r="A62" s="124">
        <v>52</v>
      </c>
      <c r="B62" s="53" t="s">
        <v>1300</v>
      </c>
      <c r="C62" s="424">
        <v>28930</v>
      </c>
      <c r="D62" s="121">
        <v>1026770.18</v>
      </c>
      <c r="F62" s="421">
        <v>245312.18</v>
      </c>
      <c r="G62" s="57">
        <f t="shared" si="12"/>
        <v>0.03</v>
      </c>
      <c r="H62" s="233">
        <f t="shared" si="13"/>
        <v>7359.3653999999997</v>
      </c>
      <c r="I62" s="233">
        <f t="shared" si="8"/>
        <v>1034129.5454000001</v>
      </c>
      <c r="J62" s="57">
        <f t="shared" si="14"/>
        <v>1.218354430379745E-2</v>
      </c>
      <c r="K62" s="233">
        <f t="shared" si="9"/>
        <v>12599.363132246817</v>
      </c>
      <c r="L62" s="233">
        <f t="shared" si="10"/>
        <v>1046728.9085322468</v>
      </c>
      <c r="M62" s="57">
        <f t="shared" si="15"/>
        <v>3.5000000000000003E-2</v>
      </c>
      <c r="N62" s="109">
        <f t="shared" si="11"/>
        <v>36635.511798628642</v>
      </c>
      <c r="O62" s="109">
        <f t="shared" si="16"/>
        <v>1083364.4203308756</v>
      </c>
      <c r="R62"/>
      <c r="S62" s="528"/>
    </row>
    <row r="63" spans="1:19">
      <c r="A63" s="124">
        <v>53</v>
      </c>
      <c r="B63" s="53" t="s">
        <v>1302</v>
      </c>
      <c r="C63" s="424">
        <v>28940</v>
      </c>
      <c r="D63" s="121">
        <v>1142938.98</v>
      </c>
      <c r="F63" s="421">
        <v>416087.06</v>
      </c>
      <c r="G63" s="57">
        <f t="shared" si="12"/>
        <v>0.03</v>
      </c>
      <c r="H63" s="233">
        <f t="shared" si="13"/>
        <v>12482.611799999999</v>
      </c>
      <c r="I63" s="233">
        <f t="shared" si="8"/>
        <v>1155421.5918000001</v>
      </c>
      <c r="J63" s="57">
        <f t="shared" si="14"/>
        <v>1.218354430379745E-2</v>
      </c>
      <c r="K63" s="233">
        <f t="shared" si="9"/>
        <v>14077.130153259473</v>
      </c>
      <c r="L63" s="233">
        <f t="shared" si="10"/>
        <v>1169498.7219532595</v>
      </c>
      <c r="M63" s="57">
        <f t="shared" si="15"/>
        <v>3.5000000000000003E-2</v>
      </c>
      <c r="N63" s="109">
        <f t="shared" si="11"/>
        <v>40932.455268364087</v>
      </c>
      <c r="O63" s="109">
        <f t="shared" si="16"/>
        <v>1210431.1772216237</v>
      </c>
      <c r="R63"/>
      <c r="S63" s="528"/>
    </row>
    <row r="64" spans="1:19">
      <c r="A64" s="124">
        <v>54</v>
      </c>
      <c r="B64" s="53" t="s">
        <v>1304</v>
      </c>
      <c r="C64" s="424">
        <v>29020</v>
      </c>
      <c r="D64" s="121">
        <v>322897.91999999998</v>
      </c>
      <c r="F64" s="421">
        <v>89279.97</v>
      </c>
      <c r="G64" s="57">
        <f t="shared" si="12"/>
        <v>0.03</v>
      </c>
      <c r="H64" s="233">
        <f t="shared" si="13"/>
        <v>2678.3991000000001</v>
      </c>
      <c r="I64" s="233">
        <f t="shared" si="8"/>
        <v>325576.31909999996</v>
      </c>
      <c r="J64" s="57">
        <f t="shared" si="14"/>
        <v>1.218354430379745E-2</v>
      </c>
      <c r="K64" s="233">
        <f t="shared" si="9"/>
        <v>3966.6735080221456</v>
      </c>
      <c r="L64" s="233">
        <f t="shared" si="10"/>
        <v>329542.99260802212</v>
      </c>
      <c r="M64" s="57">
        <f t="shared" si="15"/>
        <v>3.5000000000000003E-2</v>
      </c>
      <c r="N64" s="109">
        <f t="shared" si="11"/>
        <v>11534.004741280774</v>
      </c>
      <c r="O64" s="109">
        <f t="shared" si="16"/>
        <v>341076.99734930287</v>
      </c>
      <c r="R64"/>
      <c r="S64" s="528"/>
    </row>
    <row r="65" spans="1:19">
      <c r="A65" s="124">
        <v>55</v>
      </c>
      <c r="B65" s="53" t="s">
        <v>1305</v>
      </c>
      <c r="C65" s="424">
        <v>29030</v>
      </c>
      <c r="D65" s="121">
        <v>53220.85</v>
      </c>
      <c r="F65" s="421">
        <v>12841.37</v>
      </c>
      <c r="G65" s="57">
        <f t="shared" si="12"/>
        <v>0.03</v>
      </c>
      <c r="H65" s="233">
        <f t="shared" si="13"/>
        <v>385.24110000000002</v>
      </c>
      <c r="I65" s="233">
        <f t="shared" si="8"/>
        <v>53606.091099999998</v>
      </c>
      <c r="J65" s="57">
        <f t="shared" si="14"/>
        <v>1.218354430379745E-2</v>
      </c>
      <c r="K65" s="233">
        <f t="shared" si="9"/>
        <v>653.11218587025212</v>
      </c>
      <c r="L65" s="233">
        <f t="shared" si="10"/>
        <v>54259.203285870251</v>
      </c>
      <c r="M65" s="57">
        <f t="shared" si="15"/>
        <v>3.5000000000000003E-2</v>
      </c>
      <c r="N65" s="109">
        <f t="shared" si="11"/>
        <v>1899.072115005459</v>
      </c>
      <c r="O65" s="109">
        <f t="shared" si="16"/>
        <v>56158.275400875711</v>
      </c>
      <c r="R65"/>
      <c r="S65" s="528"/>
    </row>
    <row r="66" spans="1:19">
      <c r="A66" s="124">
        <v>56</v>
      </c>
      <c r="B66" s="53" t="s">
        <v>928</v>
      </c>
      <c r="C66" s="424">
        <v>29350</v>
      </c>
      <c r="D66" s="285">
        <v>838.75</v>
      </c>
      <c r="E66" s="213"/>
      <c r="F66" s="422">
        <v>565.09</v>
      </c>
      <c r="G66" s="57">
        <f t="shared" si="12"/>
        <v>0.03</v>
      </c>
      <c r="H66" s="310">
        <f t="shared" si="13"/>
        <v>16.9527</v>
      </c>
      <c r="I66" s="310">
        <f t="shared" si="8"/>
        <v>855.70270000000005</v>
      </c>
      <c r="J66" s="57">
        <f t="shared" si="14"/>
        <v>1.218354430379745E-2</v>
      </c>
      <c r="K66" s="310">
        <f t="shared" si="9"/>
        <v>10.425491756329098</v>
      </c>
      <c r="L66" s="310">
        <f t="shared" si="10"/>
        <v>866.1281917563291</v>
      </c>
      <c r="M66" s="57">
        <f t="shared" si="15"/>
        <v>3.5000000000000003E-2</v>
      </c>
      <c r="N66" s="1017">
        <f t="shared" si="11"/>
        <v>30.31448671147152</v>
      </c>
      <c r="O66" s="1017">
        <f t="shared" si="16"/>
        <v>896.44267846780065</v>
      </c>
      <c r="R66"/>
      <c r="S66" s="528"/>
    </row>
    <row r="67" spans="1:19">
      <c r="A67" s="124">
        <v>57</v>
      </c>
      <c r="D67" s="215">
        <f>SUM(D45:D66)</f>
        <v>11338527.860000001</v>
      </c>
      <c r="F67" s="215">
        <f>SUM(F45:F66)</f>
        <v>2979806.5600000005</v>
      </c>
      <c r="H67" s="215">
        <f>SUM(H45:H66)</f>
        <v>89394.196799999976</v>
      </c>
      <c r="I67" s="215">
        <f>SUM(I45:I66)</f>
        <v>11427922.0568</v>
      </c>
      <c r="K67" s="215">
        <f>SUM(K45:K66)</f>
        <v>139232.59467936686</v>
      </c>
      <c r="L67" s="215">
        <f>SUM(L45:L66)</f>
        <v>11567154.651479367</v>
      </c>
      <c r="N67" s="215">
        <f>SUM(N45:N66)</f>
        <v>404850.41280177789</v>
      </c>
      <c r="O67" s="215">
        <f>SUM(O45:O66)</f>
        <v>11972005.064281145</v>
      </c>
      <c r="Q67" s="215"/>
      <c r="R67"/>
      <c r="S67" s="528"/>
    </row>
    <row r="68" spans="1:19">
      <c r="A68" s="124">
        <v>58</v>
      </c>
      <c r="R68"/>
      <c r="S68" s="528"/>
    </row>
    <row r="69" spans="1:19">
      <c r="A69" s="124">
        <v>59</v>
      </c>
      <c r="D69" s="215"/>
      <c r="S69" s="528"/>
    </row>
    <row r="70" spans="1:19" ht="15.75" thickBot="1">
      <c r="A70" s="124">
        <v>60</v>
      </c>
      <c r="R70"/>
      <c r="S70" s="528"/>
    </row>
    <row r="71" spans="1:19">
      <c r="A71" s="124">
        <v>61</v>
      </c>
      <c r="B71" s="793" t="s">
        <v>1321</v>
      </c>
      <c r="C71" s="794"/>
      <c r="D71" s="794"/>
      <c r="E71" s="795"/>
      <c r="F71" s="121"/>
      <c r="R71"/>
      <c r="S71" s="528"/>
    </row>
    <row r="72" spans="1:19">
      <c r="A72" s="124">
        <v>62</v>
      </c>
      <c r="B72" s="796"/>
      <c r="C72" s="797"/>
      <c r="D72" s="797"/>
      <c r="E72" s="798"/>
      <c r="R72"/>
    </row>
    <row r="73" spans="1:19">
      <c r="A73" s="124">
        <v>63</v>
      </c>
      <c r="B73" s="796"/>
      <c r="C73" s="797"/>
      <c r="D73" s="797"/>
      <c r="E73" s="798"/>
      <c r="R73"/>
    </row>
    <row r="74" spans="1:19" ht="15.75" thickBot="1">
      <c r="A74" s="124">
        <v>64</v>
      </c>
      <c r="B74" s="799"/>
      <c r="C74" s="800"/>
      <c r="D74" s="800"/>
      <c r="E74" s="801"/>
      <c r="R74"/>
    </row>
    <row r="75" spans="1:19">
      <c r="A75" s="124">
        <v>65</v>
      </c>
      <c r="R75"/>
    </row>
    <row r="76" spans="1:19">
      <c r="A76" s="124">
        <v>66</v>
      </c>
      <c r="B76" s="423" t="s">
        <v>1283</v>
      </c>
      <c r="C76" s="1" t="s">
        <v>1284</v>
      </c>
      <c r="D76" s="322">
        <v>64087.16</v>
      </c>
      <c r="H76" s="233">
        <f>+F76*G76</f>
        <v>0</v>
      </c>
      <c r="I76" s="121">
        <f>+H76+D76</f>
        <v>64087.16</v>
      </c>
      <c r="J76" s="57">
        <v>0</v>
      </c>
      <c r="K76" s="216">
        <f>+I76*J76</f>
        <v>0</v>
      </c>
      <c r="L76" s="216">
        <f>+I76+K76</f>
        <v>64087.16</v>
      </c>
      <c r="M76" s="57">
        <v>0</v>
      </c>
      <c r="N76" s="178">
        <f>+L76*M76</f>
        <v>0</v>
      </c>
      <c r="O76" s="216">
        <f>+L76+N76</f>
        <v>64087.16</v>
      </c>
      <c r="R76"/>
    </row>
    <row r="77" spans="1:19">
      <c r="A77" s="124">
        <v>67</v>
      </c>
      <c r="B77" s="59" t="s">
        <v>1285</v>
      </c>
      <c r="C77" s="1" t="s">
        <v>1286</v>
      </c>
      <c r="D77" s="322">
        <v>874745.84</v>
      </c>
      <c r="H77" s="233">
        <f t="shared" ref="H77:H88" si="17">+F77*G77</f>
        <v>0</v>
      </c>
      <c r="I77" s="121">
        <f t="shared" ref="I77:I88" si="18">+H77+D77</f>
        <v>874745.84</v>
      </c>
      <c r="J77" s="57">
        <v>0</v>
      </c>
      <c r="K77" s="216">
        <f>+I77*J77</f>
        <v>0</v>
      </c>
      <c r="L77" s="216">
        <f>+I77+K77</f>
        <v>874745.84</v>
      </c>
      <c r="M77" s="57">
        <v>0</v>
      </c>
      <c r="N77" s="178">
        <f>+L77*M77</f>
        <v>0</v>
      </c>
      <c r="O77" s="216">
        <f>+L77+N77</f>
        <v>874745.84</v>
      </c>
      <c r="R77"/>
    </row>
    <row r="78" spans="1:19">
      <c r="A78" s="124">
        <v>68</v>
      </c>
      <c r="B78" s="59" t="s">
        <v>1311</v>
      </c>
      <c r="C78" s="1" t="s">
        <v>1322</v>
      </c>
      <c r="D78" s="322">
        <v>27355.550000000007</v>
      </c>
      <c r="H78" s="233">
        <f t="shared" si="17"/>
        <v>0</v>
      </c>
      <c r="I78" s="121">
        <f t="shared" si="18"/>
        <v>27355.550000000007</v>
      </c>
      <c r="J78" s="57">
        <v>0</v>
      </c>
      <c r="K78" s="216">
        <f t="shared" ref="K78:K88" si="19">+I78*J78</f>
        <v>0</v>
      </c>
      <c r="L78" s="216">
        <f t="shared" ref="L78:L88" si="20">+I78+K78</f>
        <v>27355.550000000007</v>
      </c>
      <c r="M78" s="57">
        <v>0</v>
      </c>
      <c r="N78" s="178">
        <f t="shared" ref="N78:N88" si="21">+L78*M78</f>
        <v>0</v>
      </c>
      <c r="O78" s="216">
        <f t="shared" ref="O78:O88" si="22">+L78+N78</f>
        <v>27355.550000000007</v>
      </c>
      <c r="R78"/>
    </row>
    <row r="79" spans="1:19">
      <c r="A79" s="124">
        <v>69</v>
      </c>
      <c r="B79" s="59" t="s">
        <v>1288</v>
      </c>
      <c r="C79" s="1" t="s">
        <v>1289</v>
      </c>
      <c r="D79" s="322">
        <v>3134.35</v>
      </c>
      <c r="E79" s="5"/>
      <c r="H79" s="233">
        <f t="shared" si="17"/>
        <v>0</v>
      </c>
      <c r="I79" s="121">
        <f t="shared" si="18"/>
        <v>3134.35</v>
      </c>
      <c r="J79" s="57">
        <v>0</v>
      </c>
      <c r="K79" s="216">
        <f t="shared" si="19"/>
        <v>0</v>
      </c>
      <c r="L79" s="216">
        <f t="shared" si="20"/>
        <v>3134.35</v>
      </c>
      <c r="M79" s="57">
        <v>0</v>
      </c>
      <c r="N79" s="178">
        <f t="shared" si="21"/>
        <v>0</v>
      </c>
      <c r="O79" s="216">
        <f t="shared" si="22"/>
        <v>3134.35</v>
      </c>
      <c r="R79"/>
    </row>
    <row r="80" spans="1:19">
      <c r="A80" s="124">
        <v>70</v>
      </c>
      <c r="B80" s="59" t="s">
        <v>1292</v>
      </c>
      <c r="C80" s="1" t="s">
        <v>1293</v>
      </c>
      <c r="D80" s="322">
        <v>422357.59</v>
      </c>
      <c r="E80" s="5"/>
      <c r="H80" s="233">
        <f t="shared" si="17"/>
        <v>0</v>
      </c>
      <c r="I80" s="121">
        <f t="shared" si="18"/>
        <v>422357.59</v>
      </c>
      <c r="J80" s="57">
        <v>0</v>
      </c>
      <c r="K80" s="216">
        <f t="shared" si="19"/>
        <v>0</v>
      </c>
      <c r="L80" s="216">
        <f t="shared" si="20"/>
        <v>422357.59</v>
      </c>
      <c r="M80" s="57">
        <v>0</v>
      </c>
      <c r="N80" s="178">
        <f t="shared" si="21"/>
        <v>0</v>
      </c>
      <c r="O80" s="216">
        <f t="shared" si="22"/>
        <v>422357.59</v>
      </c>
      <c r="R80"/>
    </row>
    <row r="81" spans="1:18">
      <c r="A81" s="124">
        <v>71</v>
      </c>
      <c r="B81" s="59" t="s">
        <v>1294</v>
      </c>
      <c r="C81" s="1" t="s">
        <v>1323</v>
      </c>
      <c r="D81" s="322">
        <v>12825.81</v>
      </c>
      <c r="H81" s="233">
        <f t="shared" si="17"/>
        <v>0</v>
      </c>
      <c r="I81" s="121">
        <f t="shared" si="18"/>
        <v>12825.81</v>
      </c>
      <c r="J81" s="57">
        <v>0</v>
      </c>
      <c r="K81" s="216">
        <f t="shared" si="19"/>
        <v>0</v>
      </c>
      <c r="L81" s="216">
        <f t="shared" si="20"/>
        <v>12825.81</v>
      </c>
      <c r="M81" s="57">
        <v>0</v>
      </c>
      <c r="N81" s="178">
        <f t="shared" si="21"/>
        <v>0</v>
      </c>
      <c r="O81" s="216">
        <f t="shared" si="22"/>
        <v>12825.81</v>
      </c>
      <c r="R81"/>
    </row>
    <row r="82" spans="1:18">
      <c r="A82" s="124">
        <v>72</v>
      </c>
      <c r="B82" s="59" t="s">
        <v>1295</v>
      </c>
      <c r="C82" s="1" t="s">
        <v>1296</v>
      </c>
      <c r="D82" s="322">
        <v>4719.2300000000005</v>
      </c>
      <c r="H82" s="233">
        <f t="shared" si="17"/>
        <v>0</v>
      </c>
      <c r="I82" s="121">
        <f t="shared" si="18"/>
        <v>4719.2300000000005</v>
      </c>
      <c r="J82" s="57">
        <v>0</v>
      </c>
      <c r="K82" s="216">
        <f t="shared" si="19"/>
        <v>0</v>
      </c>
      <c r="L82" s="216">
        <f t="shared" si="20"/>
        <v>4719.2300000000005</v>
      </c>
      <c r="M82" s="57">
        <v>0</v>
      </c>
      <c r="N82" s="178">
        <f t="shared" si="21"/>
        <v>0</v>
      </c>
      <c r="O82" s="216">
        <f t="shared" si="22"/>
        <v>4719.2300000000005</v>
      </c>
      <c r="R82"/>
    </row>
    <row r="83" spans="1:18">
      <c r="A83" s="124">
        <v>73</v>
      </c>
      <c r="B83" s="59" t="s">
        <v>1303</v>
      </c>
      <c r="C83" s="1" t="s">
        <v>1324</v>
      </c>
      <c r="D83" s="322">
        <v>24352.63</v>
      </c>
      <c r="H83" s="233">
        <f t="shared" si="17"/>
        <v>0</v>
      </c>
      <c r="I83" s="121">
        <f t="shared" si="18"/>
        <v>24352.63</v>
      </c>
      <c r="J83" s="57">
        <v>0</v>
      </c>
      <c r="K83" s="216">
        <f t="shared" si="19"/>
        <v>0</v>
      </c>
      <c r="L83" s="216">
        <f t="shared" si="20"/>
        <v>24352.63</v>
      </c>
      <c r="M83" s="57">
        <v>0</v>
      </c>
      <c r="N83" s="178">
        <f t="shared" si="21"/>
        <v>0</v>
      </c>
      <c r="O83" s="216">
        <f t="shared" si="22"/>
        <v>24352.63</v>
      </c>
      <c r="R83"/>
    </row>
    <row r="84" spans="1:18">
      <c r="A84" s="124">
        <v>74</v>
      </c>
      <c r="B84" s="423" t="s">
        <v>1304</v>
      </c>
      <c r="C84" s="1" t="s">
        <v>1325</v>
      </c>
      <c r="D84" s="322">
        <v>36959.24</v>
      </c>
      <c r="H84" s="233">
        <f t="shared" si="17"/>
        <v>0</v>
      </c>
      <c r="I84" s="121">
        <f t="shared" si="18"/>
        <v>36959.24</v>
      </c>
      <c r="J84" s="57">
        <v>0</v>
      </c>
      <c r="K84" s="216">
        <f t="shared" si="19"/>
        <v>0</v>
      </c>
      <c r="L84" s="216">
        <f t="shared" si="20"/>
        <v>36959.24</v>
      </c>
      <c r="M84" s="57">
        <v>0</v>
      </c>
      <c r="N84" s="178">
        <f t="shared" si="21"/>
        <v>0</v>
      </c>
      <c r="O84" s="216">
        <f t="shared" si="22"/>
        <v>36959.24</v>
      </c>
      <c r="R84"/>
    </row>
    <row r="85" spans="1:18">
      <c r="A85" s="124">
        <v>75</v>
      </c>
      <c r="B85" s="59" t="s">
        <v>1305</v>
      </c>
      <c r="C85" s="1" t="s">
        <v>1306</v>
      </c>
      <c r="D85" s="322">
        <v>1814110.98</v>
      </c>
      <c r="H85" s="233">
        <f t="shared" si="17"/>
        <v>0</v>
      </c>
      <c r="I85" s="121">
        <f t="shared" si="18"/>
        <v>1814110.98</v>
      </c>
      <c r="J85" s="57">
        <v>0</v>
      </c>
      <c r="K85" s="216">
        <f t="shared" si="19"/>
        <v>0</v>
      </c>
      <c r="L85" s="216">
        <f t="shared" si="20"/>
        <v>1814110.98</v>
      </c>
      <c r="M85" s="57">
        <v>0</v>
      </c>
      <c r="N85" s="178">
        <f t="shared" si="21"/>
        <v>0</v>
      </c>
      <c r="O85" s="216">
        <f t="shared" si="22"/>
        <v>1814110.98</v>
      </c>
      <c r="R85"/>
    </row>
    <row r="86" spans="1:18">
      <c r="A86" s="124">
        <v>76</v>
      </c>
      <c r="B86" s="59" t="s">
        <v>1307</v>
      </c>
      <c r="C86" s="1" t="s">
        <v>1326</v>
      </c>
      <c r="D86" s="322">
        <v>16945.63</v>
      </c>
      <c r="H86" s="233">
        <f t="shared" si="17"/>
        <v>0</v>
      </c>
      <c r="I86" s="121">
        <f t="shared" si="18"/>
        <v>16945.63</v>
      </c>
      <c r="J86" s="57">
        <v>0</v>
      </c>
      <c r="K86" s="216">
        <f t="shared" si="19"/>
        <v>0</v>
      </c>
      <c r="L86" s="216">
        <f t="shared" si="20"/>
        <v>16945.63</v>
      </c>
      <c r="M86" s="57">
        <v>0</v>
      </c>
      <c r="N86" s="178">
        <f t="shared" si="21"/>
        <v>0</v>
      </c>
      <c r="O86" s="216">
        <f t="shared" si="22"/>
        <v>16945.63</v>
      </c>
      <c r="R86"/>
    </row>
    <row r="87" spans="1:18">
      <c r="A87" s="124">
        <v>77</v>
      </c>
      <c r="B87" s="59" t="s">
        <v>1327</v>
      </c>
      <c r="C87" s="1" t="s">
        <v>1328</v>
      </c>
      <c r="D87" s="322">
        <v>16945.63</v>
      </c>
      <c r="H87" s="233">
        <f t="shared" si="17"/>
        <v>0</v>
      </c>
      <c r="I87" s="121">
        <f t="shared" si="18"/>
        <v>16945.63</v>
      </c>
      <c r="J87" s="57">
        <v>0</v>
      </c>
      <c r="K87" s="216">
        <f t="shared" si="19"/>
        <v>0</v>
      </c>
      <c r="L87" s="216">
        <f t="shared" si="20"/>
        <v>16945.63</v>
      </c>
      <c r="M87" s="57">
        <v>0</v>
      </c>
      <c r="N87" s="178">
        <f t="shared" si="21"/>
        <v>0</v>
      </c>
      <c r="O87" s="216">
        <f t="shared" si="22"/>
        <v>16945.63</v>
      </c>
      <c r="R87"/>
    </row>
    <row r="88" spans="1:18">
      <c r="A88" s="124">
        <v>78</v>
      </c>
      <c r="B88" s="59" t="s">
        <v>1309</v>
      </c>
      <c r="C88" s="1" t="s">
        <v>1310</v>
      </c>
      <c r="D88" s="388">
        <v>3940588.75</v>
      </c>
      <c r="H88" s="233">
        <f t="shared" si="17"/>
        <v>0</v>
      </c>
      <c r="I88" s="285">
        <f t="shared" si="18"/>
        <v>3940588.75</v>
      </c>
      <c r="J88" s="57">
        <v>0</v>
      </c>
      <c r="K88" s="216">
        <f t="shared" si="19"/>
        <v>0</v>
      </c>
      <c r="L88" s="216">
        <f t="shared" si="20"/>
        <v>3940588.75</v>
      </c>
      <c r="M88" s="57">
        <v>0</v>
      </c>
      <c r="N88" s="178">
        <f t="shared" si="21"/>
        <v>0</v>
      </c>
      <c r="O88" s="216">
        <f t="shared" si="22"/>
        <v>3940588.75</v>
      </c>
      <c r="R88"/>
    </row>
    <row r="89" spans="1:18">
      <c r="A89" s="124">
        <v>79</v>
      </c>
      <c r="B89" s="59" t="s">
        <v>1329</v>
      </c>
      <c r="D89" s="216">
        <f>SUM(D76:D88)</f>
        <v>7259128.3899999997</v>
      </c>
      <c r="I89" s="121">
        <f>SUM(I76:I88)</f>
        <v>7259128.3899999997</v>
      </c>
      <c r="K89" s="510">
        <f>SUM(K76:K88)</f>
        <v>0</v>
      </c>
      <c r="L89" s="510">
        <f>SUM(L76:L88)</f>
        <v>7259128.3899999997</v>
      </c>
      <c r="N89" s="510">
        <f>SUM(N76:N88)</f>
        <v>0</v>
      </c>
      <c r="O89" s="510">
        <f>SUM(O76:O88)</f>
        <v>7259128.3899999997</v>
      </c>
      <c r="R89"/>
    </row>
    <row r="90" spans="1:18">
      <c r="A90" s="53"/>
      <c r="I90" s="530"/>
      <c r="R90"/>
    </row>
    <row r="91" spans="1:18">
      <c r="I91" s="53" t="s">
        <v>4141</v>
      </c>
      <c r="K91" s="216">
        <f>+'Wage Adjustments'!K85</f>
        <v>447888.22166299995</v>
      </c>
      <c r="N91" s="216">
        <f>+'Wage Adjustments'!N85</f>
        <v>308280.66446652007</v>
      </c>
      <c r="R91"/>
    </row>
    <row r="92" spans="1:18">
      <c r="A92" s="237" t="s">
        <v>1330</v>
      </c>
      <c r="I92" s="53" t="s">
        <v>179</v>
      </c>
      <c r="K92" s="216">
        <f>+K89-K91</f>
        <v>-447888.22166299995</v>
      </c>
      <c r="N92" s="216">
        <f>+N89-N91</f>
        <v>-308280.66446652007</v>
      </c>
      <c r="R92"/>
    </row>
    <row r="93" spans="1:18">
      <c r="A93" s="237" t="s">
        <v>1331</v>
      </c>
      <c r="R93"/>
    </row>
    <row r="94" spans="1:18">
      <c r="A94" s="237" t="s">
        <v>1332</v>
      </c>
      <c r="R94"/>
    </row>
    <row r="95" spans="1:18">
      <c r="A95" s="237" t="s">
        <v>1333</v>
      </c>
      <c r="R95"/>
    </row>
    <row r="96" spans="1:18">
      <c r="R96"/>
    </row>
  </sheetData>
  <printOptions horizontalCentered="1"/>
  <pageMargins left="0.31" right="0.3" top="1" bottom="1" header="0.5" footer="0.5"/>
  <pageSetup scale="45" fitToHeight="0" orientation="landscape" r:id="rId1"/>
  <headerFooter scaleWithDoc="0" alignWithMargins="0">
    <oddHeader>&amp;RPage &amp;P of &amp;N</oddHeader>
    <oddFooter>&amp;LElectronic Tab Name: &amp;A</oddFooter>
  </headerFooter>
  <rowBreaks count="1" manualBreakCount="1">
    <brk id="67" max="14"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dimension ref="A1:AH1029"/>
  <sheetViews>
    <sheetView topLeftCell="R820" workbookViewId="0">
      <selection activeCell="Y838" sqref="Y838"/>
    </sheetView>
  </sheetViews>
  <sheetFormatPr defaultColWidth="9.140625" defaultRowHeight="15"/>
  <cols>
    <col min="1" max="1" width="5.28515625" style="1" customWidth="1"/>
    <col min="2" max="2" width="9.5703125" style="1" bestFit="1" customWidth="1"/>
    <col min="3" max="3" width="21.28515625" style="1" bestFit="1" customWidth="1"/>
    <col min="4" max="4" width="8.140625" style="1" customWidth="1"/>
    <col min="5" max="5" width="46.85546875" style="1" customWidth="1"/>
    <col min="6" max="19" width="18.28515625" style="1" bestFit="1" customWidth="1"/>
    <col min="20" max="20" width="1.42578125" style="1" customWidth="1"/>
    <col min="21" max="21" width="13.42578125" style="1" bestFit="1" customWidth="1"/>
    <col min="22" max="22" width="16.5703125" style="42" bestFit="1" customWidth="1"/>
    <col min="23" max="23" width="17.28515625" style="42" bestFit="1" customWidth="1"/>
    <col min="24" max="24" width="17.42578125" style="42" bestFit="1" customWidth="1"/>
    <col min="25" max="25" width="29.5703125" style="42" bestFit="1" customWidth="1"/>
    <col min="26" max="26" width="16.5703125" style="42" bestFit="1" customWidth="1"/>
    <col min="27" max="27" width="12.42578125" style="1" bestFit="1" customWidth="1"/>
    <col min="28" max="28" width="15.85546875" style="42" bestFit="1" customWidth="1"/>
    <col min="29" max="29" width="16.85546875" style="1" bestFit="1" customWidth="1"/>
    <col min="30" max="30" width="16.5703125" style="1" bestFit="1" customWidth="1"/>
    <col min="31" max="31" width="61" style="1" customWidth="1"/>
    <col min="32" max="32" width="12.7109375" style="1" bestFit="1" customWidth="1"/>
    <col min="33" max="33" width="9.140625" style="1"/>
    <col min="34" max="34" width="14.7109375" style="1" bestFit="1" customWidth="1"/>
    <col min="35" max="16384" width="9.140625" style="1"/>
  </cols>
  <sheetData>
    <row r="1" spans="1:30">
      <c r="A1" s="664" t="str">
        <f>Company</f>
        <v>Cascade Natural Gas Corp.</v>
      </c>
      <c r="S1" s="47"/>
      <c r="U1" s="47"/>
      <c r="V1" s="184"/>
      <c r="W1" s="184"/>
      <c r="X1" s="184"/>
      <c r="Y1" s="184"/>
      <c r="Z1" s="184"/>
      <c r="AA1" s="47"/>
      <c r="AB1" s="184"/>
    </row>
    <row r="2" spans="1:30">
      <c r="A2" s="664" t="str">
        <f>Title1</f>
        <v>Washington Jurisdiction</v>
      </c>
      <c r="F2" s="658"/>
      <c r="G2" s="658"/>
      <c r="H2" s="658"/>
      <c r="I2" s="658"/>
      <c r="J2" s="658"/>
      <c r="K2" s="658"/>
      <c r="L2" s="658"/>
      <c r="M2" s="658"/>
      <c r="N2" s="658"/>
      <c r="O2" s="658"/>
      <c r="P2" s="658"/>
      <c r="Q2" s="658"/>
      <c r="R2" s="658"/>
      <c r="S2" s="47"/>
      <c r="U2" s="47"/>
      <c r="V2" s="184"/>
      <c r="W2" s="184"/>
      <c r="X2" s="184"/>
      <c r="Y2" s="184"/>
      <c r="Z2" s="184"/>
      <c r="AA2" s="47"/>
      <c r="AB2" s="184"/>
    </row>
    <row r="3" spans="1:30">
      <c r="A3" s="664" t="str">
        <f>Title2</f>
        <v>Twelve-Months ended December 31, 2023</v>
      </c>
      <c r="F3" s="658"/>
      <c r="G3" s="658"/>
      <c r="H3" s="658"/>
      <c r="I3" s="658"/>
      <c r="J3" s="658"/>
      <c r="K3" s="658"/>
      <c r="L3" s="658"/>
      <c r="M3" s="658"/>
      <c r="N3" s="658"/>
      <c r="O3" s="658"/>
      <c r="P3" s="658"/>
      <c r="Q3" s="658"/>
      <c r="R3" s="658"/>
      <c r="S3" s="47"/>
      <c r="U3" s="47"/>
      <c r="V3" s="184"/>
      <c r="W3" s="184"/>
      <c r="X3" s="184"/>
      <c r="Y3" s="184"/>
      <c r="Z3" s="184"/>
      <c r="AA3" s="47"/>
      <c r="AB3" s="184"/>
    </row>
    <row r="4" spans="1:30">
      <c r="A4" s="664" t="str">
        <f>Title8</f>
        <v>UG-240008</v>
      </c>
      <c r="F4" s="658"/>
      <c r="G4" s="658"/>
      <c r="H4" s="658"/>
      <c r="I4" s="658"/>
      <c r="J4" s="658"/>
      <c r="K4" s="658"/>
      <c r="L4" s="658"/>
      <c r="M4" s="658"/>
      <c r="N4" s="658"/>
      <c r="O4" s="658"/>
      <c r="P4" s="658"/>
      <c r="Q4" s="658"/>
      <c r="R4" s="658"/>
      <c r="S4" s="47"/>
      <c r="U4" s="47"/>
      <c r="V4" s="184"/>
      <c r="W4" s="184"/>
      <c r="X4" s="184"/>
      <c r="Y4" s="184"/>
      <c r="Z4" s="184"/>
      <c r="AA4" s="47"/>
      <c r="AB4" s="184"/>
    </row>
    <row r="5" spans="1:30">
      <c r="A5" s="91" t="s">
        <v>719</v>
      </c>
      <c r="F5" s="658"/>
      <c r="G5" s="658"/>
      <c r="H5" s="658"/>
      <c r="I5" s="658"/>
      <c r="J5" s="658"/>
      <c r="K5" s="658"/>
      <c r="L5" s="658"/>
      <c r="M5" s="658"/>
      <c r="N5" s="658"/>
      <c r="O5" s="658"/>
      <c r="P5" s="658"/>
      <c r="Q5" s="658"/>
      <c r="R5" s="658"/>
      <c r="S5" s="47"/>
      <c r="U5" s="47"/>
      <c r="V5" s="184"/>
      <c r="W5" s="184"/>
      <c r="X5" s="184"/>
      <c r="Y5" s="184"/>
      <c r="Z5" s="184"/>
      <c r="AA5" s="47"/>
      <c r="AB5" s="184"/>
    </row>
    <row r="6" spans="1:30">
      <c r="A6" s="665" t="s">
        <v>718</v>
      </c>
      <c r="F6" s="658"/>
      <c r="G6" s="658"/>
      <c r="H6" s="658"/>
      <c r="I6" s="658"/>
      <c r="J6" s="658"/>
      <c r="K6" s="658"/>
      <c r="L6" s="658"/>
      <c r="M6" s="658"/>
      <c r="N6" s="658"/>
      <c r="O6" s="658"/>
      <c r="P6" s="658"/>
      <c r="Q6" s="658"/>
      <c r="R6" s="658"/>
      <c r="S6" s="47"/>
      <c r="U6" s="47"/>
      <c r="V6" s="184"/>
      <c r="W6" s="184"/>
      <c r="X6" s="184"/>
      <c r="Y6" s="184"/>
      <c r="Z6" s="184"/>
      <c r="AA6" s="47"/>
      <c r="AB6" s="184"/>
    </row>
    <row r="7" spans="1:30">
      <c r="B7" s="91"/>
      <c r="C7" s="91"/>
      <c r="D7" s="91"/>
      <c r="E7" s="91"/>
      <c r="F7" s="658" t="s">
        <v>1512</v>
      </c>
      <c r="G7" s="658" t="s">
        <v>1512</v>
      </c>
      <c r="H7" s="658" t="s">
        <v>1512</v>
      </c>
      <c r="I7" s="658" t="s">
        <v>1512</v>
      </c>
      <c r="J7" s="658" t="s">
        <v>1512</v>
      </c>
      <c r="K7" s="658" t="s">
        <v>1512</v>
      </c>
      <c r="L7" s="658" t="s">
        <v>1512</v>
      </c>
      <c r="M7" s="658" t="s">
        <v>1512</v>
      </c>
      <c r="N7" s="658" t="s">
        <v>1512</v>
      </c>
      <c r="O7" s="658" t="s">
        <v>1512</v>
      </c>
      <c r="P7" s="658" t="s">
        <v>1512</v>
      </c>
      <c r="Q7" s="658" t="s">
        <v>1512</v>
      </c>
      <c r="R7" s="658" t="s">
        <v>1512</v>
      </c>
      <c r="S7" s="47"/>
      <c r="U7" s="47"/>
      <c r="V7" s="184"/>
      <c r="W7" s="184"/>
      <c r="X7" s="184"/>
      <c r="Y7" s="184"/>
      <c r="Z7" s="184"/>
      <c r="AA7" s="47"/>
      <c r="AB7" s="184"/>
    </row>
    <row r="8" spans="1:30">
      <c r="F8" s="659" t="s">
        <v>2298</v>
      </c>
      <c r="G8" s="659" t="s">
        <v>2299</v>
      </c>
      <c r="H8" s="659" t="s">
        <v>2299</v>
      </c>
      <c r="I8" s="659" t="s">
        <v>2299</v>
      </c>
      <c r="J8" s="659" t="s">
        <v>2299</v>
      </c>
      <c r="K8" s="659" t="s">
        <v>2299</v>
      </c>
      <c r="L8" s="659" t="s">
        <v>2299</v>
      </c>
      <c r="M8" s="659" t="s">
        <v>2299</v>
      </c>
      <c r="N8" s="659" t="s">
        <v>2299</v>
      </c>
      <c r="O8" s="659" t="s">
        <v>2299</v>
      </c>
      <c r="P8" s="659" t="s">
        <v>2299</v>
      </c>
      <c r="Q8" s="659" t="s">
        <v>2299</v>
      </c>
      <c r="R8" s="659" t="s">
        <v>2299</v>
      </c>
      <c r="S8" s="47"/>
      <c r="U8" s="47"/>
      <c r="V8" s="184"/>
      <c r="W8" s="184"/>
      <c r="X8" s="184"/>
      <c r="Y8" s="184"/>
      <c r="Z8" s="184"/>
      <c r="AA8" s="47"/>
      <c r="AB8" s="184"/>
    </row>
    <row r="9" spans="1:30">
      <c r="F9" s="658" t="s">
        <v>2273</v>
      </c>
      <c r="G9" s="658" t="s">
        <v>2273</v>
      </c>
      <c r="H9" s="658" t="s">
        <v>2273</v>
      </c>
      <c r="I9" s="658" t="s">
        <v>2273</v>
      </c>
      <c r="J9" s="658" t="s">
        <v>2273</v>
      </c>
      <c r="K9" s="658" t="s">
        <v>2273</v>
      </c>
      <c r="L9" s="658" t="s">
        <v>2273</v>
      </c>
      <c r="M9" s="658" t="s">
        <v>2273</v>
      </c>
      <c r="N9" s="658" t="s">
        <v>2273</v>
      </c>
      <c r="O9" s="658" t="s">
        <v>2273</v>
      </c>
      <c r="P9" s="658" t="s">
        <v>2273</v>
      </c>
      <c r="Q9" s="658" t="s">
        <v>2273</v>
      </c>
      <c r="R9" s="658" t="s">
        <v>2273</v>
      </c>
      <c r="S9" s="47"/>
      <c r="U9" s="47"/>
      <c r="V9" s="986"/>
      <c r="W9" s="184"/>
      <c r="X9" s="184"/>
      <c r="Y9" s="184" t="s">
        <v>2446</v>
      </c>
      <c r="Z9" s="184"/>
      <c r="AA9" s="47"/>
      <c r="AB9" s="184"/>
    </row>
    <row r="10" spans="1:30">
      <c r="F10" s="658" t="s">
        <v>2447</v>
      </c>
      <c r="G10" s="658" t="s">
        <v>2447</v>
      </c>
      <c r="H10" s="658" t="s">
        <v>2447</v>
      </c>
      <c r="I10" s="658" t="s">
        <v>2447</v>
      </c>
      <c r="J10" s="658" t="s">
        <v>2447</v>
      </c>
      <c r="K10" s="658" t="s">
        <v>2447</v>
      </c>
      <c r="L10" s="658" t="s">
        <v>2447</v>
      </c>
      <c r="M10" s="658" t="s">
        <v>2447</v>
      </c>
      <c r="N10" s="658" t="s">
        <v>2447</v>
      </c>
      <c r="O10" s="658" t="s">
        <v>2447</v>
      </c>
      <c r="P10" s="658" t="s">
        <v>2447</v>
      </c>
      <c r="Q10" s="658" t="s">
        <v>2447</v>
      </c>
      <c r="R10" s="658" t="s">
        <v>2447</v>
      </c>
      <c r="S10" s="47"/>
      <c r="U10" s="47"/>
      <c r="V10" s="986"/>
      <c r="W10" s="184"/>
      <c r="X10" s="184"/>
      <c r="Y10" s="184" t="s">
        <v>639</v>
      </c>
      <c r="Z10" s="55">
        <f>'Exh JAD-8, State Allocators'!C14</f>
        <v>0.75070000000000003</v>
      </c>
      <c r="AA10" s="47"/>
      <c r="AB10" s="184"/>
    </row>
    <row r="11" spans="1:30">
      <c r="E11" s="666"/>
      <c r="F11" s="987" t="s">
        <v>2302</v>
      </c>
      <c r="G11" s="987" t="s">
        <v>2303</v>
      </c>
      <c r="H11" s="987" t="s">
        <v>2304</v>
      </c>
      <c r="I11" s="987" t="s">
        <v>2305</v>
      </c>
      <c r="J11" s="987" t="s">
        <v>2306</v>
      </c>
      <c r="K11" s="987" t="s">
        <v>2307</v>
      </c>
      <c r="L11" s="987" t="s">
        <v>220</v>
      </c>
      <c r="M11" s="987" t="s">
        <v>2308</v>
      </c>
      <c r="N11" s="987" t="s">
        <v>2309</v>
      </c>
      <c r="O11" s="987" t="s">
        <v>2310</v>
      </c>
      <c r="P11" s="987" t="s">
        <v>2311</v>
      </c>
      <c r="Q11" s="987" t="s">
        <v>2312</v>
      </c>
      <c r="R11" s="987" t="s">
        <v>2302</v>
      </c>
      <c r="S11" s="47"/>
      <c r="U11" s="47"/>
      <c r="V11" s="184"/>
      <c r="W11" s="184"/>
      <c r="X11" s="184"/>
      <c r="Y11" s="184" t="s">
        <v>640</v>
      </c>
      <c r="Z11" s="55">
        <f>'Exh JAD-8, State Allocators'!D14</f>
        <v>0.24929999999999999</v>
      </c>
      <c r="AA11" s="47"/>
      <c r="AB11" s="184"/>
    </row>
    <row r="12" spans="1:30">
      <c r="E12" s="666"/>
      <c r="F12" s="658" t="s">
        <v>2314</v>
      </c>
      <c r="G12" s="658" t="s">
        <v>2314</v>
      </c>
      <c r="H12" s="658" t="s">
        <v>2314</v>
      </c>
      <c r="I12" s="658" t="s">
        <v>2314</v>
      </c>
      <c r="J12" s="658" t="s">
        <v>2314</v>
      </c>
      <c r="K12" s="658" t="s">
        <v>2314</v>
      </c>
      <c r="L12" s="658" t="s">
        <v>2314</v>
      </c>
      <c r="M12" s="658" t="s">
        <v>2314</v>
      </c>
      <c r="N12" s="658" t="s">
        <v>2314</v>
      </c>
      <c r="O12" s="658" t="s">
        <v>2314</v>
      </c>
      <c r="P12" s="658" t="s">
        <v>2314</v>
      </c>
      <c r="Q12" s="658" t="s">
        <v>2314</v>
      </c>
      <c r="R12" s="658" t="s">
        <v>2314</v>
      </c>
      <c r="S12" s="47"/>
      <c r="U12" s="47"/>
      <c r="V12" s="184"/>
      <c r="W12" s="184"/>
      <c r="X12" s="184"/>
      <c r="Y12" s="184"/>
      <c r="Z12" s="184"/>
      <c r="AA12" s="47"/>
      <c r="AB12" s="184"/>
    </row>
    <row r="13" spans="1:30">
      <c r="E13" s="666"/>
      <c r="F13" s="658" t="s">
        <v>2323</v>
      </c>
      <c r="G13" s="658" t="s">
        <v>2323</v>
      </c>
      <c r="H13" s="658" t="s">
        <v>2323</v>
      </c>
      <c r="I13" s="658" t="s">
        <v>2323</v>
      </c>
      <c r="J13" s="658" t="s">
        <v>2323</v>
      </c>
      <c r="K13" s="658" t="s">
        <v>2323</v>
      </c>
      <c r="L13" s="658" t="s">
        <v>2323</v>
      </c>
      <c r="M13" s="658" t="s">
        <v>2323</v>
      </c>
      <c r="N13" s="658" t="s">
        <v>2323</v>
      </c>
      <c r="O13" s="658" t="s">
        <v>2323</v>
      </c>
      <c r="P13" s="658" t="s">
        <v>2323</v>
      </c>
      <c r="Q13" s="658" t="s">
        <v>2323</v>
      </c>
      <c r="R13" s="658" t="s">
        <v>2323</v>
      </c>
      <c r="S13" s="47"/>
      <c r="U13" s="47"/>
      <c r="V13" s="184"/>
      <c r="W13" s="184"/>
      <c r="X13" s="184"/>
      <c r="Y13" s="184"/>
      <c r="Z13" s="184"/>
      <c r="AA13" s="47"/>
      <c r="AB13" s="184"/>
    </row>
    <row r="14" spans="1:30">
      <c r="B14" s="1496" t="s">
        <v>2448</v>
      </c>
      <c r="C14" s="14"/>
      <c r="D14" s="1496" t="s">
        <v>2449</v>
      </c>
      <c r="S14" s="47"/>
      <c r="U14" s="47"/>
      <c r="V14" s="184"/>
      <c r="W14" s="184"/>
      <c r="X14" s="184"/>
      <c r="Y14" s="473" t="s">
        <v>2450</v>
      </c>
      <c r="Z14" s="314"/>
      <c r="AA14" s="679"/>
      <c r="AB14" s="184"/>
    </row>
    <row r="15" spans="1:30">
      <c r="A15" s="15" t="s">
        <v>2451</v>
      </c>
      <c r="B15" s="1496"/>
      <c r="C15" s="14" t="s">
        <v>2452</v>
      </c>
      <c r="D15" s="1496"/>
      <c r="S15" s="47"/>
      <c r="U15" s="339" t="s">
        <v>2453</v>
      </c>
      <c r="V15" s="809" t="s">
        <v>2453</v>
      </c>
      <c r="W15" s="809" t="s">
        <v>2454</v>
      </c>
      <c r="X15" s="809" t="s">
        <v>200</v>
      </c>
      <c r="Y15" s="184"/>
      <c r="Z15" s="184"/>
      <c r="AA15" s="47"/>
      <c r="AB15" s="184"/>
    </row>
    <row r="16" spans="1:30">
      <c r="A16" s="15" t="s">
        <v>2455</v>
      </c>
      <c r="B16" s="14" t="s">
        <v>2456</v>
      </c>
      <c r="C16" s="14" t="s">
        <v>2455</v>
      </c>
      <c r="D16" s="14" t="s">
        <v>2452</v>
      </c>
      <c r="F16" s="660" t="s">
        <v>365</v>
      </c>
      <c r="G16" s="808" t="s">
        <v>2457</v>
      </c>
      <c r="H16" s="660" t="s">
        <v>2458</v>
      </c>
      <c r="I16" s="660" t="s">
        <v>2459</v>
      </c>
      <c r="J16" s="660" t="s">
        <v>2460</v>
      </c>
      <c r="K16" s="660" t="s">
        <v>2461</v>
      </c>
      <c r="L16" s="660" t="s">
        <v>2462</v>
      </c>
      <c r="M16" s="660" t="s">
        <v>2463</v>
      </c>
      <c r="N16" s="660" t="s">
        <v>2464</v>
      </c>
      <c r="O16" s="660" t="s">
        <v>2465</v>
      </c>
      <c r="P16" s="660" t="s">
        <v>2466</v>
      </c>
      <c r="Q16" s="660" t="s">
        <v>2467</v>
      </c>
      <c r="R16" s="660" t="s">
        <v>374</v>
      </c>
      <c r="S16" s="312" t="s">
        <v>2468</v>
      </c>
      <c r="U16" s="339" t="s">
        <v>2469</v>
      </c>
      <c r="V16" s="809" t="s">
        <v>2470</v>
      </c>
      <c r="W16" s="809" t="s">
        <v>2471</v>
      </c>
      <c r="X16" s="809" t="s">
        <v>2472</v>
      </c>
      <c r="Y16" s="809" t="s">
        <v>1557</v>
      </c>
      <c r="Z16" s="809" t="s">
        <v>1516</v>
      </c>
      <c r="AA16" s="339" t="s">
        <v>1130</v>
      </c>
      <c r="AB16" s="809" t="s">
        <v>2473</v>
      </c>
      <c r="AC16" s="1" t="s">
        <v>2474</v>
      </c>
      <c r="AD16" s="1" t="s">
        <v>2475</v>
      </c>
    </row>
    <row r="17" spans="1:32">
      <c r="A17" s="15"/>
      <c r="B17" s="14"/>
      <c r="C17" s="14"/>
      <c r="D17" s="14"/>
      <c r="F17" s="661"/>
      <c r="G17" s="810"/>
      <c r="H17" s="661"/>
      <c r="I17" s="661"/>
      <c r="J17" s="661"/>
      <c r="K17" s="661"/>
      <c r="L17" s="661"/>
      <c r="M17" s="661"/>
      <c r="N17" s="661"/>
      <c r="O17" s="661"/>
      <c r="P17" s="661"/>
      <c r="Q17" s="661"/>
      <c r="R17" s="661"/>
      <c r="S17" s="181" t="s">
        <v>2476</v>
      </c>
      <c r="U17" s="181" t="s">
        <v>2477</v>
      </c>
      <c r="V17" s="811" t="s">
        <v>2478</v>
      </c>
      <c r="W17" s="811" t="s">
        <v>2479</v>
      </c>
      <c r="X17" s="811" t="s">
        <v>2480</v>
      </c>
      <c r="Y17" s="811" t="s">
        <v>2481</v>
      </c>
      <c r="Z17" s="811" t="s">
        <v>2482</v>
      </c>
      <c r="AA17" s="181"/>
      <c r="AB17" s="811" t="s">
        <v>2483</v>
      </c>
    </row>
    <row r="18" spans="1:32">
      <c r="A18" s="2">
        <v>1</v>
      </c>
      <c r="B18" s="688" t="s">
        <v>2330</v>
      </c>
      <c r="C18" s="688" t="s">
        <v>2484</v>
      </c>
      <c r="E18" s="182" t="s">
        <v>2485</v>
      </c>
      <c r="F18" s="183">
        <v>1058571237.11</v>
      </c>
      <c r="G18" s="183">
        <v>1062882118.1</v>
      </c>
      <c r="H18" s="183">
        <v>1067864647.02</v>
      </c>
      <c r="I18" s="183">
        <v>1075715356.8199999</v>
      </c>
      <c r="J18" s="183">
        <v>1077967366.28</v>
      </c>
      <c r="K18" s="183">
        <v>1082218537.0999999</v>
      </c>
      <c r="L18" s="183">
        <v>1084283902.71</v>
      </c>
      <c r="M18" s="183">
        <v>1096403403.3099999</v>
      </c>
      <c r="N18" s="183">
        <v>1101322855.77</v>
      </c>
      <c r="O18" s="183">
        <v>1118318224.9400001</v>
      </c>
      <c r="P18" s="183">
        <v>1123484081.03</v>
      </c>
      <c r="Q18" s="183">
        <v>1128071211.3199999</v>
      </c>
      <c r="R18" s="183">
        <v>1141765084.0599999</v>
      </c>
      <c r="S18" s="184">
        <f t="shared" ref="S18:S27" si="0">((F18+R18)+((G18+H18+I18+J18+K18+L18+M18+N18+O18+P18+Q18)*2))/24</f>
        <v>1093224988.74875</v>
      </c>
      <c r="U18" s="65"/>
      <c r="V18" s="103"/>
      <c r="W18" s="103"/>
      <c r="X18" s="599">
        <f t="shared" ref="X18:X27" si="1">+S18</f>
        <v>1093224988.74875</v>
      </c>
      <c r="Y18" s="103">
        <f>X18</f>
        <v>1093224988.74875</v>
      </c>
      <c r="Z18" s="103"/>
      <c r="AA18" s="65"/>
      <c r="AB18" s="103"/>
      <c r="AF18" s="6"/>
    </row>
    <row r="19" spans="1:32">
      <c r="A19" s="2">
        <f>MAX(A18:A18)+1</f>
        <v>2</v>
      </c>
      <c r="B19" s="688" t="s">
        <v>2330</v>
      </c>
      <c r="C19" s="688" t="s">
        <v>2484</v>
      </c>
      <c r="E19" s="182" t="s">
        <v>2486</v>
      </c>
      <c r="F19" s="183">
        <v>302154650.95999998</v>
      </c>
      <c r="G19" s="183">
        <v>302745962.20999998</v>
      </c>
      <c r="H19" s="183">
        <v>303145734.58999997</v>
      </c>
      <c r="I19" s="183">
        <v>304010412.00999999</v>
      </c>
      <c r="J19" s="183">
        <v>305092711.38999999</v>
      </c>
      <c r="K19" s="183">
        <v>306144157.69</v>
      </c>
      <c r="L19" s="183">
        <v>307498968.66000003</v>
      </c>
      <c r="M19" s="183">
        <v>309417487.68000001</v>
      </c>
      <c r="N19" s="183">
        <v>312803509.19999999</v>
      </c>
      <c r="O19" s="183">
        <v>315663880.74000001</v>
      </c>
      <c r="P19" s="183">
        <v>316987906.94999999</v>
      </c>
      <c r="Q19" s="183">
        <v>318405797.07999998</v>
      </c>
      <c r="R19" s="183">
        <v>320759142.10000002</v>
      </c>
      <c r="S19" s="184">
        <f t="shared" si="0"/>
        <v>309447785.39416665</v>
      </c>
      <c r="U19" s="65"/>
      <c r="V19" s="103"/>
      <c r="W19" s="103"/>
      <c r="X19" s="599">
        <f t="shared" si="1"/>
        <v>309447785.39416665</v>
      </c>
      <c r="Y19" s="103"/>
      <c r="Z19" s="103">
        <f>+X19</f>
        <v>309447785.39416665</v>
      </c>
      <c r="AA19" s="65"/>
      <c r="AB19" s="103"/>
      <c r="AF19" s="6"/>
    </row>
    <row r="20" spans="1:32">
      <c r="A20" s="2">
        <f t="shared" ref="A20:A83" si="2">MAX(A19:A19)+1</f>
        <v>3</v>
      </c>
      <c r="B20" s="688" t="s">
        <v>2487</v>
      </c>
      <c r="C20" s="688" t="s">
        <v>2484</v>
      </c>
      <c r="D20" s="1" t="s">
        <v>2488</v>
      </c>
      <c r="E20" s="182" t="s">
        <v>2489</v>
      </c>
      <c r="F20" s="183">
        <v>0</v>
      </c>
      <c r="G20" s="183">
        <v>0</v>
      </c>
      <c r="H20" s="183">
        <v>0</v>
      </c>
      <c r="I20" s="183">
        <v>0</v>
      </c>
      <c r="J20" s="183">
        <v>0</v>
      </c>
      <c r="K20" s="183">
        <v>0</v>
      </c>
      <c r="L20" s="183">
        <v>0</v>
      </c>
      <c r="M20" s="183">
        <v>0</v>
      </c>
      <c r="N20" s="183">
        <v>0</v>
      </c>
      <c r="O20" s="183">
        <v>0</v>
      </c>
      <c r="P20" s="183">
        <v>0</v>
      </c>
      <c r="Q20" s="183">
        <v>0</v>
      </c>
      <c r="R20" s="183">
        <v>0</v>
      </c>
      <c r="S20" s="184">
        <f t="shared" si="0"/>
        <v>0</v>
      </c>
      <c r="U20" s="65"/>
      <c r="V20" s="103"/>
      <c r="W20" s="103"/>
      <c r="X20" s="599">
        <f t="shared" si="1"/>
        <v>0</v>
      </c>
      <c r="Y20" s="103">
        <f>+S20*Z10</f>
        <v>0</v>
      </c>
      <c r="Z20" s="103">
        <f>+S20*Z11</f>
        <v>0</v>
      </c>
      <c r="AA20" s="65"/>
      <c r="AB20" s="103"/>
      <c r="AF20" s="6"/>
    </row>
    <row r="21" spans="1:32">
      <c r="A21" s="2">
        <f t="shared" si="2"/>
        <v>4</v>
      </c>
      <c r="B21" s="688" t="s">
        <v>2490</v>
      </c>
      <c r="C21" s="688" t="s">
        <v>2491</v>
      </c>
      <c r="E21" s="182" t="s">
        <v>2492</v>
      </c>
      <c r="F21" s="183">
        <v>26030614.100000001</v>
      </c>
      <c r="G21" s="183">
        <v>26030614.100000001</v>
      </c>
      <c r="H21" s="183">
        <v>26030614.100000001</v>
      </c>
      <c r="I21" s="183">
        <v>26218847.18</v>
      </c>
      <c r="J21" s="183">
        <v>26218847.18</v>
      </c>
      <c r="K21" s="183">
        <v>26218847.18</v>
      </c>
      <c r="L21" s="183">
        <v>26218847.18</v>
      </c>
      <c r="M21" s="183">
        <v>26218847.18</v>
      </c>
      <c r="N21" s="183">
        <v>26218847.18</v>
      </c>
      <c r="O21" s="183">
        <v>26218847.18</v>
      </c>
      <c r="P21" s="183">
        <v>26071758.77</v>
      </c>
      <c r="Q21" s="183">
        <v>26214029.460000001</v>
      </c>
      <c r="R21" s="183">
        <v>26214029.460000001</v>
      </c>
      <c r="S21" s="184">
        <f t="shared" si="0"/>
        <v>26166772.372500002</v>
      </c>
      <c r="U21" s="65"/>
      <c r="V21" s="103"/>
      <c r="W21" s="103"/>
      <c r="X21" s="599">
        <f t="shared" si="1"/>
        <v>26166772.372500002</v>
      </c>
      <c r="Y21" s="103">
        <f>+S21*Z10</f>
        <v>19643396.020035751</v>
      </c>
      <c r="Z21" s="103">
        <f>+S21*Z11</f>
        <v>6523376.3524642503</v>
      </c>
      <c r="AA21" s="65"/>
      <c r="AB21" s="103"/>
      <c r="AF21" s="6"/>
    </row>
    <row r="22" spans="1:32">
      <c r="A22" s="2">
        <f t="shared" si="2"/>
        <v>5</v>
      </c>
      <c r="B22" s="688" t="s">
        <v>2493</v>
      </c>
      <c r="C22" s="688" t="s">
        <v>2494</v>
      </c>
      <c r="E22" s="182" t="s">
        <v>2495</v>
      </c>
      <c r="F22" s="183">
        <v>0</v>
      </c>
      <c r="G22" s="183">
        <v>0</v>
      </c>
      <c r="H22" s="183">
        <v>0</v>
      </c>
      <c r="I22" s="183">
        <v>0</v>
      </c>
      <c r="J22" s="183">
        <v>0</v>
      </c>
      <c r="K22" s="183">
        <v>0</v>
      </c>
      <c r="L22" s="183">
        <v>0</v>
      </c>
      <c r="M22" s="183">
        <v>0</v>
      </c>
      <c r="N22" s="183">
        <v>0</v>
      </c>
      <c r="O22" s="183">
        <v>0</v>
      </c>
      <c r="P22" s="183">
        <v>0</v>
      </c>
      <c r="Q22" s="183">
        <v>0</v>
      </c>
      <c r="R22" s="183">
        <v>0</v>
      </c>
      <c r="S22" s="184">
        <f t="shared" si="0"/>
        <v>0</v>
      </c>
      <c r="U22" s="65"/>
      <c r="V22" s="103"/>
      <c r="W22" s="103"/>
      <c r="X22" s="599">
        <f t="shared" si="1"/>
        <v>0</v>
      </c>
      <c r="Y22" s="103">
        <f>+S22</f>
        <v>0</v>
      </c>
      <c r="Z22" s="103"/>
      <c r="AA22" s="65"/>
      <c r="AB22" s="103"/>
      <c r="AF22" s="6"/>
    </row>
    <row r="23" spans="1:32">
      <c r="A23" s="2">
        <f t="shared" si="2"/>
        <v>6</v>
      </c>
      <c r="B23" s="688" t="s">
        <v>2496</v>
      </c>
      <c r="C23" s="688" t="s">
        <v>2494</v>
      </c>
      <c r="E23" s="182" t="s">
        <v>2497</v>
      </c>
      <c r="F23" s="183">
        <v>1423907.27</v>
      </c>
      <c r="G23" s="183">
        <v>1423907.27</v>
      </c>
      <c r="H23" s="183">
        <v>1423907.27</v>
      </c>
      <c r="I23" s="183">
        <v>1423907.27</v>
      </c>
      <c r="J23" s="183">
        <v>1423907.27</v>
      </c>
      <c r="K23" s="183">
        <v>1423907.27</v>
      </c>
      <c r="L23" s="183">
        <v>1423907.27</v>
      </c>
      <c r="M23" s="183">
        <v>1423907.27</v>
      </c>
      <c r="N23" s="183">
        <v>1423907.27</v>
      </c>
      <c r="O23" s="183">
        <v>1423907.27</v>
      </c>
      <c r="P23" s="183">
        <v>1423907.27</v>
      </c>
      <c r="Q23" s="183">
        <v>1423907.27</v>
      </c>
      <c r="R23" s="183">
        <v>1423907.27</v>
      </c>
      <c r="S23" s="184">
        <f t="shared" si="0"/>
        <v>1423907.2699999998</v>
      </c>
      <c r="U23" s="65"/>
      <c r="V23" s="103"/>
      <c r="W23" s="103"/>
      <c r="X23" s="599">
        <f t="shared" si="1"/>
        <v>1423907.2699999998</v>
      </c>
      <c r="Y23" s="103"/>
      <c r="Z23" s="103">
        <f>+S23</f>
        <v>1423907.2699999998</v>
      </c>
      <c r="AA23" s="65"/>
      <c r="AB23" s="103"/>
      <c r="AF23" s="6"/>
    </row>
    <row r="24" spans="1:32">
      <c r="A24" s="2">
        <f t="shared" si="2"/>
        <v>7</v>
      </c>
      <c r="B24" s="688" t="s">
        <v>2498</v>
      </c>
      <c r="C24" s="688" t="s">
        <v>2499</v>
      </c>
      <c r="D24" s="1" t="s">
        <v>31</v>
      </c>
      <c r="E24" s="182" t="s">
        <v>2500</v>
      </c>
      <c r="F24" s="183">
        <v>0</v>
      </c>
      <c r="G24" s="183">
        <v>0</v>
      </c>
      <c r="H24" s="183">
        <v>0</v>
      </c>
      <c r="I24" s="183">
        <v>0</v>
      </c>
      <c r="J24" s="183">
        <v>0</v>
      </c>
      <c r="K24" s="183">
        <v>0</v>
      </c>
      <c r="L24" s="183">
        <v>0</v>
      </c>
      <c r="M24" s="183">
        <v>0</v>
      </c>
      <c r="N24" s="183">
        <v>0</v>
      </c>
      <c r="O24" s="183">
        <v>0</v>
      </c>
      <c r="P24" s="183">
        <v>0</v>
      </c>
      <c r="Q24" s="183">
        <v>0</v>
      </c>
      <c r="R24" s="183">
        <v>0</v>
      </c>
      <c r="S24" s="184">
        <f t="shared" si="0"/>
        <v>0</v>
      </c>
      <c r="U24" s="65"/>
      <c r="V24" s="103"/>
      <c r="W24" s="103"/>
      <c r="X24" s="599">
        <f t="shared" si="1"/>
        <v>0</v>
      </c>
      <c r="Y24" s="103">
        <f>+S24</f>
        <v>0</v>
      </c>
      <c r="Z24" s="103"/>
      <c r="AA24" s="65"/>
      <c r="AB24" s="103"/>
      <c r="AF24" s="6"/>
    </row>
    <row r="25" spans="1:32">
      <c r="A25" s="2">
        <f t="shared" si="2"/>
        <v>8</v>
      </c>
      <c r="B25" s="688" t="s">
        <v>2330</v>
      </c>
      <c r="C25" s="812" t="s">
        <v>2499</v>
      </c>
      <c r="D25" s="1" t="s">
        <v>31</v>
      </c>
      <c r="E25" s="182" t="s">
        <v>2501</v>
      </c>
      <c r="F25" s="183">
        <v>0</v>
      </c>
      <c r="G25" s="183">
        <v>0</v>
      </c>
      <c r="H25" s="183">
        <v>0</v>
      </c>
      <c r="I25" s="183">
        <v>0</v>
      </c>
      <c r="J25" s="183">
        <v>0</v>
      </c>
      <c r="K25" s="183">
        <v>0</v>
      </c>
      <c r="L25" s="183">
        <v>0</v>
      </c>
      <c r="M25" s="183">
        <v>0</v>
      </c>
      <c r="N25" s="183">
        <v>0</v>
      </c>
      <c r="O25" s="183">
        <v>0</v>
      </c>
      <c r="P25" s="183">
        <v>0</v>
      </c>
      <c r="Q25" s="183">
        <v>0</v>
      </c>
      <c r="R25" s="183">
        <v>0</v>
      </c>
      <c r="S25" s="184">
        <f t="shared" si="0"/>
        <v>0</v>
      </c>
      <c r="U25" s="65"/>
      <c r="V25" s="103"/>
      <c r="W25" s="103"/>
      <c r="X25" s="599">
        <f t="shared" si="1"/>
        <v>0</v>
      </c>
      <c r="Y25" s="103"/>
      <c r="Z25" s="103">
        <f>+S25</f>
        <v>0</v>
      </c>
      <c r="AA25" s="65"/>
      <c r="AB25" s="103"/>
      <c r="AF25" s="6"/>
    </row>
    <row r="26" spans="1:32">
      <c r="A26" s="2">
        <f t="shared" si="2"/>
        <v>9</v>
      </c>
      <c r="B26" s="688" t="s">
        <v>2330</v>
      </c>
      <c r="C26" s="688" t="s">
        <v>2502</v>
      </c>
      <c r="D26" s="1" t="s">
        <v>31</v>
      </c>
      <c r="E26" s="182" t="s">
        <v>2503</v>
      </c>
      <c r="F26" s="183">
        <v>20536798.789999999</v>
      </c>
      <c r="G26" s="183">
        <v>22074151.289999999</v>
      </c>
      <c r="H26" s="183">
        <v>22952562.34</v>
      </c>
      <c r="I26" s="183">
        <v>21573295.02</v>
      </c>
      <c r="J26" s="183">
        <v>25956471.879999999</v>
      </c>
      <c r="K26" s="183">
        <v>27504878.199999999</v>
      </c>
      <c r="L26" s="183">
        <v>33501286.899999999</v>
      </c>
      <c r="M26" s="183">
        <v>25164139.59</v>
      </c>
      <c r="N26" s="183">
        <v>27208287.469999999</v>
      </c>
      <c r="O26" s="183">
        <v>19939783.579999998</v>
      </c>
      <c r="P26" s="183">
        <v>25346179.68</v>
      </c>
      <c r="Q26" s="183">
        <v>27761215.100000001</v>
      </c>
      <c r="R26" s="183">
        <v>25566367.890000001</v>
      </c>
      <c r="S26" s="184">
        <f t="shared" si="0"/>
        <v>25169486.199166667</v>
      </c>
      <c r="U26" s="65"/>
      <c r="V26" s="103"/>
      <c r="W26" s="103"/>
      <c r="X26" s="599">
        <f t="shared" si="1"/>
        <v>25169486.199166667</v>
      </c>
      <c r="Y26" s="103"/>
      <c r="Z26" s="103"/>
      <c r="AA26" s="65"/>
      <c r="AB26" s="103">
        <f>+S26</f>
        <v>25169486.199166667</v>
      </c>
      <c r="AF26" s="6"/>
    </row>
    <row r="27" spans="1:32">
      <c r="A27" s="2">
        <f t="shared" si="2"/>
        <v>10</v>
      </c>
      <c r="B27" s="688" t="s">
        <v>2330</v>
      </c>
      <c r="C27" s="688" t="s">
        <v>2502</v>
      </c>
      <c r="D27" s="688" t="s">
        <v>31</v>
      </c>
      <c r="E27" s="182" t="s">
        <v>2504</v>
      </c>
      <c r="F27" s="183">
        <v>4225306.29</v>
      </c>
      <c r="G27" s="183">
        <v>4569820.8899999997</v>
      </c>
      <c r="H27" s="183">
        <v>4380064.51</v>
      </c>
      <c r="I27" s="183">
        <v>4431964.87</v>
      </c>
      <c r="J27" s="183">
        <v>4751698.43</v>
      </c>
      <c r="K27" s="183">
        <v>5035493.0599999996</v>
      </c>
      <c r="L27" s="183">
        <v>5309182.8899999997</v>
      </c>
      <c r="M27" s="183">
        <v>5840299.9400000004</v>
      </c>
      <c r="N27" s="183">
        <v>6995239.3200000003</v>
      </c>
      <c r="O27" s="183">
        <v>6831215.5700000003</v>
      </c>
      <c r="P27" s="183">
        <v>8324939.29</v>
      </c>
      <c r="Q27" s="183">
        <v>10724454.289999999</v>
      </c>
      <c r="R27" s="183">
        <v>12795986.119999999</v>
      </c>
      <c r="S27" s="184">
        <f t="shared" si="0"/>
        <v>6308751.6054166667</v>
      </c>
      <c r="U27" s="65"/>
      <c r="V27" s="103"/>
      <c r="W27" s="103"/>
      <c r="X27" s="599">
        <f t="shared" si="1"/>
        <v>6308751.6054166667</v>
      </c>
      <c r="Y27" s="103"/>
      <c r="Z27" s="103"/>
      <c r="AA27" s="65"/>
      <c r="AB27" s="103">
        <f>+S27</f>
        <v>6308751.6054166667</v>
      </c>
      <c r="AF27" s="6"/>
    </row>
    <row r="28" spans="1:32">
      <c r="A28" s="2">
        <f t="shared" si="2"/>
        <v>11</v>
      </c>
      <c r="E28" s="182" t="s">
        <v>2505</v>
      </c>
      <c r="F28" s="511">
        <f t="shared" ref="F28:S28" si="3">SUM(F18:F27)</f>
        <v>1412942514.5199997</v>
      </c>
      <c r="G28" s="511">
        <f t="shared" si="3"/>
        <v>1419726573.8599999</v>
      </c>
      <c r="H28" s="511">
        <f t="shared" si="3"/>
        <v>1425797529.8299997</v>
      </c>
      <c r="I28" s="511">
        <f t="shared" si="3"/>
        <v>1433373783.1699998</v>
      </c>
      <c r="J28" s="511">
        <f t="shared" si="3"/>
        <v>1441411002.4300003</v>
      </c>
      <c r="K28" s="511">
        <f t="shared" si="3"/>
        <v>1448545820.5</v>
      </c>
      <c r="L28" s="511">
        <f t="shared" si="3"/>
        <v>1458236095.6100004</v>
      </c>
      <c r="M28" s="511">
        <f t="shared" si="3"/>
        <v>1464468084.97</v>
      </c>
      <c r="N28" s="511">
        <f t="shared" si="3"/>
        <v>1475972646.21</v>
      </c>
      <c r="O28" s="511">
        <f t="shared" si="3"/>
        <v>1488395859.28</v>
      </c>
      <c r="P28" s="511">
        <f t="shared" si="3"/>
        <v>1501638772.99</v>
      </c>
      <c r="Q28" s="511">
        <f t="shared" si="3"/>
        <v>1512600614.5199997</v>
      </c>
      <c r="R28" s="511">
        <f t="shared" si="3"/>
        <v>1528524516.8999999</v>
      </c>
      <c r="S28" s="512">
        <f t="shared" si="3"/>
        <v>1461741691.5900002</v>
      </c>
      <c r="U28" s="65"/>
      <c r="V28" s="103"/>
      <c r="W28" s="103"/>
      <c r="X28" s="599"/>
      <c r="Y28" s="103"/>
      <c r="Z28" s="103"/>
      <c r="AA28" s="65"/>
      <c r="AB28" s="103"/>
      <c r="AF28" s="6"/>
    </row>
    <row r="29" spans="1:32">
      <c r="A29" s="2">
        <f t="shared" si="2"/>
        <v>12</v>
      </c>
      <c r="E29" s="182"/>
      <c r="F29" s="663"/>
      <c r="G29" s="813"/>
      <c r="H29" s="814"/>
      <c r="I29" s="814"/>
      <c r="J29" s="667"/>
      <c r="K29" s="815"/>
      <c r="L29" s="816"/>
      <c r="M29" s="668"/>
      <c r="N29" s="669"/>
      <c r="O29" s="817"/>
      <c r="P29" s="670"/>
      <c r="Q29" s="662"/>
      <c r="R29" s="663"/>
      <c r="S29" s="47"/>
      <c r="U29" s="65"/>
      <c r="V29" s="103"/>
      <c r="W29" s="103"/>
      <c r="X29" s="599"/>
      <c r="Y29" s="103"/>
      <c r="Z29" s="103"/>
      <c r="AA29" s="65"/>
      <c r="AB29" s="103"/>
      <c r="AF29" s="6"/>
    </row>
    <row r="30" spans="1:32">
      <c r="A30" s="2">
        <f t="shared" si="2"/>
        <v>13</v>
      </c>
      <c r="B30" s="688" t="s">
        <v>2330</v>
      </c>
      <c r="C30" s="688" t="s">
        <v>2506</v>
      </c>
      <c r="D30" s="688" t="s">
        <v>2309</v>
      </c>
      <c r="E30" s="689" t="s">
        <v>2507</v>
      </c>
      <c r="F30" s="183">
        <v>32573.109999999899</v>
      </c>
      <c r="G30" s="183">
        <v>485338.8</v>
      </c>
      <c r="H30" s="183">
        <v>538907.14</v>
      </c>
      <c r="I30" s="183">
        <v>1011738.78</v>
      </c>
      <c r="J30" s="183">
        <v>923310</v>
      </c>
      <c r="K30" s="183">
        <v>1084396.3899999999</v>
      </c>
      <c r="L30" s="183">
        <v>929318.64</v>
      </c>
      <c r="M30" s="183">
        <v>1596878.01</v>
      </c>
      <c r="N30" s="183">
        <v>1595009.91</v>
      </c>
      <c r="O30" s="183">
        <v>2045619</v>
      </c>
      <c r="P30" s="183">
        <v>2008372.49</v>
      </c>
      <c r="Q30" s="183">
        <v>1613798.52</v>
      </c>
      <c r="R30" s="183">
        <v>-407520.14</v>
      </c>
      <c r="S30" s="184">
        <f t="shared" ref="S30:S38" si="4">((F30+R30)+((G30+H30+I30+J30+K30+L30+M30+N30+O30+P30+Q30)*2))/24</f>
        <v>1137101.1804166664</v>
      </c>
      <c r="U30" s="65"/>
      <c r="V30" s="103"/>
      <c r="W30" s="103"/>
      <c r="X30" s="599">
        <f t="shared" ref="X30:X38" si="5">+S30</f>
        <v>1137101.1804166664</v>
      </c>
      <c r="Y30" s="103">
        <f>+S30</f>
        <v>1137101.1804166664</v>
      </c>
      <c r="Z30" s="103"/>
      <c r="AA30" s="65"/>
      <c r="AB30" s="103"/>
      <c r="AF30" s="6"/>
    </row>
    <row r="31" spans="1:32">
      <c r="A31" s="2">
        <f t="shared" si="2"/>
        <v>14</v>
      </c>
      <c r="B31" s="688" t="s">
        <v>2330</v>
      </c>
      <c r="C31" s="688" t="s">
        <v>2506</v>
      </c>
      <c r="D31" s="688" t="s">
        <v>2309</v>
      </c>
      <c r="E31" s="182" t="s">
        <v>2508</v>
      </c>
      <c r="F31" s="183">
        <v>-330735.74</v>
      </c>
      <c r="G31" s="183">
        <v>-81179.05</v>
      </c>
      <c r="H31" s="183">
        <v>-79722.28</v>
      </c>
      <c r="I31" s="183">
        <v>532050.88</v>
      </c>
      <c r="J31" s="183">
        <v>486860.57</v>
      </c>
      <c r="K31" s="183">
        <v>304068.44</v>
      </c>
      <c r="L31" s="183">
        <v>360508.96</v>
      </c>
      <c r="M31" s="183">
        <v>626528.94999999995</v>
      </c>
      <c r="N31" s="183">
        <v>932731.66</v>
      </c>
      <c r="O31" s="183">
        <v>823673.66</v>
      </c>
      <c r="P31" s="183">
        <v>428037.64</v>
      </c>
      <c r="Q31" s="183">
        <v>408000.03</v>
      </c>
      <c r="R31" s="183">
        <v>-337922.44</v>
      </c>
      <c r="S31" s="184">
        <f t="shared" si="4"/>
        <v>367269.19750000001</v>
      </c>
      <c r="U31" s="65"/>
      <c r="V31" s="103"/>
      <c r="W31" s="103"/>
      <c r="X31" s="599">
        <f t="shared" si="5"/>
        <v>367269.19750000001</v>
      </c>
      <c r="Y31" s="103"/>
      <c r="Z31" s="103">
        <f>+S31</f>
        <v>367269.19750000001</v>
      </c>
      <c r="AA31" s="65"/>
      <c r="AB31" s="103"/>
      <c r="AF31" s="6"/>
    </row>
    <row r="32" spans="1:32">
      <c r="A32" s="2">
        <f t="shared" si="2"/>
        <v>15</v>
      </c>
      <c r="B32" s="688" t="s">
        <v>2330</v>
      </c>
      <c r="C32" s="688" t="s">
        <v>2506</v>
      </c>
      <c r="D32" s="688"/>
      <c r="E32" s="182" t="s">
        <v>2509</v>
      </c>
      <c r="F32" s="183">
        <v>-302404905.22000003</v>
      </c>
      <c r="G32" s="183">
        <v>-303750832.12</v>
      </c>
      <c r="H32" s="183">
        <v>-304906096.18000001</v>
      </c>
      <c r="I32" s="183">
        <v>-306024413.48000002</v>
      </c>
      <c r="J32" s="183">
        <v>-307407001.25</v>
      </c>
      <c r="K32" s="183">
        <v>-308926878.52999997</v>
      </c>
      <c r="L32" s="183">
        <v>-309625822.44999999</v>
      </c>
      <c r="M32" s="183">
        <v>-310630119.52999997</v>
      </c>
      <c r="N32" s="183">
        <v>-311968390.06</v>
      </c>
      <c r="O32" s="183">
        <v>-313083822.56</v>
      </c>
      <c r="P32" s="183">
        <v>-313990284.43000001</v>
      </c>
      <c r="Q32" s="183">
        <v>-315466965.18000001</v>
      </c>
      <c r="R32" s="183">
        <v>-315860028.54000002</v>
      </c>
      <c r="S32" s="184">
        <f t="shared" si="4"/>
        <v>-309576091.05416662</v>
      </c>
      <c r="U32" s="65"/>
      <c r="V32" s="103"/>
      <c r="W32" s="103"/>
      <c r="X32" s="599">
        <f t="shared" si="5"/>
        <v>-309576091.05416662</v>
      </c>
      <c r="Y32" s="103">
        <f>+S32</f>
        <v>-309576091.05416662</v>
      </c>
      <c r="Z32" s="103"/>
      <c r="AA32" s="65"/>
      <c r="AB32" s="103"/>
      <c r="AF32" s="6"/>
    </row>
    <row r="33" spans="1:32">
      <c r="A33" s="2">
        <f t="shared" si="2"/>
        <v>16</v>
      </c>
      <c r="B33" s="688" t="s">
        <v>2330</v>
      </c>
      <c r="C33" s="688" t="s">
        <v>2506</v>
      </c>
      <c r="D33" s="688"/>
      <c r="E33" s="182" t="s">
        <v>2510</v>
      </c>
      <c r="F33" s="183">
        <v>-85837599.799999997</v>
      </c>
      <c r="G33" s="183">
        <v>-86321670.5</v>
      </c>
      <c r="H33" s="183">
        <v>-86722685.640000001</v>
      </c>
      <c r="I33" s="183">
        <v>-87022340.859999999</v>
      </c>
      <c r="J33" s="183">
        <v>-87482801.379999995</v>
      </c>
      <c r="K33" s="183">
        <v>-87898069.569999993</v>
      </c>
      <c r="L33" s="183">
        <v>-88309202.950000003</v>
      </c>
      <c r="M33" s="183">
        <v>-88701178.140000001</v>
      </c>
      <c r="N33" s="183">
        <v>-89147785.599999994</v>
      </c>
      <c r="O33" s="183">
        <v>-89547004.019999996</v>
      </c>
      <c r="P33" s="183">
        <v>-89946034.719999999</v>
      </c>
      <c r="Q33" s="183">
        <v>-90404657.920000002</v>
      </c>
      <c r="R33" s="183">
        <v>-90522081.689999998</v>
      </c>
      <c r="S33" s="184">
        <f t="shared" si="4"/>
        <v>-88306939.337083325</v>
      </c>
      <c r="U33" s="65"/>
      <c r="V33" s="103"/>
      <c r="W33" s="103"/>
      <c r="X33" s="599">
        <f t="shared" si="5"/>
        <v>-88306939.337083325</v>
      </c>
      <c r="Y33" s="103"/>
      <c r="Z33" s="103">
        <f>+S33</f>
        <v>-88306939.337083325</v>
      </c>
      <c r="AA33" s="65"/>
      <c r="AB33" s="103"/>
      <c r="AF33" s="6"/>
    </row>
    <row r="34" spans="1:32">
      <c r="A34" s="2">
        <f t="shared" si="2"/>
        <v>17</v>
      </c>
      <c r="B34" s="688" t="s">
        <v>2330</v>
      </c>
      <c r="C34" s="688" t="s">
        <v>2506</v>
      </c>
      <c r="D34" s="688" t="s">
        <v>2488</v>
      </c>
      <c r="E34" s="182" t="s">
        <v>2511</v>
      </c>
      <c r="F34" s="183">
        <v>0</v>
      </c>
      <c r="G34" s="183">
        <v>0</v>
      </c>
      <c r="H34" s="183">
        <v>0</v>
      </c>
      <c r="I34" s="183">
        <v>0</v>
      </c>
      <c r="J34" s="183">
        <v>0</v>
      </c>
      <c r="K34" s="183">
        <v>0</v>
      </c>
      <c r="L34" s="183">
        <v>0</v>
      </c>
      <c r="M34" s="183">
        <v>0</v>
      </c>
      <c r="N34" s="183">
        <v>0</v>
      </c>
      <c r="O34" s="183">
        <v>0</v>
      </c>
      <c r="P34" s="183">
        <v>0</v>
      </c>
      <c r="Q34" s="183">
        <v>0</v>
      </c>
      <c r="R34" s="183">
        <v>0</v>
      </c>
      <c r="S34" s="184">
        <f t="shared" si="4"/>
        <v>0</v>
      </c>
      <c r="U34" s="65"/>
      <c r="V34" s="103"/>
      <c r="W34" s="103"/>
      <c r="X34" s="599">
        <f t="shared" si="5"/>
        <v>0</v>
      </c>
      <c r="Y34" s="103"/>
      <c r="Z34" s="103"/>
      <c r="AA34" s="65"/>
      <c r="AB34" s="103"/>
      <c r="AF34" s="6"/>
    </row>
    <row r="35" spans="1:32">
      <c r="A35" s="2">
        <f t="shared" si="2"/>
        <v>18</v>
      </c>
      <c r="B35" s="688" t="s">
        <v>2330</v>
      </c>
      <c r="C35" s="688" t="s">
        <v>2512</v>
      </c>
      <c r="D35" s="688"/>
      <c r="E35" s="182" t="s">
        <v>2513</v>
      </c>
      <c r="F35" s="183">
        <v>-5124032.1900000004</v>
      </c>
      <c r="G35" s="183">
        <v>-5155282.6399999997</v>
      </c>
      <c r="H35" s="183">
        <v>-5186533.1399999997</v>
      </c>
      <c r="I35" s="183">
        <v>-5170178.3600000003</v>
      </c>
      <c r="J35" s="183">
        <v>-5201680.13</v>
      </c>
      <c r="K35" s="183">
        <v>-5233181.9000000004</v>
      </c>
      <c r="L35" s="183">
        <v>-5264683.71</v>
      </c>
      <c r="M35" s="183">
        <v>-5296185.46</v>
      </c>
      <c r="N35" s="183">
        <v>-5327687.17</v>
      </c>
      <c r="O35" s="183">
        <v>-5359188.92</v>
      </c>
      <c r="P35" s="183">
        <v>-5356480.9400000004</v>
      </c>
      <c r="Q35" s="183">
        <v>-5387852.1200000001</v>
      </c>
      <c r="R35" s="183">
        <v>-5419341.0800000001</v>
      </c>
      <c r="S35" s="184">
        <f t="shared" si="4"/>
        <v>-5267551.760416667</v>
      </c>
      <c r="U35" s="65"/>
      <c r="V35" s="103"/>
      <c r="W35" s="103"/>
      <c r="X35" s="599">
        <f t="shared" si="5"/>
        <v>-5267551.760416667</v>
      </c>
      <c r="Y35" s="103">
        <f>+S35*Z10</f>
        <v>-3954351.1065447922</v>
      </c>
      <c r="Z35" s="103">
        <f>+S35*Z11</f>
        <v>-1313200.653871875</v>
      </c>
      <c r="AA35" s="65"/>
      <c r="AB35" s="103"/>
      <c r="AF35" s="6"/>
    </row>
    <row r="36" spans="1:32">
      <c r="A36" s="2">
        <f t="shared" si="2"/>
        <v>19</v>
      </c>
      <c r="B36" s="688" t="s">
        <v>2330</v>
      </c>
      <c r="C36" s="688" t="s">
        <v>2514</v>
      </c>
      <c r="D36" s="688"/>
      <c r="E36" s="182" t="s">
        <v>2515</v>
      </c>
      <c r="F36" s="183">
        <v>-26485264.699999999</v>
      </c>
      <c r="G36" s="183">
        <v>-26723709.010000002</v>
      </c>
      <c r="H36" s="183">
        <v>-26999184.609999999</v>
      </c>
      <c r="I36" s="183">
        <v>-27274652.989999998</v>
      </c>
      <c r="J36" s="183">
        <v>-27552825.350000001</v>
      </c>
      <c r="K36" s="183">
        <v>-27830996.09</v>
      </c>
      <c r="L36" s="183">
        <v>-28109166.829999998</v>
      </c>
      <c r="M36" s="183">
        <v>-28387337.57</v>
      </c>
      <c r="N36" s="183">
        <v>-28665508.309999999</v>
      </c>
      <c r="O36" s="183">
        <v>-28943684.57</v>
      </c>
      <c r="P36" s="183">
        <v>-29221860.829999998</v>
      </c>
      <c r="Q36" s="183">
        <v>-29501354.539999999</v>
      </c>
      <c r="R36" s="183">
        <v>-29785135.120000001</v>
      </c>
      <c r="S36" s="184">
        <f t="shared" si="4"/>
        <v>-28112123.384166669</v>
      </c>
      <c r="U36" s="65"/>
      <c r="V36" s="103"/>
      <c r="W36" s="103"/>
      <c r="X36" s="599">
        <f t="shared" si="5"/>
        <v>-28112123.384166669</v>
      </c>
      <c r="Y36" s="103">
        <f>+S36</f>
        <v>-28112123.384166669</v>
      </c>
      <c r="Z36" s="103"/>
      <c r="AA36" s="65"/>
      <c r="AB36" s="103"/>
      <c r="AF36" s="6"/>
    </row>
    <row r="37" spans="1:32">
      <c r="A37" s="2">
        <f t="shared" si="2"/>
        <v>20</v>
      </c>
      <c r="B37" s="688" t="s">
        <v>2330</v>
      </c>
      <c r="C37" s="688" t="s">
        <v>2514</v>
      </c>
      <c r="D37" s="688"/>
      <c r="E37" s="182" t="s">
        <v>2516</v>
      </c>
      <c r="F37" s="183">
        <v>-8725300.1699999999</v>
      </c>
      <c r="G37" s="183">
        <v>-8846196.4000000004</v>
      </c>
      <c r="H37" s="183">
        <v>-8930162.3100000005</v>
      </c>
      <c r="I37" s="183">
        <v>-9014125.8300000001</v>
      </c>
      <c r="J37" s="183">
        <v>-9098987.3000000007</v>
      </c>
      <c r="K37" s="183">
        <v>-9183848.2400000002</v>
      </c>
      <c r="L37" s="183">
        <v>-9268709.1799999997</v>
      </c>
      <c r="M37" s="183">
        <v>-9353570.1199999992</v>
      </c>
      <c r="N37" s="183">
        <v>-9438431.0600000005</v>
      </c>
      <c r="O37" s="183">
        <v>-9523293.8300000001</v>
      </c>
      <c r="P37" s="183">
        <v>-9608156.5999999996</v>
      </c>
      <c r="Q37" s="183">
        <v>-9693019.3699999992</v>
      </c>
      <c r="R37" s="183">
        <v>-9779305.7699999996</v>
      </c>
      <c r="S37" s="184">
        <f t="shared" si="4"/>
        <v>-9267566.9341666661</v>
      </c>
      <c r="U37" s="65"/>
      <c r="V37" s="103"/>
      <c r="W37" s="103"/>
      <c r="X37" s="599">
        <f t="shared" si="5"/>
        <v>-9267566.9341666661</v>
      </c>
      <c r="Y37" s="103"/>
      <c r="Z37" s="103">
        <f>+S37</f>
        <v>-9267566.9341666661</v>
      </c>
      <c r="AA37" s="65"/>
      <c r="AB37" s="103"/>
      <c r="AF37" s="6"/>
    </row>
    <row r="38" spans="1:32">
      <c r="A38" s="2">
        <f t="shared" si="2"/>
        <v>21</v>
      </c>
      <c r="B38" s="688" t="s">
        <v>2330</v>
      </c>
      <c r="C38" s="688" t="s">
        <v>2517</v>
      </c>
      <c r="D38" s="688"/>
      <c r="E38" s="182" t="s">
        <v>2518</v>
      </c>
      <c r="F38" s="313">
        <v>0</v>
      </c>
      <c r="G38" s="313">
        <v>0</v>
      </c>
      <c r="H38" s="313">
        <v>0</v>
      </c>
      <c r="I38" s="313">
        <v>0</v>
      </c>
      <c r="J38" s="313">
        <v>0</v>
      </c>
      <c r="K38" s="313">
        <v>0</v>
      </c>
      <c r="L38" s="313">
        <v>0</v>
      </c>
      <c r="M38" s="313">
        <v>0</v>
      </c>
      <c r="N38" s="313">
        <v>0</v>
      </c>
      <c r="O38" s="313">
        <v>0</v>
      </c>
      <c r="P38" s="313">
        <v>0</v>
      </c>
      <c r="Q38" s="313">
        <v>0</v>
      </c>
      <c r="R38" s="313">
        <v>0</v>
      </c>
      <c r="S38" s="314">
        <f t="shared" si="4"/>
        <v>0</v>
      </c>
      <c r="U38" s="65"/>
      <c r="V38" s="103"/>
      <c r="W38" s="103"/>
      <c r="X38" s="599">
        <f t="shared" si="5"/>
        <v>0</v>
      </c>
      <c r="Y38" s="103"/>
      <c r="Z38" s="103"/>
      <c r="AA38" s="65"/>
      <c r="AB38" s="103"/>
      <c r="AF38" s="6"/>
    </row>
    <row r="39" spans="1:32">
      <c r="A39" s="2">
        <f t="shared" si="2"/>
        <v>22</v>
      </c>
      <c r="E39" s="182" t="s">
        <v>2519</v>
      </c>
      <c r="F39" s="183">
        <f>SUM(F30:F38)</f>
        <v>-428875264.71000004</v>
      </c>
      <c r="G39" s="183">
        <f t="shared" ref="G39:R39" si="6">SUM(G30:G38)</f>
        <v>-430393530.91999996</v>
      </c>
      <c r="H39" s="183">
        <f t="shared" si="6"/>
        <v>-432285477.01999998</v>
      </c>
      <c r="I39" s="183">
        <f t="shared" si="6"/>
        <v>-432961921.86000001</v>
      </c>
      <c r="J39" s="183">
        <f t="shared" si="6"/>
        <v>-435333124.84000003</v>
      </c>
      <c r="K39" s="183">
        <f t="shared" si="6"/>
        <v>-437684509.49999994</v>
      </c>
      <c r="L39" s="183">
        <f t="shared" si="6"/>
        <v>-439287757.51999992</v>
      </c>
      <c r="M39" s="183">
        <f t="shared" si="6"/>
        <v>-440144983.85999995</v>
      </c>
      <c r="N39" s="183">
        <f t="shared" si="6"/>
        <v>-442020060.63000005</v>
      </c>
      <c r="O39" s="183">
        <f t="shared" si="6"/>
        <v>-443587701.23999995</v>
      </c>
      <c r="P39" s="183">
        <f t="shared" si="6"/>
        <v>-445686407.38999999</v>
      </c>
      <c r="Q39" s="183">
        <f t="shared" si="6"/>
        <v>-448432050.58000004</v>
      </c>
      <c r="R39" s="183">
        <f t="shared" si="6"/>
        <v>-452111334.77999997</v>
      </c>
      <c r="S39" s="184">
        <f>SUM(S30:S38)</f>
        <v>-439025902.09208328</v>
      </c>
      <c r="U39" s="65"/>
      <c r="V39" s="103"/>
      <c r="W39" s="103"/>
      <c r="X39" s="599"/>
      <c r="Y39" s="103"/>
      <c r="Z39" s="103"/>
      <c r="AA39" s="65"/>
      <c r="AB39" s="103"/>
      <c r="AF39" s="6"/>
    </row>
    <row r="40" spans="1:32">
      <c r="A40" s="2">
        <f t="shared" si="2"/>
        <v>23</v>
      </c>
      <c r="B40" s="688"/>
      <c r="C40" s="688"/>
      <c r="D40" s="688"/>
      <c r="E40" s="182"/>
      <c r="F40" s="183"/>
      <c r="G40" s="183"/>
      <c r="H40" s="183"/>
      <c r="I40" s="183"/>
      <c r="J40" s="183"/>
      <c r="K40" s="183"/>
      <c r="L40" s="183"/>
      <c r="M40" s="183"/>
      <c r="N40" s="183"/>
      <c r="O40" s="183"/>
      <c r="P40" s="183"/>
      <c r="Q40" s="183"/>
      <c r="R40" s="183"/>
      <c r="S40" s="184"/>
      <c r="U40" s="65"/>
      <c r="V40" s="103"/>
      <c r="W40" s="103"/>
      <c r="X40" s="599"/>
      <c r="Y40" s="103"/>
      <c r="Z40" s="103"/>
      <c r="AA40" s="65"/>
      <c r="AB40" s="103"/>
      <c r="AF40" s="6"/>
    </row>
    <row r="41" spans="1:32">
      <c r="A41" s="2">
        <f t="shared" si="2"/>
        <v>24</v>
      </c>
      <c r="B41" s="688" t="s">
        <v>2330</v>
      </c>
      <c r="C41" s="688" t="s">
        <v>2520</v>
      </c>
      <c r="D41" s="688"/>
      <c r="E41" s="183" t="s">
        <v>2521</v>
      </c>
      <c r="F41" s="484">
        <v>339576.12</v>
      </c>
      <c r="G41" s="484">
        <v>320613.53000000003</v>
      </c>
      <c r="H41" s="484">
        <v>376546.08</v>
      </c>
      <c r="I41" s="484">
        <v>367819.52000000002</v>
      </c>
      <c r="J41" s="484">
        <v>345819.02</v>
      </c>
      <c r="K41" s="484">
        <v>374015.52</v>
      </c>
      <c r="L41" s="484">
        <v>362038.18</v>
      </c>
      <c r="M41" s="484">
        <v>346199.63</v>
      </c>
      <c r="N41" s="484">
        <v>338732.67</v>
      </c>
      <c r="O41" s="484">
        <v>316009.2</v>
      </c>
      <c r="P41" s="103">
        <v>292844.59999999998</v>
      </c>
      <c r="Q41" s="103">
        <v>280874.90999999997</v>
      </c>
      <c r="R41" s="103">
        <v>447451.77</v>
      </c>
      <c r="S41" s="184">
        <f>((F41+R41)+((G41+H41+I41+J41+K41+L41+M41+N41+O41+P41+Q41)*2))/24</f>
        <v>342918.9004166667</v>
      </c>
      <c r="U41" s="65"/>
      <c r="V41" s="103"/>
      <c r="W41" s="103"/>
      <c r="X41" s="599">
        <f>+S41</f>
        <v>342918.9004166667</v>
      </c>
      <c r="Y41" s="103">
        <f>+S41</f>
        <v>342918.9004166667</v>
      </c>
      <c r="Z41" s="103"/>
      <c r="AA41" s="65"/>
      <c r="AB41" s="103"/>
      <c r="AF41" s="6"/>
    </row>
    <row r="42" spans="1:32">
      <c r="A42" s="2">
        <f t="shared" si="2"/>
        <v>25</v>
      </c>
      <c r="B42" s="1" t="s">
        <v>2330</v>
      </c>
      <c r="C42" s="1" t="s">
        <v>2520</v>
      </c>
      <c r="E42" s="182" t="s">
        <v>2522</v>
      </c>
      <c r="F42" s="484">
        <v>-598927.80000000005</v>
      </c>
      <c r="G42" s="484">
        <v>-605432.16</v>
      </c>
      <c r="H42" s="484">
        <v>-596936.15</v>
      </c>
      <c r="I42" s="484">
        <v>-603406.89</v>
      </c>
      <c r="J42" s="484">
        <v>-609877.63</v>
      </c>
      <c r="K42" s="484">
        <v>-616348.37</v>
      </c>
      <c r="L42" s="484">
        <v>-622859.56000000006</v>
      </c>
      <c r="M42" s="484">
        <v>-629391.61</v>
      </c>
      <c r="N42" s="484">
        <v>-635954.31999999995</v>
      </c>
      <c r="O42" s="484">
        <v>-642590.80000000005</v>
      </c>
      <c r="P42" s="103">
        <v>-649277.25</v>
      </c>
      <c r="Q42" s="103">
        <v>-653923.48</v>
      </c>
      <c r="R42" s="103">
        <v>-612022.27</v>
      </c>
      <c r="S42" s="184">
        <f>((F42+R42)+((G42+H42+I42+J42+K42+L42+M42+N42+O42+P42+Q42)*2))/24</f>
        <v>-622622.77125000011</v>
      </c>
      <c r="U42" s="65"/>
      <c r="V42" s="103"/>
      <c r="W42" s="103"/>
      <c r="X42" s="599">
        <f>+S42</f>
        <v>-622622.77125000011</v>
      </c>
      <c r="Y42" s="103"/>
      <c r="Z42" s="103">
        <f>+S42</f>
        <v>-622622.77125000011</v>
      </c>
      <c r="AA42" s="65"/>
      <c r="AB42" s="103"/>
      <c r="AF42" s="6"/>
    </row>
    <row r="43" spans="1:32">
      <c r="A43" s="2">
        <f t="shared" si="2"/>
        <v>26</v>
      </c>
      <c r="B43" s="1" t="s">
        <v>2330</v>
      </c>
      <c r="C43" s="1" t="s">
        <v>2523</v>
      </c>
      <c r="E43" s="182" t="s">
        <v>2524</v>
      </c>
      <c r="F43" s="671">
        <v>-130029620.40000001</v>
      </c>
      <c r="G43" s="818">
        <v>-130794260.40000001</v>
      </c>
      <c r="H43" s="819">
        <v>-131568244.08</v>
      </c>
      <c r="I43" s="819">
        <v>-132253101.12</v>
      </c>
      <c r="J43" s="672">
        <v>-132960778.78</v>
      </c>
      <c r="K43" s="820">
        <v>-133700753.47</v>
      </c>
      <c r="L43" s="821">
        <v>-134291517.96000001</v>
      </c>
      <c r="M43" s="673">
        <v>-134960481.63999999</v>
      </c>
      <c r="N43" s="674">
        <v>-135666074.69999999</v>
      </c>
      <c r="O43" s="105">
        <v>-136426810.59</v>
      </c>
      <c r="P43" s="184">
        <v>-136922264.46000001</v>
      </c>
      <c r="Q43" s="184">
        <v>-137421098.12</v>
      </c>
      <c r="R43" s="184">
        <v>-137250590.81999999</v>
      </c>
      <c r="S43" s="184">
        <f>((F43+R43)+((G43+H43+I43+J43+K43+L43+M43+N43+O43+P43+Q43)*2))/24</f>
        <v>-134217124.24416667</v>
      </c>
      <c r="U43" s="65"/>
      <c r="V43" s="103"/>
      <c r="W43" s="103"/>
      <c r="X43" s="599">
        <f>+S43</f>
        <v>-134217124.24416667</v>
      </c>
      <c r="Y43" s="103">
        <f>+S43</f>
        <v>-134217124.24416667</v>
      </c>
      <c r="Z43" s="103"/>
      <c r="AA43" s="65"/>
      <c r="AB43" s="103"/>
      <c r="AF43" s="6"/>
    </row>
    <row r="44" spans="1:32">
      <c r="A44" s="2">
        <f t="shared" si="2"/>
        <v>27</v>
      </c>
      <c r="B44" s="1" t="s">
        <v>2330</v>
      </c>
      <c r="C44" s="1" t="s">
        <v>2523</v>
      </c>
      <c r="E44" s="182" t="s">
        <v>2525</v>
      </c>
      <c r="F44" s="675">
        <v>-32953319.219999999</v>
      </c>
      <c r="G44" s="675">
        <v>-33199693.649999999</v>
      </c>
      <c r="H44" s="675">
        <v>-33443748.98</v>
      </c>
      <c r="I44" s="675">
        <v>-34052723.200000003</v>
      </c>
      <c r="J44" s="675">
        <v>-34232165.030000001</v>
      </c>
      <c r="K44" s="675">
        <v>-34226962.969999999</v>
      </c>
      <c r="L44" s="675">
        <v>-34408610.780000001</v>
      </c>
      <c r="M44" s="675">
        <v>-34650737.93</v>
      </c>
      <c r="N44" s="675">
        <v>-34875517.649999999</v>
      </c>
      <c r="O44" s="675">
        <v>-35116503.890000001</v>
      </c>
      <c r="P44" s="314">
        <v>-35190747.829999998</v>
      </c>
      <c r="Q44" s="314">
        <v>-35367790.100000001</v>
      </c>
      <c r="R44" s="314">
        <v>-34903360.049999997</v>
      </c>
      <c r="S44" s="314">
        <f>((F44+R44)+((G44+H44+I44+J44+K44+L44+M44+N44+O44+P44+Q44)*2))/24</f>
        <v>-34391128.470416665</v>
      </c>
      <c r="U44" s="65"/>
      <c r="V44" s="103"/>
      <c r="W44" s="103"/>
      <c r="X44" s="599">
        <f>+S44</f>
        <v>-34391128.470416665</v>
      </c>
      <c r="Y44" s="103"/>
      <c r="Z44" s="103">
        <f>+S44</f>
        <v>-34391128.470416665</v>
      </c>
      <c r="AA44" s="65"/>
      <c r="AB44" s="103"/>
      <c r="AF44" s="6"/>
    </row>
    <row r="45" spans="1:32">
      <c r="A45" s="2">
        <f t="shared" si="2"/>
        <v>28</v>
      </c>
      <c r="E45" s="182" t="s">
        <v>2526</v>
      </c>
      <c r="F45" s="676">
        <f>SUM(F41:F44)</f>
        <v>-163242291.30000001</v>
      </c>
      <c r="G45" s="676">
        <f t="shared" ref="G45:S45" si="7">SUM(G41:G44)</f>
        <v>-164278772.68000001</v>
      </c>
      <c r="H45" s="676">
        <f t="shared" si="7"/>
        <v>-165232383.13</v>
      </c>
      <c r="I45" s="676">
        <f t="shared" si="7"/>
        <v>-166541411.69</v>
      </c>
      <c r="J45" s="676">
        <f t="shared" si="7"/>
        <v>-167457002.42000002</v>
      </c>
      <c r="K45" s="676">
        <f t="shared" si="7"/>
        <v>-168170049.28999999</v>
      </c>
      <c r="L45" s="676">
        <f t="shared" si="7"/>
        <v>-168960950.12</v>
      </c>
      <c r="M45" s="676">
        <f t="shared" si="7"/>
        <v>-169894411.54999998</v>
      </c>
      <c r="N45" s="676">
        <f t="shared" si="7"/>
        <v>-170838814</v>
      </c>
      <c r="O45" s="676">
        <f t="shared" si="7"/>
        <v>-171869896.07999998</v>
      </c>
      <c r="P45" s="676">
        <f t="shared" si="7"/>
        <v>-172469444.94</v>
      </c>
      <c r="Q45" s="676">
        <f t="shared" si="7"/>
        <v>-173161936.78999999</v>
      </c>
      <c r="R45" s="676">
        <f t="shared" si="7"/>
        <v>-172318521.37</v>
      </c>
      <c r="S45" s="676">
        <f t="shared" si="7"/>
        <v>-168887956.58541667</v>
      </c>
      <c r="U45" s="65"/>
      <c r="V45" s="103"/>
      <c r="W45" s="103"/>
      <c r="X45" s="599"/>
      <c r="Y45" s="103"/>
      <c r="Z45" s="103"/>
      <c r="AA45" s="65"/>
      <c r="AB45" s="103"/>
      <c r="AF45" s="6"/>
    </row>
    <row r="46" spans="1:32">
      <c r="A46" s="2">
        <f t="shared" si="2"/>
        <v>29</v>
      </c>
      <c r="E46" s="182"/>
      <c r="F46" s="484"/>
      <c r="G46" s="484"/>
      <c r="H46" s="484"/>
      <c r="I46" s="484"/>
      <c r="J46" s="484"/>
      <c r="K46" s="484"/>
      <c r="L46" s="484"/>
      <c r="M46" s="484"/>
      <c r="N46" s="484"/>
      <c r="O46" s="484"/>
      <c r="P46" s="196"/>
      <c r="Q46" s="196"/>
      <c r="R46" s="196"/>
      <c r="S46" s="103"/>
      <c r="U46" s="65"/>
      <c r="V46" s="103"/>
      <c r="W46" s="103"/>
      <c r="X46" s="599"/>
      <c r="Y46" s="103"/>
      <c r="Z46" s="103"/>
      <c r="AA46" s="65"/>
      <c r="AB46" s="103"/>
      <c r="AF46" s="6"/>
    </row>
    <row r="47" spans="1:32">
      <c r="A47" s="2">
        <f t="shared" si="2"/>
        <v>30</v>
      </c>
      <c r="E47" s="697" t="s">
        <v>2527</v>
      </c>
      <c r="F47" s="677">
        <f>+F45+F39</f>
        <v>-592117556.00999999</v>
      </c>
      <c r="G47" s="677">
        <f t="shared" ref="G47:S47" si="8">+G45+G39</f>
        <v>-594672303.5999999</v>
      </c>
      <c r="H47" s="677">
        <f t="shared" si="8"/>
        <v>-597517860.14999998</v>
      </c>
      <c r="I47" s="677">
        <f t="shared" si="8"/>
        <v>-599503333.54999995</v>
      </c>
      <c r="J47" s="677">
        <f t="shared" si="8"/>
        <v>-602790127.25999999</v>
      </c>
      <c r="K47" s="677">
        <f t="shared" si="8"/>
        <v>-605854558.78999996</v>
      </c>
      <c r="L47" s="677">
        <f t="shared" si="8"/>
        <v>-608248707.63999987</v>
      </c>
      <c r="M47" s="677">
        <f t="shared" si="8"/>
        <v>-610039395.40999997</v>
      </c>
      <c r="N47" s="677">
        <f t="shared" si="8"/>
        <v>-612858874.63000011</v>
      </c>
      <c r="O47" s="677">
        <f t="shared" si="8"/>
        <v>-615457597.31999993</v>
      </c>
      <c r="P47" s="677">
        <f t="shared" si="8"/>
        <v>-618155852.32999992</v>
      </c>
      <c r="Q47" s="677">
        <v>-621593987.37</v>
      </c>
      <c r="R47" s="677">
        <v>-624429856.14999998</v>
      </c>
      <c r="S47" s="677">
        <f t="shared" si="8"/>
        <v>-607913858.67750001</v>
      </c>
      <c r="U47" s="65"/>
      <c r="V47" s="103"/>
      <c r="W47" s="103"/>
      <c r="X47" s="599"/>
      <c r="Y47" s="103"/>
      <c r="Z47" s="103"/>
      <c r="AA47" s="65"/>
      <c r="AB47" s="103"/>
      <c r="AF47" s="6"/>
    </row>
    <row r="48" spans="1:32">
      <c r="A48" s="2">
        <f t="shared" si="2"/>
        <v>31</v>
      </c>
      <c r="E48" s="697"/>
      <c r="F48" s="678"/>
      <c r="G48" s="678"/>
      <c r="H48" s="678"/>
      <c r="I48" s="678"/>
      <c r="J48" s="678"/>
      <c r="K48" s="678"/>
      <c r="L48" s="678"/>
      <c r="M48" s="678"/>
      <c r="N48" s="678"/>
      <c r="O48" s="678"/>
      <c r="P48" s="678"/>
      <c r="Q48" s="678"/>
      <c r="R48" s="678"/>
      <c r="S48" s="47"/>
      <c r="U48" s="65"/>
      <c r="V48" s="103"/>
      <c r="W48" s="103"/>
      <c r="X48" s="599"/>
      <c r="Y48" s="103"/>
      <c r="Z48" s="103"/>
      <c r="AA48" s="65"/>
      <c r="AB48" s="103"/>
      <c r="AF48" s="6"/>
    </row>
    <row r="49" spans="1:32">
      <c r="A49" s="2">
        <f t="shared" si="2"/>
        <v>32</v>
      </c>
      <c r="E49" s="697" t="s">
        <v>2528</v>
      </c>
      <c r="F49" s="678">
        <f>+F28+F47</f>
        <v>820824958.50999975</v>
      </c>
      <c r="G49" s="678">
        <f t="shared" ref="G49:S49" si="9">+G28+G47</f>
        <v>825054270.25999999</v>
      </c>
      <c r="H49" s="678">
        <f t="shared" si="9"/>
        <v>828279669.67999971</v>
      </c>
      <c r="I49" s="678">
        <f t="shared" si="9"/>
        <v>833870449.61999989</v>
      </c>
      <c r="J49" s="678">
        <f t="shared" si="9"/>
        <v>838620875.17000031</v>
      </c>
      <c r="K49" s="678">
        <f t="shared" si="9"/>
        <v>842691261.71000004</v>
      </c>
      <c r="L49" s="678">
        <f t="shared" si="9"/>
        <v>849987387.97000051</v>
      </c>
      <c r="M49" s="678">
        <f t="shared" si="9"/>
        <v>854428689.56000006</v>
      </c>
      <c r="N49" s="678">
        <f t="shared" si="9"/>
        <v>863113771.57999992</v>
      </c>
      <c r="O49" s="678">
        <f t="shared" si="9"/>
        <v>872938261.96000004</v>
      </c>
      <c r="P49" s="678">
        <f t="shared" si="9"/>
        <v>883482920.66000009</v>
      </c>
      <c r="Q49" s="678">
        <f t="shared" si="9"/>
        <v>891006627.14999974</v>
      </c>
      <c r="R49" s="678">
        <f t="shared" si="9"/>
        <v>904094660.74999988</v>
      </c>
      <c r="S49" s="678">
        <f t="shared" si="9"/>
        <v>853827832.91250014</v>
      </c>
      <c r="U49" s="65"/>
      <c r="V49" s="103"/>
      <c r="W49" s="103"/>
      <c r="X49" s="599"/>
      <c r="Y49" s="103"/>
      <c r="Z49" s="103"/>
      <c r="AA49" s="65"/>
      <c r="AB49" s="103"/>
      <c r="AF49" s="6"/>
    </row>
    <row r="50" spans="1:32">
      <c r="A50" s="2">
        <f t="shared" si="2"/>
        <v>33</v>
      </c>
      <c r="E50" s="697"/>
      <c r="F50" s="663"/>
      <c r="G50" s="813"/>
      <c r="H50" s="814"/>
      <c r="I50" s="814"/>
      <c r="J50" s="667"/>
      <c r="K50" s="815"/>
      <c r="L50" s="816"/>
      <c r="M50" s="668"/>
      <c r="N50" s="669"/>
      <c r="O50" s="817"/>
      <c r="P50" s="670"/>
      <c r="Q50" s="662"/>
      <c r="R50" s="663"/>
      <c r="S50" s="47"/>
      <c r="U50" s="65"/>
      <c r="V50" s="103"/>
      <c r="W50" s="103"/>
      <c r="X50" s="599"/>
      <c r="Y50" s="103"/>
      <c r="Z50" s="103"/>
      <c r="AA50" s="65"/>
      <c r="AB50" s="103"/>
      <c r="AF50" s="6"/>
    </row>
    <row r="51" spans="1:32">
      <c r="A51" s="2">
        <f t="shared" si="2"/>
        <v>34</v>
      </c>
      <c r="B51" s="688" t="s">
        <v>2330</v>
      </c>
      <c r="C51" s="688" t="s">
        <v>2529</v>
      </c>
      <c r="D51" s="688"/>
      <c r="E51" s="182" t="s">
        <v>2530</v>
      </c>
      <c r="F51" s="313">
        <v>0</v>
      </c>
      <c r="G51" s="313">
        <v>0</v>
      </c>
      <c r="H51" s="313">
        <v>0</v>
      </c>
      <c r="I51" s="313">
        <v>0</v>
      </c>
      <c r="J51" s="313">
        <v>0</v>
      </c>
      <c r="K51" s="313">
        <v>0</v>
      </c>
      <c r="L51" s="313">
        <v>0</v>
      </c>
      <c r="M51" s="313">
        <v>0</v>
      </c>
      <c r="N51" s="313">
        <v>0</v>
      </c>
      <c r="O51" s="313">
        <v>0</v>
      </c>
      <c r="P51" s="313">
        <v>0</v>
      </c>
      <c r="Q51" s="313">
        <v>0</v>
      </c>
      <c r="R51" s="313">
        <v>0</v>
      </c>
      <c r="S51" s="679">
        <f>((F51+R51)+((G51+H51+I51+J51+K51+L51+M51+N51+O51+P51+Q51)*2))/24</f>
        <v>0</v>
      </c>
      <c r="U51" s="65">
        <f>+S51</f>
        <v>0</v>
      </c>
      <c r="V51" s="103"/>
      <c r="W51" s="103"/>
      <c r="X51" s="599"/>
      <c r="Y51" s="103"/>
      <c r="Z51" s="103"/>
      <c r="AA51" s="65"/>
      <c r="AB51" s="103"/>
      <c r="AF51" s="6"/>
    </row>
    <row r="52" spans="1:32">
      <c r="A52" s="2">
        <f t="shared" si="2"/>
        <v>35</v>
      </c>
      <c r="E52" s="697" t="s">
        <v>2531</v>
      </c>
      <c r="F52" s="511">
        <f>+F51</f>
        <v>0</v>
      </c>
      <c r="G52" s="680">
        <v>0</v>
      </c>
      <c r="H52" s="681">
        <v>0</v>
      </c>
      <c r="I52" s="681">
        <v>0</v>
      </c>
      <c r="J52" s="682">
        <v>0</v>
      </c>
      <c r="K52" s="683">
        <v>0</v>
      </c>
      <c r="L52" s="684">
        <v>0</v>
      </c>
      <c r="M52" s="685">
        <v>0</v>
      </c>
      <c r="N52" s="686">
        <v>0</v>
      </c>
      <c r="O52" s="822">
        <v>0</v>
      </c>
      <c r="P52" s="687">
        <v>0</v>
      </c>
      <c r="Q52" s="513">
        <v>0</v>
      </c>
      <c r="R52" s="511">
        <v>0</v>
      </c>
      <c r="S52" s="47">
        <f>((F52+R52)+((G52+H52+I52+J52+K52+L52+M52+N52+O52+P52+Q52)*2))/24</f>
        <v>0</v>
      </c>
      <c r="U52" s="65"/>
      <c r="V52" s="103"/>
      <c r="W52" s="103"/>
      <c r="X52" s="599"/>
      <c r="Y52" s="103"/>
      <c r="Z52" s="103"/>
      <c r="AA52" s="65"/>
      <c r="AB52" s="103"/>
      <c r="AF52" s="6"/>
    </row>
    <row r="53" spans="1:32">
      <c r="A53" s="2">
        <f t="shared" si="2"/>
        <v>36</v>
      </c>
      <c r="E53" s="697"/>
      <c r="F53" s="183"/>
      <c r="G53" s="187"/>
      <c r="H53" s="188"/>
      <c r="I53" s="188"/>
      <c r="J53" s="189"/>
      <c r="K53" s="190"/>
      <c r="L53" s="191"/>
      <c r="M53" s="192"/>
      <c r="N53" s="193"/>
      <c r="O53" s="689"/>
      <c r="P53" s="194"/>
      <c r="Q53" s="195"/>
      <c r="R53" s="183"/>
      <c r="S53" s="47"/>
      <c r="U53" s="65"/>
      <c r="V53" s="103"/>
      <c r="W53" s="103"/>
      <c r="X53" s="599"/>
      <c r="Y53" s="103"/>
      <c r="Z53" s="103"/>
      <c r="AA53" s="65"/>
      <c r="AB53" s="103"/>
      <c r="AF53" s="6"/>
    </row>
    <row r="54" spans="1:32">
      <c r="A54" s="2">
        <f t="shared" si="2"/>
        <v>37</v>
      </c>
      <c r="B54" s="688" t="s">
        <v>2330</v>
      </c>
      <c r="C54" s="688" t="s">
        <v>2532</v>
      </c>
      <c r="D54" s="688"/>
      <c r="E54" s="182" t="s">
        <v>2533</v>
      </c>
      <c r="F54" s="183">
        <v>197964.51</v>
      </c>
      <c r="G54" s="183">
        <v>197964.51</v>
      </c>
      <c r="H54" s="183">
        <v>197964.51</v>
      </c>
      <c r="I54" s="183">
        <v>197964.51</v>
      </c>
      <c r="J54" s="183">
        <v>197964.51</v>
      </c>
      <c r="K54" s="183">
        <v>197964.51</v>
      </c>
      <c r="L54" s="183">
        <v>197964.51</v>
      </c>
      <c r="M54" s="183">
        <v>197964.51</v>
      </c>
      <c r="N54" s="183">
        <v>197964.51</v>
      </c>
      <c r="O54" s="183">
        <v>197964.51</v>
      </c>
      <c r="P54" s="183">
        <v>197964.51</v>
      </c>
      <c r="Q54" s="183">
        <v>197964.51</v>
      </c>
      <c r="R54" s="183">
        <v>197964.51</v>
      </c>
      <c r="S54" s="188">
        <f t="shared" ref="S54:S60" si="10">((F54+R54)+((G54+H54+I54+J54+K54+L54+M54+N54+O54+P54+Q54)*2))/24</f>
        <v>197964.51</v>
      </c>
      <c r="U54" s="65"/>
      <c r="V54" s="103"/>
      <c r="W54" s="103"/>
      <c r="X54" s="599">
        <f>+S54</f>
        <v>197964.51</v>
      </c>
      <c r="Y54" s="103"/>
      <c r="Z54" s="103"/>
      <c r="AA54" s="65"/>
      <c r="AB54" s="103">
        <f>+S54</f>
        <v>197964.51</v>
      </c>
      <c r="AF54" s="6"/>
    </row>
    <row r="55" spans="1:32">
      <c r="A55" s="2">
        <f t="shared" si="2"/>
        <v>38</v>
      </c>
      <c r="B55" s="688" t="s">
        <v>2330</v>
      </c>
      <c r="C55" s="688" t="s">
        <v>2534</v>
      </c>
      <c r="D55" s="688"/>
      <c r="E55" s="182" t="s">
        <v>2535</v>
      </c>
      <c r="F55" s="183">
        <v>0</v>
      </c>
      <c r="G55" s="183">
        <v>0</v>
      </c>
      <c r="H55" s="183">
        <v>0</v>
      </c>
      <c r="I55" s="183">
        <v>0</v>
      </c>
      <c r="J55" s="183">
        <v>0</v>
      </c>
      <c r="K55" s="183">
        <v>0</v>
      </c>
      <c r="L55" s="183">
        <v>0</v>
      </c>
      <c r="M55" s="183">
        <v>0</v>
      </c>
      <c r="N55" s="183">
        <v>0</v>
      </c>
      <c r="O55" s="183">
        <v>0</v>
      </c>
      <c r="P55" s="183">
        <v>0</v>
      </c>
      <c r="Q55" s="183">
        <v>0</v>
      </c>
      <c r="R55" s="183">
        <v>0</v>
      </c>
      <c r="S55" s="188">
        <f t="shared" si="10"/>
        <v>0</v>
      </c>
      <c r="U55" s="65">
        <f>+S55</f>
        <v>0</v>
      </c>
      <c r="V55" s="103"/>
      <c r="W55" s="103"/>
      <c r="X55" s="599"/>
      <c r="Y55" s="103"/>
      <c r="Z55" s="103"/>
      <c r="AA55" s="65"/>
      <c r="AB55" s="103">
        <f t="shared" ref="AB55:AB60" si="11">+S55</f>
        <v>0</v>
      </c>
      <c r="AF55" s="6"/>
    </row>
    <row r="56" spans="1:32">
      <c r="A56" s="2">
        <f t="shared" si="2"/>
        <v>39</v>
      </c>
      <c r="B56" s="688" t="s">
        <v>2330</v>
      </c>
      <c r="C56" s="688" t="s">
        <v>2536</v>
      </c>
      <c r="D56" s="688" t="s">
        <v>2537</v>
      </c>
      <c r="E56" s="182" t="s">
        <v>2538</v>
      </c>
      <c r="F56" s="183">
        <v>532983.76</v>
      </c>
      <c r="G56" s="183">
        <v>534806</v>
      </c>
      <c r="H56" s="183">
        <v>536547.78</v>
      </c>
      <c r="I56" s="183">
        <v>538545.26</v>
      </c>
      <c r="J56" s="183">
        <v>540583.14</v>
      </c>
      <c r="K56" s="183">
        <v>535393.07999999996</v>
      </c>
      <c r="L56" s="183">
        <v>537570.76</v>
      </c>
      <c r="M56" s="183">
        <v>547271.99</v>
      </c>
      <c r="N56" s="183">
        <v>549686.72</v>
      </c>
      <c r="O56" s="183">
        <v>1478300.54</v>
      </c>
      <c r="P56" s="183">
        <v>38953.880000000099</v>
      </c>
      <c r="Q56" s="183">
        <v>39121.230000000098</v>
      </c>
      <c r="R56" s="183">
        <v>39294.7400000001</v>
      </c>
      <c r="S56" s="188">
        <f t="shared" si="10"/>
        <v>513576.63583333342</v>
      </c>
      <c r="U56" s="65"/>
      <c r="V56" s="103"/>
      <c r="W56" s="103"/>
      <c r="X56" s="599">
        <f>+S56</f>
        <v>513576.63583333342</v>
      </c>
      <c r="Y56" s="103"/>
      <c r="Z56" s="103"/>
      <c r="AA56" s="65"/>
      <c r="AB56" s="103">
        <f t="shared" si="11"/>
        <v>513576.63583333342</v>
      </c>
      <c r="AF56" s="6"/>
    </row>
    <row r="57" spans="1:32">
      <c r="A57" s="2">
        <f t="shared" si="2"/>
        <v>40</v>
      </c>
      <c r="B57" s="688" t="s">
        <v>2330</v>
      </c>
      <c r="C57" s="688" t="s">
        <v>2536</v>
      </c>
      <c r="D57" s="688" t="s">
        <v>2539</v>
      </c>
      <c r="E57" s="182" t="s">
        <v>2540</v>
      </c>
      <c r="F57" s="183">
        <v>10052546.789999999</v>
      </c>
      <c r="G57" s="183">
        <v>10195188.92</v>
      </c>
      <c r="H57" s="183">
        <v>10136230.800000001</v>
      </c>
      <c r="I57" s="183">
        <v>10231078.359999999</v>
      </c>
      <c r="J57" s="183">
        <v>10242326.720000001</v>
      </c>
      <c r="K57" s="183">
        <v>9362502.2799999993</v>
      </c>
      <c r="L57" s="183">
        <v>9460003.2300000004</v>
      </c>
      <c r="M57" s="183">
        <v>9500563.5</v>
      </c>
      <c r="N57" s="183">
        <v>9477126.0600000005</v>
      </c>
      <c r="O57" s="183">
        <v>8578681.6999999993</v>
      </c>
      <c r="P57" s="183">
        <v>8546545.9399999995</v>
      </c>
      <c r="Q57" s="183">
        <v>8641881.4700000007</v>
      </c>
      <c r="R57" s="183">
        <v>8733723.2799999993</v>
      </c>
      <c r="S57" s="188">
        <f t="shared" si="10"/>
        <v>9480438.6679166667</v>
      </c>
      <c r="U57" s="65"/>
      <c r="V57" s="103"/>
      <c r="W57" s="103"/>
      <c r="X57" s="599">
        <f>+S57</f>
        <v>9480438.6679166667</v>
      </c>
      <c r="Y57" s="103"/>
      <c r="Z57" s="103"/>
      <c r="AA57" s="65"/>
      <c r="AB57" s="103">
        <f t="shared" si="11"/>
        <v>9480438.6679166667</v>
      </c>
      <c r="AF57" s="6"/>
    </row>
    <row r="58" spans="1:32">
      <c r="A58" s="2">
        <f t="shared" si="2"/>
        <v>41</v>
      </c>
      <c r="B58" s="688" t="s">
        <v>2330</v>
      </c>
      <c r="C58" s="688" t="s">
        <v>2536</v>
      </c>
      <c r="D58" s="688" t="s">
        <v>2541</v>
      </c>
      <c r="E58" s="182" t="s">
        <v>2542</v>
      </c>
      <c r="F58" s="183">
        <v>0</v>
      </c>
      <c r="G58" s="183">
        <v>22600</v>
      </c>
      <c r="H58" s="183">
        <v>22600</v>
      </c>
      <c r="I58" s="183">
        <v>0</v>
      </c>
      <c r="J58" s="183">
        <v>0</v>
      </c>
      <c r="K58" s="183">
        <v>0</v>
      </c>
      <c r="L58" s="183">
        <v>0</v>
      </c>
      <c r="M58" s="183">
        <v>0</v>
      </c>
      <c r="N58" s="183">
        <v>0</v>
      </c>
      <c r="O58" s="183">
        <v>0</v>
      </c>
      <c r="P58" s="183">
        <v>0</v>
      </c>
      <c r="Q58" s="183">
        <v>0</v>
      </c>
      <c r="R58" s="183">
        <v>0</v>
      </c>
      <c r="S58" s="188">
        <f t="shared" si="10"/>
        <v>3766.6666666666665</v>
      </c>
      <c r="U58" s="65"/>
      <c r="V58" s="103"/>
      <c r="W58" s="103"/>
      <c r="X58" s="599">
        <f>+S58</f>
        <v>3766.6666666666665</v>
      </c>
      <c r="Y58" s="103"/>
      <c r="Z58" s="103"/>
      <c r="AA58" s="65"/>
      <c r="AB58" s="103">
        <f t="shared" si="11"/>
        <v>3766.6666666666665</v>
      </c>
      <c r="AF58" s="6"/>
    </row>
    <row r="59" spans="1:32">
      <c r="A59" s="2">
        <f t="shared" si="2"/>
        <v>42</v>
      </c>
      <c r="B59" s="688" t="s">
        <v>2330</v>
      </c>
      <c r="C59" s="688" t="s">
        <v>2536</v>
      </c>
      <c r="D59" s="688" t="s">
        <v>2543</v>
      </c>
      <c r="E59" s="182" t="s">
        <v>2544</v>
      </c>
      <c r="F59" s="183">
        <v>94646.399999999994</v>
      </c>
      <c r="G59" s="183">
        <v>98699.520000000004</v>
      </c>
      <c r="H59" s="183">
        <v>99431.08</v>
      </c>
      <c r="I59" s="183">
        <v>145946.06</v>
      </c>
      <c r="J59" s="183">
        <v>146677.62</v>
      </c>
      <c r="K59" s="183">
        <v>147593.26</v>
      </c>
      <c r="L59" s="183">
        <v>148036.64000000001</v>
      </c>
      <c r="M59" s="183">
        <v>148812.54999999999</v>
      </c>
      <c r="N59" s="183">
        <v>149255.93</v>
      </c>
      <c r="O59" s="183">
        <v>149699.31</v>
      </c>
      <c r="P59" s="183">
        <v>150142.69</v>
      </c>
      <c r="Q59" s="183">
        <v>150586.07</v>
      </c>
      <c r="R59" s="183">
        <v>151029.45000000001</v>
      </c>
      <c r="S59" s="188">
        <f t="shared" si="10"/>
        <v>138143.22125</v>
      </c>
      <c r="U59" s="65"/>
      <c r="V59" s="103"/>
      <c r="W59" s="103"/>
      <c r="X59" s="599">
        <f>+S59</f>
        <v>138143.22125</v>
      </c>
      <c r="Y59" s="103"/>
      <c r="Z59" s="103"/>
      <c r="AA59" s="65"/>
      <c r="AB59" s="103">
        <f t="shared" si="11"/>
        <v>138143.22125</v>
      </c>
      <c r="AF59" s="6"/>
    </row>
    <row r="60" spans="1:32">
      <c r="A60" s="2">
        <f t="shared" si="2"/>
        <v>43</v>
      </c>
      <c r="B60" s="688" t="s">
        <v>2330</v>
      </c>
      <c r="C60" s="688" t="s">
        <v>2536</v>
      </c>
      <c r="D60" s="688" t="s">
        <v>2545</v>
      </c>
      <c r="E60" s="182" t="s">
        <v>2546</v>
      </c>
      <c r="F60" s="313">
        <v>-4087.52</v>
      </c>
      <c r="G60" s="313">
        <v>1851.55</v>
      </c>
      <c r="H60" s="313">
        <v>-671.47</v>
      </c>
      <c r="I60" s="313">
        <v>1506.4</v>
      </c>
      <c r="J60" s="313">
        <v>2675.26</v>
      </c>
      <c r="K60" s="313">
        <v>1850.74</v>
      </c>
      <c r="L60" s="313">
        <v>8146.82</v>
      </c>
      <c r="M60" s="313">
        <v>12018.93</v>
      </c>
      <c r="N60" s="313">
        <v>10093.91</v>
      </c>
      <c r="O60" s="313">
        <v>-29563.040000000001</v>
      </c>
      <c r="P60" s="313">
        <v>-33018.639999999999</v>
      </c>
      <c r="Q60" s="313">
        <v>-23679.26</v>
      </c>
      <c r="R60" s="313">
        <v>-15411.61</v>
      </c>
      <c r="S60" s="188">
        <f t="shared" si="10"/>
        <v>-4878.1970833333335</v>
      </c>
      <c r="U60" s="65"/>
      <c r="V60" s="103"/>
      <c r="W60" s="103"/>
      <c r="X60" s="599">
        <f>+S60</f>
        <v>-4878.1970833333335</v>
      </c>
      <c r="Y60" s="103"/>
      <c r="Z60" s="103"/>
      <c r="AA60" s="65"/>
      <c r="AB60" s="103">
        <f t="shared" si="11"/>
        <v>-4878.1970833333335</v>
      </c>
      <c r="AF60" s="6"/>
    </row>
    <row r="61" spans="1:32">
      <c r="A61" s="2">
        <f t="shared" si="2"/>
        <v>44</v>
      </c>
      <c r="E61" s="697" t="s">
        <v>2547</v>
      </c>
      <c r="F61" s="511">
        <f t="shared" ref="F61:S61" si="12">SUM(F54:F60)</f>
        <v>10874053.939999999</v>
      </c>
      <c r="G61" s="511">
        <f t="shared" si="12"/>
        <v>11051110.5</v>
      </c>
      <c r="H61" s="511">
        <f t="shared" si="12"/>
        <v>10992102.699999999</v>
      </c>
      <c r="I61" s="511">
        <f t="shared" si="12"/>
        <v>11115040.59</v>
      </c>
      <c r="J61" s="511">
        <f t="shared" si="12"/>
        <v>11130227.25</v>
      </c>
      <c r="K61" s="511">
        <f t="shared" si="12"/>
        <v>10245303.869999999</v>
      </c>
      <c r="L61" s="511">
        <f t="shared" si="12"/>
        <v>10351721.960000001</v>
      </c>
      <c r="M61" s="511">
        <f t="shared" si="12"/>
        <v>10406631.48</v>
      </c>
      <c r="N61" s="511">
        <f t="shared" si="12"/>
        <v>10384127.130000001</v>
      </c>
      <c r="O61" s="511">
        <f t="shared" si="12"/>
        <v>10375083.020000001</v>
      </c>
      <c r="P61" s="511">
        <f t="shared" si="12"/>
        <v>8900588.379999999</v>
      </c>
      <c r="Q61" s="511">
        <f t="shared" si="12"/>
        <v>9005874.0200000014</v>
      </c>
      <c r="R61" s="511">
        <f t="shared" si="12"/>
        <v>9106600.3699999992</v>
      </c>
      <c r="S61" s="512">
        <f t="shared" si="12"/>
        <v>10329011.504583333</v>
      </c>
      <c r="U61" s="65"/>
      <c r="V61" s="103"/>
      <c r="W61" s="103"/>
      <c r="X61" s="599"/>
      <c r="Y61" s="103"/>
      <c r="Z61" s="103"/>
      <c r="AA61" s="65"/>
      <c r="AB61" s="103"/>
      <c r="AF61" s="6"/>
    </row>
    <row r="62" spans="1:32">
      <c r="A62" s="2">
        <f t="shared" si="2"/>
        <v>45</v>
      </c>
      <c r="E62" s="697"/>
      <c r="F62" s="183"/>
      <c r="G62" s="187"/>
      <c r="H62" s="188"/>
      <c r="I62" s="188"/>
      <c r="J62" s="189"/>
      <c r="K62" s="190"/>
      <c r="L62" s="191"/>
      <c r="M62" s="192"/>
      <c r="N62" s="193"/>
      <c r="O62" s="689"/>
      <c r="P62" s="194"/>
      <c r="Q62" s="195"/>
      <c r="R62" s="183"/>
      <c r="S62" s="47"/>
      <c r="U62" s="65"/>
      <c r="V62" s="103"/>
      <c r="W62" s="103"/>
      <c r="X62" s="599"/>
      <c r="Y62" s="103"/>
      <c r="Z62" s="103"/>
      <c r="AA62" s="65"/>
      <c r="AB62" s="103"/>
      <c r="AF62" s="6"/>
    </row>
    <row r="63" spans="1:32">
      <c r="A63" s="2">
        <f t="shared" si="2"/>
        <v>46</v>
      </c>
      <c r="B63" s="1" t="s">
        <v>2330</v>
      </c>
      <c r="C63" s="14" t="s">
        <v>2548</v>
      </c>
      <c r="D63" s="14" t="s">
        <v>2549</v>
      </c>
      <c r="E63" s="697" t="s">
        <v>2550</v>
      </c>
      <c r="F63" s="183">
        <v>3812136.46</v>
      </c>
      <c r="G63" s="187">
        <v>4650110.05</v>
      </c>
      <c r="H63" s="188">
        <v>3644225.26</v>
      </c>
      <c r="I63" s="188">
        <v>2153844.02</v>
      </c>
      <c r="J63" s="189">
        <v>1245372.83</v>
      </c>
      <c r="K63" s="190">
        <v>2454250.5699999998</v>
      </c>
      <c r="L63" s="191">
        <v>916423.44999999902</v>
      </c>
      <c r="M63" s="192">
        <v>855696.93999999901</v>
      </c>
      <c r="N63" s="193">
        <v>836364.05999999901</v>
      </c>
      <c r="O63" s="689">
        <v>623989.429999999</v>
      </c>
      <c r="P63" s="194">
        <v>2605302.59</v>
      </c>
      <c r="Q63" s="195">
        <v>1204253.1599999999</v>
      </c>
      <c r="R63" s="183">
        <v>4106681.71</v>
      </c>
      <c r="S63" s="184">
        <f t="shared" ref="S63:S73" si="13">((F63+R63)+((G63+H63+I63+J63+K63+L63+M63+N63+O63+P63+Q63)*2))/24</f>
        <v>2095770.1204166664</v>
      </c>
      <c r="U63" s="65">
        <f t="shared" ref="U63:U73" si="14">+S63</f>
        <v>2095770.1204166664</v>
      </c>
      <c r="V63" s="103"/>
      <c r="W63" s="103"/>
      <c r="X63" s="599"/>
      <c r="Y63" s="103"/>
      <c r="Z63" s="103"/>
      <c r="AA63" s="65"/>
      <c r="AB63" s="103"/>
      <c r="AD63" s="42">
        <f>+S63</f>
        <v>2095770.1204166664</v>
      </c>
      <c r="AF63" s="6"/>
    </row>
    <row r="64" spans="1:32">
      <c r="A64" s="2">
        <f t="shared" si="2"/>
        <v>47</v>
      </c>
      <c r="B64" s="688" t="s">
        <v>2330</v>
      </c>
      <c r="C64" s="688" t="s">
        <v>2548</v>
      </c>
      <c r="D64" s="688" t="s">
        <v>2551</v>
      </c>
      <c r="E64" s="182" t="s">
        <v>2552</v>
      </c>
      <c r="F64" s="183">
        <v>-1310834.4099999999</v>
      </c>
      <c r="G64" s="183">
        <v>-1207292.8</v>
      </c>
      <c r="H64" s="183">
        <v>-2117577.2400000002</v>
      </c>
      <c r="I64" s="183">
        <v>-1063243.1299999999</v>
      </c>
      <c r="J64" s="183">
        <v>-3644048.43</v>
      </c>
      <c r="K64" s="183">
        <v>-581951.73</v>
      </c>
      <c r="L64" s="183">
        <v>-778826.02</v>
      </c>
      <c r="M64" s="183">
        <v>-1122842.32</v>
      </c>
      <c r="N64" s="183">
        <v>-696171.92</v>
      </c>
      <c r="O64" s="183">
        <v>-595426.81999999995</v>
      </c>
      <c r="P64" s="183">
        <v>-536685.84</v>
      </c>
      <c r="Q64" s="183">
        <v>-682534.93</v>
      </c>
      <c r="R64" s="183">
        <v>-785161.05</v>
      </c>
      <c r="S64" s="184">
        <f t="shared" si="13"/>
        <v>-1172883.2424999999</v>
      </c>
      <c r="U64" s="65">
        <f t="shared" si="14"/>
        <v>-1172883.2424999999</v>
      </c>
      <c r="V64" s="103"/>
      <c r="W64" s="103"/>
      <c r="X64" s="599"/>
      <c r="Y64" s="103"/>
      <c r="Z64" s="103"/>
      <c r="AA64" s="65"/>
      <c r="AB64" s="103"/>
      <c r="AD64" s="42">
        <f t="shared" ref="AD64:AD73" si="15">+S64</f>
        <v>-1172883.2424999999</v>
      </c>
      <c r="AF64" s="6"/>
    </row>
    <row r="65" spans="1:32">
      <c r="A65" s="2">
        <f t="shared" si="2"/>
        <v>48</v>
      </c>
      <c r="B65" s="688" t="s">
        <v>2330</v>
      </c>
      <c r="C65" s="688" t="s">
        <v>2548</v>
      </c>
      <c r="D65" s="688" t="s">
        <v>2553</v>
      </c>
      <c r="E65" s="182" t="s">
        <v>2554</v>
      </c>
      <c r="F65" s="183">
        <v>-0.58999999999991803</v>
      </c>
      <c r="G65" s="183">
        <v>-0.59</v>
      </c>
      <c r="H65" s="183">
        <v>-0.59</v>
      </c>
      <c r="I65" s="183">
        <v>-0.59</v>
      </c>
      <c r="J65" s="183">
        <v>-0.59</v>
      </c>
      <c r="K65" s="183">
        <v>-0.59</v>
      </c>
      <c r="L65" s="183">
        <v>-0.59</v>
      </c>
      <c r="M65" s="183">
        <v>-0.59</v>
      </c>
      <c r="N65" s="183">
        <v>-0.59</v>
      </c>
      <c r="O65" s="183">
        <v>0</v>
      </c>
      <c r="P65" s="183">
        <v>0</v>
      </c>
      <c r="Q65" s="183">
        <v>0</v>
      </c>
      <c r="R65" s="183">
        <v>-506.37</v>
      </c>
      <c r="S65" s="184">
        <f t="shared" si="13"/>
        <v>-21.516666666666666</v>
      </c>
      <c r="U65" s="65">
        <f t="shared" si="14"/>
        <v>-21.516666666666666</v>
      </c>
      <c r="V65" s="103"/>
      <c r="W65" s="103"/>
      <c r="X65" s="599"/>
      <c r="Y65" s="103"/>
      <c r="Z65" s="103"/>
      <c r="AA65" s="65"/>
      <c r="AB65" s="103"/>
      <c r="AD65" s="42">
        <f t="shared" si="15"/>
        <v>-21.516666666666666</v>
      </c>
      <c r="AF65" s="6"/>
    </row>
    <row r="66" spans="1:32">
      <c r="A66" s="2">
        <f t="shared" si="2"/>
        <v>49</v>
      </c>
      <c r="B66" s="688" t="s">
        <v>2330</v>
      </c>
      <c r="C66" s="688" t="s">
        <v>2548</v>
      </c>
      <c r="D66" s="688" t="s">
        <v>2555</v>
      </c>
      <c r="E66" s="182" t="s">
        <v>2556</v>
      </c>
      <c r="F66" s="183">
        <v>1630918.69</v>
      </c>
      <c r="G66" s="183">
        <v>2828373.07</v>
      </c>
      <c r="H66" s="183">
        <v>0</v>
      </c>
      <c r="I66" s="183">
        <v>0</v>
      </c>
      <c r="J66" s="183">
        <v>0</v>
      </c>
      <c r="K66" s="183">
        <v>0</v>
      </c>
      <c r="L66" s="183">
        <v>0</v>
      </c>
      <c r="M66" s="183">
        <v>0</v>
      </c>
      <c r="N66" s="183">
        <v>8128.78</v>
      </c>
      <c r="O66" s="183">
        <v>8128.78</v>
      </c>
      <c r="P66" s="183">
        <v>0</v>
      </c>
      <c r="Q66" s="183">
        <v>0</v>
      </c>
      <c r="R66" s="183">
        <v>0</v>
      </c>
      <c r="S66" s="184">
        <f t="shared" si="13"/>
        <v>305007.49791666662</v>
      </c>
      <c r="U66" s="65">
        <f t="shared" si="14"/>
        <v>305007.49791666662</v>
      </c>
      <c r="V66" s="103"/>
      <c r="W66" s="103"/>
      <c r="X66" s="599"/>
      <c r="Y66" s="103"/>
      <c r="Z66" s="103"/>
      <c r="AA66" s="65"/>
      <c r="AB66" s="103"/>
      <c r="AD66" s="42">
        <f t="shared" si="15"/>
        <v>305007.49791666662</v>
      </c>
      <c r="AF66" s="6"/>
    </row>
    <row r="67" spans="1:32">
      <c r="A67" s="2">
        <f t="shared" si="2"/>
        <v>50</v>
      </c>
      <c r="B67" s="688" t="s">
        <v>2330</v>
      </c>
      <c r="C67" s="688" t="s">
        <v>2548</v>
      </c>
      <c r="D67" s="688" t="s">
        <v>2557</v>
      </c>
      <c r="E67" s="182" t="s">
        <v>2558</v>
      </c>
      <c r="F67" s="183">
        <v>0</v>
      </c>
      <c r="G67" s="183">
        <v>105750000</v>
      </c>
      <c r="H67" s="183">
        <v>-1364.3100000023801</v>
      </c>
      <c r="I67" s="183">
        <v>-2.3842403606977301E-9</v>
      </c>
      <c r="J67" s="183">
        <v>7100000</v>
      </c>
      <c r="K67" s="183">
        <v>16700000</v>
      </c>
      <c r="L67" s="183">
        <v>6800000</v>
      </c>
      <c r="M67" s="183">
        <v>-3.7252902984619099E-9</v>
      </c>
      <c r="N67" s="183">
        <v>-3.7252902984619099E-9</v>
      </c>
      <c r="O67" s="183">
        <v>-3.7252902984619099E-9</v>
      </c>
      <c r="P67" s="183">
        <v>-3.7252902984619099E-9</v>
      </c>
      <c r="Q67" s="183">
        <v>-3.7252902984619099E-9</v>
      </c>
      <c r="R67" s="183">
        <v>-3.7252902984619099E-9</v>
      </c>
      <c r="S67" s="184">
        <f t="shared" si="13"/>
        <v>11362386.307499999</v>
      </c>
      <c r="U67" s="65">
        <f>+S67</f>
        <v>11362386.307499999</v>
      </c>
      <c r="V67" s="103"/>
      <c r="W67" s="103"/>
      <c r="X67" s="599"/>
      <c r="Y67" s="103"/>
      <c r="Z67" s="103"/>
      <c r="AA67" s="65"/>
      <c r="AB67" s="103">
        <f>+X67</f>
        <v>0</v>
      </c>
      <c r="AD67" s="42">
        <f t="shared" si="15"/>
        <v>11362386.307499999</v>
      </c>
      <c r="AF67" s="6"/>
    </row>
    <row r="68" spans="1:32">
      <c r="A68" s="2">
        <f t="shared" si="2"/>
        <v>51</v>
      </c>
      <c r="B68" s="688" t="s">
        <v>2330</v>
      </c>
      <c r="C68" s="688" t="s">
        <v>2548</v>
      </c>
      <c r="D68" s="688" t="s">
        <v>2559</v>
      </c>
      <c r="E68" s="182" t="s">
        <v>2560</v>
      </c>
      <c r="F68" s="183">
        <v>21000</v>
      </c>
      <c r="G68" s="183">
        <v>21000</v>
      </c>
      <c r="H68" s="183">
        <v>21000</v>
      </c>
      <c r="I68" s="183">
        <v>21000</v>
      </c>
      <c r="J68" s="183">
        <v>21000</v>
      </c>
      <c r="K68" s="183">
        <v>21000</v>
      </c>
      <c r="L68" s="183">
        <v>21000</v>
      </c>
      <c r="M68" s="183">
        <v>21000</v>
      </c>
      <c r="N68" s="183">
        <v>21000</v>
      </c>
      <c r="O68" s="183">
        <v>21000</v>
      </c>
      <c r="P68" s="183">
        <v>21000</v>
      </c>
      <c r="Q68" s="183">
        <v>20000</v>
      </c>
      <c r="R68" s="183">
        <v>20000</v>
      </c>
      <c r="S68" s="184">
        <f t="shared" si="13"/>
        <v>20875</v>
      </c>
      <c r="U68" s="65">
        <f t="shared" si="14"/>
        <v>20875</v>
      </c>
      <c r="V68" s="103"/>
      <c r="W68" s="103"/>
      <c r="X68" s="599"/>
      <c r="Y68" s="103"/>
      <c r="Z68" s="103"/>
      <c r="AA68" s="65"/>
      <c r="AB68" s="103"/>
      <c r="AD68" s="42">
        <f t="shared" si="15"/>
        <v>20875</v>
      </c>
      <c r="AF68" s="6"/>
    </row>
    <row r="69" spans="1:32">
      <c r="A69" s="2">
        <f t="shared" si="2"/>
        <v>52</v>
      </c>
      <c r="B69" s="688" t="s">
        <v>2330</v>
      </c>
      <c r="C69" s="688" t="s">
        <v>2548</v>
      </c>
      <c r="D69" s="688" t="s">
        <v>2561</v>
      </c>
      <c r="E69" s="182" t="s">
        <v>2562</v>
      </c>
      <c r="F69" s="183">
        <v>0</v>
      </c>
      <c r="G69" s="183">
        <v>0</v>
      </c>
      <c r="H69" s="183">
        <v>1938760.59</v>
      </c>
      <c r="I69" s="183">
        <v>2371577.08</v>
      </c>
      <c r="J69" s="183">
        <v>1369336.65</v>
      </c>
      <c r="K69" s="183">
        <v>1727599.64</v>
      </c>
      <c r="L69" s="183">
        <v>1088304.67</v>
      </c>
      <c r="M69" s="183">
        <v>338688.94</v>
      </c>
      <c r="N69" s="183">
        <v>531147.64</v>
      </c>
      <c r="O69" s="183">
        <v>775232.16</v>
      </c>
      <c r="P69" s="183">
        <v>3397543.96</v>
      </c>
      <c r="Q69" s="183">
        <v>82013227.480000004</v>
      </c>
      <c r="R69" s="183">
        <v>1784978.5899999901</v>
      </c>
      <c r="S69" s="184">
        <f t="shared" si="13"/>
        <v>8036992.342083334</v>
      </c>
      <c r="U69" s="65">
        <f>+S69</f>
        <v>8036992.342083334</v>
      </c>
      <c r="V69" s="103"/>
      <c r="W69" s="103"/>
      <c r="X69" s="599"/>
      <c r="Y69" s="103"/>
      <c r="Z69" s="103"/>
      <c r="AA69" s="65"/>
      <c r="AB69" s="103"/>
      <c r="AD69" s="42">
        <f t="shared" si="15"/>
        <v>8036992.342083334</v>
      </c>
      <c r="AF69" s="6"/>
    </row>
    <row r="70" spans="1:32">
      <c r="A70" s="2">
        <f t="shared" si="2"/>
        <v>53</v>
      </c>
      <c r="B70" s="688" t="s">
        <v>2330</v>
      </c>
      <c r="C70" s="688" t="s">
        <v>2563</v>
      </c>
      <c r="D70" s="688" t="s">
        <v>2564</v>
      </c>
      <c r="E70" s="182" t="s">
        <v>2565</v>
      </c>
      <c r="F70" s="183">
        <v>0</v>
      </c>
      <c r="G70" s="183">
        <v>0</v>
      </c>
      <c r="H70" s="183">
        <v>0</v>
      </c>
      <c r="I70" s="183">
        <v>0</v>
      </c>
      <c r="J70" s="183">
        <v>0</v>
      </c>
      <c r="K70" s="183">
        <v>0</v>
      </c>
      <c r="L70" s="183">
        <v>0</v>
      </c>
      <c r="M70" s="183">
        <v>0</v>
      </c>
      <c r="N70" s="183">
        <v>0</v>
      </c>
      <c r="O70" s="183">
        <v>0</v>
      </c>
      <c r="P70" s="183">
        <v>0</v>
      </c>
      <c r="Q70" s="183">
        <v>0</v>
      </c>
      <c r="R70" s="183">
        <v>0</v>
      </c>
      <c r="S70" s="184">
        <f t="shared" si="13"/>
        <v>0</v>
      </c>
      <c r="U70" s="65">
        <f t="shared" si="14"/>
        <v>0</v>
      </c>
      <c r="V70" s="103"/>
      <c r="W70" s="103"/>
      <c r="X70" s="599"/>
      <c r="Y70" s="103"/>
      <c r="Z70" s="103"/>
      <c r="AA70" s="65"/>
      <c r="AB70" s="103"/>
      <c r="AD70" s="42">
        <f t="shared" si="15"/>
        <v>0</v>
      </c>
      <c r="AF70" s="6"/>
    </row>
    <row r="71" spans="1:32">
      <c r="A71" s="2">
        <f t="shared" si="2"/>
        <v>54</v>
      </c>
      <c r="B71" s="688" t="s">
        <v>2330</v>
      </c>
      <c r="C71" s="688" t="s">
        <v>2563</v>
      </c>
      <c r="D71" s="688" t="s">
        <v>2566</v>
      </c>
      <c r="E71" s="182" t="s">
        <v>2567</v>
      </c>
      <c r="F71" s="183">
        <v>0</v>
      </c>
      <c r="G71" s="183">
        <v>0</v>
      </c>
      <c r="H71" s="183">
        <v>0</v>
      </c>
      <c r="I71" s="183">
        <v>0</v>
      </c>
      <c r="J71" s="183">
        <v>0</v>
      </c>
      <c r="K71" s="183">
        <v>0</v>
      </c>
      <c r="L71" s="183">
        <v>0</v>
      </c>
      <c r="M71" s="183">
        <v>0</v>
      </c>
      <c r="N71" s="183">
        <v>0</v>
      </c>
      <c r="O71" s="183">
        <v>0</v>
      </c>
      <c r="P71" s="183">
        <v>0</v>
      </c>
      <c r="Q71" s="183">
        <v>0</v>
      </c>
      <c r="R71" s="183">
        <v>0</v>
      </c>
      <c r="S71" s="184">
        <f t="shared" si="13"/>
        <v>0</v>
      </c>
      <c r="U71" s="65">
        <f t="shared" si="14"/>
        <v>0</v>
      </c>
      <c r="V71" s="103"/>
      <c r="W71" s="103"/>
      <c r="X71" s="599"/>
      <c r="Y71" s="103"/>
      <c r="Z71" s="103"/>
      <c r="AA71" s="65"/>
      <c r="AB71" s="103"/>
      <c r="AD71" s="42">
        <f t="shared" si="15"/>
        <v>0</v>
      </c>
      <c r="AF71" s="6"/>
    </row>
    <row r="72" spans="1:32">
      <c r="A72" s="2">
        <f t="shared" si="2"/>
        <v>55</v>
      </c>
      <c r="B72" s="688" t="s">
        <v>2330</v>
      </c>
      <c r="C72" s="688" t="s">
        <v>2563</v>
      </c>
      <c r="D72" s="688" t="s">
        <v>2568</v>
      </c>
      <c r="E72" s="182" t="s">
        <v>2569</v>
      </c>
      <c r="F72" s="183">
        <v>0</v>
      </c>
      <c r="G72" s="183">
        <v>0</v>
      </c>
      <c r="H72" s="183">
        <v>0</v>
      </c>
      <c r="I72" s="183">
        <v>0</v>
      </c>
      <c r="J72" s="183">
        <v>0</v>
      </c>
      <c r="K72" s="183">
        <v>0</v>
      </c>
      <c r="L72" s="183">
        <v>0</v>
      </c>
      <c r="M72" s="183">
        <v>0</v>
      </c>
      <c r="N72" s="183">
        <v>0</v>
      </c>
      <c r="O72" s="183">
        <v>0</v>
      </c>
      <c r="P72" s="183">
        <v>0</v>
      </c>
      <c r="Q72" s="183">
        <v>0</v>
      </c>
      <c r="R72" s="183">
        <v>0</v>
      </c>
      <c r="S72" s="184">
        <f t="shared" si="13"/>
        <v>0</v>
      </c>
      <c r="U72" s="65">
        <f t="shared" si="14"/>
        <v>0</v>
      </c>
      <c r="V72" s="103"/>
      <c r="W72" s="103"/>
      <c r="X72" s="599"/>
      <c r="Y72" s="103"/>
      <c r="Z72" s="103"/>
      <c r="AA72" s="65"/>
      <c r="AB72" s="103"/>
      <c r="AD72" s="42">
        <f t="shared" si="15"/>
        <v>0</v>
      </c>
      <c r="AF72" s="6"/>
    </row>
    <row r="73" spans="1:32">
      <c r="A73" s="2">
        <f t="shared" si="2"/>
        <v>56</v>
      </c>
      <c r="B73" s="688" t="s">
        <v>2330</v>
      </c>
      <c r="C73" s="688" t="s">
        <v>2563</v>
      </c>
      <c r="D73" s="688" t="s">
        <v>2570</v>
      </c>
      <c r="E73" s="182" t="s">
        <v>2571</v>
      </c>
      <c r="F73" s="183">
        <v>0</v>
      </c>
      <c r="G73" s="183">
        <v>0</v>
      </c>
      <c r="H73" s="183">
        <v>0</v>
      </c>
      <c r="I73" s="183">
        <v>0</v>
      </c>
      <c r="J73" s="183">
        <v>0</v>
      </c>
      <c r="K73" s="183">
        <v>0</v>
      </c>
      <c r="L73" s="183">
        <v>0</v>
      </c>
      <c r="M73" s="183">
        <v>0</v>
      </c>
      <c r="N73" s="183">
        <v>0</v>
      </c>
      <c r="O73" s="183">
        <v>0</v>
      </c>
      <c r="P73" s="183">
        <v>0</v>
      </c>
      <c r="Q73" s="183">
        <v>0</v>
      </c>
      <c r="R73" s="183">
        <v>0</v>
      </c>
      <c r="S73" s="184">
        <f t="shared" si="13"/>
        <v>0</v>
      </c>
      <c r="U73" s="65">
        <f t="shared" si="14"/>
        <v>0</v>
      </c>
      <c r="V73" s="103"/>
      <c r="W73" s="103"/>
      <c r="X73" s="599"/>
      <c r="Y73" s="103"/>
      <c r="Z73" s="103"/>
      <c r="AA73" s="65"/>
      <c r="AB73" s="103"/>
      <c r="AD73" s="42">
        <f t="shared" si="15"/>
        <v>0</v>
      </c>
      <c r="AF73" s="6"/>
    </row>
    <row r="74" spans="1:32">
      <c r="A74" s="2">
        <f t="shared" si="2"/>
        <v>57</v>
      </c>
      <c r="C74" s="1" t="s">
        <v>2563</v>
      </c>
      <c r="D74" s="1" t="s">
        <v>2570</v>
      </c>
      <c r="E74" s="697" t="s">
        <v>2572</v>
      </c>
      <c r="F74" s="511">
        <f t="shared" ref="F74:S74" si="16">SUM(F63:F73)</f>
        <v>4153220.15</v>
      </c>
      <c r="G74" s="511">
        <f t="shared" si="16"/>
        <v>112042189.73</v>
      </c>
      <c r="H74" s="511">
        <f t="shared" si="16"/>
        <v>3485043.7099999972</v>
      </c>
      <c r="I74" s="511">
        <f t="shared" si="16"/>
        <v>3483177.379999998</v>
      </c>
      <c r="J74" s="511">
        <f t="shared" si="16"/>
        <v>6091660.4600000009</v>
      </c>
      <c r="K74" s="511">
        <f t="shared" si="16"/>
        <v>20320897.890000001</v>
      </c>
      <c r="L74" s="511">
        <f t="shared" si="16"/>
        <v>8046901.5099999988</v>
      </c>
      <c r="M74" s="511">
        <f t="shared" si="16"/>
        <v>92542.969999995199</v>
      </c>
      <c r="N74" s="511">
        <f t="shared" si="16"/>
        <v>700467.96999999532</v>
      </c>
      <c r="O74" s="511">
        <f t="shared" si="16"/>
        <v>832923.54999999539</v>
      </c>
      <c r="P74" s="511">
        <f t="shared" si="16"/>
        <v>5487160.7099999962</v>
      </c>
      <c r="Q74" s="511">
        <f t="shared" si="16"/>
        <v>82554945.709999993</v>
      </c>
      <c r="R74" s="511">
        <f t="shared" si="16"/>
        <v>5125992.8799999859</v>
      </c>
      <c r="S74" s="512">
        <f t="shared" si="16"/>
        <v>20648126.508749999</v>
      </c>
      <c r="U74" s="65"/>
      <c r="V74" s="103"/>
      <c r="W74" s="103"/>
      <c r="X74" s="599"/>
      <c r="Y74" s="103"/>
      <c r="Z74" s="103"/>
      <c r="AA74" s="65"/>
      <c r="AB74" s="103"/>
      <c r="AF74" s="6"/>
    </row>
    <row r="75" spans="1:32">
      <c r="A75" s="2">
        <f t="shared" si="2"/>
        <v>58</v>
      </c>
      <c r="E75" s="697"/>
      <c r="F75" s="183"/>
      <c r="G75" s="187"/>
      <c r="H75" s="188"/>
      <c r="I75" s="188"/>
      <c r="J75" s="189"/>
      <c r="K75" s="190"/>
      <c r="L75" s="191"/>
      <c r="M75" s="192"/>
      <c r="N75" s="193"/>
      <c r="O75" s="689"/>
      <c r="P75" s="194"/>
      <c r="Q75" s="195"/>
      <c r="R75" s="183"/>
      <c r="S75" s="47"/>
      <c r="U75" s="65"/>
      <c r="V75" s="103"/>
      <c r="W75" s="103"/>
      <c r="X75" s="599"/>
      <c r="Y75" s="103"/>
      <c r="Z75" s="103"/>
      <c r="AA75" s="65"/>
      <c r="AB75" s="103"/>
      <c r="AF75" s="6"/>
    </row>
    <row r="76" spans="1:32">
      <c r="A76" s="2">
        <f t="shared" si="2"/>
        <v>59</v>
      </c>
      <c r="B76" s="688" t="s">
        <v>2330</v>
      </c>
      <c r="C76" s="688" t="s">
        <v>2573</v>
      </c>
      <c r="D76" s="688" t="s">
        <v>2574</v>
      </c>
      <c r="E76" s="182" t="s">
        <v>2575</v>
      </c>
      <c r="F76" s="196">
        <v>0</v>
      </c>
      <c r="G76" s="196">
        <v>0</v>
      </c>
      <c r="H76" s="196">
        <v>0</v>
      </c>
      <c r="I76" s="196">
        <v>0</v>
      </c>
      <c r="J76" s="196">
        <v>0</v>
      </c>
      <c r="K76" s="196">
        <v>0</v>
      </c>
      <c r="L76" s="196">
        <v>0</v>
      </c>
      <c r="M76" s="196">
        <v>0</v>
      </c>
      <c r="N76" s="196">
        <v>0</v>
      </c>
      <c r="O76" s="196">
        <v>0</v>
      </c>
      <c r="P76" s="196">
        <v>0</v>
      </c>
      <c r="Q76" s="196">
        <v>0</v>
      </c>
      <c r="R76" s="196">
        <v>0</v>
      </c>
      <c r="S76" s="184">
        <f>((F76+R76)+((G76+H76+I76+J76+K76+L76+M76+N76+O76+P76+Q76)*2))/24</f>
        <v>0</v>
      </c>
      <c r="U76" s="65">
        <f>+S76</f>
        <v>0</v>
      </c>
      <c r="V76" s="103"/>
      <c r="W76" s="103"/>
      <c r="X76" s="599"/>
      <c r="Y76" s="103"/>
      <c r="Z76" s="103"/>
      <c r="AA76" s="65"/>
      <c r="AB76" s="103"/>
      <c r="AD76" s="42">
        <f>+S76</f>
        <v>0</v>
      </c>
      <c r="AF76" s="6"/>
    </row>
    <row r="77" spans="1:32">
      <c r="A77" s="2">
        <f t="shared" si="2"/>
        <v>60</v>
      </c>
      <c r="B77" s="688">
        <v>47</v>
      </c>
      <c r="C77" s="688" t="s">
        <v>2573</v>
      </c>
      <c r="D77" s="688" t="s">
        <v>2576</v>
      </c>
      <c r="E77" s="182" t="s">
        <v>2577</v>
      </c>
      <c r="F77" s="313">
        <v>0</v>
      </c>
      <c r="G77" s="313">
        <v>0</v>
      </c>
      <c r="H77" s="313">
        <v>0</v>
      </c>
      <c r="I77" s="313">
        <v>0</v>
      </c>
      <c r="J77" s="313">
        <v>0</v>
      </c>
      <c r="K77" s="313">
        <v>0</v>
      </c>
      <c r="L77" s="313">
        <v>0</v>
      </c>
      <c r="M77" s="313">
        <v>0</v>
      </c>
      <c r="N77" s="313">
        <v>0</v>
      </c>
      <c r="O77" s="313">
        <v>0</v>
      </c>
      <c r="P77" s="313">
        <v>0</v>
      </c>
      <c r="Q77" s="313">
        <v>0</v>
      </c>
      <c r="R77" s="313">
        <v>0</v>
      </c>
      <c r="S77" s="184">
        <f>((F77+R77)+((G77+H77+I77+J77+K77+L77+M77+N77+O77+P77+Q77)*2))/24</f>
        <v>0</v>
      </c>
      <c r="U77" s="65">
        <f>+S77</f>
        <v>0</v>
      </c>
      <c r="V77" s="103"/>
      <c r="W77" s="103"/>
      <c r="X77" s="599"/>
      <c r="Y77" s="103"/>
      <c r="Z77" s="103"/>
      <c r="AA77" s="65"/>
      <c r="AB77" s="103"/>
      <c r="AD77" s="42">
        <f>+S77</f>
        <v>0</v>
      </c>
      <c r="AF77" s="6"/>
    </row>
    <row r="78" spans="1:32">
      <c r="A78" s="2">
        <f t="shared" si="2"/>
        <v>61</v>
      </c>
      <c r="E78" s="697" t="s">
        <v>2578</v>
      </c>
      <c r="F78" s="196">
        <f t="shared" ref="F78:S78" si="17">+F76</f>
        <v>0</v>
      </c>
      <c r="G78" s="196">
        <f t="shared" si="17"/>
        <v>0</v>
      </c>
      <c r="H78" s="196">
        <f t="shared" si="17"/>
        <v>0</v>
      </c>
      <c r="I78" s="196">
        <f t="shared" si="17"/>
        <v>0</v>
      </c>
      <c r="J78" s="196">
        <f t="shared" si="17"/>
        <v>0</v>
      </c>
      <c r="K78" s="196">
        <f t="shared" si="17"/>
        <v>0</v>
      </c>
      <c r="L78" s="196">
        <f t="shared" si="17"/>
        <v>0</v>
      </c>
      <c r="M78" s="196">
        <f t="shared" si="17"/>
        <v>0</v>
      </c>
      <c r="N78" s="196">
        <f t="shared" si="17"/>
        <v>0</v>
      </c>
      <c r="O78" s="196">
        <f t="shared" si="17"/>
        <v>0</v>
      </c>
      <c r="P78" s="196">
        <f t="shared" si="17"/>
        <v>0</v>
      </c>
      <c r="Q78" s="196">
        <f t="shared" si="17"/>
        <v>0</v>
      </c>
      <c r="R78" s="196">
        <f t="shared" si="17"/>
        <v>0</v>
      </c>
      <c r="S78" s="512">
        <f t="shared" si="17"/>
        <v>0</v>
      </c>
      <c r="U78" s="65"/>
      <c r="V78" s="103"/>
      <c r="W78" s="103"/>
      <c r="X78" s="599"/>
      <c r="Y78" s="103"/>
      <c r="Z78" s="103"/>
      <c r="AA78" s="65"/>
      <c r="AB78" s="103"/>
      <c r="AF78" s="6"/>
    </row>
    <row r="79" spans="1:32">
      <c r="A79" s="2">
        <f t="shared" si="2"/>
        <v>62</v>
      </c>
      <c r="E79" s="697"/>
      <c r="F79" s="183"/>
      <c r="G79" s="187"/>
      <c r="H79" s="188"/>
      <c r="I79" s="188"/>
      <c r="J79" s="189"/>
      <c r="K79" s="190"/>
      <c r="L79" s="191"/>
      <c r="M79" s="192"/>
      <c r="N79" s="193"/>
      <c r="O79" s="689"/>
      <c r="P79" s="194"/>
      <c r="Q79" s="195"/>
      <c r="R79" s="183"/>
      <c r="S79" s="47"/>
      <c r="U79" s="65"/>
      <c r="V79" s="103"/>
      <c r="W79" s="103"/>
      <c r="X79" s="599"/>
      <c r="Y79" s="103"/>
      <c r="Z79" s="103"/>
      <c r="AA79" s="65"/>
      <c r="AB79" s="103"/>
      <c r="AF79" s="6"/>
    </row>
    <row r="80" spans="1:32">
      <c r="A80" s="2">
        <f t="shared" si="2"/>
        <v>63</v>
      </c>
      <c r="B80" s="688" t="s">
        <v>2330</v>
      </c>
      <c r="C80" s="688" t="s">
        <v>2579</v>
      </c>
      <c r="D80" s="688" t="s">
        <v>2303</v>
      </c>
      <c r="E80" s="182" t="s">
        <v>2580</v>
      </c>
      <c r="F80" s="183">
        <v>-222591.52</v>
      </c>
      <c r="G80" s="183">
        <v>-94725.14</v>
      </c>
      <c r="H80" s="183">
        <v>-19138.080000000002</v>
      </c>
      <c r="I80" s="183">
        <v>-6966.53999999999</v>
      </c>
      <c r="J80" s="183">
        <v>-31665.17</v>
      </c>
      <c r="K80" s="183">
        <v>-5684.8299999999899</v>
      </c>
      <c r="L80" s="183">
        <v>-3823.9199999999901</v>
      </c>
      <c r="M80" s="183">
        <v>-4992.8499999999904</v>
      </c>
      <c r="N80" s="183">
        <v>-5682.2699999999904</v>
      </c>
      <c r="O80" s="183">
        <v>-3894.9399999999901</v>
      </c>
      <c r="P80" s="183">
        <v>-4605.1899999999896</v>
      </c>
      <c r="Q80" s="183">
        <v>-1790.48999999999</v>
      </c>
      <c r="R80" s="183">
        <v>-192954.05</v>
      </c>
      <c r="S80" s="184">
        <f>((F80+R80)+((G80+H80+I80+J80+K80+L80+M80+N80+O80+P80+Q80)*2))/24</f>
        <v>-32561.850416666657</v>
      </c>
      <c r="U80" s="65">
        <f t="shared" ref="U80:U97" si="18">+S80</f>
        <v>-32561.850416666657</v>
      </c>
      <c r="V80" s="103"/>
      <c r="W80" s="103"/>
      <c r="X80" s="599"/>
      <c r="Y80" s="103"/>
      <c r="Z80" s="103"/>
      <c r="AA80" s="65"/>
      <c r="AB80" s="103"/>
      <c r="AD80" s="42">
        <f t="shared" ref="AD80:AD98" si="19">+S80</f>
        <v>-32561.850416666657</v>
      </c>
      <c r="AF80" s="6"/>
    </row>
    <row r="81" spans="1:32">
      <c r="A81" s="2">
        <f t="shared" si="2"/>
        <v>64</v>
      </c>
      <c r="B81" s="688" t="s">
        <v>2330</v>
      </c>
      <c r="C81" s="688" t="s">
        <v>2581</v>
      </c>
      <c r="D81" s="688" t="s">
        <v>2582</v>
      </c>
      <c r="E81" s="182" t="s">
        <v>2583</v>
      </c>
      <c r="F81" s="183">
        <v>395278.96</v>
      </c>
      <c r="G81" s="183">
        <v>628858.31000000006</v>
      </c>
      <c r="H81" s="183">
        <v>454700</v>
      </c>
      <c r="I81" s="183">
        <v>864740.21</v>
      </c>
      <c r="J81" s="183">
        <v>1193257.3999999999</v>
      </c>
      <c r="K81" s="183">
        <v>1168983.43</v>
      </c>
      <c r="L81" s="183">
        <v>1123968.92</v>
      </c>
      <c r="M81" s="183">
        <v>819240.65</v>
      </c>
      <c r="N81" s="183">
        <v>494307.71</v>
      </c>
      <c r="O81" s="183">
        <v>1585176.07</v>
      </c>
      <c r="P81" s="183">
        <v>510787.45</v>
      </c>
      <c r="Q81" s="183">
        <v>357290.91</v>
      </c>
      <c r="R81" s="183">
        <v>990530.62</v>
      </c>
      <c r="S81" s="184">
        <f t="shared" ref="S81:S91" si="20">((F81+R81)+((G81+H81+I81+J81+K81+L81+M81+N81+O81+P81+Q81)*2))/24</f>
        <v>824517.98750000016</v>
      </c>
      <c r="U81" s="65">
        <f t="shared" si="18"/>
        <v>824517.98750000016</v>
      </c>
      <c r="V81" s="103"/>
      <c r="W81" s="103"/>
      <c r="X81" s="599"/>
      <c r="Y81" s="103"/>
      <c r="Z81" s="103"/>
      <c r="AA81" s="65"/>
      <c r="AB81" s="103"/>
      <c r="AD81" s="42">
        <f t="shared" si="19"/>
        <v>824517.98750000016</v>
      </c>
      <c r="AF81" s="6"/>
    </row>
    <row r="82" spans="1:32">
      <c r="A82" s="2">
        <f t="shared" si="2"/>
        <v>65</v>
      </c>
      <c r="B82" s="688" t="s">
        <v>2342</v>
      </c>
      <c r="C82" s="688" t="s">
        <v>2581</v>
      </c>
      <c r="D82" s="688" t="s">
        <v>2582</v>
      </c>
      <c r="E82" s="182" t="s">
        <v>2584</v>
      </c>
      <c r="F82" s="183">
        <v>0</v>
      </c>
      <c r="G82" s="183">
        <v>0</v>
      </c>
      <c r="H82" s="183">
        <v>0</v>
      </c>
      <c r="I82" s="183">
        <v>0</v>
      </c>
      <c r="J82" s="183">
        <v>0</v>
      </c>
      <c r="K82" s="183">
        <v>0</v>
      </c>
      <c r="L82" s="183">
        <v>0</v>
      </c>
      <c r="M82" s="183">
        <v>0</v>
      </c>
      <c r="N82" s="183">
        <v>0</v>
      </c>
      <c r="O82" s="183">
        <v>0</v>
      </c>
      <c r="P82" s="183">
        <v>0</v>
      </c>
      <c r="Q82" s="183">
        <v>0</v>
      </c>
      <c r="R82" s="183">
        <v>0</v>
      </c>
      <c r="S82" s="184">
        <f t="shared" si="20"/>
        <v>0</v>
      </c>
      <c r="U82" s="65">
        <f t="shared" si="18"/>
        <v>0</v>
      </c>
      <c r="V82" s="103"/>
      <c r="W82" s="103"/>
      <c r="X82" s="599"/>
      <c r="Y82" s="103"/>
      <c r="Z82" s="103"/>
      <c r="AA82" s="65"/>
      <c r="AB82" s="103"/>
      <c r="AD82" s="42">
        <f t="shared" si="19"/>
        <v>0</v>
      </c>
      <c r="AF82" s="6"/>
    </row>
    <row r="83" spans="1:32">
      <c r="A83" s="2">
        <f t="shared" si="2"/>
        <v>66</v>
      </c>
      <c r="B83" s="688" t="s">
        <v>2324</v>
      </c>
      <c r="C83" s="688" t="s">
        <v>2581</v>
      </c>
      <c r="D83" s="688" t="s">
        <v>2582</v>
      </c>
      <c r="E83" s="182" t="s">
        <v>2584</v>
      </c>
      <c r="F83" s="183">
        <v>0</v>
      </c>
      <c r="G83" s="183">
        <v>0</v>
      </c>
      <c r="H83" s="183">
        <v>0</v>
      </c>
      <c r="I83" s="183">
        <v>0</v>
      </c>
      <c r="J83" s="183">
        <v>0</v>
      </c>
      <c r="K83" s="183">
        <v>0</v>
      </c>
      <c r="L83" s="183">
        <v>0</v>
      </c>
      <c r="M83" s="183">
        <v>0</v>
      </c>
      <c r="N83" s="183">
        <v>0</v>
      </c>
      <c r="O83" s="183">
        <v>0</v>
      </c>
      <c r="P83" s="183">
        <v>0</v>
      </c>
      <c r="Q83" s="183">
        <v>0</v>
      </c>
      <c r="R83" s="183">
        <v>0</v>
      </c>
      <c r="S83" s="184">
        <f t="shared" si="20"/>
        <v>0</v>
      </c>
      <c r="U83" s="65">
        <f t="shared" si="18"/>
        <v>0</v>
      </c>
      <c r="V83" s="103"/>
      <c r="W83" s="103"/>
      <c r="X83" s="599"/>
      <c r="Y83" s="103"/>
      <c r="Z83" s="103"/>
      <c r="AA83" s="65"/>
      <c r="AB83" s="103"/>
      <c r="AD83" s="42">
        <f t="shared" si="19"/>
        <v>0</v>
      </c>
      <c r="AF83" s="6"/>
    </row>
    <row r="84" spans="1:32">
      <c r="A84" s="2">
        <f t="shared" ref="A84:A147" si="21">MAX(A83:A83)+1</f>
        <v>67</v>
      </c>
      <c r="B84" s="688" t="s">
        <v>2330</v>
      </c>
      <c r="C84" s="688" t="s">
        <v>2581</v>
      </c>
      <c r="D84" s="688" t="s">
        <v>2537</v>
      </c>
      <c r="E84" s="182" t="s">
        <v>2585</v>
      </c>
      <c r="F84" s="183">
        <v>-1908.63</v>
      </c>
      <c r="G84" s="183">
        <v>-1908.63</v>
      </c>
      <c r="H84" s="183">
        <v>-1908.63</v>
      </c>
      <c r="I84" s="183">
        <v>-1908.63</v>
      </c>
      <c r="J84" s="183">
        <v>-1908.63</v>
      </c>
      <c r="K84" s="183">
        <v>-1908.63</v>
      </c>
      <c r="L84" s="183">
        <v>-1908.63</v>
      </c>
      <c r="M84" s="183">
        <v>-1908.63</v>
      </c>
      <c r="N84" s="183">
        <v>-1908.63</v>
      </c>
      <c r="O84" s="183">
        <v>-1908.63</v>
      </c>
      <c r="P84" s="183">
        <v>-1908.63</v>
      </c>
      <c r="Q84" s="183">
        <v>-1908.63</v>
      </c>
      <c r="R84" s="183">
        <v>-1908.63</v>
      </c>
      <c r="S84" s="184">
        <f t="shared" si="20"/>
        <v>-1908.6300000000008</v>
      </c>
      <c r="U84" s="65">
        <f t="shared" si="18"/>
        <v>-1908.6300000000008</v>
      </c>
      <c r="V84" s="103"/>
      <c r="W84" s="103"/>
      <c r="X84" s="599"/>
      <c r="Y84" s="103"/>
      <c r="Z84" s="103"/>
      <c r="AA84" s="65"/>
      <c r="AB84" s="103"/>
      <c r="AD84" s="42">
        <f t="shared" si="19"/>
        <v>-1908.6300000000008</v>
      </c>
      <c r="AF84" s="6"/>
    </row>
    <row r="85" spans="1:32">
      <c r="A85" s="2">
        <f t="shared" si="21"/>
        <v>68</v>
      </c>
      <c r="B85" s="688" t="s">
        <v>2330</v>
      </c>
      <c r="C85" s="688" t="s">
        <v>2581</v>
      </c>
      <c r="D85" s="688" t="s">
        <v>2586</v>
      </c>
      <c r="E85" s="182" t="s">
        <v>2587</v>
      </c>
      <c r="F85" s="183">
        <v>168.8</v>
      </c>
      <c r="G85" s="183">
        <v>328.64</v>
      </c>
      <c r="H85" s="183">
        <v>400.26</v>
      </c>
      <c r="I85" s="183">
        <v>40.5</v>
      </c>
      <c r="J85" s="183">
        <v>954.59</v>
      </c>
      <c r="K85" s="183">
        <v>111.68</v>
      </c>
      <c r="L85" s="183">
        <v>204.85</v>
      </c>
      <c r="M85" s="183">
        <v>608.62</v>
      </c>
      <c r="N85" s="183">
        <v>888.97</v>
      </c>
      <c r="O85" s="183">
        <v>485.48</v>
      </c>
      <c r="P85" s="183">
        <v>620.19000000000005</v>
      </c>
      <c r="Q85" s="183">
        <v>429.08</v>
      </c>
      <c r="R85" s="183">
        <v>561.51</v>
      </c>
      <c r="S85" s="184">
        <f t="shared" si="20"/>
        <v>453.1679166666666</v>
      </c>
      <c r="U85" s="65">
        <f t="shared" si="18"/>
        <v>453.1679166666666</v>
      </c>
      <c r="V85" s="103"/>
      <c r="W85" s="103"/>
      <c r="X85" s="599"/>
      <c r="Y85" s="103"/>
      <c r="Z85" s="103"/>
      <c r="AA85" s="65"/>
      <c r="AB85" s="103"/>
      <c r="AD85" s="42">
        <f t="shared" si="19"/>
        <v>453.1679166666666</v>
      </c>
      <c r="AF85" s="6"/>
    </row>
    <row r="86" spans="1:32">
      <c r="A86" s="2">
        <f t="shared" si="21"/>
        <v>69</v>
      </c>
      <c r="B86" s="688" t="s">
        <v>2330</v>
      </c>
      <c r="C86" s="688" t="s">
        <v>2581</v>
      </c>
      <c r="D86" s="688" t="s">
        <v>2541</v>
      </c>
      <c r="E86" s="182" t="s">
        <v>2588</v>
      </c>
      <c r="F86" s="183">
        <v>14904.11</v>
      </c>
      <c r="G86" s="183">
        <v>10685.37</v>
      </c>
      <c r="H86" s="183">
        <v>10562.53</v>
      </c>
      <c r="I86" s="183">
        <v>10543.29</v>
      </c>
      <c r="J86" s="183">
        <v>10543.29</v>
      </c>
      <c r="K86" s="183">
        <v>10543.29</v>
      </c>
      <c r="L86" s="183">
        <v>10944.32</v>
      </c>
      <c r="M86" s="183">
        <v>17646.75</v>
      </c>
      <c r="N86" s="183">
        <v>10543.29</v>
      </c>
      <c r="O86" s="183">
        <v>10543.29</v>
      </c>
      <c r="P86" s="183">
        <v>10543.29</v>
      </c>
      <c r="Q86" s="183">
        <v>10543.29</v>
      </c>
      <c r="R86" s="183">
        <v>11391.63</v>
      </c>
      <c r="S86" s="184">
        <f t="shared" si="20"/>
        <v>11399.155833333336</v>
      </c>
      <c r="U86" s="65">
        <f t="shared" si="18"/>
        <v>11399.155833333336</v>
      </c>
      <c r="V86" s="103"/>
      <c r="W86" s="103"/>
      <c r="X86" s="599"/>
      <c r="Y86" s="103"/>
      <c r="Z86" s="103"/>
      <c r="AA86" s="65"/>
      <c r="AB86" s="103"/>
      <c r="AD86" s="42">
        <f t="shared" si="19"/>
        <v>11399.155833333336</v>
      </c>
      <c r="AF86" s="6"/>
    </row>
    <row r="87" spans="1:32">
      <c r="A87" s="2">
        <f t="shared" si="21"/>
        <v>70</v>
      </c>
      <c r="B87" s="688" t="s">
        <v>2330</v>
      </c>
      <c r="C87" s="688" t="s">
        <v>2581</v>
      </c>
      <c r="D87" s="688" t="s">
        <v>2589</v>
      </c>
      <c r="E87" s="182" t="s">
        <v>2590</v>
      </c>
      <c r="F87" s="183">
        <v>0</v>
      </c>
      <c r="G87" s="183">
        <v>0</v>
      </c>
      <c r="H87" s="183">
        <v>0</v>
      </c>
      <c r="I87" s="183">
        <v>0</v>
      </c>
      <c r="J87" s="183">
        <v>0</v>
      </c>
      <c r="K87" s="183">
        <v>0</v>
      </c>
      <c r="L87" s="183">
        <v>0</v>
      </c>
      <c r="M87" s="183">
        <v>0</v>
      </c>
      <c r="N87" s="183">
        <v>0</v>
      </c>
      <c r="O87" s="183">
        <v>0</v>
      </c>
      <c r="P87" s="183">
        <v>0</v>
      </c>
      <c r="Q87" s="183">
        <v>0</v>
      </c>
      <c r="R87" s="183">
        <v>0</v>
      </c>
      <c r="S87" s="184">
        <f t="shared" si="20"/>
        <v>0</v>
      </c>
      <c r="U87" s="65">
        <f t="shared" si="18"/>
        <v>0</v>
      </c>
      <c r="V87" s="103"/>
      <c r="W87" s="103"/>
      <c r="X87" s="599"/>
      <c r="Y87" s="103"/>
      <c r="Z87" s="103"/>
      <c r="AA87" s="65"/>
      <c r="AB87" s="103"/>
      <c r="AD87" s="42">
        <f t="shared" si="19"/>
        <v>0</v>
      </c>
      <c r="AF87" s="6"/>
    </row>
    <row r="88" spans="1:32">
      <c r="A88" s="2">
        <f t="shared" si="21"/>
        <v>71</v>
      </c>
      <c r="B88" s="688" t="s">
        <v>2330</v>
      </c>
      <c r="C88" s="688" t="s">
        <v>2581</v>
      </c>
      <c r="D88" s="688" t="s">
        <v>2591</v>
      </c>
      <c r="E88" s="182" t="s">
        <v>2592</v>
      </c>
      <c r="F88" s="183">
        <v>4.65661287307739E-10</v>
      </c>
      <c r="G88" s="183">
        <v>15821835.310000001</v>
      </c>
      <c r="H88" s="183">
        <v>15267731.68</v>
      </c>
      <c r="I88" s="183">
        <v>16127167.18</v>
      </c>
      <c r="J88" s="183">
        <v>7501772.6699999999</v>
      </c>
      <c r="K88" s="183">
        <v>7685617.21</v>
      </c>
      <c r="L88" s="183">
        <v>3804337.01</v>
      </c>
      <c r="M88" s="183">
        <v>5719914.5599999996</v>
      </c>
      <c r="N88" s="183">
        <v>0</v>
      </c>
      <c r="O88" s="183">
        <v>0</v>
      </c>
      <c r="P88" s="183">
        <v>0</v>
      </c>
      <c r="Q88" s="183">
        <v>0</v>
      </c>
      <c r="R88" s="183">
        <v>0</v>
      </c>
      <c r="S88" s="184">
        <f t="shared" si="20"/>
        <v>5994031.3016666668</v>
      </c>
      <c r="U88" s="65">
        <f t="shared" si="18"/>
        <v>5994031.3016666668</v>
      </c>
      <c r="V88" s="103"/>
      <c r="W88" s="103"/>
      <c r="X88" s="599"/>
      <c r="Y88" s="103"/>
      <c r="Z88" s="103"/>
      <c r="AA88" s="65"/>
      <c r="AB88" s="103"/>
      <c r="AD88" s="42">
        <f t="shared" si="19"/>
        <v>5994031.3016666668</v>
      </c>
      <c r="AF88" s="6"/>
    </row>
    <row r="89" spans="1:32">
      <c r="A89" s="2">
        <f t="shared" si="21"/>
        <v>72</v>
      </c>
      <c r="B89" s="688" t="s">
        <v>2330</v>
      </c>
      <c r="C89" s="688" t="s">
        <v>2581</v>
      </c>
      <c r="D89" s="688" t="s">
        <v>2593</v>
      </c>
      <c r="E89" s="182" t="s">
        <v>2594</v>
      </c>
      <c r="F89" s="183">
        <v>0</v>
      </c>
      <c r="G89" s="183">
        <v>-30067</v>
      </c>
      <c r="H89" s="183">
        <v>-30067</v>
      </c>
      <c r="I89" s="183">
        <v>-32260</v>
      </c>
      <c r="J89" s="183">
        <v>-32260</v>
      </c>
      <c r="K89" s="183">
        <v>-32260</v>
      </c>
      <c r="L89" s="183">
        <v>-34465</v>
      </c>
      <c r="M89" s="183">
        <v>-34465</v>
      </c>
      <c r="N89" s="183">
        <v>0</v>
      </c>
      <c r="O89" s="183">
        <v>0</v>
      </c>
      <c r="P89" s="183">
        <v>0</v>
      </c>
      <c r="Q89" s="183">
        <v>0</v>
      </c>
      <c r="R89" s="183">
        <v>0</v>
      </c>
      <c r="S89" s="184">
        <f>((F89+R89)+((G89+H89+I89+J89+K89+L89+M89+N89+O89+P89+Q89)*2))/24</f>
        <v>-18820.333333333332</v>
      </c>
      <c r="U89" s="65">
        <f t="shared" si="18"/>
        <v>-18820.333333333332</v>
      </c>
      <c r="V89" s="103"/>
      <c r="W89" s="103"/>
      <c r="X89" s="599"/>
      <c r="Y89" s="103"/>
      <c r="Z89" s="103"/>
      <c r="AA89" s="65"/>
      <c r="AB89" s="103"/>
      <c r="AD89" s="42">
        <f t="shared" si="19"/>
        <v>-18820.333333333332</v>
      </c>
      <c r="AF89" s="6"/>
    </row>
    <row r="90" spans="1:32">
      <c r="A90" s="2">
        <f t="shared" si="21"/>
        <v>73</v>
      </c>
      <c r="B90" s="688" t="s">
        <v>2324</v>
      </c>
      <c r="C90" s="688" t="s">
        <v>2581</v>
      </c>
      <c r="D90" s="688" t="s">
        <v>2595</v>
      </c>
      <c r="E90" s="182" t="s">
        <v>2596</v>
      </c>
      <c r="F90" s="183"/>
      <c r="G90" s="183"/>
      <c r="H90" s="183"/>
      <c r="I90" s="183"/>
      <c r="J90" s="183"/>
      <c r="K90" s="183"/>
      <c r="L90" s="183"/>
      <c r="M90" s="183"/>
      <c r="N90" s="183"/>
      <c r="O90" s="183"/>
      <c r="P90" s="183">
        <v>23831</v>
      </c>
      <c r="Q90" s="183">
        <v>57635.040000000001</v>
      </c>
      <c r="R90" s="183">
        <v>82297.039999999994</v>
      </c>
      <c r="S90" s="184">
        <f>((F90+R90)+((G90+H90+I90+J90+K90+L90+M90+N90+O90+P90+Q90)*2))/24</f>
        <v>10217.879999999999</v>
      </c>
      <c r="U90" s="65">
        <f t="shared" si="18"/>
        <v>10217.879999999999</v>
      </c>
      <c r="V90" s="103"/>
      <c r="W90" s="103"/>
      <c r="X90" s="599"/>
      <c r="Y90" s="103"/>
      <c r="Z90" s="103"/>
      <c r="AA90" s="65"/>
      <c r="AB90" s="103"/>
      <c r="AD90" s="42">
        <f t="shared" si="19"/>
        <v>10217.879999999999</v>
      </c>
      <c r="AF90" s="6"/>
    </row>
    <row r="91" spans="1:32">
      <c r="A91" s="2">
        <f t="shared" si="21"/>
        <v>74</v>
      </c>
      <c r="B91" s="688" t="s">
        <v>2324</v>
      </c>
      <c r="C91" s="688" t="s">
        <v>2581</v>
      </c>
      <c r="D91" s="688" t="s">
        <v>2597</v>
      </c>
      <c r="E91" s="182" t="s">
        <v>2598</v>
      </c>
      <c r="F91" s="183">
        <v>0</v>
      </c>
      <c r="G91" s="183">
        <v>0</v>
      </c>
      <c r="H91" s="183">
        <v>0</v>
      </c>
      <c r="I91" s="183">
        <v>0</v>
      </c>
      <c r="J91" s="183">
        <v>0</v>
      </c>
      <c r="K91" s="183">
        <v>0</v>
      </c>
      <c r="L91" s="183">
        <v>0</v>
      </c>
      <c r="M91" s="183">
        <v>0</v>
      </c>
      <c r="N91" s="183">
        <v>36629191.170000002</v>
      </c>
      <c r="O91" s="183">
        <v>0</v>
      </c>
      <c r="P91" s="183">
        <v>0</v>
      </c>
      <c r="Q91" s="183">
        <v>0</v>
      </c>
      <c r="R91" s="183">
        <v>0</v>
      </c>
      <c r="S91" s="184">
        <f t="shared" si="20"/>
        <v>3052432.5975000001</v>
      </c>
      <c r="U91" s="65">
        <f t="shared" si="18"/>
        <v>3052432.5975000001</v>
      </c>
      <c r="V91" s="103"/>
      <c r="W91" s="103"/>
      <c r="X91" s="599"/>
      <c r="Y91" s="103"/>
      <c r="Z91" s="103"/>
      <c r="AA91" s="65"/>
      <c r="AB91" s="103"/>
      <c r="AD91" s="42">
        <f t="shared" si="19"/>
        <v>3052432.5975000001</v>
      </c>
      <c r="AF91" s="6"/>
    </row>
    <row r="92" spans="1:32">
      <c r="A92" s="2">
        <f t="shared" si="21"/>
        <v>75</v>
      </c>
      <c r="B92" s="688" t="s">
        <v>2342</v>
      </c>
      <c r="C92" s="688" t="s">
        <v>2581</v>
      </c>
      <c r="D92" s="688" t="s">
        <v>2599</v>
      </c>
      <c r="E92" s="182" t="s">
        <v>2600</v>
      </c>
      <c r="F92" s="183">
        <v>8.7311491370201098E-11</v>
      </c>
      <c r="G92" s="183">
        <v>1462001.14</v>
      </c>
      <c r="H92" s="183">
        <v>1391874.84</v>
      </c>
      <c r="I92" s="183">
        <v>1182892.01</v>
      </c>
      <c r="J92" s="183">
        <v>-417006.31</v>
      </c>
      <c r="K92" s="183">
        <v>-422542.99</v>
      </c>
      <c r="L92" s="183">
        <v>-346253.84</v>
      </c>
      <c r="M92" s="183">
        <v>-149624.45000000001</v>
      </c>
      <c r="N92" s="183">
        <v>-2.9103830456733698E-10</v>
      </c>
      <c r="O92" s="183">
        <v>-2.9103830456733698E-10</v>
      </c>
      <c r="P92" s="183">
        <v>-2.9103830456733698E-10</v>
      </c>
      <c r="Q92" s="183">
        <v>-2.9103830456733698E-10</v>
      </c>
      <c r="R92" s="183">
        <v>-2.9103830456733698E-10</v>
      </c>
      <c r="S92" s="184">
        <f t="shared" ref="S92:S98" si="22">((F92+R92)+((G92+H92+I92+J92+K92+L92+M92+N92+O92+P92+Q92)*2))/24</f>
        <v>225111.69999999987</v>
      </c>
      <c r="U92" s="65">
        <f t="shared" si="18"/>
        <v>225111.69999999987</v>
      </c>
      <c r="V92" s="103"/>
      <c r="W92" s="103"/>
      <c r="X92" s="599"/>
      <c r="Y92" s="103"/>
      <c r="Z92" s="103"/>
      <c r="AA92" s="65"/>
      <c r="AB92" s="103"/>
      <c r="AD92" s="42">
        <f t="shared" si="19"/>
        <v>225111.69999999987</v>
      </c>
      <c r="AF92" s="6"/>
    </row>
    <row r="93" spans="1:32">
      <c r="A93" s="2">
        <f t="shared" si="21"/>
        <v>76</v>
      </c>
      <c r="B93" s="688" t="s">
        <v>2342</v>
      </c>
      <c r="C93" s="688" t="s">
        <v>2581</v>
      </c>
      <c r="D93" s="688" t="s">
        <v>2595</v>
      </c>
      <c r="E93" s="182" t="s">
        <v>2596</v>
      </c>
      <c r="F93" s="183"/>
      <c r="G93" s="183"/>
      <c r="H93" s="183"/>
      <c r="I93" s="183"/>
      <c r="J93" s="183"/>
      <c r="K93" s="183"/>
      <c r="L93" s="183"/>
      <c r="M93" s="183"/>
      <c r="N93" s="183"/>
      <c r="O93" s="183"/>
      <c r="P93" s="183">
        <v>510</v>
      </c>
      <c r="Q93" s="183">
        <v>345</v>
      </c>
      <c r="R93" s="183">
        <v>14040.5</v>
      </c>
      <c r="S93" s="184">
        <f t="shared" si="22"/>
        <v>656.27083333333337</v>
      </c>
      <c r="U93" s="65">
        <f t="shared" si="18"/>
        <v>656.27083333333337</v>
      </c>
      <c r="V93" s="103"/>
      <c r="W93" s="103"/>
      <c r="X93" s="599"/>
      <c r="Y93" s="103"/>
      <c r="Z93" s="103"/>
      <c r="AA93" s="65"/>
      <c r="AB93" s="103"/>
      <c r="AD93" s="42">
        <f t="shared" si="19"/>
        <v>656.27083333333337</v>
      </c>
      <c r="AF93" s="6"/>
    </row>
    <row r="94" spans="1:32">
      <c r="A94" s="2">
        <f t="shared" si="21"/>
        <v>77</v>
      </c>
      <c r="B94" s="688" t="s">
        <v>2330</v>
      </c>
      <c r="C94" s="688" t="s">
        <v>2601</v>
      </c>
      <c r="D94" s="688"/>
      <c r="E94" s="182" t="s">
        <v>2602</v>
      </c>
      <c r="F94" s="183">
        <v>0</v>
      </c>
      <c r="G94" s="183">
        <v>0</v>
      </c>
      <c r="H94" s="183">
        <v>0</v>
      </c>
      <c r="I94" s="183">
        <v>0</v>
      </c>
      <c r="J94" s="183">
        <v>0</v>
      </c>
      <c r="K94" s="183">
        <v>0</v>
      </c>
      <c r="L94" s="183">
        <v>0</v>
      </c>
      <c r="M94" s="183">
        <v>0</v>
      </c>
      <c r="N94" s="183">
        <v>0</v>
      </c>
      <c r="O94" s="183">
        <v>0</v>
      </c>
      <c r="P94" s="183">
        <v>0</v>
      </c>
      <c r="Q94" s="183">
        <v>0</v>
      </c>
      <c r="R94" s="183">
        <v>0</v>
      </c>
      <c r="S94" s="184">
        <f t="shared" si="22"/>
        <v>0</v>
      </c>
      <c r="U94" s="65">
        <f t="shared" si="18"/>
        <v>0</v>
      </c>
      <c r="V94" s="103"/>
      <c r="W94" s="103"/>
      <c r="X94" s="599"/>
      <c r="Y94" s="103"/>
      <c r="Z94" s="103"/>
      <c r="AA94" s="65"/>
      <c r="AB94" s="103"/>
      <c r="AD94" s="42">
        <f t="shared" si="19"/>
        <v>0</v>
      </c>
      <c r="AF94" s="6"/>
    </row>
    <row r="95" spans="1:32">
      <c r="A95" s="2">
        <f t="shared" si="21"/>
        <v>78</v>
      </c>
      <c r="B95" s="688" t="s">
        <v>2342</v>
      </c>
      <c r="C95" s="688" t="s">
        <v>2579</v>
      </c>
      <c r="D95" s="688" t="s">
        <v>2303</v>
      </c>
      <c r="E95" s="182" t="s">
        <v>2603</v>
      </c>
      <c r="F95" s="183">
        <v>8366181.46</v>
      </c>
      <c r="G95" s="183">
        <v>10038735.84</v>
      </c>
      <c r="H95" s="183">
        <v>9189412.3800000008</v>
      </c>
      <c r="I95" s="183">
        <v>10452915.779999999</v>
      </c>
      <c r="J95" s="183">
        <v>8304416.8200000003</v>
      </c>
      <c r="K95" s="183">
        <v>4378774.8600000003</v>
      </c>
      <c r="L95" s="183">
        <v>3178038.87</v>
      </c>
      <c r="M95" s="183">
        <v>2054424.43</v>
      </c>
      <c r="N95" s="183">
        <v>1182646.2</v>
      </c>
      <c r="O95" s="183">
        <v>665389.15999999898</v>
      </c>
      <c r="P95" s="183">
        <v>1273483.6499999999</v>
      </c>
      <c r="Q95" s="183">
        <v>2620346.7400000002</v>
      </c>
      <c r="R95" s="183">
        <v>5058289.7300000004</v>
      </c>
      <c r="S95" s="184">
        <f t="shared" si="22"/>
        <v>5004235.0270833327</v>
      </c>
      <c r="U95" s="65">
        <f t="shared" si="18"/>
        <v>5004235.0270833327</v>
      </c>
      <c r="V95" s="103"/>
      <c r="W95" s="103"/>
      <c r="X95" s="599"/>
      <c r="Y95" s="103"/>
      <c r="Z95" s="103"/>
      <c r="AA95" s="65"/>
      <c r="AB95" s="103"/>
      <c r="AD95" s="42">
        <f t="shared" si="19"/>
        <v>5004235.0270833327</v>
      </c>
      <c r="AF95" s="6"/>
    </row>
    <row r="96" spans="1:32">
      <c r="A96" s="2">
        <f t="shared" si="21"/>
        <v>79</v>
      </c>
      <c r="B96" s="688" t="s">
        <v>2342</v>
      </c>
      <c r="C96" s="688" t="s">
        <v>2579</v>
      </c>
      <c r="D96" s="688" t="s">
        <v>2304</v>
      </c>
      <c r="E96" s="182" t="s">
        <v>2604</v>
      </c>
      <c r="F96" s="183">
        <v>70726.830000000104</v>
      </c>
      <c r="G96" s="183">
        <v>-76752.11</v>
      </c>
      <c r="H96" s="183">
        <v>38994.92</v>
      </c>
      <c r="I96" s="183">
        <v>85925.45</v>
      </c>
      <c r="J96" s="183">
        <v>105440.69</v>
      </c>
      <c r="K96" s="183">
        <v>53114.71</v>
      </c>
      <c r="L96" s="183">
        <v>116319.74</v>
      </c>
      <c r="M96" s="183">
        <v>82740.350000000006</v>
      </c>
      <c r="N96" s="183">
        <v>98327.79</v>
      </c>
      <c r="O96" s="183">
        <v>80976.77</v>
      </c>
      <c r="P96" s="183">
        <v>190669.84</v>
      </c>
      <c r="Q96" s="183">
        <v>220480.81</v>
      </c>
      <c r="R96" s="183">
        <v>68079.48</v>
      </c>
      <c r="S96" s="184">
        <f t="shared" si="22"/>
        <v>88803.509583333333</v>
      </c>
      <c r="U96" s="65">
        <f t="shared" si="18"/>
        <v>88803.509583333333</v>
      </c>
      <c r="V96" s="103"/>
      <c r="W96" s="103"/>
      <c r="X96" s="599"/>
      <c r="Y96" s="103"/>
      <c r="Z96" s="103"/>
      <c r="AA96" s="65"/>
      <c r="AB96" s="103"/>
      <c r="AD96" s="42">
        <f t="shared" si="19"/>
        <v>88803.509583333333</v>
      </c>
      <c r="AF96" s="6"/>
    </row>
    <row r="97" spans="1:32">
      <c r="A97" s="2">
        <f t="shared" si="21"/>
        <v>80</v>
      </c>
      <c r="B97" s="688" t="s">
        <v>2324</v>
      </c>
      <c r="C97" s="688" t="s">
        <v>2579</v>
      </c>
      <c r="D97" s="688" t="s">
        <v>2303</v>
      </c>
      <c r="E97" s="182" t="s">
        <v>2603</v>
      </c>
      <c r="F97" s="183">
        <v>28877939.48</v>
      </c>
      <c r="G97" s="183">
        <v>34481501.219999999</v>
      </c>
      <c r="H97" s="183">
        <v>29998499.289999999</v>
      </c>
      <c r="I97" s="183">
        <v>34072129.950000003</v>
      </c>
      <c r="J97" s="183">
        <v>26376431.010000002</v>
      </c>
      <c r="K97" s="183">
        <v>17620576.899999999</v>
      </c>
      <c r="L97" s="183">
        <v>11897345.689999999</v>
      </c>
      <c r="M97" s="183">
        <v>7899190.9800000004</v>
      </c>
      <c r="N97" s="183">
        <v>4488022.75</v>
      </c>
      <c r="O97" s="183">
        <v>2134096.58</v>
      </c>
      <c r="P97" s="183">
        <v>2368039.21</v>
      </c>
      <c r="Q97" s="183">
        <v>7520346.6799999997</v>
      </c>
      <c r="R97" s="183">
        <v>16785490.870000001</v>
      </c>
      <c r="S97" s="184">
        <f t="shared" si="22"/>
        <v>16807324.619583335</v>
      </c>
      <c r="U97" s="65">
        <f t="shared" si="18"/>
        <v>16807324.619583335</v>
      </c>
      <c r="V97" s="103"/>
      <c r="W97" s="103"/>
      <c r="X97" s="599"/>
      <c r="Y97" s="103"/>
      <c r="Z97" s="103"/>
      <c r="AA97" s="65"/>
      <c r="AB97" s="103"/>
      <c r="AD97" s="42">
        <f t="shared" si="19"/>
        <v>16807324.619583335</v>
      </c>
      <c r="AF97" s="6"/>
    </row>
    <row r="98" spans="1:32">
      <c r="A98" s="2">
        <f t="shared" si="21"/>
        <v>81</v>
      </c>
      <c r="B98" s="688" t="s">
        <v>2324</v>
      </c>
      <c r="C98" s="688" t="s">
        <v>2579</v>
      </c>
      <c r="D98" s="688" t="s">
        <v>2304</v>
      </c>
      <c r="E98" s="182" t="s">
        <v>2604</v>
      </c>
      <c r="F98" s="313">
        <v>426184.82</v>
      </c>
      <c r="G98" s="313">
        <v>289054.31</v>
      </c>
      <c r="H98" s="313">
        <v>295773.32</v>
      </c>
      <c r="I98" s="313">
        <v>405722.24</v>
      </c>
      <c r="J98" s="313">
        <v>408177.14</v>
      </c>
      <c r="K98" s="313">
        <v>255740.44</v>
      </c>
      <c r="L98" s="313">
        <v>387145.96</v>
      </c>
      <c r="M98" s="313">
        <v>300812.53999999998</v>
      </c>
      <c r="N98" s="313">
        <v>376767.35</v>
      </c>
      <c r="O98" s="313">
        <v>226818.48</v>
      </c>
      <c r="P98" s="313">
        <v>463325.59</v>
      </c>
      <c r="Q98" s="313">
        <v>563636.91</v>
      </c>
      <c r="R98" s="313">
        <v>769663.84</v>
      </c>
      <c r="S98" s="314">
        <f t="shared" si="22"/>
        <v>380908.21749999997</v>
      </c>
      <c r="U98" s="65">
        <f>+S98</f>
        <v>380908.21749999997</v>
      </c>
      <c r="V98" s="103"/>
      <c r="W98" s="103"/>
      <c r="X98" s="599"/>
      <c r="Y98" s="103"/>
      <c r="Z98" s="103"/>
      <c r="AA98" s="65"/>
      <c r="AB98" s="103"/>
      <c r="AD98" s="42">
        <f t="shared" si="19"/>
        <v>380908.21749999997</v>
      </c>
      <c r="AF98" s="6"/>
    </row>
    <row r="99" spans="1:32">
      <c r="A99" s="2">
        <f t="shared" si="21"/>
        <v>82</v>
      </c>
      <c r="E99" s="697" t="s">
        <v>2605</v>
      </c>
      <c r="F99" s="183">
        <f t="shared" ref="F99:Q99" si="23">SUM(F80:F98)</f>
        <v>37926884.310000002</v>
      </c>
      <c r="G99" s="183">
        <f t="shared" si="23"/>
        <v>62529547.260000005</v>
      </c>
      <c r="H99" s="183">
        <f t="shared" si="23"/>
        <v>56596835.510000005</v>
      </c>
      <c r="I99" s="183">
        <f t="shared" si="23"/>
        <v>63160941.440000005</v>
      </c>
      <c r="J99" s="183">
        <f t="shared" si="23"/>
        <v>43418153.5</v>
      </c>
      <c r="K99" s="183">
        <f t="shared" si="23"/>
        <v>30711066.07</v>
      </c>
      <c r="L99" s="183">
        <f t="shared" si="23"/>
        <v>20131853.969999999</v>
      </c>
      <c r="M99" s="183">
        <f t="shared" si="23"/>
        <v>16703587.949999999</v>
      </c>
      <c r="N99" s="183">
        <f t="shared" si="23"/>
        <v>43273104.330000006</v>
      </c>
      <c r="O99" s="183">
        <f t="shared" si="23"/>
        <v>4697682.26</v>
      </c>
      <c r="P99" s="183">
        <f>SUM(P80:P98)</f>
        <v>4835296.3999999994</v>
      </c>
      <c r="Q99" s="183">
        <f t="shared" si="23"/>
        <v>11347355.34</v>
      </c>
      <c r="R99" s="183">
        <f>SUM(R80:R98)</f>
        <v>23585482.540000003</v>
      </c>
      <c r="S99" s="184">
        <f>SUM(S80:S98)</f>
        <v>32346800.621250004</v>
      </c>
      <c r="U99" s="65"/>
      <c r="V99" s="103"/>
      <c r="W99" s="103"/>
      <c r="X99" s="599"/>
      <c r="Y99" s="103"/>
      <c r="Z99" s="103"/>
      <c r="AA99" s="65"/>
      <c r="AB99" s="103"/>
      <c r="AF99" s="6"/>
    </row>
    <row r="100" spans="1:32">
      <c r="A100" s="2">
        <f t="shared" si="21"/>
        <v>83</v>
      </c>
      <c r="E100" s="697" t="s">
        <v>2606</v>
      </c>
      <c r="F100" s="183"/>
      <c r="G100" s="187"/>
      <c r="H100" s="188"/>
      <c r="I100" s="188"/>
      <c r="J100" s="189"/>
      <c r="K100" s="190"/>
      <c r="L100" s="191"/>
      <c r="M100" s="192"/>
      <c r="N100" s="193"/>
      <c r="O100" s="689"/>
      <c r="P100" s="194"/>
      <c r="Q100" s="195"/>
      <c r="R100" s="183"/>
      <c r="S100" s="47"/>
      <c r="U100" s="65"/>
      <c r="V100" s="103"/>
      <c r="W100" s="103"/>
      <c r="X100" s="599"/>
      <c r="Y100" s="103"/>
      <c r="Z100" s="103"/>
      <c r="AA100" s="65"/>
      <c r="AB100" s="103"/>
      <c r="AF100" s="6"/>
    </row>
    <row r="101" spans="1:32">
      <c r="A101" s="2">
        <f t="shared" si="21"/>
        <v>84</v>
      </c>
      <c r="B101" s="688" t="s">
        <v>2330</v>
      </c>
      <c r="C101" s="688" t="s">
        <v>2607</v>
      </c>
      <c r="D101" s="688" t="s">
        <v>2608</v>
      </c>
      <c r="E101" s="697" t="s">
        <v>2609</v>
      </c>
      <c r="F101" s="183">
        <v>0</v>
      </c>
      <c r="G101" s="183">
        <v>0</v>
      </c>
      <c r="H101" s="183">
        <v>0</v>
      </c>
      <c r="I101" s="183">
        <v>0</v>
      </c>
      <c r="J101" s="183">
        <v>0</v>
      </c>
      <c r="K101" s="183">
        <v>0</v>
      </c>
      <c r="L101" s="183">
        <v>0</v>
      </c>
      <c r="M101" s="183">
        <v>0</v>
      </c>
      <c r="N101" s="183">
        <v>0</v>
      </c>
      <c r="O101" s="183">
        <v>0</v>
      </c>
      <c r="P101" s="183">
        <v>0</v>
      </c>
      <c r="Q101" s="183">
        <v>0</v>
      </c>
      <c r="R101" s="183">
        <v>0</v>
      </c>
      <c r="S101" s="184">
        <f>((F101+R101)+((G101+H101+I101+J101+K101+L101+M101+N101+O101+P101+Q101)*2))/24</f>
        <v>0</v>
      </c>
      <c r="U101" s="65">
        <f>+S101</f>
        <v>0</v>
      </c>
      <c r="V101" s="103"/>
      <c r="W101" s="103"/>
      <c r="X101" s="599"/>
      <c r="Y101" s="103"/>
      <c r="Z101" s="103"/>
      <c r="AA101" s="65"/>
      <c r="AB101" s="103"/>
      <c r="AF101" s="6"/>
    </row>
    <row r="102" spans="1:32">
      <c r="A102" s="2">
        <f t="shared" si="21"/>
        <v>85</v>
      </c>
      <c r="B102" s="688" t="s">
        <v>2330</v>
      </c>
      <c r="C102" s="688" t="s">
        <v>2607</v>
      </c>
      <c r="D102" s="688" t="s">
        <v>2610</v>
      </c>
      <c r="E102" s="697" t="s">
        <v>2611</v>
      </c>
      <c r="F102" s="183">
        <v>0</v>
      </c>
      <c r="G102" s="183">
        <v>0</v>
      </c>
      <c r="H102" s="183">
        <v>0</v>
      </c>
      <c r="I102" s="183">
        <v>0</v>
      </c>
      <c r="J102" s="183">
        <v>0</v>
      </c>
      <c r="K102" s="183">
        <v>0</v>
      </c>
      <c r="L102" s="183">
        <v>0</v>
      </c>
      <c r="M102" s="183">
        <v>0</v>
      </c>
      <c r="N102" s="183">
        <v>0</v>
      </c>
      <c r="O102" s="183">
        <v>0</v>
      </c>
      <c r="P102" s="183">
        <v>0</v>
      </c>
      <c r="Q102" s="183">
        <v>0</v>
      </c>
      <c r="R102" s="183">
        <v>0</v>
      </c>
      <c r="S102" s="184">
        <f>((F102+R102)+((G102+H102+I102+J102+K102+L102+M102+N102+O102+P102+Q102)*2))/24</f>
        <v>0</v>
      </c>
      <c r="U102" s="65">
        <f>+S102</f>
        <v>0</v>
      </c>
      <c r="V102" s="103"/>
      <c r="W102" s="103"/>
      <c r="X102" s="599"/>
      <c r="Y102" s="103"/>
      <c r="Z102" s="103"/>
      <c r="AA102" s="65"/>
      <c r="AB102" s="103"/>
      <c r="AF102" s="6"/>
    </row>
    <row r="103" spans="1:32">
      <c r="A103" s="2">
        <f t="shared" si="21"/>
        <v>86</v>
      </c>
      <c r="E103" s="697"/>
      <c r="F103" s="183"/>
      <c r="G103" s="187"/>
      <c r="H103" s="188"/>
      <c r="I103" s="188"/>
      <c r="J103" s="189"/>
      <c r="K103" s="190"/>
      <c r="L103" s="191"/>
      <c r="M103" s="192"/>
      <c r="N103" s="193"/>
      <c r="O103" s="689"/>
      <c r="P103" s="194"/>
      <c r="Q103" s="195"/>
      <c r="R103" s="183"/>
      <c r="S103" s="184"/>
      <c r="U103" s="65"/>
      <c r="V103" s="103"/>
      <c r="W103" s="103"/>
      <c r="X103" s="599"/>
      <c r="Y103" s="103"/>
      <c r="Z103" s="103"/>
      <c r="AA103" s="65"/>
      <c r="AB103" s="103"/>
      <c r="AF103" s="6"/>
    </row>
    <row r="104" spans="1:32">
      <c r="A104" s="2">
        <f t="shared" si="21"/>
        <v>87</v>
      </c>
      <c r="B104" s="688" t="s">
        <v>2330</v>
      </c>
      <c r="C104" s="688" t="s">
        <v>2612</v>
      </c>
      <c r="D104" s="688" t="s">
        <v>2613</v>
      </c>
      <c r="E104" s="697" t="s">
        <v>2614</v>
      </c>
      <c r="F104" s="183">
        <v>0</v>
      </c>
      <c r="G104" s="183">
        <v>0</v>
      </c>
      <c r="H104" s="183">
        <v>0</v>
      </c>
      <c r="I104" s="183">
        <v>0</v>
      </c>
      <c r="J104" s="183">
        <v>0</v>
      </c>
      <c r="K104" s="183">
        <v>0</v>
      </c>
      <c r="L104" s="183">
        <v>0</v>
      </c>
      <c r="M104" s="183">
        <v>0</v>
      </c>
      <c r="N104" s="183">
        <v>0</v>
      </c>
      <c r="O104" s="183">
        <v>0</v>
      </c>
      <c r="P104" s="183">
        <v>0</v>
      </c>
      <c r="Q104" s="183">
        <v>0</v>
      </c>
      <c r="R104" s="183">
        <v>0</v>
      </c>
      <c r="S104" s="184">
        <f t="shared" ref="S104:S112" si="24">((F104+R104)+((G104+H104+I104+J104+K104+L104+M104+N104+O104+P104+Q104)*2))/24</f>
        <v>0</v>
      </c>
      <c r="U104" s="65"/>
      <c r="V104" s="103"/>
      <c r="W104" s="103"/>
      <c r="X104" s="599">
        <f>+S104</f>
        <v>0</v>
      </c>
      <c r="Y104" s="103"/>
      <c r="Z104" s="103"/>
      <c r="AA104" s="65"/>
      <c r="AB104" s="103">
        <f t="shared" ref="AB104:AB112" si="25">+S104</f>
        <v>0</v>
      </c>
      <c r="AF104" s="6"/>
    </row>
    <row r="105" spans="1:32">
      <c r="A105" s="2">
        <f t="shared" si="21"/>
        <v>88</v>
      </c>
      <c r="B105" s="688" t="s">
        <v>2330</v>
      </c>
      <c r="C105" s="688" t="s">
        <v>2612</v>
      </c>
      <c r="D105" s="688" t="s">
        <v>2615</v>
      </c>
      <c r="E105" s="697" t="s">
        <v>2616</v>
      </c>
      <c r="F105" s="183">
        <v>223657.5</v>
      </c>
      <c r="G105" s="183">
        <v>218657.24</v>
      </c>
      <c r="H105" s="183">
        <v>176855.11</v>
      </c>
      <c r="I105" s="183">
        <v>176855.11</v>
      </c>
      <c r="J105" s="183">
        <v>179614.13</v>
      </c>
      <c r="K105" s="183">
        <v>-31066.99</v>
      </c>
      <c r="L105" s="183">
        <v>21496.35</v>
      </c>
      <c r="M105" s="183">
        <v>21496.35</v>
      </c>
      <c r="N105" s="183">
        <v>21496.35</v>
      </c>
      <c r="O105" s="183">
        <v>-2.18278728425503E-11</v>
      </c>
      <c r="P105" s="183">
        <v>514131.13</v>
      </c>
      <c r="Q105" s="183">
        <v>467254.46</v>
      </c>
      <c r="R105" s="183">
        <v>467254.46</v>
      </c>
      <c r="S105" s="184">
        <f t="shared" si="24"/>
        <v>176020.43499999997</v>
      </c>
      <c r="U105" s="65"/>
      <c r="V105" s="103"/>
      <c r="W105" s="103"/>
      <c r="X105" s="599">
        <f>+S105</f>
        <v>176020.43499999997</v>
      </c>
      <c r="Y105" s="103"/>
      <c r="Z105" s="103"/>
      <c r="AA105" s="65"/>
      <c r="AB105" s="103">
        <f t="shared" si="25"/>
        <v>176020.43499999997</v>
      </c>
      <c r="AF105" s="6"/>
    </row>
    <row r="106" spans="1:32">
      <c r="A106" s="2">
        <f t="shared" si="21"/>
        <v>89</v>
      </c>
      <c r="B106" s="688" t="s">
        <v>2330</v>
      </c>
      <c r="C106" s="688" t="s">
        <v>2612</v>
      </c>
      <c r="D106" s="688" t="s">
        <v>2617</v>
      </c>
      <c r="E106" s="697" t="s">
        <v>2618</v>
      </c>
      <c r="F106" s="183">
        <v>9508.82</v>
      </c>
      <c r="G106" s="183">
        <v>9508.82</v>
      </c>
      <c r="H106" s="183">
        <v>0</v>
      </c>
      <c r="I106" s="183">
        <v>0</v>
      </c>
      <c r="J106" s="183">
        <v>0</v>
      </c>
      <c r="K106" s="183">
        <v>26077.89</v>
      </c>
      <c r="L106" s="183">
        <v>26077.89</v>
      </c>
      <c r="M106" s="183">
        <v>26077.89</v>
      </c>
      <c r="N106" s="183">
        <v>0</v>
      </c>
      <c r="O106" s="183">
        <v>0</v>
      </c>
      <c r="P106" s="183">
        <v>92240.23</v>
      </c>
      <c r="Q106" s="183">
        <v>92240.23</v>
      </c>
      <c r="R106" s="183">
        <v>0</v>
      </c>
      <c r="S106" s="184">
        <f t="shared" si="24"/>
        <v>23081.446666666659</v>
      </c>
      <c r="U106" s="65"/>
      <c r="V106" s="103"/>
      <c r="W106" s="103"/>
      <c r="X106" s="599">
        <f t="shared" ref="X106:X112" si="26">+S106</f>
        <v>23081.446666666659</v>
      </c>
      <c r="Y106" s="103"/>
      <c r="Z106" s="103"/>
      <c r="AA106" s="65"/>
      <c r="AB106" s="103">
        <f t="shared" si="25"/>
        <v>23081.446666666659</v>
      </c>
      <c r="AF106" s="6"/>
    </row>
    <row r="107" spans="1:32">
      <c r="A107" s="2">
        <f t="shared" si="21"/>
        <v>90</v>
      </c>
      <c r="B107" s="688" t="s">
        <v>2330</v>
      </c>
      <c r="C107" s="688" t="s">
        <v>2612</v>
      </c>
      <c r="D107" s="688" t="s">
        <v>2619</v>
      </c>
      <c r="E107" s="697" t="s">
        <v>2620</v>
      </c>
      <c r="F107" s="183">
        <v>0</v>
      </c>
      <c r="G107" s="183">
        <v>0</v>
      </c>
      <c r="H107" s="183">
        <v>687</v>
      </c>
      <c r="I107" s="183">
        <v>687</v>
      </c>
      <c r="J107" s="183">
        <v>687</v>
      </c>
      <c r="K107" s="183">
        <v>0</v>
      </c>
      <c r="L107" s="183">
        <v>0</v>
      </c>
      <c r="M107" s="183">
        <v>0</v>
      </c>
      <c r="N107" s="183">
        <v>0</v>
      </c>
      <c r="O107" s="183">
        <v>0</v>
      </c>
      <c r="P107" s="183">
        <v>0</v>
      </c>
      <c r="Q107" s="183">
        <v>0</v>
      </c>
      <c r="R107" s="183">
        <v>0</v>
      </c>
      <c r="S107" s="184">
        <f t="shared" si="24"/>
        <v>171.75</v>
      </c>
      <c r="U107" s="65"/>
      <c r="V107" s="103"/>
      <c r="W107" s="103"/>
      <c r="X107" s="599">
        <f t="shared" si="26"/>
        <v>171.75</v>
      </c>
      <c r="Y107" s="103"/>
      <c r="Z107" s="103"/>
      <c r="AA107" s="65"/>
      <c r="AB107" s="103">
        <f t="shared" si="25"/>
        <v>171.75</v>
      </c>
      <c r="AF107" s="6"/>
    </row>
    <row r="108" spans="1:32">
      <c r="A108" s="2">
        <f t="shared" si="21"/>
        <v>91</v>
      </c>
      <c r="B108" s="688" t="s">
        <v>2330</v>
      </c>
      <c r="C108" s="688" t="s">
        <v>2612</v>
      </c>
      <c r="D108" s="688" t="s">
        <v>2621</v>
      </c>
      <c r="E108" s="697" t="s">
        <v>2622</v>
      </c>
      <c r="F108" s="183">
        <v>0</v>
      </c>
      <c r="G108" s="183">
        <v>0</v>
      </c>
      <c r="H108" s="183">
        <v>0</v>
      </c>
      <c r="I108" s="183">
        <v>0</v>
      </c>
      <c r="J108" s="183">
        <v>0</v>
      </c>
      <c r="K108" s="183">
        <v>0</v>
      </c>
      <c r="L108" s="183">
        <v>0</v>
      </c>
      <c r="M108" s="183">
        <v>0</v>
      </c>
      <c r="N108" s="183">
        <v>0</v>
      </c>
      <c r="O108" s="183">
        <v>0</v>
      </c>
      <c r="P108" s="183">
        <v>0</v>
      </c>
      <c r="Q108" s="183">
        <v>0</v>
      </c>
      <c r="R108" s="183">
        <v>0</v>
      </c>
      <c r="S108" s="184">
        <f t="shared" si="24"/>
        <v>0</v>
      </c>
      <c r="U108" s="65"/>
      <c r="V108" s="103"/>
      <c r="W108" s="103"/>
      <c r="X108" s="599">
        <f t="shared" si="26"/>
        <v>0</v>
      </c>
      <c r="Y108" s="103"/>
      <c r="Z108" s="103"/>
      <c r="AA108" s="65"/>
      <c r="AB108" s="103">
        <f t="shared" si="25"/>
        <v>0</v>
      </c>
      <c r="AF108" s="6"/>
    </row>
    <row r="109" spans="1:32">
      <c r="A109" s="2">
        <f t="shared" si="21"/>
        <v>92</v>
      </c>
      <c r="B109" s="688" t="s">
        <v>2330</v>
      </c>
      <c r="C109" s="688" t="s">
        <v>2612</v>
      </c>
      <c r="D109" s="688" t="s">
        <v>2623</v>
      </c>
      <c r="E109" s="697" t="s">
        <v>2624</v>
      </c>
      <c r="F109" s="183">
        <v>0</v>
      </c>
      <c r="G109" s="183">
        <v>0</v>
      </c>
      <c r="H109" s="183">
        <v>0</v>
      </c>
      <c r="I109" s="183">
        <v>0</v>
      </c>
      <c r="J109" s="183">
        <v>0</v>
      </c>
      <c r="K109" s="183">
        <v>0</v>
      </c>
      <c r="L109" s="183">
        <v>0</v>
      </c>
      <c r="M109" s="183">
        <v>0</v>
      </c>
      <c r="N109" s="183">
        <v>0</v>
      </c>
      <c r="O109" s="183">
        <v>0</v>
      </c>
      <c r="P109" s="183">
        <v>33494.769999999997</v>
      </c>
      <c r="Q109" s="183">
        <v>33494.769999999997</v>
      </c>
      <c r="R109" s="183">
        <v>0</v>
      </c>
      <c r="S109" s="184">
        <f t="shared" si="24"/>
        <v>5582.4616666666661</v>
      </c>
      <c r="U109" s="65"/>
      <c r="V109" s="103"/>
      <c r="W109" s="103"/>
      <c r="X109" s="599">
        <f t="shared" si="26"/>
        <v>5582.4616666666661</v>
      </c>
      <c r="Y109" s="103"/>
      <c r="Z109" s="103"/>
      <c r="AA109" s="65"/>
      <c r="AB109" s="103">
        <f t="shared" si="25"/>
        <v>5582.4616666666661</v>
      </c>
      <c r="AF109" s="6"/>
    </row>
    <row r="110" spans="1:32">
      <c r="A110" s="2">
        <f t="shared" si="21"/>
        <v>93</v>
      </c>
      <c r="B110" s="688" t="s">
        <v>2330</v>
      </c>
      <c r="C110" s="688" t="s">
        <v>2612</v>
      </c>
      <c r="D110" s="688" t="s">
        <v>2625</v>
      </c>
      <c r="E110" s="697" t="s">
        <v>2626</v>
      </c>
      <c r="F110" s="183">
        <v>0</v>
      </c>
      <c r="G110" s="183">
        <v>0</v>
      </c>
      <c r="H110" s="183">
        <v>0</v>
      </c>
      <c r="I110" s="183">
        <v>0</v>
      </c>
      <c r="J110" s="183">
        <v>0</v>
      </c>
      <c r="K110" s="183">
        <v>0</v>
      </c>
      <c r="L110" s="183">
        <v>0</v>
      </c>
      <c r="M110" s="183">
        <v>0</v>
      </c>
      <c r="N110" s="183">
        <v>0</v>
      </c>
      <c r="O110" s="183">
        <v>0</v>
      </c>
      <c r="P110" s="183">
        <v>0</v>
      </c>
      <c r="Q110" s="183">
        <v>0</v>
      </c>
      <c r="R110" s="183">
        <v>0</v>
      </c>
      <c r="S110" s="184">
        <f t="shared" si="24"/>
        <v>0</v>
      </c>
      <c r="U110" s="65"/>
      <c r="V110" s="103"/>
      <c r="W110" s="103"/>
      <c r="X110" s="599">
        <f t="shared" si="26"/>
        <v>0</v>
      </c>
      <c r="Y110" s="103"/>
      <c r="Z110" s="103"/>
      <c r="AA110" s="65"/>
      <c r="AB110" s="103">
        <f t="shared" si="25"/>
        <v>0</v>
      </c>
      <c r="AF110" s="6"/>
    </row>
    <row r="111" spans="1:32">
      <c r="A111" s="2">
        <f t="shared" si="21"/>
        <v>94</v>
      </c>
      <c r="B111" s="688" t="s">
        <v>2330</v>
      </c>
      <c r="C111" s="688" t="s">
        <v>2612</v>
      </c>
      <c r="D111" s="688" t="s">
        <v>2627</v>
      </c>
      <c r="E111" s="697" t="s">
        <v>2628</v>
      </c>
      <c r="F111" s="183">
        <v>0</v>
      </c>
      <c r="G111" s="183">
        <v>0</v>
      </c>
      <c r="H111" s="183">
        <v>0</v>
      </c>
      <c r="I111" s="183">
        <v>0</v>
      </c>
      <c r="J111" s="183">
        <v>0</v>
      </c>
      <c r="K111" s="183">
        <v>0</v>
      </c>
      <c r="L111" s="183">
        <v>0</v>
      </c>
      <c r="M111" s="183">
        <v>0</v>
      </c>
      <c r="N111" s="183">
        <v>0</v>
      </c>
      <c r="O111" s="183">
        <v>0</v>
      </c>
      <c r="P111" s="183">
        <v>0</v>
      </c>
      <c r="Q111" s="183">
        <v>0</v>
      </c>
      <c r="R111" s="183">
        <v>0</v>
      </c>
      <c r="S111" s="184">
        <f t="shared" si="24"/>
        <v>0</v>
      </c>
      <c r="U111" s="65"/>
      <c r="V111" s="103"/>
      <c r="W111" s="103"/>
      <c r="X111" s="599">
        <f t="shared" si="26"/>
        <v>0</v>
      </c>
      <c r="Y111" s="103"/>
      <c r="Z111" s="103"/>
      <c r="AA111" s="65"/>
      <c r="AB111" s="103">
        <f t="shared" si="25"/>
        <v>0</v>
      </c>
      <c r="AF111" s="6"/>
    </row>
    <row r="112" spans="1:32">
      <c r="A112" s="2">
        <f t="shared" si="21"/>
        <v>95</v>
      </c>
      <c r="B112" s="688" t="s">
        <v>2330</v>
      </c>
      <c r="C112" s="688" t="s">
        <v>2612</v>
      </c>
      <c r="D112" s="688" t="s">
        <v>2629</v>
      </c>
      <c r="E112" s="697" t="s">
        <v>2630</v>
      </c>
      <c r="F112" s="313">
        <v>0</v>
      </c>
      <c r="G112" s="313">
        <v>19830.48</v>
      </c>
      <c r="H112" s="313">
        <v>0</v>
      </c>
      <c r="I112" s="313">
        <v>0</v>
      </c>
      <c r="J112" s="313">
        <v>0</v>
      </c>
      <c r="K112" s="313">
        <v>0</v>
      </c>
      <c r="L112" s="313">
        <v>0</v>
      </c>
      <c r="M112" s="313">
        <v>0</v>
      </c>
      <c r="N112" s="313">
        <v>0</v>
      </c>
      <c r="O112" s="313">
        <v>0</v>
      </c>
      <c r="P112" s="313">
        <v>0</v>
      </c>
      <c r="Q112" s="313">
        <v>0</v>
      </c>
      <c r="R112" s="313">
        <v>0</v>
      </c>
      <c r="S112" s="184">
        <f t="shared" si="24"/>
        <v>1652.54</v>
      </c>
      <c r="U112" s="65"/>
      <c r="V112" s="103"/>
      <c r="W112" s="103"/>
      <c r="X112" s="599">
        <f t="shared" si="26"/>
        <v>1652.54</v>
      </c>
      <c r="Y112" s="103"/>
      <c r="Z112" s="103"/>
      <c r="AA112" s="65"/>
      <c r="AB112" s="103">
        <f t="shared" si="25"/>
        <v>1652.54</v>
      </c>
      <c r="AF112" s="6"/>
    </row>
    <row r="113" spans="1:32">
      <c r="A113" s="2">
        <f t="shared" si="21"/>
        <v>96</v>
      </c>
      <c r="E113" s="697" t="s">
        <v>2631</v>
      </c>
      <c r="F113" s="511">
        <f t="shared" ref="F113:S113" si="27">SUM(F101:F112)</f>
        <v>233166.32</v>
      </c>
      <c r="G113" s="511">
        <f t="shared" si="27"/>
        <v>247996.54</v>
      </c>
      <c r="H113" s="511">
        <f t="shared" si="27"/>
        <v>177542.11</v>
      </c>
      <c r="I113" s="511">
        <f t="shared" si="27"/>
        <v>177542.11</v>
      </c>
      <c r="J113" s="511">
        <f t="shared" si="27"/>
        <v>180301.13</v>
      </c>
      <c r="K113" s="511">
        <f t="shared" si="27"/>
        <v>-4989.1000000000022</v>
      </c>
      <c r="L113" s="511">
        <f t="shared" si="27"/>
        <v>47574.239999999998</v>
      </c>
      <c r="M113" s="511">
        <f t="shared" si="27"/>
        <v>47574.239999999998</v>
      </c>
      <c r="N113" s="511">
        <f t="shared" si="27"/>
        <v>21496.35</v>
      </c>
      <c r="O113" s="511">
        <f t="shared" si="27"/>
        <v>-2.18278728425503E-11</v>
      </c>
      <c r="P113" s="511">
        <f t="shared" si="27"/>
        <v>639866.13</v>
      </c>
      <c r="Q113" s="511">
        <f t="shared" si="27"/>
        <v>592989.46000000008</v>
      </c>
      <c r="R113" s="511">
        <f t="shared" si="27"/>
        <v>467254.46</v>
      </c>
      <c r="S113" s="512">
        <f t="shared" si="27"/>
        <v>206508.6333333333</v>
      </c>
      <c r="U113" s="65"/>
      <c r="V113" s="103"/>
      <c r="W113" s="103"/>
      <c r="X113" s="599"/>
      <c r="Y113" s="103"/>
      <c r="Z113" s="103"/>
      <c r="AA113" s="65"/>
      <c r="AB113" s="103"/>
      <c r="AF113" s="6"/>
    </row>
    <row r="114" spans="1:32">
      <c r="A114" s="2">
        <f t="shared" si="21"/>
        <v>97</v>
      </c>
      <c r="E114" s="697"/>
      <c r="F114" s="183"/>
      <c r="G114" s="187"/>
      <c r="H114" s="188"/>
      <c r="I114" s="188"/>
      <c r="J114" s="189"/>
      <c r="K114" s="190"/>
      <c r="L114" s="191"/>
      <c r="M114" s="192"/>
      <c r="N114" s="193"/>
      <c r="O114" s="823"/>
      <c r="P114" s="194"/>
      <c r="Q114" s="195"/>
      <c r="R114" s="183"/>
      <c r="S114" s="47"/>
      <c r="U114" s="65"/>
      <c r="V114" s="103"/>
      <c r="W114" s="103"/>
      <c r="X114" s="599"/>
      <c r="Y114" s="103"/>
      <c r="Z114" s="103"/>
      <c r="AA114" s="65"/>
      <c r="AB114" s="103"/>
      <c r="AF114" s="6"/>
    </row>
    <row r="115" spans="1:32">
      <c r="A115" s="2">
        <f t="shared" si="21"/>
        <v>98</v>
      </c>
      <c r="B115" s="688" t="s">
        <v>2330</v>
      </c>
      <c r="C115" s="688" t="s">
        <v>2632</v>
      </c>
      <c r="E115" s="697" t="s">
        <v>2633</v>
      </c>
      <c r="F115" s="183">
        <v>0</v>
      </c>
      <c r="G115" s="183">
        <v>0</v>
      </c>
      <c r="H115" s="183">
        <v>0</v>
      </c>
      <c r="I115" s="183">
        <v>0</v>
      </c>
      <c r="J115" s="183">
        <v>0</v>
      </c>
      <c r="K115" s="183">
        <v>0</v>
      </c>
      <c r="L115" s="183">
        <v>0</v>
      </c>
      <c r="M115" s="183">
        <v>0</v>
      </c>
      <c r="N115" s="183">
        <v>0</v>
      </c>
      <c r="O115" s="183">
        <v>0</v>
      </c>
      <c r="P115" s="183">
        <v>0</v>
      </c>
      <c r="Q115" s="183">
        <v>0</v>
      </c>
      <c r="R115" s="183">
        <v>0</v>
      </c>
      <c r="S115" s="47">
        <f>((F115+R115)+((G115+H115+I115+J115+K115+L115+M115+N115+O115+P115+Q115)*2))/24</f>
        <v>0</v>
      </c>
      <c r="U115" s="65"/>
      <c r="V115" s="103"/>
      <c r="W115" s="103"/>
      <c r="X115" s="599"/>
      <c r="Y115" s="103"/>
      <c r="Z115" s="103"/>
      <c r="AA115" s="65"/>
      <c r="AB115" s="103"/>
      <c r="AF115" s="6"/>
    </row>
    <row r="116" spans="1:32">
      <c r="A116" s="2">
        <f t="shared" si="21"/>
        <v>99</v>
      </c>
      <c r="E116" s="697"/>
      <c r="F116" s="183"/>
      <c r="G116" s="187"/>
      <c r="H116" s="188"/>
      <c r="I116" s="188"/>
      <c r="J116" s="189"/>
      <c r="K116" s="190"/>
      <c r="L116" s="191"/>
      <c r="M116" s="192"/>
      <c r="N116" s="193"/>
      <c r="O116" s="689"/>
      <c r="P116" s="194"/>
      <c r="Q116" s="195"/>
      <c r="R116" s="183"/>
      <c r="S116" s="47"/>
      <c r="U116" s="65"/>
      <c r="V116" s="103"/>
      <c r="W116" s="103"/>
      <c r="X116" s="599"/>
      <c r="Y116" s="103"/>
      <c r="Z116" s="103"/>
      <c r="AA116" s="65"/>
      <c r="AB116" s="103"/>
      <c r="AF116" s="6"/>
    </row>
    <row r="117" spans="1:32">
      <c r="A117" s="2">
        <f t="shared" si="21"/>
        <v>100</v>
      </c>
      <c r="E117" s="697" t="s">
        <v>2634</v>
      </c>
      <c r="F117" s="183">
        <f t="shared" ref="F117:S117" si="28">+F115+F113+F99</f>
        <v>38160050.630000003</v>
      </c>
      <c r="G117" s="183">
        <f t="shared" si="28"/>
        <v>62777543.800000004</v>
      </c>
      <c r="H117" s="183">
        <f t="shared" si="28"/>
        <v>56774377.620000005</v>
      </c>
      <c r="I117" s="183">
        <f t="shared" si="28"/>
        <v>63338483.550000004</v>
      </c>
      <c r="J117" s="183">
        <f t="shared" si="28"/>
        <v>43598454.630000003</v>
      </c>
      <c r="K117" s="183">
        <f t="shared" si="28"/>
        <v>30706076.969999999</v>
      </c>
      <c r="L117" s="183">
        <f t="shared" si="28"/>
        <v>20179428.209999997</v>
      </c>
      <c r="M117" s="183">
        <f t="shared" si="28"/>
        <v>16751162.189999999</v>
      </c>
      <c r="N117" s="183">
        <f t="shared" si="28"/>
        <v>43294600.680000007</v>
      </c>
      <c r="O117" s="183">
        <f t="shared" si="28"/>
        <v>4697682.26</v>
      </c>
      <c r="P117" s="183">
        <f t="shared" si="28"/>
        <v>5475162.5299999993</v>
      </c>
      <c r="Q117" s="183">
        <f t="shared" si="28"/>
        <v>11940344.800000001</v>
      </c>
      <c r="R117" s="183">
        <f t="shared" si="28"/>
        <v>24052737.000000004</v>
      </c>
      <c r="S117" s="184">
        <f t="shared" si="28"/>
        <v>32553309.254583336</v>
      </c>
      <c r="U117" s="65"/>
      <c r="V117" s="103"/>
      <c r="W117" s="103"/>
      <c r="X117" s="599"/>
      <c r="Y117" s="103"/>
      <c r="Z117" s="103"/>
      <c r="AA117" s="65"/>
      <c r="AB117" s="103"/>
      <c r="AF117" s="6"/>
    </row>
    <row r="118" spans="1:32">
      <c r="A118" s="2">
        <f t="shared" si="21"/>
        <v>101</v>
      </c>
      <c r="E118" s="697"/>
      <c r="F118" s="183"/>
      <c r="G118" s="187"/>
      <c r="H118" s="188"/>
      <c r="I118" s="188"/>
      <c r="J118" s="189"/>
      <c r="K118" s="190"/>
      <c r="L118" s="191"/>
      <c r="M118" s="192"/>
      <c r="N118" s="193"/>
      <c r="O118" s="689"/>
      <c r="P118" s="194"/>
      <c r="Q118" s="195"/>
      <c r="R118" s="183"/>
      <c r="S118" s="47"/>
      <c r="U118" s="65"/>
      <c r="V118" s="103"/>
      <c r="W118" s="103"/>
      <c r="X118" s="599"/>
      <c r="Y118" s="103"/>
      <c r="Z118" s="103"/>
      <c r="AA118" s="65"/>
      <c r="AB118" s="103"/>
      <c r="AF118" s="6"/>
    </row>
    <row r="119" spans="1:32">
      <c r="A119" s="2">
        <f t="shared" si="21"/>
        <v>102</v>
      </c>
      <c r="B119" s="688" t="s">
        <v>2330</v>
      </c>
      <c r="C119" s="688" t="s">
        <v>2635</v>
      </c>
      <c r="D119" s="688" t="s">
        <v>2636</v>
      </c>
      <c r="E119" s="182" t="s">
        <v>2637</v>
      </c>
      <c r="F119" s="183">
        <v>-15000</v>
      </c>
      <c r="G119" s="183">
        <v>-7095.41</v>
      </c>
      <c r="H119" s="183">
        <v>-7095.41</v>
      </c>
      <c r="I119" s="183">
        <v>-7095.41</v>
      </c>
      <c r="J119" s="183">
        <v>-7095.41</v>
      </c>
      <c r="K119" s="183">
        <v>-7095.41</v>
      </c>
      <c r="L119" s="183">
        <v>-7095.41</v>
      </c>
      <c r="M119" s="183">
        <v>-7095.41</v>
      </c>
      <c r="N119" s="183">
        <v>-7095.41</v>
      </c>
      <c r="O119" s="183">
        <v>-7095.41</v>
      </c>
      <c r="P119" s="183">
        <v>-7095.41</v>
      </c>
      <c r="Q119" s="183">
        <v>-7095.41</v>
      </c>
      <c r="R119" s="183">
        <v>-7095.41</v>
      </c>
      <c r="S119" s="184">
        <f>((F119+R119)+((G119+H119+I119+J119+K119+L119+M119+N119+O119+P119+Q119)*2))/24</f>
        <v>-7424.7679166666685</v>
      </c>
      <c r="U119" s="65">
        <f t="shared" ref="U119:U137" si="29">+S119</f>
        <v>-7424.7679166666685</v>
      </c>
      <c r="V119" s="103"/>
      <c r="W119" s="103"/>
      <c r="X119" s="599"/>
      <c r="Y119" s="103"/>
      <c r="Z119" s="103"/>
      <c r="AA119" s="65"/>
      <c r="AB119" s="103"/>
      <c r="AD119" s="42">
        <f>+S119</f>
        <v>-7424.7679166666685</v>
      </c>
      <c r="AF119" s="6"/>
    </row>
    <row r="120" spans="1:32">
      <c r="A120" s="2">
        <f t="shared" si="21"/>
        <v>103</v>
      </c>
      <c r="B120" s="688" t="s">
        <v>2330</v>
      </c>
      <c r="C120" s="688" t="s">
        <v>2635</v>
      </c>
      <c r="D120" s="688" t="s">
        <v>2638</v>
      </c>
      <c r="E120" s="182" t="s">
        <v>2639</v>
      </c>
      <c r="F120" s="183">
        <v>48853.72</v>
      </c>
      <c r="G120" s="183">
        <v>1030.43</v>
      </c>
      <c r="H120" s="183">
        <v>5509.28</v>
      </c>
      <c r="I120" s="183">
        <v>5667.14</v>
      </c>
      <c r="J120" s="183">
        <v>6897.01</v>
      </c>
      <c r="K120" s="183">
        <v>9873.0499999999993</v>
      </c>
      <c r="L120" s="183">
        <v>13687.08</v>
      </c>
      <c r="M120" s="183">
        <v>18027.009999999998</v>
      </c>
      <c r="N120" s="183">
        <v>18027.009999999998</v>
      </c>
      <c r="O120" s="183">
        <v>18607.439999999999</v>
      </c>
      <c r="P120" s="183">
        <v>22835.29</v>
      </c>
      <c r="Q120" s="183">
        <v>28498.79</v>
      </c>
      <c r="R120" s="183">
        <v>28498.79</v>
      </c>
      <c r="S120" s="184">
        <f t="shared" ref="S120:S132" si="30">((F120+R120)+((G120+H120+I120+J120+K120+L120+M120+N120+O120+P120+Q120)*2))/24</f>
        <v>15611.315416666666</v>
      </c>
      <c r="U120" s="65">
        <f t="shared" si="29"/>
        <v>15611.315416666666</v>
      </c>
      <c r="V120" s="103"/>
      <c r="W120" s="103"/>
      <c r="X120" s="599"/>
      <c r="Y120" s="103"/>
      <c r="Z120" s="103"/>
      <c r="AA120" s="65"/>
      <c r="AB120" s="103"/>
      <c r="AD120" s="42">
        <f t="shared" ref="AD120:AD137" si="31">+S120</f>
        <v>15611.315416666666</v>
      </c>
      <c r="AF120" s="6"/>
    </row>
    <row r="121" spans="1:32">
      <c r="A121" s="2">
        <f t="shared" si="21"/>
        <v>104</v>
      </c>
      <c r="B121" s="688" t="s">
        <v>2330</v>
      </c>
      <c r="C121" s="688" t="s">
        <v>2635</v>
      </c>
      <c r="D121" s="688" t="s">
        <v>2331</v>
      </c>
      <c r="E121" s="182" t="s">
        <v>2640</v>
      </c>
      <c r="F121" s="183">
        <v>-3841.92</v>
      </c>
      <c r="G121" s="183">
        <v>-3349.18</v>
      </c>
      <c r="H121" s="183">
        <v>-3349.18</v>
      </c>
      <c r="I121" s="183">
        <v>-3349.18</v>
      </c>
      <c r="J121" s="183">
        <v>-3938.9</v>
      </c>
      <c r="K121" s="183">
        <v>-3938.9</v>
      </c>
      <c r="L121" s="183">
        <v>-3938.9</v>
      </c>
      <c r="M121" s="183">
        <v>-4258.8999999999996</v>
      </c>
      <c r="N121" s="183">
        <v>-5283.2</v>
      </c>
      <c r="O121" s="183">
        <v>-5283.2</v>
      </c>
      <c r="P121" s="183">
        <v>-5283.2</v>
      </c>
      <c r="Q121" s="183">
        <v>-5863.63</v>
      </c>
      <c r="R121" s="183">
        <v>-6260.96</v>
      </c>
      <c r="S121" s="184">
        <f t="shared" si="30"/>
        <v>-4407.3175000000001</v>
      </c>
      <c r="U121" s="65">
        <f t="shared" si="29"/>
        <v>-4407.3175000000001</v>
      </c>
      <c r="V121" s="103"/>
      <c r="W121" s="103"/>
      <c r="X121" s="599"/>
      <c r="Y121" s="103"/>
      <c r="Z121" s="103"/>
      <c r="AA121" s="65"/>
      <c r="AB121" s="103"/>
      <c r="AD121" s="42">
        <f t="shared" si="31"/>
        <v>-4407.3175000000001</v>
      </c>
      <c r="AF121" s="6"/>
    </row>
    <row r="122" spans="1:32">
      <c r="A122" s="2">
        <f t="shared" si="21"/>
        <v>105</v>
      </c>
      <c r="B122" s="688" t="s">
        <v>2330</v>
      </c>
      <c r="C122" s="688" t="s">
        <v>2635</v>
      </c>
      <c r="D122" s="688" t="s">
        <v>2641</v>
      </c>
      <c r="E122" s="182" t="s">
        <v>2642</v>
      </c>
      <c r="F122" s="183">
        <v>-37107.21</v>
      </c>
      <c r="G122" s="183">
        <v>-5585.84</v>
      </c>
      <c r="H122" s="183">
        <v>-5585.84</v>
      </c>
      <c r="I122" s="183">
        <v>-5585.84</v>
      </c>
      <c r="J122" s="183">
        <v>-5585.84</v>
      </c>
      <c r="K122" s="183">
        <v>-5585.84</v>
      </c>
      <c r="L122" s="183">
        <v>-5585.84</v>
      </c>
      <c r="M122" s="183">
        <v>-21672.7</v>
      </c>
      <c r="N122" s="183">
        <v>-21672.7</v>
      </c>
      <c r="O122" s="183">
        <v>-21672.7</v>
      </c>
      <c r="P122" s="183">
        <v>-21672.7</v>
      </c>
      <c r="Q122" s="183">
        <v>-21672.7</v>
      </c>
      <c r="R122" s="183">
        <v>-30142.42</v>
      </c>
      <c r="S122" s="184">
        <f t="shared" si="30"/>
        <v>-14625.279583333335</v>
      </c>
      <c r="U122" s="65">
        <f t="shared" si="29"/>
        <v>-14625.279583333335</v>
      </c>
      <c r="V122" s="103"/>
      <c r="W122" s="103"/>
      <c r="X122" s="599"/>
      <c r="Y122" s="103"/>
      <c r="Z122" s="103"/>
      <c r="AA122" s="65"/>
      <c r="AB122" s="103"/>
      <c r="AD122" s="42">
        <f t="shared" si="31"/>
        <v>-14625.279583333335</v>
      </c>
      <c r="AF122" s="6"/>
    </row>
    <row r="123" spans="1:32">
      <c r="A123" s="2">
        <f t="shared" si="21"/>
        <v>106</v>
      </c>
      <c r="B123" s="688" t="s">
        <v>2342</v>
      </c>
      <c r="C123" s="688" t="s">
        <v>2643</v>
      </c>
      <c r="D123" s="688" t="s">
        <v>2636</v>
      </c>
      <c r="E123" s="182" t="s">
        <v>2644</v>
      </c>
      <c r="F123" s="183">
        <v>-165396.48000000001</v>
      </c>
      <c r="G123" s="183">
        <v>-151239.73000000001</v>
      </c>
      <c r="H123" s="183">
        <v>-151239.73000000001</v>
      </c>
      <c r="I123" s="183">
        <v>-151239.73000000001</v>
      </c>
      <c r="J123" s="183">
        <v>-151239.73000000001</v>
      </c>
      <c r="K123" s="183">
        <v>-151239.73000000001</v>
      </c>
      <c r="L123" s="183">
        <v>-151239.73000000001</v>
      </c>
      <c r="M123" s="183">
        <v>-151239.73000000001</v>
      </c>
      <c r="N123" s="183">
        <v>-151239.73000000001</v>
      </c>
      <c r="O123" s="183">
        <v>-151239.73000000001</v>
      </c>
      <c r="P123" s="183">
        <v>-151239.73000000001</v>
      </c>
      <c r="Q123" s="183">
        <v>-151239.73000000001</v>
      </c>
      <c r="R123" s="183">
        <v>-151239.73000000001</v>
      </c>
      <c r="S123" s="184">
        <f t="shared" si="30"/>
        <v>-151829.59458333332</v>
      </c>
      <c r="U123" s="65">
        <f t="shared" si="29"/>
        <v>-151829.59458333332</v>
      </c>
      <c r="V123" s="103"/>
      <c r="W123" s="103"/>
      <c r="X123" s="599"/>
      <c r="Y123" s="103"/>
      <c r="Z123" s="103"/>
      <c r="AA123" s="65"/>
      <c r="AB123" s="103"/>
      <c r="AD123" s="42">
        <f t="shared" si="31"/>
        <v>-151829.59458333332</v>
      </c>
      <c r="AF123" s="6"/>
    </row>
    <row r="124" spans="1:32">
      <c r="A124" s="2">
        <f t="shared" si="21"/>
        <v>107</v>
      </c>
      <c r="B124" s="688" t="s">
        <v>2342</v>
      </c>
      <c r="C124" s="688" t="s">
        <v>2643</v>
      </c>
      <c r="D124" s="688" t="s">
        <v>2638</v>
      </c>
      <c r="E124" s="182" t="s">
        <v>2645</v>
      </c>
      <c r="F124" s="183">
        <v>294313.95</v>
      </c>
      <c r="G124" s="183">
        <v>19331.03</v>
      </c>
      <c r="H124" s="183">
        <v>26698.53</v>
      </c>
      <c r="I124" s="183">
        <v>48724.62</v>
      </c>
      <c r="J124" s="183">
        <v>62736.5</v>
      </c>
      <c r="K124" s="183">
        <v>99419.92</v>
      </c>
      <c r="L124" s="183">
        <v>129953.77</v>
      </c>
      <c r="M124" s="183">
        <v>178475.51999999999</v>
      </c>
      <c r="N124" s="183">
        <v>262809.39</v>
      </c>
      <c r="O124" s="183">
        <v>338369.4</v>
      </c>
      <c r="P124" s="183">
        <v>384652.23</v>
      </c>
      <c r="Q124" s="183">
        <v>415342</v>
      </c>
      <c r="R124" s="183">
        <v>431419.22</v>
      </c>
      <c r="S124" s="184">
        <f t="shared" si="30"/>
        <v>194114.95791666667</v>
      </c>
      <c r="U124" s="65">
        <f t="shared" si="29"/>
        <v>194114.95791666667</v>
      </c>
      <c r="V124" s="103"/>
      <c r="W124" s="103"/>
      <c r="X124" s="599"/>
      <c r="Y124" s="103"/>
      <c r="Z124" s="103"/>
      <c r="AA124" s="65"/>
      <c r="AB124" s="103"/>
      <c r="AD124" s="42">
        <f t="shared" si="31"/>
        <v>194114.95791666667</v>
      </c>
      <c r="AF124" s="6"/>
    </row>
    <row r="125" spans="1:32">
      <c r="A125" s="2">
        <f t="shared" si="21"/>
        <v>108</v>
      </c>
      <c r="B125" s="688" t="s">
        <v>2342</v>
      </c>
      <c r="C125" s="688" t="s">
        <v>2643</v>
      </c>
      <c r="D125" s="688" t="s">
        <v>2331</v>
      </c>
      <c r="E125" s="182" t="s">
        <v>2646</v>
      </c>
      <c r="F125" s="183">
        <v>-58463.66</v>
      </c>
      <c r="G125" s="183">
        <v>-1926.4200000000101</v>
      </c>
      <c r="H125" s="183">
        <v>-5234.1900000000096</v>
      </c>
      <c r="I125" s="183">
        <v>-8968.04000000001</v>
      </c>
      <c r="J125" s="183">
        <v>-13420.69</v>
      </c>
      <c r="K125" s="183">
        <v>-18265.18</v>
      </c>
      <c r="L125" s="183">
        <v>-22160.94</v>
      </c>
      <c r="M125" s="183">
        <v>-25717.32</v>
      </c>
      <c r="N125" s="183">
        <v>-29396.41</v>
      </c>
      <c r="O125" s="183">
        <v>-41659.879999999997</v>
      </c>
      <c r="P125" s="183">
        <v>-61594.7</v>
      </c>
      <c r="Q125" s="183">
        <v>-82249.61</v>
      </c>
      <c r="R125" s="183">
        <v>-92145.68</v>
      </c>
      <c r="S125" s="184">
        <f t="shared" si="30"/>
        <v>-32158.170833333334</v>
      </c>
      <c r="U125" s="65">
        <f t="shared" si="29"/>
        <v>-32158.170833333334</v>
      </c>
      <c r="V125" s="103"/>
      <c r="W125" s="103"/>
      <c r="X125" s="599"/>
      <c r="Y125" s="103"/>
      <c r="Z125" s="103"/>
      <c r="AA125" s="65"/>
      <c r="AB125" s="103"/>
      <c r="AD125" s="42">
        <f t="shared" si="31"/>
        <v>-32158.170833333334</v>
      </c>
      <c r="AF125" s="6"/>
    </row>
    <row r="126" spans="1:32">
      <c r="A126" s="2">
        <f t="shared" si="21"/>
        <v>109</v>
      </c>
      <c r="B126" s="688" t="s">
        <v>2342</v>
      </c>
      <c r="C126" s="688" t="s">
        <v>2643</v>
      </c>
      <c r="D126" s="688" t="s">
        <v>2641</v>
      </c>
      <c r="E126" s="182" t="s">
        <v>2647</v>
      </c>
      <c r="F126" s="183">
        <v>-221693.54</v>
      </c>
      <c r="G126" s="183">
        <v>-64776.02</v>
      </c>
      <c r="H126" s="183">
        <v>-128941.85</v>
      </c>
      <c r="I126" s="183">
        <v>-106634.92</v>
      </c>
      <c r="J126" s="183">
        <v>-107143.87</v>
      </c>
      <c r="K126" s="183">
        <v>-106357.72</v>
      </c>
      <c r="L126" s="183">
        <v>-109275.17</v>
      </c>
      <c r="M126" s="183">
        <v>-137332.76999999999</v>
      </c>
      <c r="N126" s="183">
        <v>-200610.4</v>
      </c>
      <c r="O126" s="183">
        <v>-266995.64</v>
      </c>
      <c r="P126" s="183">
        <v>-285675.7</v>
      </c>
      <c r="Q126" s="183">
        <v>-305408.34999999998</v>
      </c>
      <c r="R126" s="183">
        <v>-322457.19</v>
      </c>
      <c r="S126" s="184">
        <f t="shared" si="30"/>
        <v>-174268.98125000001</v>
      </c>
      <c r="U126" s="65">
        <f t="shared" si="29"/>
        <v>-174268.98125000001</v>
      </c>
      <c r="V126" s="103"/>
      <c r="W126" s="103"/>
      <c r="X126" s="599"/>
      <c r="Y126" s="103"/>
      <c r="Z126" s="103"/>
      <c r="AA126" s="65"/>
      <c r="AB126" s="103"/>
      <c r="AD126" s="42">
        <f t="shared" si="31"/>
        <v>-174268.98125000001</v>
      </c>
      <c r="AF126" s="6"/>
    </row>
    <row r="127" spans="1:32">
      <c r="A127" s="2">
        <f t="shared" si="21"/>
        <v>110</v>
      </c>
      <c r="B127" s="688" t="s">
        <v>2342</v>
      </c>
      <c r="C127" s="688" t="s">
        <v>2648</v>
      </c>
      <c r="D127" s="688" t="s">
        <v>2636</v>
      </c>
      <c r="E127" s="182" t="s">
        <v>2649</v>
      </c>
      <c r="F127" s="183">
        <v>-2002.96</v>
      </c>
      <c r="G127" s="183">
        <v>-2002.96</v>
      </c>
      <c r="H127" s="183">
        <v>-2002.96</v>
      </c>
      <c r="I127" s="183">
        <v>-2002.96</v>
      </c>
      <c r="J127" s="183">
        <v>-2002.96</v>
      </c>
      <c r="K127" s="183">
        <v>-2002.96</v>
      </c>
      <c r="L127" s="183">
        <v>-2002.96</v>
      </c>
      <c r="M127" s="183">
        <v>-2002.96</v>
      </c>
      <c r="N127" s="183">
        <v>-2002.96</v>
      </c>
      <c r="O127" s="183">
        <v>-2002.96</v>
      </c>
      <c r="P127" s="183">
        <v>-2002.96</v>
      </c>
      <c r="Q127" s="183">
        <v>-2002.96</v>
      </c>
      <c r="R127" s="183">
        <v>-2002.96</v>
      </c>
      <c r="S127" s="184">
        <f t="shared" si="30"/>
        <v>-2002.9599999999994</v>
      </c>
      <c r="U127" s="65">
        <f t="shared" si="29"/>
        <v>-2002.9599999999994</v>
      </c>
      <c r="V127" s="103"/>
      <c r="W127" s="103"/>
      <c r="X127" s="599"/>
      <c r="Y127" s="103"/>
      <c r="Z127" s="103"/>
      <c r="AA127" s="65"/>
      <c r="AB127" s="103"/>
      <c r="AD127" s="42">
        <f t="shared" si="31"/>
        <v>-2002.9599999999994</v>
      </c>
      <c r="AF127" s="6"/>
    </row>
    <row r="128" spans="1:32">
      <c r="A128" s="2">
        <f t="shared" si="21"/>
        <v>111</v>
      </c>
      <c r="B128" s="688" t="s">
        <v>2342</v>
      </c>
      <c r="C128" s="688" t="s">
        <v>2648</v>
      </c>
      <c r="D128" s="688" t="s">
        <v>2638</v>
      </c>
      <c r="E128" s="182" t="s">
        <v>2650</v>
      </c>
      <c r="F128" s="183">
        <v>0</v>
      </c>
      <c r="G128" s="183">
        <v>0</v>
      </c>
      <c r="H128" s="183">
        <v>0</v>
      </c>
      <c r="I128" s="183">
        <v>0</v>
      </c>
      <c r="J128" s="183">
        <v>0</v>
      </c>
      <c r="K128" s="183">
        <v>0</v>
      </c>
      <c r="L128" s="183">
        <v>0</v>
      </c>
      <c r="M128" s="183">
        <v>0</v>
      </c>
      <c r="N128" s="183">
        <v>0</v>
      </c>
      <c r="O128" s="183">
        <v>0</v>
      </c>
      <c r="P128" s="183">
        <v>0</v>
      </c>
      <c r="Q128" s="183">
        <v>0</v>
      </c>
      <c r="R128" s="183">
        <v>0</v>
      </c>
      <c r="S128" s="184">
        <f t="shared" si="30"/>
        <v>0</v>
      </c>
      <c r="U128" s="65">
        <f t="shared" si="29"/>
        <v>0</v>
      </c>
      <c r="V128" s="103"/>
      <c r="W128" s="103"/>
      <c r="X128" s="599"/>
      <c r="Y128" s="103"/>
      <c r="Z128" s="103"/>
      <c r="AA128" s="65"/>
      <c r="AB128" s="103"/>
      <c r="AD128" s="42">
        <f t="shared" si="31"/>
        <v>0</v>
      </c>
      <c r="AF128" s="6"/>
    </row>
    <row r="129" spans="1:32">
      <c r="A129" s="2">
        <f t="shared" si="21"/>
        <v>112</v>
      </c>
      <c r="B129" s="688" t="s">
        <v>2342</v>
      </c>
      <c r="C129" s="688" t="s">
        <v>2648</v>
      </c>
      <c r="D129" s="688" t="s">
        <v>2641</v>
      </c>
      <c r="E129" s="182" t="s">
        <v>2651</v>
      </c>
      <c r="F129" s="183">
        <v>0</v>
      </c>
      <c r="G129" s="183">
        <v>0</v>
      </c>
      <c r="H129" s="183">
        <v>0</v>
      </c>
      <c r="I129" s="183">
        <v>0</v>
      </c>
      <c r="J129" s="183">
        <v>0</v>
      </c>
      <c r="K129" s="183">
        <v>0</v>
      </c>
      <c r="L129" s="183">
        <v>0</v>
      </c>
      <c r="M129" s="183">
        <v>0</v>
      </c>
      <c r="N129" s="183">
        <v>0</v>
      </c>
      <c r="O129" s="183">
        <v>0</v>
      </c>
      <c r="P129" s="183">
        <v>0</v>
      </c>
      <c r="Q129" s="183">
        <v>0</v>
      </c>
      <c r="R129" s="183">
        <v>-30</v>
      </c>
      <c r="S129" s="184">
        <f>((F129+R129)+((G129+H129+I129+J129+K129+L129+M129+N129+O129+P129+Q129)*2))/24</f>
        <v>-1.25</v>
      </c>
      <c r="U129" s="65">
        <f t="shared" si="29"/>
        <v>-1.25</v>
      </c>
      <c r="V129" s="103"/>
      <c r="W129" s="103"/>
      <c r="X129" s="599"/>
      <c r="Y129" s="103"/>
      <c r="Z129" s="103"/>
      <c r="AA129" s="65"/>
      <c r="AB129" s="103"/>
      <c r="AD129" s="42">
        <f t="shared" si="31"/>
        <v>-1.25</v>
      </c>
      <c r="AF129" s="6"/>
    </row>
    <row r="130" spans="1:32">
      <c r="A130" s="2">
        <f t="shared" si="21"/>
        <v>113</v>
      </c>
      <c r="B130" s="688" t="s">
        <v>2324</v>
      </c>
      <c r="C130" s="688" t="s">
        <v>2643</v>
      </c>
      <c r="D130" s="688" t="s">
        <v>2636</v>
      </c>
      <c r="E130" s="182" t="s">
        <v>2644</v>
      </c>
      <c r="F130" s="183">
        <v>-754154.04</v>
      </c>
      <c r="G130" s="183">
        <v>-463160.79</v>
      </c>
      <c r="H130" s="183">
        <v>-463160.79</v>
      </c>
      <c r="I130" s="183">
        <v>-463160.79</v>
      </c>
      <c r="J130" s="183">
        <v>-463160.79</v>
      </c>
      <c r="K130" s="183">
        <v>-463160.79</v>
      </c>
      <c r="L130" s="183">
        <v>-463160.79</v>
      </c>
      <c r="M130" s="183">
        <v>-463160.79</v>
      </c>
      <c r="N130" s="183">
        <v>-463160.79</v>
      </c>
      <c r="O130" s="183">
        <v>-463160.79</v>
      </c>
      <c r="P130" s="183">
        <v>-463160.79</v>
      </c>
      <c r="Q130" s="183">
        <v>-463160.79</v>
      </c>
      <c r="R130" s="183">
        <v>-463160.79</v>
      </c>
      <c r="S130" s="184">
        <f t="shared" si="30"/>
        <v>-475285.50874999998</v>
      </c>
      <c r="U130" s="65">
        <f t="shared" si="29"/>
        <v>-475285.50874999998</v>
      </c>
      <c r="V130" s="103"/>
      <c r="W130" s="103"/>
      <c r="X130" s="599"/>
      <c r="Y130" s="103"/>
      <c r="Z130" s="103"/>
      <c r="AA130" s="65"/>
      <c r="AB130" s="103"/>
      <c r="AD130" s="42">
        <f t="shared" si="31"/>
        <v>-475285.50874999998</v>
      </c>
      <c r="AF130" s="6"/>
    </row>
    <row r="131" spans="1:32">
      <c r="A131" s="2">
        <f t="shared" si="21"/>
        <v>114</v>
      </c>
      <c r="B131" s="688" t="s">
        <v>2324</v>
      </c>
      <c r="C131" s="688" t="s">
        <v>2643</v>
      </c>
      <c r="D131" s="688" t="s">
        <v>2638</v>
      </c>
      <c r="E131" s="182" t="s">
        <v>2645</v>
      </c>
      <c r="F131" s="183">
        <v>1463566.82</v>
      </c>
      <c r="G131" s="183">
        <v>100244.94</v>
      </c>
      <c r="H131" s="183">
        <v>223687.47</v>
      </c>
      <c r="I131" s="183">
        <v>417437.18</v>
      </c>
      <c r="J131" s="183">
        <v>530437.36</v>
      </c>
      <c r="K131" s="183">
        <v>809404.65</v>
      </c>
      <c r="L131" s="183">
        <v>1056566.75</v>
      </c>
      <c r="M131" s="183">
        <v>1331735.6299999999</v>
      </c>
      <c r="N131" s="183">
        <v>1664983.53</v>
      </c>
      <c r="O131" s="183">
        <v>1821543.13</v>
      </c>
      <c r="P131" s="183">
        <v>1972330.84</v>
      </c>
      <c r="Q131" s="183">
        <v>2306274.4700000002</v>
      </c>
      <c r="R131" s="183">
        <v>2667256.79</v>
      </c>
      <c r="S131" s="184">
        <f t="shared" si="30"/>
        <v>1191671.4795833335</v>
      </c>
      <c r="U131" s="65">
        <f t="shared" si="29"/>
        <v>1191671.4795833335</v>
      </c>
      <c r="V131" s="103"/>
      <c r="W131" s="103"/>
      <c r="X131" s="599"/>
      <c r="Y131" s="103"/>
      <c r="Z131" s="103"/>
      <c r="AA131" s="65"/>
      <c r="AB131" s="103"/>
      <c r="AD131" s="42">
        <f t="shared" si="31"/>
        <v>1191671.4795833335</v>
      </c>
      <c r="AF131" s="6"/>
    </row>
    <row r="132" spans="1:32">
      <c r="A132" s="2">
        <f t="shared" si="21"/>
        <v>115</v>
      </c>
      <c r="B132" s="688" t="s">
        <v>2324</v>
      </c>
      <c r="C132" s="688" t="s">
        <v>2643</v>
      </c>
      <c r="D132" s="688" t="s">
        <v>2331</v>
      </c>
      <c r="E132" s="182" t="s">
        <v>2646</v>
      </c>
      <c r="F132" s="183">
        <v>-132586.06</v>
      </c>
      <c r="G132" s="183">
        <v>-7868.61</v>
      </c>
      <c r="H132" s="183">
        <v>-18156.259999999998</v>
      </c>
      <c r="I132" s="183">
        <v>-27704.12</v>
      </c>
      <c r="J132" s="183">
        <v>-37989.61</v>
      </c>
      <c r="K132" s="183">
        <v>-47679.73</v>
      </c>
      <c r="L132" s="183">
        <v>-65714.59</v>
      </c>
      <c r="M132" s="183">
        <v>-85923.08</v>
      </c>
      <c r="N132" s="183">
        <v>-102258.38</v>
      </c>
      <c r="O132" s="183">
        <v>-123615.02</v>
      </c>
      <c r="P132" s="183">
        <v>-150355.5</v>
      </c>
      <c r="Q132" s="183">
        <v>-170765.72</v>
      </c>
      <c r="R132" s="183">
        <v>-190951.43</v>
      </c>
      <c r="S132" s="184">
        <f t="shared" si="30"/>
        <v>-83316.613750000004</v>
      </c>
      <c r="U132" s="65">
        <f t="shared" si="29"/>
        <v>-83316.613750000004</v>
      </c>
      <c r="V132" s="103"/>
      <c r="W132" s="103"/>
      <c r="X132" s="599"/>
      <c r="Y132" s="103"/>
      <c r="Z132" s="103"/>
      <c r="AA132" s="65"/>
      <c r="AB132" s="103"/>
      <c r="AD132" s="42">
        <f t="shared" si="31"/>
        <v>-83316.613750000004</v>
      </c>
      <c r="AF132" s="6"/>
    </row>
    <row r="133" spans="1:32">
      <c r="A133" s="2">
        <f t="shared" si="21"/>
        <v>116</v>
      </c>
      <c r="B133" s="688" t="s">
        <v>2324</v>
      </c>
      <c r="C133" s="688" t="s">
        <v>2643</v>
      </c>
      <c r="D133" s="688" t="s">
        <v>2641</v>
      </c>
      <c r="E133" s="182" t="s">
        <v>2647</v>
      </c>
      <c r="F133" s="183">
        <v>-1039987.51</v>
      </c>
      <c r="G133" s="183">
        <v>-274269.37</v>
      </c>
      <c r="H133" s="183">
        <v>-459423.28</v>
      </c>
      <c r="I133" s="183">
        <v>-626628.69999999995</v>
      </c>
      <c r="J133" s="183">
        <v>-693390.29</v>
      </c>
      <c r="K133" s="183">
        <v>-926269.89</v>
      </c>
      <c r="L133" s="183">
        <v>-1030032.06</v>
      </c>
      <c r="M133" s="183">
        <v>-1180222.1499999999</v>
      </c>
      <c r="N133" s="183">
        <v>-1408762.01</v>
      </c>
      <c r="O133" s="183">
        <v>-1509380.86</v>
      </c>
      <c r="P133" s="183">
        <v>-1619997.57</v>
      </c>
      <c r="Q133" s="183">
        <v>-2017343.42</v>
      </c>
      <c r="R133" s="183">
        <v>-2505611.12</v>
      </c>
      <c r="S133" s="184">
        <f>((F133+R133)+((G133+H133+I133+J133+K133+L133+M133+N133+O133+P133+Q133)*2))/24</f>
        <v>-1126543.2429166667</v>
      </c>
      <c r="U133" s="65">
        <f t="shared" si="29"/>
        <v>-1126543.2429166667</v>
      </c>
      <c r="V133" s="103"/>
      <c r="W133" s="103"/>
      <c r="X133" s="599"/>
      <c r="Y133" s="103"/>
      <c r="Z133" s="103"/>
      <c r="AA133" s="65"/>
      <c r="AB133" s="103"/>
      <c r="AD133" s="42">
        <f t="shared" si="31"/>
        <v>-1126543.2429166667</v>
      </c>
      <c r="AF133" s="6"/>
    </row>
    <row r="134" spans="1:32">
      <c r="A134" s="2">
        <f t="shared" si="21"/>
        <v>117</v>
      </c>
      <c r="B134" s="688" t="s">
        <v>2324</v>
      </c>
      <c r="C134" s="688" t="s">
        <v>2648</v>
      </c>
      <c r="D134" s="688" t="s">
        <v>2636</v>
      </c>
      <c r="E134" s="182" t="s">
        <v>2649</v>
      </c>
      <c r="F134" s="183">
        <v>-27997.040000000001</v>
      </c>
      <c r="G134" s="183">
        <v>-28237.040000000001</v>
      </c>
      <c r="H134" s="183">
        <v>-28237.040000000001</v>
      </c>
      <c r="I134" s="183">
        <v>-28237.040000000001</v>
      </c>
      <c r="J134" s="183">
        <v>-28237.040000000001</v>
      </c>
      <c r="K134" s="183">
        <v>-28237.040000000001</v>
      </c>
      <c r="L134" s="183">
        <v>-28237.040000000001</v>
      </c>
      <c r="M134" s="183">
        <v>-28237.040000000001</v>
      </c>
      <c r="N134" s="183">
        <v>-28237.040000000001</v>
      </c>
      <c r="O134" s="183">
        <v>-28237.040000000001</v>
      </c>
      <c r="P134" s="183">
        <v>-28237.040000000001</v>
      </c>
      <c r="Q134" s="183">
        <v>-28237.040000000001</v>
      </c>
      <c r="R134" s="183">
        <v>-28237.040000000001</v>
      </c>
      <c r="S134" s="184">
        <f>((F134+R134)+((G134+H134+I134+J134+K134+L134+M134+N134+O134+P134+Q134)*2))/24</f>
        <v>-28227.039999999997</v>
      </c>
      <c r="U134" s="65">
        <f t="shared" si="29"/>
        <v>-28227.039999999997</v>
      </c>
      <c r="V134" s="103"/>
      <c r="W134" s="103"/>
      <c r="X134" s="599"/>
      <c r="Y134" s="103"/>
      <c r="Z134" s="103"/>
      <c r="AA134" s="65"/>
      <c r="AB134" s="103"/>
      <c r="AD134" s="42">
        <f t="shared" si="31"/>
        <v>-28227.039999999997</v>
      </c>
      <c r="AF134" s="6"/>
    </row>
    <row r="135" spans="1:32">
      <c r="A135" s="2">
        <f t="shared" si="21"/>
        <v>118</v>
      </c>
      <c r="B135" s="688" t="s">
        <v>2324</v>
      </c>
      <c r="C135" s="688" t="s">
        <v>2648</v>
      </c>
      <c r="D135" s="688" t="s">
        <v>2638</v>
      </c>
      <c r="E135" s="182" t="s">
        <v>2650</v>
      </c>
      <c r="F135" s="183">
        <v>-240</v>
      </c>
      <c r="G135" s="183">
        <v>0</v>
      </c>
      <c r="H135" s="183">
        <v>0</v>
      </c>
      <c r="I135" s="183">
        <v>0</v>
      </c>
      <c r="J135" s="183">
        <v>0</v>
      </c>
      <c r="K135" s="183">
        <v>0</v>
      </c>
      <c r="L135" s="183">
        <v>0</v>
      </c>
      <c r="M135" s="183">
        <v>0</v>
      </c>
      <c r="N135" s="183">
        <v>0</v>
      </c>
      <c r="O135" s="183">
        <v>0</v>
      </c>
      <c r="P135" s="183">
        <v>0</v>
      </c>
      <c r="Q135" s="183">
        <v>0</v>
      </c>
      <c r="R135" s="183">
        <v>0</v>
      </c>
      <c r="S135" s="184">
        <f>((F135+R135)+((G135+H135+I135+J135+K135+L135+M135+N135+O135+P135+Q135)*2))/24</f>
        <v>-10</v>
      </c>
      <c r="U135" s="65">
        <f t="shared" si="29"/>
        <v>-10</v>
      </c>
      <c r="V135" s="103"/>
      <c r="W135" s="103"/>
      <c r="X135" s="599"/>
      <c r="Y135" s="103"/>
      <c r="Z135" s="103"/>
      <c r="AA135" s="65"/>
      <c r="AB135" s="103"/>
      <c r="AD135" s="42">
        <f t="shared" si="31"/>
        <v>-10</v>
      </c>
      <c r="AF135" s="6"/>
    </row>
    <row r="136" spans="1:32">
      <c r="A136" s="2">
        <f t="shared" si="21"/>
        <v>119</v>
      </c>
      <c r="B136" s="688" t="s">
        <v>2324</v>
      </c>
      <c r="C136" s="688" t="s">
        <v>2648</v>
      </c>
      <c r="D136" s="688" t="s">
        <v>2331</v>
      </c>
      <c r="E136" s="182" t="s">
        <v>2652</v>
      </c>
      <c r="F136" s="183">
        <v>0</v>
      </c>
      <c r="G136" s="183">
        <v>0</v>
      </c>
      <c r="H136" s="183">
        <v>0</v>
      </c>
      <c r="I136" s="183">
        <v>0</v>
      </c>
      <c r="J136" s="183">
        <v>0</v>
      </c>
      <c r="K136" s="183">
        <v>0</v>
      </c>
      <c r="L136" s="183">
        <v>0</v>
      </c>
      <c r="M136" s="183">
        <v>0</v>
      </c>
      <c r="N136" s="183">
        <v>0</v>
      </c>
      <c r="O136" s="183">
        <v>0</v>
      </c>
      <c r="P136" s="183">
        <v>0</v>
      </c>
      <c r="Q136" s="183">
        <v>0</v>
      </c>
      <c r="R136" s="183">
        <v>0</v>
      </c>
      <c r="S136" s="184">
        <f>((F136+R136)+((G136+H136+I136+J136+K136+L136+M136+N136+O136+P136+Q136)*2))/24</f>
        <v>0</v>
      </c>
      <c r="U136" s="65">
        <f t="shared" si="29"/>
        <v>0</v>
      </c>
      <c r="V136" s="103"/>
      <c r="W136" s="103"/>
      <c r="X136" s="599"/>
      <c r="Y136" s="103"/>
      <c r="Z136" s="103"/>
      <c r="AA136" s="65"/>
      <c r="AB136" s="103"/>
      <c r="AD136" s="42">
        <f t="shared" si="31"/>
        <v>0</v>
      </c>
      <c r="AF136" s="6"/>
    </row>
    <row r="137" spans="1:32">
      <c r="A137" s="2">
        <f t="shared" si="21"/>
        <v>120</v>
      </c>
      <c r="B137" s="688" t="s">
        <v>2324</v>
      </c>
      <c r="C137" s="688" t="s">
        <v>2648</v>
      </c>
      <c r="D137" s="688" t="s">
        <v>2641</v>
      </c>
      <c r="E137" s="182" t="s">
        <v>2651</v>
      </c>
      <c r="F137" s="313">
        <v>0</v>
      </c>
      <c r="G137" s="313">
        <v>0</v>
      </c>
      <c r="H137" s="313">
        <v>0</v>
      </c>
      <c r="I137" s="313">
        <v>0</v>
      </c>
      <c r="J137" s="313">
        <v>0</v>
      </c>
      <c r="K137" s="313">
        <v>0</v>
      </c>
      <c r="L137" s="313">
        <v>0</v>
      </c>
      <c r="M137" s="313">
        <v>0</v>
      </c>
      <c r="N137" s="313">
        <v>0</v>
      </c>
      <c r="O137" s="313">
        <v>0</v>
      </c>
      <c r="P137" s="313">
        <v>0</v>
      </c>
      <c r="Q137" s="313">
        <v>0</v>
      </c>
      <c r="R137" s="313">
        <v>270</v>
      </c>
      <c r="S137" s="314">
        <f>((F137+R137)+((G137+H137+I137+J137+K137+L137+M137+N137+O137+P137+Q137)*2))/24</f>
        <v>11.25</v>
      </c>
      <c r="U137" s="65">
        <f t="shared" si="29"/>
        <v>11.25</v>
      </c>
      <c r="V137" s="103"/>
      <c r="W137" s="103"/>
      <c r="X137" s="599"/>
      <c r="Y137" s="103"/>
      <c r="Z137" s="103"/>
      <c r="AA137" s="65"/>
      <c r="AB137" s="103"/>
      <c r="AD137" s="42">
        <f t="shared" si="31"/>
        <v>11.25</v>
      </c>
      <c r="AF137" s="6"/>
    </row>
    <row r="138" spans="1:32">
      <c r="A138" s="2">
        <f t="shared" si="21"/>
        <v>121</v>
      </c>
      <c r="E138" s="697" t="s">
        <v>2653</v>
      </c>
      <c r="F138" s="196">
        <f t="shared" ref="F138:S138" si="32">SUM(F119:F137)</f>
        <v>-651735.92999999993</v>
      </c>
      <c r="G138" s="196">
        <f t="shared" si="32"/>
        <v>-888904.97</v>
      </c>
      <c r="H138" s="196">
        <f t="shared" si="32"/>
        <v>-1016531.2500000001</v>
      </c>
      <c r="I138" s="196">
        <f t="shared" si="32"/>
        <v>-958777.79</v>
      </c>
      <c r="J138" s="196">
        <f t="shared" si="32"/>
        <v>-913134.26</v>
      </c>
      <c r="K138" s="196">
        <f t="shared" si="32"/>
        <v>-841135.57000000007</v>
      </c>
      <c r="L138" s="196">
        <f t="shared" si="32"/>
        <v>-688235.83000000007</v>
      </c>
      <c r="M138" s="196">
        <f t="shared" si="32"/>
        <v>-578624.69000000006</v>
      </c>
      <c r="N138" s="196">
        <f t="shared" si="32"/>
        <v>-473899.09999999992</v>
      </c>
      <c r="O138" s="196">
        <f t="shared" si="32"/>
        <v>-441823.26000000018</v>
      </c>
      <c r="P138" s="196">
        <f t="shared" si="32"/>
        <v>-416496.94000000012</v>
      </c>
      <c r="Q138" s="196">
        <f t="shared" si="32"/>
        <v>-504924.0999999998</v>
      </c>
      <c r="R138" s="196">
        <f t="shared" si="32"/>
        <v>-671889.92999999993</v>
      </c>
      <c r="S138" s="103">
        <f t="shared" si="32"/>
        <v>-698691.72416666662</v>
      </c>
      <c r="U138" s="65"/>
      <c r="V138" s="103"/>
      <c r="W138" s="103"/>
      <c r="X138" s="599"/>
      <c r="Y138" s="103"/>
      <c r="Z138" s="103"/>
      <c r="AA138" s="65"/>
      <c r="AB138" s="103"/>
      <c r="AF138" s="6"/>
    </row>
    <row r="139" spans="1:32">
      <c r="A139" s="2">
        <f t="shared" si="21"/>
        <v>122</v>
      </c>
      <c r="E139" s="697"/>
      <c r="F139" s="663"/>
      <c r="G139" s="663"/>
      <c r="H139" s="663"/>
      <c r="I139" s="663"/>
      <c r="J139" s="663"/>
      <c r="K139" s="663"/>
      <c r="L139" s="663"/>
      <c r="M139" s="663"/>
      <c r="N139" s="663"/>
      <c r="O139" s="663"/>
      <c r="P139" s="663"/>
      <c r="Q139" s="663"/>
      <c r="R139" s="663"/>
      <c r="S139" s="47"/>
      <c r="U139" s="65"/>
      <c r="V139" s="103"/>
      <c r="W139" s="103"/>
      <c r="X139" s="599"/>
      <c r="Y139" s="103"/>
      <c r="Z139" s="103"/>
      <c r="AA139" s="65"/>
      <c r="AB139" s="103"/>
      <c r="AF139" s="6"/>
    </row>
    <row r="140" spans="1:32">
      <c r="A140" s="2">
        <f t="shared" si="21"/>
        <v>123</v>
      </c>
      <c r="E140" s="697" t="s">
        <v>2654</v>
      </c>
      <c r="F140" s="511">
        <f t="shared" ref="F140:S140" si="33">+F117+F138</f>
        <v>37508314.700000003</v>
      </c>
      <c r="G140" s="511">
        <f t="shared" si="33"/>
        <v>61888638.830000006</v>
      </c>
      <c r="H140" s="511">
        <f t="shared" si="33"/>
        <v>55757846.370000005</v>
      </c>
      <c r="I140" s="511">
        <f t="shared" si="33"/>
        <v>62379705.760000005</v>
      </c>
      <c r="J140" s="511">
        <f t="shared" si="33"/>
        <v>42685320.370000005</v>
      </c>
      <c r="K140" s="511">
        <f t="shared" si="33"/>
        <v>29864941.399999999</v>
      </c>
      <c r="L140" s="511">
        <f t="shared" si="33"/>
        <v>19491192.379999995</v>
      </c>
      <c r="M140" s="511">
        <f t="shared" si="33"/>
        <v>16172537.5</v>
      </c>
      <c r="N140" s="511">
        <f t="shared" si="33"/>
        <v>42820701.580000006</v>
      </c>
      <c r="O140" s="511">
        <f t="shared" si="33"/>
        <v>4255859</v>
      </c>
      <c r="P140" s="511">
        <f t="shared" si="33"/>
        <v>5058665.5899999989</v>
      </c>
      <c r="Q140" s="511">
        <f t="shared" si="33"/>
        <v>11435420.700000001</v>
      </c>
      <c r="R140" s="511">
        <f t="shared" si="33"/>
        <v>23380847.070000004</v>
      </c>
      <c r="S140" s="512">
        <f t="shared" si="33"/>
        <v>31854617.530416671</v>
      </c>
      <c r="U140" s="65"/>
      <c r="V140" s="103"/>
      <c r="W140" s="103"/>
      <c r="X140" s="599"/>
      <c r="Y140" s="103"/>
      <c r="Z140" s="103"/>
      <c r="AA140" s="65"/>
      <c r="AB140" s="103"/>
      <c r="AF140" s="6"/>
    </row>
    <row r="141" spans="1:32">
      <c r="A141" s="2">
        <f t="shared" si="21"/>
        <v>124</v>
      </c>
      <c r="E141" s="697"/>
      <c r="F141" s="183"/>
      <c r="G141" s="187"/>
      <c r="H141" s="188"/>
      <c r="I141" s="188"/>
      <c r="J141" s="189"/>
      <c r="K141" s="190"/>
      <c r="L141" s="191"/>
      <c r="M141" s="192"/>
      <c r="N141" s="193"/>
      <c r="O141" s="689"/>
      <c r="P141" s="194"/>
      <c r="Q141" s="195"/>
      <c r="R141" s="183"/>
      <c r="S141" s="47"/>
      <c r="U141" s="65"/>
      <c r="V141" s="103"/>
      <c r="W141" s="103"/>
      <c r="X141" s="599"/>
      <c r="Y141" s="103"/>
      <c r="Z141" s="103"/>
      <c r="AA141" s="65"/>
      <c r="AB141" s="103"/>
      <c r="AF141" s="6"/>
    </row>
    <row r="142" spans="1:32">
      <c r="A142" s="2">
        <f t="shared" si="21"/>
        <v>125</v>
      </c>
      <c r="B142" s="688" t="s">
        <v>2655</v>
      </c>
      <c r="C142" s="688" t="s">
        <v>2656</v>
      </c>
      <c r="D142" s="688" t="s">
        <v>2657</v>
      </c>
      <c r="E142" s="182" t="s">
        <v>2658</v>
      </c>
      <c r="F142" s="183">
        <v>660029.26</v>
      </c>
      <c r="G142" s="183">
        <v>653839.31000000006</v>
      </c>
      <c r="H142" s="183">
        <v>633218.35</v>
      </c>
      <c r="I142" s="183">
        <v>592055.06999999995</v>
      </c>
      <c r="J142" s="183">
        <v>527225.42000000004</v>
      </c>
      <c r="K142" s="183">
        <v>584980.12</v>
      </c>
      <c r="L142" s="183">
        <v>593071.28</v>
      </c>
      <c r="M142" s="183">
        <v>550350.99</v>
      </c>
      <c r="N142" s="183">
        <v>502793.52</v>
      </c>
      <c r="O142" s="183">
        <v>504204.63</v>
      </c>
      <c r="P142" s="183">
        <v>434461.11</v>
      </c>
      <c r="Q142" s="183">
        <v>488663.83</v>
      </c>
      <c r="R142" s="183">
        <v>467840.3</v>
      </c>
      <c r="S142" s="184">
        <f>((F142+R142)+((G142+H142+I142+J142+K142+L142+M142+N142+O142+P142+Q142)*2))/24</f>
        <v>552399.86750000005</v>
      </c>
      <c r="U142" s="65">
        <f t="shared" ref="U142:U191" si="34">+S142</f>
        <v>552399.86750000005</v>
      </c>
      <c r="V142" s="103"/>
      <c r="W142" s="103"/>
      <c r="X142" s="599"/>
      <c r="Y142" s="103"/>
      <c r="Z142" s="103"/>
      <c r="AA142" s="65"/>
      <c r="AB142" s="103"/>
      <c r="AD142" s="42">
        <f>+S142</f>
        <v>552399.86750000005</v>
      </c>
      <c r="AF142" s="6"/>
    </row>
    <row r="143" spans="1:32">
      <c r="A143" s="2">
        <f t="shared" si="21"/>
        <v>126</v>
      </c>
      <c r="B143" s="688" t="s">
        <v>2659</v>
      </c>
      <c r="C143" s="688" t="s">
        <v>2656</v>
      </c>
      <c r="D143" s="688" t="s">
        <v>2657</v>
      </c>
      <c r="E143" s="182" t="s">
        <v>2660</v>
      </c>
      <c r="F143" s="183">
        <v>439501.5</v>
      </c>
      <c r="G143" s="183">
        <v>448720.34</v>
      </c>
      <c r="H143" s="183">
        <v>435829.24</v>
      </c>
      <c r="I143" s="183">
        <v>462332.29</v>
      </c>
      <c r="J143" s="183">
        <v>622959.64</v>
      </c>
      <c r="K143" s="183">
        <v>453084.15999999997</v>
      </c>
      <c r="L143" s="183">
        <v>453390.16</v>
      </c>
      <c r="M143" s="183">
        <v>463418.44</v>
      </c>
      <c r="N143" s="183">
        <v>535119.44999999995</v>
      </c>
      <c r="O143" s="183">
        <v>544236.99</v>
      </c>
      <c r="P143" s="183">
        <v>523144.63</v>
      </c>
      <c r="Q143" s="183">
        <v>455906.94</v>
      </c>
      <c r="R143" s="183">
        <v>437876.79</v>
      </c>
      <c r="S143" s="184">
        <f t="shared" ref="S143:S185" si="35">((F143+R143)+((G143+H143+I143+J143+K143+L143+M143+N143+O143+P143+Q143)*2))/24</f>
        <v>486402.61875000008</v>
      </c>
      <c r="U143" s="65">
        <f t="shared" si="34"/>
        <v>486402.61875000008</v>
      </c>
      <c r="V143" s="103"/>
      <c r="W143" s="103"/>
      <c r="X143" s="599"/>
      <c r="Y143" s="103"/>
      <c r="Z143" s="103"/>
      <c r="AA143" s="65"/>
      <c r="AB143" s="103"/>
      <c r="AD143" s="42">
        <f>+S143</f>
        <v>486402.61875000008</v>
      </c>
      <c r="AF143" s="6"/>
    </row>
    <row r="144" spans="1:32">
      <c r="A144" s="2">
        <f t="shared" si="21"/>
        <v>127</v>
      </c>
      <c r="B144" s="688" t="s">
        <v>2661</v>
      </c>
      <c r="C144" s="688" t="s">
        <v>2656</v>
      </c>
      <c r="D144" s="688" t="s">
        <v>2657</v>
      </c>
      <c r="E144" s="182" t="s">
        <v>2662</v>
      </c>
      <c r="F144" s="183">
        <v>632023.97</v>
      </c>
      <c r="G144" s="183">
        <v>635253.71</v>
      </c>
      <c r="H144" s="183">
        <v>636143.74</v>
      </c>
      <c r="I144" s="183">
        <v>619421.14</v>
      </c>
      <c r="J144" s="183">
        <v>656451.78</v>
      </c>
      <c r="K144" s="183">
        <v>651703.75</v>
      </c>
      <c r="L144" s="183">
        <v>666594.92000000004</v>
      </c>
      <c r="M144" s="183">
        <v>681689.57</v>
      </c>
      <c r="N144" s="183">
        <v>694473.39</v>
      </c>
      <c r="O144" s="183">
        <v>683919.62</v>
      </c>
      <c r="P144" s="183">
        <v>691361.5</v>
      </c>
      <c r="Q144" s="183">
        <v>722452.61</v>
      </c>
      <c r="R144" s="183">
        <v>714969.59999999998</v>
      </c>
      <c r="S144" s="184">
        <f t="shared" si="35"/>
        <v>667746.87625000009</v>
      </c>
      <c r="U144" s="65">
        <f t="shared" si="34"/>
        <v>667746.87625000009</v>
      </c>
      <c r="V144" s="103"/>
      <c r="W144" s="103"/>
      <c r="X144" s="599"/>
      <c r="Y144" s="103"/>
      <c r="Z144" s="103"/>
      <c r="AA144" s="65"/>
      <c r="AB144" s="103"/>
      <c r="AD144" s="42">
        <f t="shared" ref="AD144:AD191" si="36">+S144</f>
        <v>667746.87625000009</v>
      </c>
      <c r="AF144" s="6"/>
    </row>
    <row r="145" spans="1:32">
      <c r="A145" s="2">
        <f t="shared" si="21"/>
        <v>128</v>
      </c>
      <c r="B145" s="688" t="s">
        <v>2663</v>
      </c>
      <c r="C145" s="688" t="s">
        <v>2656</v>
      </c>
      <c r="D145" s="688" t="s">
        <v>2657</v>
      </c>
      <c r="E145" s="182" t="s">
        <v>2664</v>
      </c>
      <c r="F145" s="183">
        <v>0</v>
      </c>
      <c r="G145" s="183">
        <v>0</v>
      </c>
      <c r="H145" s="183">
        <v>0</v>
      </c>
      <c r="I145" s="183">
        <v>0</v>
      </c>
      <c r="J145" s="183">
        <v>0</v>
      </c>
      <c r="K145" s="183">
        <v>0</v>
      </c>
      <c r="L145" s="183">
        <v>0</v>
      </c>
      <c r="M145" s="183">
        <v>0</v>
      </c>
      <c r="N145" s="183">
        <v>7125.72</v>
      </c>
      <c r="O145" s="183">
        <v>7125.72</v>
      </c>
      <c r="P145" s="183">
        <v>7125.72</v>
      </c>
      <c r="Q145" s="183">
        <v>7125.72</v>
      </c>
      <c r="R145" s="183">
        <v>7125.72</v>
      </c>
      <c r="S145" s="184">
        <f t="shared" si="35"/>
        <v>2672.145</v>
      </c>
      <c r="U145" s="65">
        <f t="shared" si="34"/>
        <v>2672.145</v>
      </c>
      <c r="V145" s="103"/>
      <c r="W145" s="103"/>
      <c r="X145" s="599"/>
      <c r="Y145" s="103"/>
      <c r="Z145" s="103"/>
      <c r="AA145" s="65"/>
      <c r="AB145" s="103"/>
      <c r="AD145" s="42">
        <f t="shared" si="36"/>
        <v>2672.145</v>
      </c>
      <c r="AF145" s="6"/>
    </row>
    <row r="146" spans="1:32">
      <c r="A146" s="2">
        <f t="shared" si="21"/>
        <v>129</v>
      </c>
      <c r="B146" s="688" t="s">
        <v>2665</v>
      </c>
      <c r="C146" s="688" t="s">
        <v>2656</v>
      </c>
      <c r="D146" s="688" t="s">
        <v>2657</v>
      </c>
      <c r="E146" s="182" t="s">
        <v>2666</v>
      </c>
      <c r="F146" s="183">
        <v>884567.77</v>
      </c>
      <c r="G146" s="183">
        <v>522461.15</v>
      </c>
      <c r="H146" s="183">
        <v>502018.14</v>
      </c>
      <c r="I146" s="183">
        <v>485459.65</v>
      </c>
      <c r="J146" s="183">
        <v>517175.36</v>
      </c>
      <c r="K146" s="183">
        <v>531881.46</v>
      </c>
      <c r="L146" s="183">
        <v>565133.30000000005</v>
      </c>
      <c r="M146" s="183">
        <v>537877.27</v>
      </c>
      <c r="N146" s="183">
        <v>569447.87</v>
      </c>
      <c r="O146" s="183">
        <v>532430.86</v>
      </c>
      <c r="P146" s="183">
        <v>521378.25</v>
      </c>
      <c r="Q146" s="183">
        <v>574362.09</v>
      </c>
      <c r="R146" s="183">
        <v>578759.30000000005</v>
      </c>
      <c r="S146" s="184">
        <f t="shared" si="35"/>
        <v>549274.07791666663</v>
      </c>
      <c r="U146" s="65">
        <f t="shared" si="34"/>
        <v>549274.07791666663</v>
      </c>
      <c r="V146" s="103"/>
      <c r="W146" s="103"/>
      <c r="X146" s="599"/>
      <c r="Y146" s="103"/>
      <c r="Z146" s="103"/>
      <c r="AA146" s="65"/>
      <c r="AB146" s="103"/>
      <c r="AD146" s="42">
        <f t="shared" si="36"/>
        <v>549274.07791666663</v>
      </c>
      <c r="AF146" s="6"/>
    </row>
    <row r="147" spans="1:32">
      <c r="A147" s="2">
        <f t="shared" si="21"/>
        <v>130</v>
      </c>
      <c r="B147" s="688" t="s">
        <v>2667</v>
      </c>
      <c r="C147" s="688" t="s">
        <v>2656</v>
      </c>
      <c r="D147" s="688" t="s">
        <v>2657</v>
      </c>
      <c r="E147" s="182" t="s">
        <v>2668</v>
      </c>
      <c r="F147" s="183">
        <v>546530.92000000004</v>
      </c>
      <c r="G147" s="183">
        <v>512987.12</v>
      </c>
      <c r="H147" s="183">
        <v>403433.49</v>
      </c>
      <c r="I147" s="183">
        <v>400309.05</v>
      </c>
      <c r="J147" s="183">
        <v>399701.99</v>
      </c>
      <c r="K147" s="183">
        <v>398648.9</v>
      </c>
      <c r="L147" s="183">
        <v>449007.45</v>
      </c>
      <c r="M147" s="183">
        <v>437022.2</v>
      </c>
      <c r="N147" s="183">
        <v>411594.81</v>
      </c>
      <c r="O147" s="183">
        <v>416529.32</v>
      </c>
      <c r="P147" s="183">
        <v>417940.75</v>
      </c>
      <c r="Q147" s="183">
        <v>439600.87</v>
      </c>
      <c r="R147" s="183">
        <v>453569.91</v>
      </c>
      <c r="S147" s="184">
        <f t="shared" si="35"/>
        <v>432235.5304166667</v>
      </c>
      <c r="U147" s="65">
        <f t="shared" si="34"/>
        <v>432235.5304166667</v>
      </c>
      <c r="V147" s="103"/>
      <c r="W147" s="103"/>
      <c r="X147" s="599"/>
      <c r="Y147" s="103"/>
      <c r="Z147" s="103"/>
      <c r="AA147" s="65"/>
      <c r="AB147" s="103"/>
      <c r="AD147" s="42">
        <f t="shared" si="36"/>
        <v>432235.5304166667</v>
      </c>
      <c r="AF147" s="6"/>
    </row>
    <row r="148" spans="1:32">
      <c r="A148" s="2">
        <f t="shared" ref="A148:A211" si="37">MAX(A147:A147)+1</f>
        <v>131</v>
      </c>
      <c r="B148" s="688" t="s">
        <v>2669</v>
      </c>
      <c r="C148" s="688" t="s">
        <v>2656</v>
      </c>
      <c r="D148" s="688" t="s">
        <v>2657</v>
      </c>
      <c r="E148" s="182" t="s">
        <v>2670</v>
      </c>
      <c r="F148" s="183">
        <v>512117.2</v>
      </c>
      <c r="G148" s="183">
        <v>513583.69</v>
      </c>
      <c r="H148" s="183">
        <v>514487.94</v>
      </c>
      <c r="I148" s="183">
        <v>441839.92</v>
      </c>
      <c r="J148" s="183">
        <v>562723.14</v>
      </c>
      <c r="K148" s="183">
        <v>445797.36</v>
      </c>
      <c r="L148" s="183">
        <v>428609.67</v>
      </c>
      <c r="M148" s="183">
        <v>439011.52</v>
      </c>
      <c r="N148" s="183">
        <v>438619.37</v>
      </c>
      <c r="O148" s="183">
        <v>394790.25</v>
      </c>
      <c r="P148" s="183">
        <v>390667.43</v>
      </c>
      <c r="Q148" s="183">
        <v>470900.51</v>
      </c>
      <c r="R148" s="183">
        <v>610507.06999999995</v>
      </c>
      <c r="S148" s="184">
        <f t="shared" si="35"/>
        <v>466861.91124999995</v>
      </c>
      <c r="U148" s="65">
        <f t="shared" si="34"/>
        <v>466861.91124999995</v>
      </c>
      <c r="V148" s="103"/>
      <c r="W148" s="103"/>
      <c r="X148" s="599"/>
      <c r="Y148" s="103"/>
      <c r="Z148" s="103"/>
      <c r="AA148" s="65"/>
      <c r="AB148" s="103"/>
      <c r="AD148" s="42">
        <f t="shared" si="36"/>
        <v>466861.91124999995</v>
      </c>
      <c r="AF148" s="6"/>
    </row>
    <row r="149" spans="1:32">
      <c r="A149" s="2">
        <f t="shared" si="37"/>
        <v>132</v>
      </c>
      <c r="B149" s="688" t="s">
        <v>2671</v>
      </c>
      <c r="C149" s="688" t="s">
        <v>2656</v>
      </c>
      <c r="D149" s="688" t="s">
        <v>2657</v>
      </c>
      <c r="E149" s="182" t="s">
        <v>2672</v>
      </c>
      <c r="F149" s="183">
        <v>332804.23</v>
      </c>
      <c r="G149" s="183">
        <v>378419.92</v>
      </c>
      <c r="H149" s="183">
        <v>387881.17</v>
      </c>
      <c r="I149" s="183">
        <v>416599.15</v>
      </c>
      <c r="J149" s="183">
        <v>458605.74</v>
      </c>
      <c r="K149" s="183">
        <v>464870.88</v>
      </c>
      <c r="L149" s="183">
        <v>467693.19</v>
      </c>
      <c r="M149" s="183">
        <v>428876.4</v>
      </c>
      <c r="N149" s="183">
        <v>441183.16</v>
      </c>
      <c r="O149" s="183">
        <v>454759.67999999999</v>
      </c>
      <c r="P149" s="183">
        <v>470429.01</v>
      </c>
      <c r="Q149" s="183">
        <v>425817.52</v>
      </c>
      <c r="R149" s="183">
        <v>409045.85</v>
      </c>
      <c r="S149" s="184">
        <f t="shared" si="35"/>
        <v>430505.07166666671</v>
      </c>
      <c r="U149" s="65">
        <f t="shared" si="34"/>
        <v>430505.07166666671</v>
      </c>
      <c r="V149" s="103"/>
      <c r="W149" s="103"/>
      <c r="X149" s="599"/>
      <c r="Y149" s="103"/>
      <c r="Z149" s="103"/>
      <c r="AA149" s="65"/>
      <c r="AB149" s="103"/>
      <c r="AD149" s="42">
        <f t="shared" si="36"/>
        <v>430505.07166666671</v>
      </c>
      <c r="AF149" s="6"/>
    </row>
    <row r="150" spans="1:32">
      <c r="A150" s="2">
        <f t="shared" si="37"/>
        <v>133</v>
      </c>
      <c r="B150" s="688" t="s">
        <v>2673</v>
      </c>
      <c r="C150" s="688" t="s">
        <v>2656</v>
      </c>
      <c r="D150" s="688" t="s">
        <v>2657</v>
      </c>
      <c r="E150" s="182" t="s">
        <v>2674</v>
      </c>
      <c r="F150" s="183">
        <v>167779.1</v>
      </c>
      <c r="G150" s="183">
        <v>190051.96</v>
      </c>
      <c r="H150" s="183">
        <v>188743.86</v>
      </c>
      <c r="I150" s="183">
        <v>189099.68</v>
      </c>
      <c r="J150" s="183">
        <v>189253.05</v>
      </c>
      <c r="K150" s="183">
        <v>215622.89</v>
      </c>
      <c r="L150" s="183">
        <v>216627.35</v>
      </c>
      <c r="M150" s="183">
        <v>214067.98</v>
      </c>
      <c r="N150" s="183">
        <v>207843.34</v>
      </c>
      <c r="O150" s="183">
        <v>193933</v>
      </c>
      <c r="P150" s="183">
        <v>215169.85</v>
      </c>
      <c r="Q150" s="183">
        <v>230955.84</v>
      </c>
      <c r="R150" s="183">
        <v>241106.69</v>
      </c>
      <c r="S150" s="184">
        <f t="shared" si="35"/>
        <v>204650.97458333336</v>
      </c>
      <c r="U150" s="65">
        <f t="shared" si="34"/>
        <v>204650.97458333336</v>
      </c>
      <c r="V150" s="103"/>
      <c r="W150" s="103"/>
      <c r="X150" s="599"/>
      <c r="Y150" s="103"/>
      <c r="Z150" s="103"/>
      <c r="AA150" s="65"/>
      <c r="AB150" s="103"/>
      <c r="AD150" s="42">
        <f t="shared" si="36"/>
        <v>204650.97458333336</v>
      </c>
      <c r="AF150" s="6"/>
    </row>
    <row r="151" spans="1:32">
      <c r="A151" s="2">
        <f t="shared" si="37"/>
        <v>134</v>
      </c>
      <c r="B151" s="688" t="s">
        <v>2675</v>
      </c>
      <c r="C151" s="688" t="s">
        <v>2656</v>
      </c>
      <c r="D151" s="688" t="s">
        <v>2657</v>
      </c>
      <c r="E151" s="182" t="s">
        <v>2676</v>
      </c>
      <c r="F151" s="183">
        <v>84561.93</v>
      </c>
      <c r="G151" s="183">
        <v>84761.14</v>
      </c>
      <c r="H151" s="183">
        <v>90084.45</v>
      </c>
      <c r="I151" s="183">
        <v>89957.69</v>
      </c>
      <c r="J151" s="183">
        <v>89755.89</v>
      </c>
      <c r="K151" s="183">
        <v>95353.48</v>
      </c>
      <c r="L151" s="183">
        <v>93909.49</v>
      </c>
      <c r="M151" s="183">
        <v>110871.41</v>
      </c>
      <c r="N151" s="183">
        <v>112250.7</v>
      </c>
      <c r="O151" s="183">
        <v>112430.44</v>
      </c>
      <c r="P151" s="183">
        <v>111314.72</v>
      </c>
      <c r="Q151" s="183">
        <v>114598.49</v>
      </c>
      <c r="R151" s="183">
        <v>116930.89</v>
      </c>
      <c r="S151" s="184">
        <f t="shared" si="35"/>
        <v>100502.85916666665</v>
      </c>
      <c r="U151" s="65">
        <f t="shared" si="34"/>
        <v>100502.85916666665</v>
      </c>
      <c r="V151" s="103"/>
      <c r="W151" s="103"/>
      <c r="X151" s="599"/>
      <c r="Y151" s="103"/>
      <c r="Z151" s="103"/>
      <c r="AA151" s="65"/>
      <c r="AB151" s="103"/>
      <c r="AD151" s="42">
        <f t="shared" si="36"/>
        <v>100502.85916666665</v>
      </c>
      <c r="AF151" s="6"/>
    </row>
    <row r="152" spans="1:32">
      <c r="A152" s="2">
        <f t="shared" si="37"/>
        <v>135</v>
      </c>
      <c r="B152" s="688" t="s">
        <v>2677</v>
      </c>
      <c r="C152" s="688" t="s">
        <v>2656</v>
      </c>
      <c r="D152" s="688" t="s">
        <v>2657</v>
      </c>
      <c r="E152" s="182" t="s">
        <v>2678</v>
      </c>
      <c r="F152" s="183">
        <v>150062.13</v>
      </c>
      <c r="G152" s="183">
        <v>145282.84</v>
      </c>
      <c r="H152" s="183">
        <v>149686.03</v>
      </c>
      <c r="I152" s="183">
        <v>146770.23000000001</v>
      </c>
      <c r="J152" s="183">
        <v>150827.26999999999</v>
      </c>
      <c r="K152" s="183">
        <v>155918.89000000001</v>
      </c>
      <c r="L152" s="183">
        <v>183714.83</v>
      </c>
      <c r="M152" s="183">
        <v>184011.85</v>
      </c>
      <c r="N152" s="183">
        <v>182171.68</v>
      </c>
      <c r="O152" s="183">
        <v>183730.96</v>
      </c>
      <c r="P152" s="183">
        <v>198856.98</v>
      </c>
      <c r="Q152" s="183">
        <v>154599.93</v>
      </c>
      <c r="R152" s="183">
        <v>158936.34</v>
      </c>
      <c r="S152" s="184">
        <f t="shared" si="35"/>
        <v>165839.2270833333</v>
      </c>
      <c r="U152" s="65">
        <f t="shared" si="34"/>
        <v>165839.2270833333</v>
      </c>
      <c r="V152" s="103"/>
      <c r="W152" s="103"/>
      <c r="X152" s="599"/>
      <c r="Y152" s="103"/>
      <c r="Z152" s="103"/>
      <c r="AA152" s="65"/>
      <c r="AB152" s="103"/>
      <c r="AD152" s="42">
        <f t="shared" si="36"/>
        <v>165839.2270833333</v>
      </c>
      <c r="AF152" s="6"/>
    </row>
    <row r="153" spans="1:32">
      <c r="A153" s="2">
        <f t="shared" si="37"/>
        <v>136</v>
      </c>
      <c r="B153" s="688" t="s">
        <v>2679</v>
      </c>
      <c r="C153" s="688" t="s">
        <v>2656</v>
      </c>
      <c r="D153" s="688" t="s">
        <v>2657</v>
      </c>
      <c r="E153" s="182" t="s">
        <v>2680</v>
      </c>
      <c r="F153" s="183">
        <v>396860.79</v>
      </c>
      <c r="G153" s="183">
        <v>415360.45</v>
      </c>
      <c r="H153" s="183">
        <v>436590.42</v>
      </c>
      <c r="I153" s="183">
        <v>368600.69</v>
      </c>
      <c r="J153" s="183">
        <v>403842.34</v>
      </c>
      <c r="K153" s="183">
        <v>423633.18</v>
      </c>
      <c r="L153" s="183">
        <v>417990.17</v>
      </c>
      <c r="M153" s="183">
        <v>464222.63</v>
      </c>
      <c r="N153" s="183">
        <v>467813.23</v>
      </c>
      <c r="O153" s="183">
        <v>594218.79</v>
      </c>
      <c r="P153" s="183">
        <v>1021549.42</v>
      </c>
      <c r="Q153" s="183">
        <v>1024094.94</v>
      </c>
      <c r="R153" s="183">
        <v>1070018.1399999999</v>
      </c>
      <c r="S153" s="184">
        <f t="shared" si="35"/>
        <v>564279.64374999993</v>
      </c>
      <c r="U153" s="65">
        <f t="shared" si="34"/>
        <v>564279.64374999993</v>
      </c>
      <c r="V153" s="103"/>
      <c r="W153" s="103"/>
      <c r="X153" s="599"/>
      <c r="Y153" s="103"/>
      <c r="Z153" s="103"/>
      <c r="AA153" s="65"/>
      <c r="AB153" s="103"/>
      <c r="AD153" s="42">
        <f t="shared" si="36"/>
        <v>564279.64374999993</v>
      </c>
      <c r="AF153" s="6"/>
    </row>
    <row r="154" spans="1:32">
      <c r="A154" s="2">
        <f t="shared" si="37"/>
        <v>137</v>
      </c>
      <c r="B154" s="688" t="s">
        <v>2681</v>
      </c>
      <c r="C154" s="688" t="s">
        <v>2656</v>
      </c>
      <c r="D154" s="688" t="s">
        <v>2657</v>
      </c>
      <c r="E154" s="182" t="s">
        <v>2682</v>
      </c>
      <c r="F154" s="183">
        <v>132.82</v>
      </c>
      <c r="G154" s="183">
        <v>0</v>
      </c>
      <c r="H154" s="183">
        <v>0</v>
      </c>
      <c r="I154" s="183">
        <v>0</v>
      </c>
      <c r="J154" s="183">
        <v>0</v>
      </c>
      <c r="K154" s="183">
        <v>0</v>
      </c>
      <c r="L154" s="183">
        <v>0</v>
      </c>
      <c r="M154" s="183">
        <v>0</v>
      </c>
      <c r="N154" s="183">
        <v>0</v>
      </c>
      <c r="O154" s="183">
        <v>0</v>
      </c>
      <c r="P154" s="183">
        <v>0</v>
      </c>
      <c r="Q154" s="183">
        <v>0</v>
      </c>
      <c r="R154" s="183">
        <v>0</v>
      </c>
      <c r="S154" s="184">
        <f t="shared" si="35"/>
        <v>5.5341666666666667</v>
      </c>
      <c r="U154" s="65">
        <f t="shared" si="34"/>
        <v>5.5341666666666667</v>
      </c>
      <c r="V154" s="103"/>
      <c r="W154" s="103"/>
      <c r="X154" s="599"/>
      <c r="Y154" s="103"/>
      <c r="Z154" s="103"/>
      <c r="AA154" s="65"/>
      <c r="AB154" s="103"/>
      <c r="AD154" s="42">
        <f t="shared" si="36"/>
        <v>5.5341666666666667</v>
      </c>
      <c r="AF154" s="6"/>
    </row>
    <row r="155" spans="1:32">
      <c r="A155" s="2">
        <f t="shared" si="37"/>
        <v>138</v>
      </c>
      <c r="B155" s="688" t="s">
        <v>2683</v>
      </c>
      <c r="C155" s="688" t="s">
        <v>2656</v>
      </c>
      <c r="D155" s="688" t="s">
        <v>2657</v>
      </c>
      <c r="E155" s="182" t="s">
        <v>2684</v>
      </c>
      <c r="F155" s="183">
        <v>590302.87</v>
      </c>
      <c r="G155" s="183">
        <v>631779.88</v>
      </c>
      <c r="H155" s="183">
        <v>646089.78</v>
      </c>
      <c r="I155" s="183">
        <v>630806.68999999994</v>
      </c>
      <c r="J155" s="183">
        <v>680843.84</v>
      </c>
      <c r="K155" s="183">
        <v>709887.84</v>
      </c>
      <c r="L155" s="183">
        <v>646331.1</v>
      </c>
      <c r="M155" s="183">
        <v>688941.53</v>
      </c>
      <c r="N155" s="183">
        <v>705783.29</v>
      </c>
      <c r="O155" s="183">
        <v>668055.9</v>
      </c>
      <c r="P155" s="183">
        <v>754283.6</v>
      </c>
      <c r="Q155" s="183">
        <v>794887.18</v>
      </c>
      <c r="R155" s="183">
        <v>801717.55</v>
      </c>
      <c r="S155" s="184">
        <f t="shared" si="35"/>
        <v>687808.40333333332</v>
      </c>
      <c r="U155" s="65">
        <f t="shared" si="34"/>
        <v>687808.40333333332</v>
      </c>
      <c r="V155" s="103"/>
      <c r="W155" s="103"/>
      <c r="X155" s="599"/>
      <c r="Y155" s="103"/>
      <c r="Z155" s="103"/>
      <c r="AA155" s="65"/>
      <c r="AB155" s="103"/>
      <c r="AD155" s="42">
        <f t="shared" si="36"/>
        <v>687808.40333333332</v>
      </c>
      <c r="AF155" s="6"/>
    </row>
    <row r="156" spans="1:32">
      <c r="A156" s="2">
        <f t="shared" si="37"/>
        <v>139</v>
      </c>
      <c r="B156" s="688" t="s">
        <v>2685</v>
      </c>
      <c r="C156" s="688" t="s">
        <v>2656</v>
      </c>
      <c r="D156" s="688" t="s">
        <v>2657</v>
      </c>
      <c r="E156" s="182" t="s">
        <v>2686</v>
      </c>
      <c r="F156" s="183">
        <v>285144.55</v>
      </c>
      <c r="G156" s="183">
        <v>283686.87</v>
      </c>
      <c r="H156" s="183">
        <v>281243.15999999997</v>
      </c>
      <c r="I156" s="183">
        <v>288590.94</v>
      </c>
      <c r="J156" s="183">
        <v>293054.7</v>
      </c>
      <c r="K156" s="183">
        <v>298661.36</v>
      </c>
      <c r="L156" s="183">
        <v>313741.65000000002</v>
      </c>
      <c r="M156" s="183">
        <v>327670.09999999998</v>
      </c>
      <c r="N156" s="183">
        <v>332485.59000000003</v>
      </c>
      <c r="O156" s="183">
        <v>349821.64</v>
      </c>
      <c r="P156" s="183">
        <v>356188.98</v>
      </c>
      <c r="Q156" s="183">
        <v>375813.11</v>
      </c>
      <c r="R156" s="183">
        <v>390141.73</v>
      </c>
      <c r="S156" s="184">
        <f t="shared" si="35"/>
        <v>319883.43666666665</v>
      </c>
      <c r="U156" s="65">
        <f t="shared" si="34"/>
        <v>319883.43666666665</v>
      </c>
      <c r="V156" s="103"/>
      <c r="W156" s="103"/>
      <c r="X156" s="599"/>
      <c r="Y156" s="103"/>
      <c r="Z156" s="103"/>
      <c r="AA156" s="65"/>
      <c r="AB156" s="103"/>
      <c r="AD156" s="42">
        <f t="shared" si="36"/>
        <v>319883.43666666665</v>
      </c>
      <c r="AF156" s="6"/>
    </row>
    <row r="157" spans="1:32">
      <c r="A157" s="2">
        <f t="shared" si="37"/>
        <v>140</v>
      </c>
      <c r="B157" s="688" t="s">
        <v>2687</v>
      </c>
      <c r="C157" s="688" t="s">
        <v>2656</v>
      </c>
      <c r="D157" s="688" t="s">
        <v>2657</v>
      </c>
      <c r="E157" s="182" t="s">
        <v>2688</v>
      </c>
      <c r="F157" s="183">
        <v>105820.25</v>
      </c>
      <c r="G157" s="183">
        <v>107007.77</v>
      </c>
      <c r="H157" s="183">
        <v>104473.18</v>
      </c>
      <c r="I157" s="183">
        <v>109593.73</v>
      </c>
      <c r="J157" s="183">
        <v>123350.93</v>
      </c>
      <c r="K157" s="183">
        <v>123978.06</v>
      </c>
      <c r="L157" s="183">
        <v>126230.24</v>
      </c>
      <c r="M157" s="183">
        <v>135643.03</v>
      </c>
      <c r="N157" s="183">
        <v>144540.89000000001</v>
      </c>
      <c r="O157" s="183">
        <v>165072.32999999999</v>
      </c>
      <c r="P157" s="183">
        <v>171555.86</v>
      </c>
      <c r="Q157" s="183">
        <v>173761.35</v>
      </c>
      <c r="R157" s="183">
        <v>199770.31</v>
      </c>
      <c r="S157" s="184">
        <f t="shared" si="35"/>
        <v>136500.22083333335</v>
      </c>
      <c r="U157" s="65">
        <f t="shared" si="34"/>
        <v>136500.22083333335</v>
      </c>
      <c r="V157" s="103"/>
      <c r="W157" s="103"/>
      <c r="X157" s="599"/>
      <c r="Y157" s="103"/>
      <c r="Z157" s="103"/>
      <c r="AA157" s="65"/>
      <c r="AB157" s="103"/>
      <c r="AD157" s="42">
        <f t="shared" si="36"/>
        <v>136500.22083333335</v>
      </c>
      <c r="AF157" s="6"/>
    </row>
    <row r="158" spans="1:32">
      <c r="A158" s="2">
        <f t="shared" si="37"/>
        <v>141</v>
      </c>
      <c r="B158" s="688" t="s">
        <v>2689</v>
      </c>
      <c r="C158" s="688" t="s">
        <v>2656</v>
      </c>
      <c r="D158" s="688" t="s">
        <v>2657</v>
      </c>
      <c r="E158" s="182" t="s">
        <v>2690</v>
      </c>
      <c r="F158" s="183">
        <v>533922.19999999995</v>
      </c>
      <c r="G158" s="183">
        <v>526986.89</v>
      </c>
      <c r="H158" s="183">
        <v>595735.31000000006</v>
      </c>
      <c r="I158" s="183">
        <v>588022.98</v>
      </c>
      <c r="J158" s="183">
        <v>596235.97</v>
      </c>
      <c r="K158" s="183">
        <v>599885.49</v>
      </c>
      <c r="L158" s="183">
        <v>575793.69999999995</v>
      </c>
      <c r="M158" s="183">
        <v>551725.4</v>
      </c>
      <c r="N158" s="183">
        <v>602305.18999999994</v>
      </c>
      <c r="O158" s="183">
        <v>638070.64</v>
      </c>
      <c r="P158" s="183">
        <v>628970.17000000004</v>
      </c>
      <c r="Q158" s="183">
        <v>632003.77</v>
      </c>
      <c r="R158" s="183">
        <v>645404.82999999996</v>
      </c>
      <c r="S158" s="184">
        <f t="shared" si="35"/>
        <v>593783.25208333333</v>
      </c>
      <c r="U158" s="65">
        <f t="shared" si="34"/>
        <v>593783.25208333333</v>
      </c>
      <c r="V158" s="103"/>
      <c r="W158" s="103"/>
      <c r="X158" s="599"/>
      <c r="Y158" s="103"/>
      <c r="Z158" s="103"/>
      <c r="AA158" s="65"/>
      <c r="AB158" s="103"/>
      <c r="AD158" s="42">
        <f t="shared" si="36"/>
        <v>593783.25208333333</v>
      </c>
      <c r="AF158" s="6"/>
    </row>
    <row r="159" spans="1:32">
      <c r="A159" s="2">
        <f t="shared" si="37"/>
        <v>142</v>
      </c>
      <c r="B159" s="688" t="s">
        <v>2691</v>
      </c>
      <c r="C159" s="688" t="s">
        <v>2656</v>
      </c>
      <c r="D159" s="688" t="s">
        <v>2657</v>
      </c>
      <c r="E159" s="182" t="s">
        <v>2692</v>
      </c>
      <c r="F159" s="183">
        <v>53962.42</v>
      </c>
      <c r="G159" s="183">
        <v>58091.85</v>
      </c>
      <c r="H159" s="183">
        <v>60190.25</v>
      </c>
      <c r="I159" s="183">
        <v>349805.63</v>
      </c>
      <c r="J159" s="183">
        <v>68871.850000000006</v>
      </c>
      <c r="K159" s="183">
        <v>79169.14</v>
      </c>
      <c r="L159" s="183">
        <v>81679.45</v>
      </c>
      <c r="M159" s="183">
        <v>84010.06</v>
      </c>
      <c r="N159" s="183">
        <v>94310.9</v>
      </c>
      <c r="O159" s="183">
        <v>93215.26</v>
      </c>
      <c r="P159" s="183">
        <v>103996.17</v>
      </c>
      <c r="Q159" s="183">
        <v>107422.57</v>
      </c>
      <c r="R159" s="183">
        <v>124746.96</v>
      </c>
      <c r="S159" s="184">
        <f t="shared" si="35"/>
        <v>105843.15166666667</v>
      </c>
      <c r="U159" s="65">
        <f t="shared" si="34"/>
        <v>105843.15166666667</v>
      </c>
      <c r="V159" s="103"/>
      <c r="W159" s="103"/>
      <c r="X159" s="599"/>
      <c r="Y159" s="103"/>
      <c r="Z159" s="103"/>
      <c r="AA159" s="65"/>
      <c r="AB159" s="103"/>
      <c r="AD159" s="42">
        <f t="shared" si="36"/>
        <v>105843.15166666667</v>
      </c>
      <c r="AF159" s="6"/>
    </row>
    <row r="160" spans="1:32">
      <c r="A160" s="2">
        <f t="shared" si="37"/>
        <v>143</v>
      </c>
      <c r="B160" s="688" t="s">
        <v>2330</v>
      </c>
      <c r="C160" s="688" t="s">
        <v>2656</v>
      </c>
      <c r="D160" s="688" t="s">
        <v>2657</v>
      </c>
      <c r="E160" s="182" t="s">
        <v>2658</v>
      </c>
      <c r="F160" s="183">
        <v>-1.7462298274040199E-10</v>
      </c>
      <c r="G160" s="183">
        <v>0</v>
      </c>
      <c r="H160" s="183">
        <v>0</v>
      </c>
      <c r="I160" s="183">
        <v>159041.34</v>
      </c>
      <c r="J160" s="183">
        <v>0</v>
      </c>
      <c r="K160" s="183">
        <v>0</v>
      </c>
      <c r="L160" s="183">
        <v>36878.83</v>
      </c>
      <c r="M160" s="183">
        <v>94112.46</v>
      </c>
      <c r="N160" s="183">
        <v>-1.45519152283669E-11</v>
      </c>
      <c r="O160" s="183">
        <v>15307.5</v>
      </c>
      <c r="P160" s="183">
        <v>-1.45519152283669E-11</v>
      </c>
      <c r="Q160" s="183">
        <v>-1.45519152283669E-11</v>
      </c>
      <c r="R160" s="183">
        <v>-1.45519152283669E-11</v>
      </c>
      <c r="S160" s="184">
        <f t="shared" si="35"/>
        <v>25445.010833333323</v>
      </c>
      <c r="U160" s="65">
        <f t="shared" si="34"/>
        <v>25445.010833333323</v>
      </c>
      <c r="V160" s="103"/>
      <c r="W160" s="103"/>
      <c r="X160" s="599"/>
      <c r="Y160" s="103"/>
      <c r="Z160" s="103"/>
      <c r="AA160" s="65"/>
      <c r="AB160" s="103"/>
      <c r="AD160" s="42">
        <f t="shared" si="36"/>
        <v>25445.010833333323</v>
      </c>
      <c r="AF160" s="6"/>
    </row>
    <row r="161" spans="1:32">
      <c r="A161" s="2">
        <f t="shared" si="37"/>
        <v>144</v>
      </c>
      <c r="B161" s="688" t="s">
        <v>2693</v>
      </c>
      <c r="C161" s="688" t="s">
        <v>2656</v>
      </c>
      <c r="D161" s="688" t="s">
        <v>2657</v>
      </c>
      <c r="E161" s="182" t="s">
        <v>2670</v>
      </c>
      <c r="F161" s="183">
        <v>1.2732925824821001E-10</v>
      </c>
      <c r="G161" s="183">
        <v>0</v>
      </c>
      <c r="H161" s="183">
        <v>0</v>
      </c>
      <c r="I161" s="183">
        <v>0</v>
      </c>
      <c r="J161" s="183">
        <v>0</v>
      </c>
      <c r="K161" s="183">
        <v>0</v>
      </c>
      <c r="L161" s="183">
        <v>0</v>
      </c>
      <c r="M161" s="183">
        <v>0</v>
      </c>
      <c r="N161" s="183">
        <v>0</v>
      </c>
      <c r="O161" s="183">
        <v>0</v>
      </c>
      <c r="P161" s="183">
        <v>0</v>
      </c>
      <c r="Q161" s="183">
        <v>0</v>
      </c>
      <c r="R161" s="183">
        <v>0</v>
      </c>
      <c r="S161" s="184">
        <f t="shared" si="35"/>
        <v>5.3053857603420835E-12</v>
      </c>
      <c r="U161" s="65">
        <f t="shared" si="34"/>
        <v>5.3053857603420835E-12</v>
      </c>
      <c r="V161" s="103"/>
      <c r="W161" s="103"/>
      <c r="X161" s="599"/>
      <c r="Y161" s="103"/>
      <c r="Z161" s="103"/>
      <c r="AA161" s="65"/>
      <c r="AB161" s="103"/>
      <c r="AD161" s="42">
        <f t="shared" si="36"/>
        <v>5.3053857603420835E-12</v>
      </c>
      <c r="AF161" s="6"/>
    </row>
    <row r="162" spans="1:32">
      <c r="A162" s="2">
        <f t="shared" si="37"/>
        <v>145</v>
      </c>
      <c r="B162" s="688" t="s">
        <v>2694</v>
      </c>
      <c r="C162" s="688" t="s">
        <v>2656</v>
      </c>
      <c r="D162" s="688" t="s">
        <v>2657</v>
      </c>
      <c r="E162" s="182" t="s">
        <v>2660</v>
      </c>
      <c r="F162" s="183">
        <v>-2.91038304567337E-11</v>
      </c>
      <c r="G162" s="183">
        <v>0</v>
      </c>
      <c r="H162" s="183">
        <v>0</v>
      </c>
      <c r="I162" s="183">
        <v>0</v>
      </c>
      <c r="J162" s="183">
        <v>0</v>
      </c>
      <c r="K162" s="183">
        <v>0</v>
      </c>
      <c r="L162" s="183">
        <v>0</v>
      </c>
      <c r="M162" s="183">
        <v>0</v>
      </c>
      <c r="N162" s="183">
        <v>0</v>
      </c>
      <c r="O162" s="183">
        <v>0</v>
      </c>
      <c r="P162" s="183">
        <v>0</v>
      </c>
      <c r="Q162" s="183">
        <v>0</v>
      </c>
      <c r="R162" s="183">
        <v>0</v>
      </c>
      <c r="S162" s="184">
        <f t="shared" si="35"/>
        <v>-1.2126596023639042E-12</v>
      </c>
      <c r="U162" s="65">
        <f t="shared" si="34"/>
        <v>-1.2126596023639042E-12</v>
      </c>
      <c r="V162" s="103"/>
      <c r="W162" s="103"/>
      <c r="X162" s="599"/>
      <c r="Y162" s="103"/>
      <c r="Z162" s="103"/>
      <c r="AA162" s="65"/>
      <c r="AB162" s="103"/>
      <c r="AD162" s="42">
        <f t="shared" si="36"/>
        <v>-1.2126596023639042E-12</v>
      </c>
      <c r="AF162" s="6"/>
    </row>
    <row r="163" spans="1:32">
      <c r="A163" s="2">
        <f t="shared" si="37"/>
        <v>146</v>
      </c>
      <c r="B163" s="688" t="s">
        <v>2695</v>
      </c>
      <c r="C163" s="688" t="s">
        <v>2656</v>
      </c>
      <c r="D163" s="688" t="s">
        <v>2657</v>
      </c>
      <c r="E163" s="182" t="s">
        <v>2684</v>
      </c>
      <c r="F163" s="183">
        <v>1.3824319466948499E-10</v>
      </c>
      <c r="G163" s="183">
        <v>1156.8900000000001</v>
      </c>
      <c r="H163" s="183">
        <v>0</v>
      </c>
      <c r="I163" s="183">
        <v>7825</v>
      </c>
      <c r="J163" s="183">
        <v>0</v>
      </c>
      <c r="K163" s="183">
        <v>0</v>
      </c>
      <c r="L163" s="183">
        <v>0</v>
      </c>
      <c r="M163" s="183">
        <v>0</v>
      </c>
      <c r="N163" s="183">
        <v>0</v>
      </c>
      <c r="O163" s="183">
        <v>0</v>
      </c>
      <c r="P163" s="183">
        <v>0</v>
      </c>
      <c r="Q163" s="183">
        <v>0</v>
      </c>
      <c r="R163" s="183">
        <v>0</v>
      </c>
      <c r="S163" s="184">
        <f t="shared" si="35"/>
        <v>748.49083333333908</v>
      </c>
      <c r="U163" s="65">
        <f t="shared" si="34"/>
        <v>748.49083333333908</v>
      </c>
      <c r="V163" s="103"/>
      <c r="W163" s="103"/>
      <c r="X163" s="599"/>
      <c r="Y163" s="103"/>
      <c r="Z163" s="103"/>
      <c r="AA163" s="65"/>
      <c r="AB163" s="103"/>
      <c r="AD163" s="42">
        <f t="shared" si="36"/>
        <v>748.49083333333908</v>
      </c>
      <c r="AF163" s="6"/>
    </row>
    <row r="164" spans="1:32">
      <c r="A164" s="2">
        <f t="shared" si="37"/>
        <v>147</v>
      </c>
      <c r="B164" s="688" t="s">
        <v>2696</v>
      </c>
      <c r="C164" s="688" t="s">
        <v>2656</v>
      </c>
      <c r="D164" s="688" t="s">
        <v>2657</v>
      </c>
      <c r="E164" s="182" t="s">
        <v>2666</v>
      </c>
      <c r="F164" s="183">
        <v>-1.67347025126219E-10</v>
      </c>
      <c r="G164" s="183">
        <v>0</v>
      </c>
      <c r="H164" s="183">
        <v>0</v>
      </c>
      <c r="I164" s="183">
        <v>0</v>
      </c>
      <c r="J164" s="183">
        <v>0</v>
      </c>
      <c r="K164" s="183">
        <v>0</v>
      </c>
      <c r="L164" s="183">
        <v>0</v>
      </c>
      <c r="M164" s="183">
        <v>0</v>
      </c>
      <c r="N164" s="183">
        <v>0</v>
      </c>
      <c r="O164" s="183">
        <v>0</v>
      </c>
      <c r="P164" s="183">
        <v>0</v>
      </c>
      <c r="Q164" s="183">
        <v>0</v>
      </c>
      <c r="R164" s="183">
        <v>0</v>
      </c>
      <c r="S164" s="184">
        <f t="shared" si="35"/>
        <v>-6.9727927135924582E-12</v>
      </c>
      <c r="U164" s="65">
        <f t="shared" si="34"/>
        <v>-6.9727927135924582E-12</v>
      </c>
      <c r="V164" s="103"/>
      <c r="W164" s="103"/>
      <c r="X164" s="599"/>
      <c r="Y164" s="103"/>
      <c r="Z164" s="103"/>
      <c r="AA164" s="65"/>
      <c r="AB164" s="103"/>
      <c r="AD164" s="42">
        <f t="shared" si="36"/>
        <v>-6.9727927135924582E-12</v>
      </c>
      <c r="AF164" s="6"/>
    </row>
    <row r="165" spans="1:32">
      <c r="A165" s="2">
        <f t="shared" si="37"/>
        <v>148</v>
      </c>
      <c r="B165" s="688" t="s">
        <v>2697</v>
      </c>
      <c r="C165" s="688" t="s">
        <v>2656</v>
      </c>
      <c r="D165" s="688" t="s">
        <v>2657</v>
      </c>
      <c r="E165" s="182" t="s">
        <v>2688</v>
      </c>
      <c r="F165" s="183">
        <v>-3.4560798667371299E-11</v>
      </c>
      <c r="G165" s="183">
        <v>0</v>
      </c>
      <c r="H165" s="183">
        <v>0</v>
      </c>
      <c r="I165" s="183">
        <v>0</v>
      </c>
      <c r="J165" s="183">
        <v>0</v>
      </c>
      <c r="K165" s="183">
        <v>0</v>
      </c>
      <c r="L165" s="183">
        <v>0</v>
      </c>
      <c r="M165" s="183">
        <v>0</v>
      </c>
      <c r="N165" s="183">
        <v>0</v>
      </c>
      <c r="O165" s="183">
        <v>0</v>
      </c>
      <c r="P165" s="183">
        <v>0</v>
      </c>
      <c r="Q165" s="183">
        <v>0</v>
      </c>
      <c r="R165" s="183">
        <v>0</v>
      </c>
      <c r="S165" s="184">
        <f t="shared" si="35"/>
        <v>-1.4400332778071375E-12</v>
      </c>
      <c r="U165" s="65">
        <f t="shared" si="34"/>
        <v>-1.4400332778071375E-12</v>
      </c>
      <c r="V165" s="103"/>
      <c r="W165" s="103"/>
      <c r="X165" s="599"/>
      <c r="Y165" s="103"/>
      <c r="Z165" s="103"/>
      <c r="AA165" s="65"/>
      <c r="AB165" s="103"/>
      <c r="AD165" s="42">
        <f t="shared" si="36"/>
        <v>-1.4400332778071375E-12</v>
      </c>
      <c r="AF165" s="6"/>
    </row>
    <row r="166" spans="1:32">
      <c r="A166" s="2">
        <f t="shared" si="37"/>
        <v>149</v>
      </c>
      <c r="B166" s="688" t="s">
        <v>2698</v>
      </c>
      <c r="C166" s="688" t="s">
        <v>2656</v>
      </c>
      <c r="D166" s="688" t="s">
        <v>2657</v>
      </c>
      <c r="E166" s="182" t="s">
        <v>2672</v>
      </c>
      <c r="F166" s="183">
        <v>-5.8207660913467401E-11</v>
      </c>
      <c r="G166" s="183">
        <v>38.479999999999997</v>
      </c>
      <c r="H166" s="183">
        <v>0</v>
      </c>
      <c r="I166" s="183">
        <v>0</v>
      </c>
      <c r="J166" s="183">
        <v>0</v>
      </c>
      <c r="K166" s="183">
        <v>0</v>
      </c>
      <c r="L166" s="183">
        <v>0</v>
      </c>
      <c r="M166" s="183">
        <v>0</v>
      </c>
      <c r="N166" s="183">
        <v>0</v>
      </c>
      <c r="O166" s="183">
        <v>0</v>
      </c>
      <c r="P166" s="183">
        <v>0</v>
      </c>
      <c r="Q166" s="183">
        <v>0</v>
      </c>
      <c r="R166" s="183">
        <v>0</v>
      </c>
      <c r="S166" s="184">
        <f t="shared" si="35"/>
        <v>3.2066666666642409</v>
      </c>
      <c r="U166" s="65">
        <f t="shared" si="34"/>
        <v>3.2066666666642409</v>
      </c>
      <c r="V166" s="103"/>
      <c r="W166" s="103"/>
      <c r="X166" s="599"/>
      <c r="Y166" s="103"/>
      <c r="Z166" s="103"/>
      <c r="AA166" s="65"/>
      <c r="AB166" s="103"/>
      <c r="AD166" s="42">
        <f t="shared" si="36"/>
        <v>3.2066666666642409</v>
      </c>
      <c r="AF166" s="6"/>
    </row>
    <row r="167" spans="1:32">
      <c r="A167" s="2">
        <f t="shared" si="37"/>
        <v>150</v>
      </c>
      <c r="B167" s="688" t="s">
        <v>2699</v>
      </c>
      <c r="C167" s="688" t="s">
        <v>2656</v>
      </c>
      <c r="D167" s="688" t="s">
        <v>2657</v>
      </c>
      <c r="E167" s="182" t="s">
        <v>2668</v>
      </c>
      <c r="F167" s="183">
        <v>2.3646862246096098E-10</v>
      </c>
      <c r="G167" s="183">
        <v>0</v>
      </c>
      <c r="H167" s="183">
        <v>0</v>
      </c>
      <c r="I167" s="183">
        <v>0</v>
      </c>
      <c r="J167" s="183">
        <v>0</v>
      </c>
      <c r="K167" s="183">
        <v>0</v>
      </c>
      <c r="L167" s="183">
        <v>0</v>
      </c>
      <c r="M167" s="183">
        <v>0</v>
      </c>
      <c r="N167" s="183">
        <v>0</v>
      </c>
      <c r="O167" s="183">
        <v>0</v>
      </c>
      <c r="P167" s="183">
        <v>0</v>
      </c>
      <c r="Q167" s="183">
        <v>0</v>
      </c>
      <c r="R167" s="183">
        <v>0</v>
      </c>
      <c r="S167" s="184">
        <f t="shared" si="35"/>
        <v>9.852859269206707E-12</v>
      </c>
      <c r="U167" s="65">
        <f t="shared" si="34"/>
        <v>9.852859269206707E-12</v>
      </c>
      <c r="V167" s="103"/>
      <c r="W167" s="103"/>
      <c r="X167" s="599"/>
      <c r="Y167" s="103"/>
      <c r="Z167" s="103"/>
      <c r="AA167" s="65"/>
      <c r="AB167" s="103"/>
      <c r="AD167" s="42">
        <f t="shared" si="36"/>
        <v>9.852859269206707E-12</v>
      </c>
      <c r="AF167" s="6"/>
    </row>
    <row r="168" spans="1:32">
      <c r="A168" s="2">
        <f t="shared" si="37"/>
        <v>151</v>
      </c>
      <c r="B168" s="688" t="s">
        <v>2700</v>
      </c>
      <c r="C168" s="688" t="s">
        <v>2656</v>
      </c>
      <c r="D168" s="688" t="s">
        <v>2657</v>
      </c>
      <c r="E168" s="182" t="s">
        <v>2678</v>
      </c>
      <c r="F168" s="183">
        <v>-7.2759576141834308E-12</v>
      </c>
      <c r="G168" s="183">
        <v>0</v>
      </c>
      <c r="H168" s="183">
        <v>0</v>
      </c>
      <c r="I168" s="183">
        <v>0</v>
      </c>
      <c r="J168" s="183">
        <v>0</v>
      </c>
      <c r="K168" s="183">
        <v>0</v>
      </c>
      <c r="L168" s="183">
        <v>0</v>
      </c>
      <c r="M168" s="183">
        <v>0</v>
      </c>
      <c r="N168" s="183">
        <v>0</v>
      </c>
      <c r="O168" s="183">
        <v>0</v>
      </c>
      <c r="P168" s="183">
        <v>0</v>
      </c>
      <c r="Q168" s="183">
        <v>0</v>
      </c>
      <c r="R168" s="183">
        <v>0</v>
      </c>
      <c r="S168" s="184">
        <f t="shared" si="35"/>
        <v>-3.0316490059097626E-13</v>
      </c>
      <c r="U168" s="65">
        <f t="shared" si="34"/>
        <v>-3.0316490059097626E-13</v>
      </c>
      <c r="V168" s="103"/>
      <c r="W168" s="103"/>
      <c r="X168" s="599"/>
      <c r="Y168" s="103"/>
      <c r="Z168" s="103"/>
      <c r="AA168" s="65"/>
      <c r="AB168" s="103"/>
      <c r="AD168" s="42">
        <f t="shared" si="36"/>
        <v>-3.0316490059097626E-13</v>
      </c>
      <c r="AF168" s="6"/>
    </row>
    <row r="169" spans="1:32">
      <c r="A169" s="2">
        <f t="shared" si="37"/>
        <v>152</v>
      </c>
      <c r="B169" s="688" t="s">
        <v>2701</v>
      </c>
      <c r="C169" s="688" t="s">
        <v>2656</v>
      </c>
      <c r="D169" s="688" t="s">
        <v>2657</v>
      </c>
      <c r="E169" s="182" t="s">
        <v>2662</v>
      </c>
      <c r="F169" s="183">
        <v>-1.89174897968769E-10</v>
      </c>
      <c r="G169" s="183">
        <v>0</v>
      </c>
      <c r="H169" s="183">
        <v>0</v>
      </c>
      <c r="I169" s="183">
        <v>0</v>
      </c>
      <c r="J169" s="183">
        <v>0</v>
      </c>
      <c r="K169" s="183">
        <v>0</v>
      </c>
      <c r="L169" s="183">
        <v>0</v>
      </c>
      <c r="M169" s="183">
        <v>0</v>
      </c>
      <c r="N169" s="183">
        <v>0</v>
      </c>
      <c r="O169" s="183">
        <v>0</v>
      </c>
      <c r="P169" s="183">
        <v>0</v>
      </c>
      <c r="Q169" s="183">
        <v>0</v>
      </c>
      <c r="R169" s="183">
        <v>0</v>
      </c>
      <c r="S169" s="184">
        <f t="shared" si="35"/>
        <v>-7.8822874153653743E-12</v>
      </c>
      <c r="U169" s="65">
        <f t="shared" si="34"/>
        <v>-7.8822874153653743E-12</v>
      </c>
      <c r="V169" s="103"/>
      <c r="W169" s="103"/>
      <c r="X169" s="599"/>
      <c r="Y169" s="103"/>
      <c r="Z169" s="103"/>
      <c r="AA169" s="65"/>
      <c r="AB169" s="103"/>
      <c r="AD169" s="42">
        <f t="shared" si="36"/>
        <v>-7.8822874153653743E-12</v>
      </c>
      <c r="AF169" s="6"/>
    </row>
    <row r="170" spans="1:32">
      <c r="A170" s="2">
        <f t="shared" si="37"/>
        <v>153</v>
      </c>
      <c r="B170" s="688" t="s">
        <v>2702</v>
      </c>
      <c r="C170" s="688" t="s">
        <v>2656</v>
      </c>
      <c r="D170" s="688" t="s">
        <v>2657</v>
      </c>
      <c r="E170" s="182" t="s">
        <v>2664</v>
      </c>
      <c r="F170" s="183">
        <v>0</v>
      </c>
      <c r="G170" s="183">
        <v>0</v>
      </c>
      <c r="H170" s="183">
        <v>0</v>
      </c>
      <c r="I170" s="183">
        <v>0</v>
      </c>
      <c r="J170" s="183">
        <v>0</v>
      </c>
      <c r="K170" s="183">
        <v>0</v>
      </c>
      <c r="L170" s="183">
        <v>0</v>
      </c>
      <c r="M170" s="183">
        <v>0</v>
      </c>
      <c r="N170" s="183">
        <v>0</v>
      </c>
      <c r="O170" s="183">
        <v>0</v>
      </c>
      <c r="P170" s="183">
        <v>0</v>
      </c>
      <c r="Q170" s="183">
        <v>0</v>
      </c>
      <c r="R170" s="183">
        <v>0</v>
      </c>
      <c r="S170" s="184">
        <f t="shared" si="35"/>
        <v>0</v>
      </c>
      <c r="U170" s="65">
        <f t="shared" si="34"/>
        <v>0</v>
      </c>
      <c r="V170" s="103"/>
      <c r="W170" s="103"/>
      <c r="X170" s="599"/>
      <c r="Y170" s="103"/>
      <c r="Z170" s="103"/>
      <c r="AA170" s="65"/>
      <c r="AB170" s="103"/>
      <c r="AD170" s="42">
        <f t="shared" si="36"/>
        <v>0</v>
      </c>
      <c r="AF170" s="6"/>
    </row>
    <row r="171" spans="1:32">
      <c r="A171" s="2">
        <f t="shared" si="37"/>
        <v>154</v>
      </c>
      <c r="B171" s="688" t="s">
        <v>2703</v>
      </c>
      <c r="C171" s="688" t="s">
        <v>2656</v>
      </c>
      <c r="D171" s="688" t="s">
        <v>2657</v>
      </c>
      <c r="E171" s="182" t="s">
        <v>2690</v>
      </c>
      <c r="F171" s="183">
        <v>5.1699999999837001</v>
      </c>
      <c r="G171" s="183">
        <v>0</v>
      </c>
      <c r="H171" s="183">
        <v>0</v>
      </c>
      <c r="I171" s="183">
        <v>0</v>
      </c>
      <c r="J171" s="183">
        <v>0</v>
      </c>
      <c r="K171" s="183">
        <v>0</v>
      </c>
      <c r="L171" s="183">
        <v>0</v>
      </c>
      <c r="M171" s="183">
        <v>0</v>
      </c>
      <c r="N171" s="183">
        <v>0</v>
      </c>
      <c r="O171" s="183">
        <v>0</v>
      </c>
      <c r="P171" s="183">
        <v>0</v>
      </c>
      <c r="Q171" s="183">
        <v>0</v>
      </c>
      <c r="R171" s="183">
        <v>0</v>
      </c>
      <c r="S171" s="184">
        <f t="shared" si="35"/>
        <v>0.21541666666598749</v>
      </c>
      <c r="U171" s="65">
        <f t="shared" si="34"/>
        <v>0.21541666666598749</v>
      </c>
      <c r="V171" s="103"/>
      <c r="W171" s="103"/>
      <c r="X171" s="599"/>
      <c r="Y171" s="103"/>
      <c r="Z171" s="103"/>
      <c r="AA171" s="65"/>
      <c r="AB171" s="103"/>
      <c r="AD171" s="42">
        <f t="shared" si="36"/>
        <v>0.21541666666598749</v>
      </c>
      <c r="AF171" s="6"/>
    </row>
    <row r="172" spans="1:32">
      <c r="A172" s="2">
        <f t="shared" si="37"/>
        <v>155</v>
      </c>
      <c r="B172" s="688" t="s">
        <v>2704</v>
      </c>
      <c r="C172" s="688" t="s">
        <v>2656</v>
      </c>
      <c r="D172" s="688" t="s">
        <v>2657</v>
      </c>
      <c r="E172" s="182" t="s">
        <v>2686</v>
      </c>
      <c r="F172" s="183">
        <v>1.81898940354586E-11</v>
      </c>
      <c r="G172" s="183">
        <v>0</v>
      </c>
      <c r="H172" s="183">
        <v>0</v>
      </c>
      <c r="I172" s="183">
        <v>0</v>
      </c>
      <c r="J172" s="183">
        <v>0</v>
      </c>
      <c r="K172" s="183">
        <v>0</v>
      </c>
      <c r="L172" s="183">
        <v>0</v>
      </c>
      <c r="M172" s="183">
        <v>0</v>
      </c>
      <c r="N172" s="183">
        <v>0</v>
      </c>
      <c r="O172" s="183">
        <v>0</v>
      </c>
      <c r="P172" s="183">
        <v>0</v>
      </c>
      <c r="Q172" s="183">
        <v>0</v>
      </c>
      <c r="R172" s="183">
        <v>0</v>
      </c>
      <c r="S172" s="184">
        <f t="shared" si="35"/>
        <v>7.5791225147744165E-13</v>
      </c>
      <c r="U172" s="65">
        <f t="shared" si="34"/>
        <v>7.5791225147744165E-13</v>
      </c>
      <c r="V172" s="103"/>
      <c r="W172" s="103"/>
      <c r="X172" s="599"/>
      <c r="Y172" s="103"/>
      <c r="Z172" s="103"/>
      <c r="AA172" s="65"/>
      <c r="AB172" s="103"/>
      <c r="AD172" s="42">
        <f t="shared" si="36"/>
        <v>7.5791225147744165E-13</v>
      </c>
      <c r="AF172" s="6"/>
    </row>
    <row r="173" spans="1:32">
      <c r="A173" s="2">
        <f t="shared" si="37"/>
        <v>156</v>
      </c>
      <c r="B173" s="688" t="s">
        <v>2705</v>
      </c>
      <c r="C173" s="688" t="s">
        <v>2656</v>
      </c>
      <c r="D173" s="688" t="s">
        <v>2657</v>
      </c>
      <c r="E173" s="182" t="s">
        <v>2674</v>
      </c>
      <c r="F173" s="183">
        <v>0</v>
      </c>
      <c r="G173" s="183">
        <v>0</v>
      </c>
      <c r="H173" s="183">
        <v>0</v>
      </c>
      <c r="I173" s="183">
        <v>511.29</v>
      </c>
      <c r="J173" s="183">
        <v>0</v>
      </c>
      <c r="K173" s="183">
        <v>0</v>
      </c>
      <c r="L173" s="183">
        <v>0</v>
      </c>
      <c r="M173" s="183">
        <v>0</v>
      </c>
      <c r="N173" s="183">
        <v>0</v>
      </c>
      <c r="O173" s="183">
        <v>0</v>
      </c>
      <c r="P173" s="183">
        <v>0</v>
      </c>
      <c r="Q173" s="183">
        <v>0</v>
      </c>
      <c r="R173" s="183">
        <v>0</v>
      </c>
      <c r="S173" s="184">
        <f t="shared" si="35"/>
        <v>42.607500000000002</v>
      </c>
      <c r="U173" s="65">
        <f t="shared" si="34"/>
        <v>42.607500000000002</v>
      </c>
      <c r="V173" s="103"/>
      <c r="W173" s="103"/>
      <c r="X173" s="599"/>
      <c r="Y173" s="103"/>
      <c r="Z173" s="103"/>
      <c r="AA173" s="65"/>
      <c r="AB173" s="103"/>
      <c r="AD173" s="42">
        <f t="shared" si="36"/>
        <v>42.607500000000002</v>
      </c>
      <c r="AF173" s="6"/>
    </row>
    <row r="174" spans="1:32">
      <c r="A174" s="2">
        <f t="shared" si="37"/>
        <v>157</v>
      </c>
      <c r="B174" s="688" t="s">
        <v>2706</v>
      </c>
      <c r="C174" s="688" t="s">
        <v>2656</v>
      </c>
      <c r="D174" s="688" t="s">
        <v>2657</v>
      </c>
      <c r="E174" s="182" t="s">
        <v>2676</v>
      </c>
      <c r="F174" s="183">
        <v>2.18278728425503E-11</v>
      </c>
      <c r="G174" s="183">
        <v>0</v>
      </c>
      <c r="H174" s="183">
        <v>0</v>
      </c>
      <c r="I174" s="183">
        <v>0</v>
      </c>
      <c r="J174" s="183">
        <v>0</v>
      </c>
      <c r="K174" s="183">
        <v>0</v>
      </c>
      <c r="L174" s="183">
        <v>0</v>
      </c>
      <c r="M174" s="183">
        <v>0</v>
      </c>
      <c r="N174" s="183">
        <v>0</v>
      </c>
      <c r="O174" s="183">
        <v>0</v>
      </c>
      <c r="P174" s="183">
        <v>0</v>
      </c>
      <c r="Q174" s="183">
        <v>0</v>
      </c>
      <c r="R174" s="183">
        <v>0</v>
      </c>
      <c r="S174" s="184">
        <f t="shared" si="35"/>
        <v>9.0949470177292925E-13</v>
      </c>
      <c r="U174" s="65">
        <f t="shared" si="34"/>
        <v>9.0949470177292925E-13</v>
      </c>
      <c r="V174" s="103"/>
      <c r="W174" s="103"/>
      <c r="X174" s="599"/>
      <c r="Y174" s="103"/>
      <c r="Z174" s="103"/>
      <c r="AA174" s="65"/>
      <c r="AB174" s="103"/>
      <c r="AD174" s="42">
        <f t="shared" si="36"/>
        <v>9.0949470177292925E-13</v>
      </c>
      <c r="AF174" s="6"/>
    </row>
    <row r="175" spans="1:32">
      <c r="A175" s="2">
        <f t="shared" si="37"/>
        <v>158</v>
      </c>
      <c r="B175" s="688" t="s">
        <v>2707</v>
      </c>
      <c r="C175" s="688" t="s">
        <v>2656</v>
      </c>
      <c r="D175" s="688" t="s">
        <v>2657</v>
      </c>
      <c r="E175" s="182" t="s">
        <v>2680</v>
      </c>
      <c r="F175" s="183">
        <v>1.81898940354586E-11</v>
      </c>
      <c r="G175" s="183">
        <v>0</v>
      </c>
      <c r="H175" s="183">
        <v>0</v>
      </c>
      <c r="I175" s="183">
        <v>0</v>
      </c>
      <c r="J175" s="183">
        <v>0</v>
      </c>
      <c r="K175" s="183">
        <v>0</v>
      </c>
      <c r="L175" s="183">
        <v>0</v>
      </c>
      <c r="M175" s="183">
        <v>0</v>
      </c>
      <c r="N175" s="183">
        <v>0</v>
      </c>
      <c r="O175" s="183">
        <v>0</v>
      </c>
      <c r="P175" s="183">
        <v>0</v>
      </c>
      <c r="Q175" s="183">
        <v>0</v>
      </c>
      <c r="R175" s="183">
        <v>0</v>
      </c>
      <c r="S175" s="184">
        <f t="shared" si="35"/>
        <v>7.5791225147744165E-13</v>
      </c>
      <c r="U175" s="65">
        <f t="shared" si="34"/>
        <v>7.5791225147744165E-13</v>
      </c>
      <c r="V175" s="103"/>
      <c r="W175" s="103"/>
      <c r="X175" s="599"/>
      <c r="Y175" s="103"/>
      <c r="Z175" s="103"/>
      <c r="AA175" s="65"/>
      <c r="AB175" s="103"/>
      <c r="AD175" s="42">
        <f t="shared" si="36"/>
        <v>7.5791225147744165E-13</v>
      </c>
      <c r="AF175" s="6"/>
    </row>
    <row r="176" spans="1:32">
      <c r="A176" s="2">
        <f t="shared" si="37"/>
        <v>159</v>
      </c>
      <c r="B176" s="688" t="s">
        <v>2708</v>
      </c>
      <c r="C176" s="688" t="s">
        <v>2656</v>
      </c>
      <c r="D176" s="688" t="s">
        <v>2657</v>
      </c>
      <c r="E176" s="182" t="s">
        <v>2682</v>
      </c>
      <c r="F176" s="183">
        <v>0</v>
      </c>
      <c r="G176" s="183">
        <v>0</v>
      </c>
      <c r="H176" s="183">
        <v>0</v>
      </c>
      <c r="I176" s="183">
        <v>0</v>
      </c>
      <c r="J176" s="183">
        <v>0</v>
      </c>
      <c r="K176" s="183">
        <v>0</v>
      </c>
      <c r="L176" s="183">
        <v>0</v>
      </c>
      <c r="M176" s="183">
        <v>0</v>
      </c>
      <c r="N176" s="183">
        <v>0</v>
      </c>
      <c r="O176" s="183">
        <v>0</v>
      </c>
      <c r="P176" s="183">
        <v>0</v>
      </c>
      <c r="Q176" s="183">
        <v>0</v>
      </c>
      <c r="R176" s="183">
        <v>0</v>
      </c>
      <c r="S176" s="184">
        <f t="shared" si="35"/>
        <v>0</v>
      </c>
      <c r="U176" s="65">
        <f t="shared" si="34"/>
        <v>0</v>
      </c>
      <c r="V176" s="103"/>
      <c r="W176" s="103"/>
      <c r="X176" s="599"/>
      <c r="Y176" s="103"/>
      <c r="Z176" s="103"/>
      <c r="AA176" s="65"/>
      <c r="AB176" s="103"/>
      <c r="AD176" s="42">
        <f t="shared" si="36"/>
        <v>0</v>
      </c>
      <c r="AF176" s="6"/>
    </row>
    <row r="177" spans="1:32">
      <c r="A177" s="2">
        <f t="shared" si="37"/>
        <v>160</v>
      </c>
      <c r="B177" s="688" t="s">
        <v>2330</v>
      </c>
      <c r="C177" s="688" t="s">
        <v>2656</v>
      </c>
      <c r="D177" s="688" t="s">
        <v>2709</v>
      </c>
      <c r="E177" s="182" t="s">
        <v>2710</v>
      </c>
      <c r="F177" s="183">
        <v>400038.55</v>
      </c>
      <c r="G177" s="183">
        <v>309229.84000000003</v>
      </c>
      <c r="H177" s="183">
        <v>309229.84000000003</v>
      </c>
      <c r="I177" s="183">
        <v>464732.67</v>
      </c>
      <c r="J177" s="183">
        <v>396415.34</v>
      </c>
      <c r="K177" s="183">
        <v>397579.16</v>
      </c>
      <c r="L177" s="183">
        <v>400630.8</v>
      </c>
      <c r="M177" s="183">
        <v>307233.98</v>
      </c>
      <c r="N177" s="183">
        <v>307233.98</v>
      </c>
      <c r="O177" s="183">
        <v>307233.98</v>
      </c>
      <c r="P177" s="183">
        <v>460190.62</v>
      </c>
      <c r="Q177" s="183">
        <v>472736.18</v>
      </c>
      <c r="R177" s="183">
        <v>472736.18</v>
      </c>
      <c r="S177" s="184">
        <f t="shared" si="35"/>
        <v>380736.14624999999</v>
      </c>
      <c r="U177" s="65">
        <f t="shared" si="34"/>
        <v>380736.14624999999</v>
      </c>
      <c r="V177" s="103"/>
      <c r="W177" s="103"/>
      <c r="X177" s="599"/>
      <c r="Y177" s="103"/>
      <c r="Z177" s="103"/>
      <c r="AA177" s="65"/>
      <c r="AB177" s="103"/>
      <c r="AD177" s="42">
        <f t="shared" si="36"/>
        <v>380736.14624999999</v>
      </c>
      <c r="AF177" s="6"/>
    </row>
    <row r="178" spans="1:32">
      <c r="A178" s="2">
        <f t="shared" si="37"/>
        <v>161</v>
      </c>
      <c r="B178" s="688" t="s">
        <v>2324</v>
      </c>
      <c r="C178" s="688" t="s">
        <v>2656</v>
      </c>
      <c r="D178" s="688" t="s">
        <v>2711</v>
      </c>
      <c r="E178" s="182" t="s">
        <v>2712</v>
      </c>
      <c r="F178" s="183">
        <v>0</v>
      </c>
      <c r="G178" s="183">
        <v>0</v>
      </c>
      <c r="H178" s="183">
        <v>0</v>
      </c>
      <c r="I178" s="183">
        <v>0</v>
      </c>
      <c r="J178" s="183">
        <v>0</v>
      </c>
      <c r="K178" s="183">
        <v>0</v>
      </c>
      <c r="L178" s="183">
        <v>0</v>
      </c>
      <c r="M178" s="183">
        <v>0</v>
      </c>
      <c r="N178" s="183">
        <v>0</v>
      </c>
      <c r="O178" s="183">
        <v>0</v>
      </c>
      <c r="P178" s="183">
        <v>0</v>
      </c>
      <c r="Q178" s="183">
        <v>0</v>
      </c>
      <c r="R178" s="183">
        <v>0</v>
      </c>
      <c r="S178" s="184">
        <f t="shared" si="35"/>
        <v>0</v>
      </c>
      <c r="U178" s="65">
        <f t="shared" si="34"/>
        <v>0</v>
      </c>
      <c r="V178" s="103"/>
      <c r="W178" s="103"/>
      <c r="X178" s="599"/>
      <c r="Y178" s="103"/>
      <c r="Z178" s="103"/>
      <c r="AA178" s="65"/>
      <c r="AB178" s="103"/>
      <c r="AD178" s="42">
        <f t="shared" si="36"/>
        <v>0</v>
      </c>
      <c r="AF178" s="6"/>
    </row>
    <row r="179" spans="1:32">
      <c r="A179" s="2">
        <f t="shared" si="37"/>
        <v>162</v>
      </c>
      <c r="B179" s="688" t="s">
        <v>2324</v>
      </c>
      <c r="C179" s="688" t="s">
        <v>2713</v>
      </c>
      <c r="D179" s="688" t="s">
        <v>2303</v>
      </c>
      <c r="E179" s="182" t="s">
        <v>2714</v>
      </c>
      <c r="F179" s="183">
        <v>0</v>
      </c>
      <c r="G179" s="183">
        <v>0</v>
      </c>
      <c r="H179" s="183">
        <v>0</v>
      </c>
      <c r="I179" s="183">
        <v>9845500</v>
      </c>
      <c r="J179" s="183">
        <v>9845500</v>
      </c>
      <c r="K179" s="183">
        <v>9845500</v>
      </c>
      <c r="L179" s="183">
        <v>17158700</v>
      </c>
      <c r="M179" s="183">
        <v>17158700</v>
      </c>
      <c r="N179" s="183">
        <v>38185778.600000001</v>
      </c>
      <c r="O179" s="183">
        <v>38185778.600000001</v>
      </c>
      <c r="P179" s="183">
        <v>38185778.600000001</v>
      </c>
      <c r="Q179" s="183">
        <v>20753825</v>
      </c>
      <c r="R179" s="183">
        <v>42153575</v>
      </c>
      <c r="S179" s="184">
        <f t="shared" si="35"/>
        <v>18353487.358333331</v>
      </c>
      <c r="U179" s="65">
        <f t="shared" si="34"/>
        <v>18353487.358333331</v>
      </c>
      <c r="V179" s="103"/>
      <c r="W179" s="103"/>
      <c r="X179" s="599"/>
      <c r="Y179" s="103"/>
      <c r="Z179" s="103"/>
      <c r="AA179" s="65"/>
      <c r="AB179" s="103"/>
      <c r="AD179" s="42">
        <f t="shared" si="36"/>
        <v>18353487.358333331</v>
      </c>
      <c r="AF179" s="6"/>
    </row>
    <row r="180" spans="1:32">
      <c r="A180" s="2">
        <f t="shared" si="37"/>
        <v>163</v>
      </c>
      <c r="B180" s="688" t="s">
        <v>2342</v>
      </c>
      <c r="C180" s="688" t="s">
        <v>2713</v>
      </c>
      <c r="D180" s="688" t="s">
        <v>2304</v>
      </c>
      <c r="E180" s="182" t="s">
        <v>2715</v>
      </c>
      <c r="F180" s="183">
        <v>0</v>
      </c>
      <c r="G180" s="183">
        <v>0</v>
      </c>
      <c r="H180" s="183">
        <v>0</v>
      </c>
      <c r="I180" s="183">
        <v>0</v>
      </c>
      <c r="J180" s="183">
        <v>558897.5</v>
      </c>
      <c r="K180" s="183">
        <v>558897.5</v>
      </c>
      <c r="L180" s="183">
        <v>930055.7</v>
      </c>
      <c r="M180" s="183">
        <v>1120851.2</v>
      </c>
      <c r="N180" s="183">
        <v>1344381.5</v>
      </c>
      <c r="O180" s="183">
        <v>1344381.5</v>
      </c>
      <c r="P180" s="183">
        <v>1830829.7</v>
      </c>
      <c r="Q180" s="183">
        <v>1830829.7</v>
      </c>
      <c r="R180" s="183">
        <v>1830829.7</v>
      </c>
      <c r="S180" s="184">
        <f t="shared" si="35"/>
        <v>869544.9291666667</v>
      </c>
      <c r="U180" s="65">
        <f t="shared" si="34"/>
        <v>869544.9291666667</v>
      </c>
      <c r="V180" s="103"/>
      <c r="W180" s="103"/>
      <c r="X180" s="599"/>
      <c r="Y180" s="103"/>
      <c r="Z180" s="103"/>
      <c r="AA180" s="65"/>
      <c r="AB180" s="103"/>
      <c r="AD180" s="42">
        <f t="shared" si="36"/>
        <v>869544.9291666667</v>
      </c>
      <c r="AF180" s="6"/>
    </row>
    <row r="181" spans="1:32">
      <c r="A181" s="2">
        <f t="shared" si="37"/>
        <v>164</v>
      </c>
      <c r="B181" s="688" t="s">
        <v>2324</v>
      </c>
      <c r="C181" s="688" t="s">
        <v>2713</v>
      </c>
      <c r="D181" s="688" t="s">
        <v>2305</v>
      </c>
      <c r="E181" s="182" t="s">
        <v>2716</v>
      </c>
      <c r="F181" s="183"/>
      <c r="G181" s="183"/>
      <c r="H181" s="183"/>
      <c r="I181" s="183"/>
      <c r="J181" s="183"/>
      <c r="K181" s="183"/>
      <c r="L181" s="183"/>
      <c r="M181" s="183"/>
      <c r="N181" s="183"/>
      <c r="O181" s="183"/>
      <c r="P181" s="183"/>
      <c r="Q181" s="183">
        <v>29922000</v>
      </c>
      <c r="R181" s="183">
        <v>28686780</v>
      </c>
      <c r="S181" s="184">
        <f t="shared" si="35"/>
        <v>3688782.5</v>
      </c>
      <c r="U181" s="65">
        <f>+S181</f>
        <v>3688782.5</v>
      </c>
      <c r="V181" s="103"/>
      <c r="W181" s="103"/>
      <c r="X181" s="599"/>
      <c r="Y181" s="103"/>
      <c r="Z181" s="103"/>
      <c r="AA181" s="65"/>
      <c r="AB181" s="103"/>
      <c r="AD181" s="42">
        <f>+S181</f>
        <v>3688782.5</v>
      </c>
      <c r="AF181" s="6"/>
    </row>
    <row r="182" spans="1:32">
      <c r="A182" s="2">
        <f t="shared" si="37"/>
        <v>165</v>
      </c>
      <c r="B182" s="688" t="s">
        <v>2324</v>
      </c>
      <c r="C182" s="688" t="s">
        <v>2713</v>
      </c>
      <c r="D182" s="688" t="s">
        <v>2302</v>
      </c>
      <c r="E182" s="182" t="s">
        <v>2717</v>
      </c>
      <c r="F182" s="183">
        <v>0</v>
      </c>
      <c r="G182" s="183">
        <v>0</v>
      </c>
      <c r="H182" s="183">
        <v>0</v>
      </c>
      <c r="I182" s="183">
        <v>0</v>
      </c>
      <c r="J182" s="183">
        <v>0</v>
      </c>
      <c r="K182" s="183">
        <v>-21941712.309999999</v>
      </c>
      <c r="L182" s="183">
        <v>-19680578.109999999</v>
      </c>
      <c r="M182" s="183">
        <v>-19680578.109999999</v>
      </c>
      <c r="N182" s="183">
        <v>-31780592.690000001</v>
      </c>
      <c r="O182" s="183">
        <v>-36604769.82</v>
      </c>
      <c r="P182" s="183">
        <v>-44062479.880000003</v>
      </c>
      <c r="Q182" s="183">
        <v>-37880079.619999997</v>
      </c>
      <c r="R182" s="183">
        <v>-38118806.490000002</v>
      </c>
      <c r="S182" s="184">
        <f t="shared" si="35"/>
        <v>-19224182.815416668</v>
      </c>
      <c r="U182" s="65">
        <f t="shared" si="34"/>
        <v>-19224182.815416668</v>
      </c>
      <c r="V182" s="103"/>
      <c r="W182" s="103"/>
      <c r="X182" s="599"/>
      <c r="Y182" s="103"/>
      <c r="Z182" s="103"/>
      <c r="AA182" s="65"/>
      <c r="AB182" s="103"/>
      <c r="AD182" s="42">
        <f t="shared" si="36"/>
        <v>-19224182.815416668</v>
      </c>
      <c r="AF182" s="6"/>
    </row>
    <row r="183" spans="1:32">
      <c r="A183" s="2">
        <f t="shared" si="37"/>
        <v>166</v>
      </c>
      <c r="B183" s="688" t="s">
        <v>2342</v>
      </c>
      <c r="C183" s="688" t="s">
        <v>2713</v>
      </c>
      <c r="D183" s="688" t="s">
        <v>2718</v>
      </c>
      <c r="E183" s="182" t="s">
        <v>2719</v>
      </c>
      <c r="F183" s="183">
        <v>0</v>
      </c>
      <c r="G183" s="183">
        <v>0</v>
      </c>
      <c r="H183" s="183">
        <v>0</v>
      </c>
      <c r="I183" s="183">
        <v>0</v>
      </c>
      <c r="J183" s="183">
        <v>0</v>
      </c>
      <c r="K183" s="183">
        <v>-558897.5</v>
      </c>
      <c r="L183" s="183">
        <v>-930055.7</v>
      </c>
      <c r="M183" s="183">
        <v>-1120851.2</v>
      </c>
      <c r="N183" s="183">
        <v>-1344381.5</v>
      </c>
      <c r="O183" s="183">
        <v>0</v>
      </c>
      <c r="P183" s="183">
        <v>0</v>
      </c>
      <c r="Q183" s="183">
        <v>-18599108.420000002</v>
      </c>
      <c r="R183" s="183"/>
      <c r="S183" s="184">
        <f t="shared" si="35"/>
        <v>-1879441.1933333334</v>
      </c>
      <c r="U183" s="65">
        <f t="shared" si="34"/>
        <v>-1879441.1933333334</v>
      </c>
      <c r="V183" s="103"/>
      <c r="W183" s="103"/>
      <c r="X183" s="599"/>
      <c r="Y183" s="103"/>
      <c r="Z183" s="103"/>
      <c r="AA183" s="65"/>
      <c r="AB183" s="103"/>
      <c r="AD183" s="42">
        <f t="shared" si="36"/>
        <v>-1879441.1933333334</v>
      </c>
      <c r="AF183" s="6"/>
    </row>
    <row r="184" spans="1:32">
      <c r="A184" s="2">
        <f t="shared" si="37"/>
        <v>167</v>
      </c>
      <c r="B184" s="688" t="s">
        <v>2324</v>
      </c>
      <c r="C184" s="688" t="s">
        <v>2713</v>
      </c>
      <c r="D184" s="688" t="s">
        <v>2720</v>
      </c>
      <c r="E184" s="182" t="s">
        <v>2721</v>
      </c>
      <c r="F184" s="183"/>
      <c r="G184" s="183"/>
      <c r="H184" s="183"/>
      <c r="I184" s="183"/>
      <c r="J184" s="183"/>
      <c r="K184" s="183"/>
      <c r="L184" s="183"/>
      <c r="M184" s="183"/>
      <c r="N184" s="183"/>
      <c r="O184" s="183"/>
      <c r="P184" s="183"/>
      <c r="Q184" s="183">
        <v>-29922000</v>
      </c>
      <c r="R184" s="183">
        <v>-28686780</v>
      </c>
      <c r="S184" s="184">
        <f t="shared" si="35"/>
        <v>-3688782.5</v>
      </c>
      <c r="U184" s="65">
        <f>+S184</f>
        <v>-3688782.5</v>
      </c>
      <c r="V184" s="103"/>
      <c r="W184" s="103"/>
      <c r="X184" s="599"/>
      <c r="Y184" s="103"/>
      <c r="Z184" s="103"/>
      <c r="AA184" s="65"/>
      <c r="AB184" s="103"/>
      <c r="AD184" s="42">
        <f>+S184</f>
        <v>-3688782.5</v>
      </c>
      <c r="AF184" s="6"/>
    </row>
    <row r="185" spans="1:32">
      <c r="A185" s="2">
        <f t="shared" si="37"/>
        <v>168</v>
      </c>
      <c r="B185" s="688" t="s">
        <v>2330</v>
      </c>
      <c r="C185" s="688" t="s">
        <v>2722</v>
      </c>
      <c r="D185" s="688" t="s">
        <v>2723</v>
      </c>
      <c r="E185" s="182" t="s">
        <v>2724</v>
      </c>
      <c r="F185" s="183">
        <v>0</v>
      </c>
      <c r="G185" s="183">
        <v>-7936.53</v>
      </c>
      <c r="H185" s="183">
        <v>-7888.41</v>
      </c>
      <c r="I185" s="183">
        <v>-1822.31</v>
      </c>
      <c r="J185" s="183">
        <v>7198.71</v>
      </c>
      <c r="K185" s="183">
        <v>17303.09</v>
      </c>
      <c r="L185" s="183">
        <v>25830.63</v>
      </c>
      <c r="M185" s="183">
        <v>28157.86</v>
      </c>
      <c r="N185" s="183">
        <v>28598.12</v>
      </c>
      <c r="O185" s="183">
        <v>28627.85</v>
      </c>
      <c r="P185" s="183">
        <v>109328.86</v>
      </c>
      <c r="Q185" s="183">
        <v>126600.33</v>
      </c>
      <c r="R185" s="183">
        <v>-1.45519152283669E-11</v>
      </c>
      <c r="S185" s="184">
        <f t="shared" si="35"/>
        <v>29499.850000000002</v>
      </c>
      <c r="U185" s="65">
        <f>+S185</f>
        <v>29499.850000000002</v>
      </c>
      <c r="V185" s="103"/>
      <c r="W185" s="103"/>
      <c r="X185" s="599"/>
      <c r="Y185" s="103"/>
      <c r="Z185" s="103"/>
      <c r="AA185" s="65"/>
      <c r="AB185" s="103"/>
      <c r="AD185" s="42">
        <f t="shared" si="36"/>
        <v>29499.850000000002</v>
      </c>
      <c r="AF185" s="6"/>
    </row>
    <row r="186" spans="1:32">
      <c r="A186" s="2">
        <f t="shared" si="37"/>
        <v>169</v>
      </c>
      <c r="B186" s="688" t="s">
        <v>2330</v>
      </c>
      <c r="C186" s="688" t="s">
        <v>2722</v>
      </c>
      <c r="D186" s="688" t="s">
        <v>2725</v>
      </c>
      <c r="E186" s="182" t="s">
        <v>2726</v>
      </c>
      <c r="F186" s="183">
        <v>0</v>
      </c>
      <c r="G186" s="183">
        <v>103479.94</v>
      </c>
      <c r="H186" s="183">
        <v>211320.97</v>
      </c>
      <c r="I186" s="183">
        <v>307878.21000000002</v>
      </c>
      <c r="J186" s="183">
        <v>549827.49</v>
      </c>
      <c r="K186" s="183">
        <v>689570.6</v>
      </c>
      <c r="L186" s="183">
        <v>778956.59</v>
      </c>
      <c r="M186" s="183">
        <v>898306.85</v>
      </c>
      <c r="N186" s="183">
        <v>1019673.8</v>
      </c>
      <c r="O186" s="183">
        <v>1221578.78</v>
      </c>
      <c r="P186" s="183">
        <v>1337860.1499999999</v>
      </c>
      <c r="Q186" s="183">
        <v>1382474.75</v>
      </c>
      <c r="R186" s="183">
        <v>0</v>
      </c>
      <c r="S186" s="184">
        <f t="shared" ref="S186:S191" si="38">((F186+R186)+((G186+H186+I186+J186+K186+L186+M186+N186+O186+P186+Q186)*2))/24</f>
        <v>708410.67750000011</v>
      </c>
      <c r="U186" s="65">
        <f t="shared" si="34"/>
        <v>708410.67750000011</v>
      </c>
      <c r="V186" s="103"/>
      <c r="W186" s="103"/>
      <c r="X186" s="599"/>
      <c r="Y186" s="103"/>
      <c r="Z186" s="103"/>
      <c r="AA186" s="65"/>
      <c r="AB186" s="103"/>
      <c r="AD186" s="42">
        <f t="shared" si="36"/>
        <v>708410.67750000011</v>
      </c>
      <c r="AF186" s="6"/>
    </row>
    <row r="187" spans="1:32">
      <c r="A187" s="2">
        <f t="shared" si="37"/>
        <v>170</v>
      </c>
      <c r="B187" s="688" t="s">
        <v>2330</v>
      </c>
      <c r="C187" s="688" t="s">
        <v>2722</v>
      </c>
      <c r="D187" s="688" t="s">
        <v>2727</v>
      </c>
      <c r="E187" s="182" t="s">
        <v>2728</v>
      </c>
      <c r="F187" s="183">
        <v>0</v>
      </c>
      <c r="G187" s="183">
        <v>-9891.91</v>
      </c>
      <c r="H187" s="183">
        <v>-9891.9</v>
      </c>
      <c r="I187" s="183">
        <v>-9891.9</v>
      </c>
      <c r="J187" s="183">
        <v>-10333.19</v>
      </c>
      <c r="K187" s="183">
        <v>-9870.2199999999993</v>
      </c>
      <c r="L187" s="183">
        <v>-12584.65</v>
      </c>
      <c r="M187" s="183">
        <v>-15928.07</v>
      </c>
      <c r="N187" s="183">
        <v>-14970.24</v>
      </c>
      <c r="O187" s="183">
        <v>-19687.63</v>
      </c>
      <c r="P187" s="183">
        <v>-19679.330000000002</v>
      </c>
      <c r="Q187" s="183">
        <v>-217752.74</v>
      </c>
      <c r="R187" s="183">
        <v>0</v>
      </c>
      <c r="S187" s="184">
        <f t="shared" si="38"/>
        <v>-29206.815000000002</v>
      </c>
      <c r="U187" s="65">
        <f t="shared" si="34"/>
        <v>-29206.815000000002</v>
      </c>
      <c r="V187" s="103"/>
      <c r="W187" s="103"/>
      <c r="X187" s="599"/>
      <c r="Y187" s="103"/>
      <c r="Z187" s="103"/>
      <c r="AA187" s="65"/>
      <c r="AB187" s="103"/>
      <c r="AD187" s="42">
        <f t="shared" si="36"/>
        <v>-29206.815000000002</v>
      </c>
      <c r="AF187" s="6"/>
    </row>
    <row r="188" spans="1:32">
      <c r="A188" s="2">
        <f t="shared" si="37"/>
        <v>171</v>
      </c>
      <c r="B188" s="688" t="s">
        <v>2330</v>
      </c>
      <c r="C188" s="688" t="s">
        <v>2722</v>
      </c>
      <c r="D188" s="688" t="s">
        <v>2729</v>
      </c>
      <c r="E188" s="182" t="s">
        <v>2730</v>
      </c>
      <c r="F188" s="183">
        <v>0</v>
      </c>
      <c r="G188" s="183">
        <v>-82318.36</v>
      </c>
      <c r="H188" s="183">
        <v>-115315.33</v>
      </c>
      <c r="I188" s="183">
        <v>-228793.76</v>
      </c>
      <c r="J188" s="183">
        <v>-344981.66</v>
      </c>
      <c r="K188" s="183">
        <v>-412453.8</v>
      </c>
      <c r="L188" s="183">
        <v>-589865.39</v>
      </c>
      <c r="M188" s="183">
        <v>-626075.55000000005</v>
      </c>
      <c r="N188" s="183">
        <v>-698226.2</v>
      </c>
      <c r="O188" s="183">
        <v>-994973.35</v>
      </c>
      <c r="P188" s="183">
        <v>-795335.62</v>
      </c>
      <c r="Q188" s="183">
        <v>-905626.02</v>
      </c>
      <c r="R188" s="183">
        <v>-1.16415321826935E-10</v>
      </c>
      <c r="S188" s="184">
        <f t="shared" si="38"/>
        <v>-482830.41999999993</v>
      </c>
      <c r="U188" s="65">
        <f t="shared" si="34"/>
        <v>-482830.41999999993</v>
      </c>
      <c r="V188" s="103"/>
      <c r="W188" s="103"/>
      <c r="X188" s="599"/>
      <c r="Y188" s="103"/>
      <c r="Z188" s="103"/>
      <c r="AA188" s="65"/>
      <c r="AB188" s="103"/>
      <c r="AD188" s="42">
        <f t="shared" si="36"/>
        <v>-482830.41999999993</v>
      </c>
      <c r="AF188" s="6"/>
    </row>
    <row r="189" spans="1:32">
      <c r="A189" s="2">
        <f t="shared" si="37"/>
        <v>172</v>
      </c>
      <c r="B189" s="688" t="s">
        <v>2330</v>
      </c>
      <c r="C189" s="688" t="s">
        <v>2731</v>
      </c>
      <c r="D189" s="688" t="s">
        <v>2539</v>
      </c>
      <c r="E189" s="182" t="s">
        <v>2732</v>
      </c>
      <c r="F189" s="183">
        <v>621958.56000000006</v>
      </c>
      <c r="G189" s="183">
        <v>1056770.2</v>
      </c>
      <c r="H189" s="183">
        <v>165197.51999999999</v>
      </c>
      <c r="I189" s="183">
        <v>71684.880000000107</v>
      </c>
      <c r="J189" s="183">
        <v>1.30967237055302E-10</v>
      </c>
      <c r="K189" s="183">
        <v>23509.500000000098</v>
      </c>
      <c r="L189" s="183">
        <v>17899.3300000001</v>
      </c>
      <c r="M189" s="183">
        <v>44651.010000000097</v>
      </c>
      <c r="N189" s="183">
        <v>1.30967237055302E-10</v>
      </c>
      <c r="O189" s="183">
        <v>452773.86</v>
      </c>
      <c r="P189" s="183">
        <v>470065.58</v>
      </c>
      <c r="Q189" s="183">
        <v>5.8207660913467401E-11</v>
      </c>
      <c r="R189" s="183">
        <v>316233.09999999998</v>
      </c>
      <c r="S189" s="184">
        <f t="shared" si="38"/>
        <v>230970.64250000007</v>
      </c>
      <c r="U189" s="65">
        <f t="shared" si="34"/>
        <v>230970.64250000007</v>
      </c>
      <c r="V189" s="103"/>
      <c r="W189" s="103"/>
      <c r="X189" s="599"/>
      <c r="Y189" s="103"/>
      <c r="Z189" s="103"/>
      <c r="AA189" s="65"/>
      <c r="AB189" s="103"/>
      <c r="AD189" s="42">
        <f t="shared" si="36"/>
        <v>230970.64250000007</v>
      </c>
      <c r="AF189" s="6"/>
    </row>
    <row r="190" spans="1:32">
      <c r="A190" s="2">
        <f t="shared" si="37"/>
        <v>173</v>
      </c>
      <c r="B190" s="688" t="s">
        <v>2330</v>
      </c>
      <c r="C190" s="688" t="s">
        <v>2731</v>
      </c>
      <c r="D190" s="688" t="s">
        <v>2541</v>
      </c>
      <c r="E190" s="182" t="s">
        <v>2733</v>
      </c>
      <c r="F190" s="183">
        <v>102649.93</v>
      </c>
      <c r="G190" s="183">
        <v>138028.32999999999</v>
      </c>
      <c r="H190" s="183">
        <v>190106.74</v>
      </c>
      <c r="I190" s="183">
        <v>256977.73</v>
      </c>
      <c r="J190" s="183">
        <v>58697.05</v>
      </c>
      <c r="K190" s="183">
        <v>59597.08</v>
      </c>
      <c r="L190" s="183">
        <v>110356.34</v>
      </c>
      <c r="M190" s="183">
        <v>148186.85999999999</v>
      </c>
      <c r="N190" s="183">
        <v>182597.37</v>
      </c>
      <c r="O190" s="183">
        <v>225329.27</v>
      </c>
      <c r="P190" s="183">
        <v>278660.12</v>
      </c>
      <c r="Q190" s="183">
        <v>129620.38</v>
      </c>
      <c r="R190" s="183">
        <v>180912.38</v>
      </c>
      <c r="S190" s="184">
        <f t="shared" si="38"/>
        <v>159994.86874999999</v>
      </c>
      <c r="U190" s="65">
        <f t="shared" si="34"/>
        <v>159994.86874999999</v>
      </c>
      <c r="V190" s="103"/>
      <c r="W190" s="103"/>
      <c r="X190" s="599"/>
      <c r="Y190" s="103"/>
      <c r="Z190" s="103"/>
      <c r="AA190" s="65"/>
      <c r="AB190" s="103"/>
      <c r="AD190" s="42">
        <f t="shared" si="36"/>
        <v>159994.86874999999</v>
      </c>
      <c r="AF190" s="6"/>
    </row>
    <row r="191" spans="1:32">
      <c r="A191" s="2">
        <f t="shared" si="37"/>
        <v>174</v>
      </c>
      <c r="B191" s="688" t="s">
        <v>2330</v>
      </c>
      <c r="C191" s="688" t="s">
        <v>2734</v>
      </c>
      <c r="D191" s="688" t="s">
        <v>2537</v>
      </c>
      <c r="E191" s="182" t="s">
        <v>2735</v>
      </c>
      <c r="F191" s="183">
        <v>2780851.65</v>
      </c>
      <c r="G191" s="183">
        <v>2416481.5299999998</v>
      </c>
      <c r="H191" s="183">
        <v>2233845.12</v>
      </c>
      <c r="I191" s="183">
        <v>847796.51</v>
      </c>
      <c r="J191" s="183">
        <v>991736.84</v>
      </c>
      <c r="K191" s="183">
        <v>1280745.99</v>
      </c>
      <c r="L191" s="183">
        <v>1469297.51</v>
      </c>
      <c r="M191" s="183">
        <v>1431466.99</v>
      </c>
      <c r="N191" s="183">
        <v>2005638</v>
      </c>
      <c r="O191" s="183">
        <v>2102760.2599999998</v>
      </c>
      <c r="P191" s="183">
        <v>2390052.9</v>
      </c>
      <c r="Q191" s="183">
        <v>2681843.21</v>
      </c>
      <c r="R191" s="183">
        <v>2630551.21</v>
      </c>
      <c r="S191" s="184">
        <f t="shared" si="38"/>
        <v>1879780.5241666667</v>
      </c>
      <c r="U191" s="65">
        <f t="shared" si="34"/>
        <v>1879780.5241666667</v>
      </c>
      <c r="V191" s="103"/>
      <c r="W191" s="103"/>
      <c r="X191" s="599"/>
      <c r="Y191" s="103"/>
      <c r="Z191" s="103"/>
      <c r="AA191" s="65"/>
      <c r="AB191" s="103"/>
      <c r="AD191" s="42">
        <f t="shared" si="36"/>
        <v>1879780.5241666667</v>
      </c>
      <c r="AF191" s="6"/>
    </row>
    <row r="192" spans="1:32">
      <c r="A192" s="2">
        <f t="shared" si="37"/>
        <v>175</v>
      </c>
      <c r="E192" s="182" t="s">
        <v>2736</v>
      </c>
      <c r="F192" s="511">
        <f t="shared" ref="F192:S192" si="39">SUM(F142:F191)</f>
        <v>10281627.77</v>
      </c>
      <c r="G192" s="511">
        <f t="shared" si="39"/>
        <v>10033313.299999999</v>
      </c>
      <c r="H192" s="511">
        <f t="shared" si="39"/>
        <v>9042453.0599999987</v>
      </c>
      <c r="I192" s="511">
        <f t="shared" si="39"/>
        <v>17900704.190000005</v>
      </c>
      <c r="J192" s="511">
        <f t="shared" si="39"/>
        <v>18393836.989999998</v>
      </c>
      <c r="K192" s="511">
        <f t="shared" si="39"/>
        <v>-3817153.9499999974</v>
      </c>
      <c r="L192" s="511">
        <f t="shared" si="39"/>
        <v>5995039.830000001</v>
      </c>
      <c r="M192" s="511">
        <f t="shared" si="39"/>
        <v>6087644.6600000001</v>
      </c>
      <c r="N192" s="511">
        <f t="shared" si="39"/>
        <v>15685592.839999998</v>
      </c>
      <c r="O192" s="511">
        <f t="shared" si="39"/>
        <v>12800886.829999996</v>
      </c>
      <c r="P192" s="511">
        <f t="shared" si="39"/>
        <v>7203665.8500000052</v>
      </c>
      <c r="Q192" s="511">
        <f t="shared" si="39"/>
        <v>-23031669.979999993</v>
      </c>
      <c r="R192" s="511">
        <f t="shared" si="39"/>
        <v>16894499.059999999</v>
      </c>
      <c r="S192" s="512">
        <f t="shared" si="39"/>
        <v>7490198.0862499978</v>
      </c>
      <c r="U192" s="65"/>
      <c r="V192" s="103"/>
      <c r="W192" s="103"/>
      <c r="X192" s="599"/>
      <c r="Y192" s="103"/>
      <c r="Z192" s="103"/>
      <c r="AA192" s="65"/>
      <c r="AB192" s="103"/>
      <c r="AF192" s="6"/>
    </row>
    <row r="193" spans="1:32">
      <c r="A193" s="2">
        <f t="shared" si="37"/>
        <v>176</v>
      </c>
      <c r="E193" s="697"/>
      <c r="F193" s="183"/>
      <c r="G193" s="187"/>
      <c r="H193" s="188"/>
      <c r="I193" s="188"/>
      <c r="J193" s="189"/>
      <c r="K193" s="190"/>
      <c r="L193" s="191"/>
      <c r="M193" s="192"/>
      <c r="N193" s="193"/>
      <c r="O193" s="689"/>
      <c r="P193" s="194"/>
      <c r="Q193" s="195"/>
      <c r="R193" s="183"/>
      <c r="S193" s="47"/>
      <c r="U193" s="65"/>
      <c r="V193" s="103"/>
      <c r="W193" s="103"/>
      <c r="X193" s="599"/>
      <c r="Y193" s="103"/>
      <c r="Z193" s="103"/>
      <c r="AA193" s="65"/>
      <c r="AB193" s="103"/>
      <c r="AF193" s="6"/>
    </row>
    <row r="194" spans="1:32">
      <c r="A194" s="2">
        <f t="shared" si="37"/>
        <v>177</v>
      </c>
      <c r="B194" s="688" t="s">
        <v>2330</v>
      </c>
      <c r="C194" s="688" t="s">
        <v>2737</v>
      </c>
      <c r="D194" s="688" t="s">
        <v>2312</v>
      </c>
      <c r="E194" s="182" t="s">
        <v>2738</v>
      </c>
      <c r="F194" s="183">
        <v>203418.27</v>
      </c>
      <c r="G194" s="183">
        <v>1637307.38</v>
      </c>
      <c r="H194" s="183">
        <v>1549095.41</v>
      </c>
      <c r="I194" s="183">
        <v>1442868.78</v>
      </c>
      <c r="J194" s="183">
        <v>1281786.23</v>
      </c>
      <c r="K194" s="183">
        <v>1126617.5900000001</v>
      </c>
      <c r="L194" s="183">
        <v>959860.26</v>
      </c>
      <c r="M194" s="183">
        <v>793102.91</v>
      </c>
      <c r="N194" s="183">
        <v>630740.93000000005</v>
      </c>
      <c r="O194" s="183">
        <v>666978.01</v>
      </c>
      <c r="P194" s="183">
        <v>314333.82</v>
      </c>
      <c r="Q194" s="183">
        <v>434522.63</v>
      </c>
      <c r="R194" s="183">
        <v>257404.91</v>
      </c>
      <c r="S194" s="184">
        <f t="shared" ref="S194:S210" si="40">((F194+R194)+((G194+H194+I194+J194+K194+L194+M194+N194+O194+P194+Q194)*2))/24</f>
        <v>922302.12833333341</v>
      </c>
      <c r="U194" s="65">
        <f t="shared" ref="U194:U208" si="41">+S194</f>
        <v>922302.12833333341</v>
      </c>
      <c r="V194" s="103"/>
      <c r="W194" s="103"/>
      <c r="X194" s="599"/>
      <c r="Y194" s="103"/>
      <c r="Z194" s="103"/>
      <c r="AA194" s="65"/>
      <c r="AB194" s="103"/>
      <c r="AD194" s="42">
        <f t="shared" ref="AD194:AD210" si="42">+S194</f>
        <v>922302.12833333341</v>
      </c>
      <c r="AF194" s="6"/>
    </row>
    <row r="195" spans="1:32">
      <c r="A195" s="2">
        <f t="shared" si="37"/>
        <v>178</v>
      </c>
      <c r="B195" s="688" t="s">
        <v>2330</v>
      </c>
      <c r="C195" s="688" t="s">
        <v>2739</v>
      </c>
      <c r="D195" s="688" t="s">
        <v>2541</v>
      </c>
      <c r="E195" s="197" t="s">
        <v>2740</v>
      </c>
      <c r="F195" s="183">
        <v>0</v>
      </c>
      <c r="G195" s="183">
        <v>0</v>
      </c>
      <c r="H195" s="183">
        <v>0</v>
      </c>
      <c r="I195" s="183">
        <v>0</v>
      </c>
      <c r="J195" s="183">
        <v>0</v>
      </c>
      <c r="K195" s="183">
        <v>0</v>
      </c>
      <c r="L195" s="183">
        <v>0</v>
      </c>
      <c r="M195" s="183">
        <v>0</v>
      </c>
      <c r="N195" s="183">
        <v>0</v>
      </c>
      <c r="O195" s="183">
        <v>0</v>
      </c>
      <c r="P195" s="183">
        <v>0</v>
      </c>
      <c r="Q195" s="183">
        <v>0</v>
      </c>
      <c r="R195" s="183">
        <v>0</v>
      </c>
      <c r="S195" s="184">
        <f t="shared" si="40"/>
        <v>0</v>
      </c>
      <c r="U195" s="65">
        <f t="shared" si="41"/>
        <v>0</v>
      </c>
      <c r="V195" s="103"/>
      <c r="W195" s="103"/>
      <c r="X195" s="599"/>
      <c r="Y195" s="103"/>
      <c r="Z195" s="103"/>
      <c r="AA195" s="65"/>
      <c r="AB195" s="103"/>
      <c r="AD195" s="42">
        <f t="shared" si="42"/>
        <v>0</v>
      </c>
      <c r="AF195" s="6"/>
    </row>
    <row r="196" spans="1:32">
      <c r="A196" s="2">
        <f t="shared" si="37"/>
        <v>179</v>
      </c>
      <c r="B196" s="688" t="s">
        <v>2330</v>
      </c>
      <c r="C196" s="688" t="s">
        <v>2739</v>
      </c>
      <c r="D196" s="688" t="s">
        <v>2741</v>
      </c>
      <c r="E196" s="197" t="s">
        <v>2742</v>
      </c>
      <c r="F196" s="183">
        <v>592114.07999999996</v>
      </c>
      <c r="G196" s="183">
        <v>241135.77</v>
      </c>
      <c r="H196" s="183">
        <v>247152.87</v>
      </c>
      <c r="I196" s="183">
        <v>245011.24</v>
      </c>
      <c r="J196" s="183">
        <v>238994.14</v>
      </c>
      <c r="K196" s="183">
        <v>238994.14</v>
      </c>
      <c r="L196" s="183">
        <v>238994.14</v>
      </c>
      <c r="M196" s="183">
        <v>225522.21</v>
      </c>
      <c r="N196" s="183">
        <v>225522.21</v>
      </c>
      <c r="O196" s="183">
        <v>225522.21</v>
      </c>
      <c r="P196" s="183">
        <v>225522.21</v>
      </c>
      <c r="Q196" s="183">
        <v>265355.28999999998</v>
      </c>
      <c r="R196" s="183">
        <v>553534.19999999995</v>
      </c>
      <c r="S196" s="184">
        <f t="shared" si="40"/>
        <v>265879.21416666667</v>
      </c>
      <c r="U196" s="65">
        <f t="shared" si="41"/>
        <v>265879.21416666667</v>
      </c>
      <c r="V196" s="103"/>
      <c r="W196" s="103"/>
      <c r="X196" s="599"/>
      <c r="Y196" s="103"/>
      <c r="Z196" s="103"/>
      <c r="AA196" s="65"/>
      <c r="AB196" s="103"/>
      <c r="AD196" s="42">
        <f t="shared" si="42"/>
        <v>265879.21416666667</v>
      </c>
      <c r="AF196" s="6"/>
    </row>
    <row r="197" spans="1:32">
      <c r="A197" s="2">
        <f t="shared" si="37"/>
        <v>180</v>
      </c>
      <c r="B197" s="688" t="s">
        <v>2330</v>
      </c>
      <c r="C197" s="688" t="s">
        <v>2739</v>
      </c>
      <c r="D197" s="688" t="s">
        <v>2743</v>
      </c>
      <c r="E197" s="197" t="s">
        <v>2744</v>
      </c>
      <c r="F197" s="183">
        <v>0</v>
      </c>
      <c r="G197" s="183">
        <v>0</v>
      </c>
      <c r="H197" s="183">
        <v>0</v>
      </c>
      <c r="I197" s="183">
        <v>0</v>
      </c>
      <c r="J197" s="183">
        <v>0</v>
      </c>
      <c r="K197" s="183">
        <v>0</v>
      </c>
      <c r="L197" s="183">
        <v>0</v>
      </c>
      <c r="M197" s="183">
        <v>0</v>
      </c>
      <c r="N197" s="183">
        <v>0</v>
      </c>
      <c r="O197" s="183">
        <v>0</v>
      </c>
      <c r="P197" s="183">
        <v>0</v>
      </c>
      <c r="Q197" s="183">
        <v>0</v>
      </c>
      <c r="R197" s="183">
        <v>0</v>
      </c>
      <c r="S197" s="184">
        <f t="shared" si="40"/>
        <v>0</v>
      </c>
      <c r="U197" s="65">
        <f t="shared" si="41"/>
        <v>0</v>
      </c>
      <c r="V197" s="103"/>
      <c r="W197" s="103"/>
      <c r="X197" s="599"/>
      <c r="Y197" s="103"/>
      <c r="Z197" s="103"/>
      <c r="AA197" s="65"/>
      <c r="AB197" s="103"/>
      <c r="AD197" s="42">
        <f t="shared" si="42"/>
        <v>0</v>
      </c>
      <c r="AF197" s="6"/>
    </row>
    <row r="198" spans="1:32">
      <c r="A198" s="2">
        <f t="shared" si="37"/>
        <v>181</v>
      </c>
      <c r="B198" s="688" t="s">
        <v>2330</v>
      </c>
      <c r="C198" s="688" t="s">
        <v>2739</v>
      </c>
      <c r="D198" s="688" t="s">
        <v>2745</v>
      </c>
      <c r="E198" s="197" t="s">
        <v>2746</v>
      </c>
      <c r="F198" s="183">
        <v>0</v>
      </c>
      <c r="G198" s="183">
        <v>0</v>
      </c>
      <c r="H198" s="183">
        <v>0</v>
      </c>
      <c r="I198" s="183">
        <v>0</v>
      </c>
      <c r="J198" s="183">
        <v>0</v>
      </c>
      <c r="K198" s="183">
        <v>0</v>
      </c>
      <c r="L198" s="183">
        <v>0</v>
      </c>
      <c r="M198" s="183">
        <v>0</v>
      </c>
      <c r="N198" s="183">
        <v>0</v>
      </c>
      <c r="O198" s="183">
        <v>0</v>
      </c>
      <c r="P198" s="183">
        <v>0</v>
      </c>
      <c r="Q198" s="183">
        <v>0</v>
      </c>
      <c r="R198" s="183">
        <v>0</v>
      </c>
      <c r="S198" s="184">
        <f t="shared" si="40"/>
        <v>0</v>
      </c>
      <c r="U198" s="65">
        <f t="shared" si="41"/>
        <v>0</v>
      </c>
      <c r="V198" s="103"/>
      <c r="W198" s="103"/>
      <c r="X198" s="599"/>
      <c r="Y198" s="103"/>
      <c r="Z198" s="103"/>
      <c r="AA198" s="65"/>
      <c r="AB198" s="103"/>
      <c r="AD198" s="42">
        <f t="shared" si="42"/>
        <v>0</v>
      </c>
      <c r="AF198" s="6"/>
    </row>
    <row r="199" spans="1:32">
      <c r="A199" s="2">
        <f t="shared" si="37"/>
        <v>182</v>
      </c>
      <c r="B199" s="688" t="s">
        <v>2330</v>
      </c>
      <c r="C199" s="688" t="s">
        <v>2739</v>
      </c>
      <c r="D199" s="688" t="s">
        <v>2593</v>
      </c>
      <c r="E199" s="182" t="s">
        <v>2747</v>
      </c>
      <c r="F199" s="183">
        <v>0</v>
      </c>
      <c r="G199" s="183">
        <v>0</v>
      </c>
      <c r="H199" s="183">
        <v>0</v>
      </c>
      <c r="I199" s="183">
        <v>0</v>
      </c>
      <c r="J199" s="183">
        <v>0</v>
      </c>
      <c r="K199" s="183">
        <v>0</v>
      </c>
      <c r="L199" s="183">
        <v>0</v>
      </c>
      <c r="M199" s="183">
        <v>0</v>
      </c>
      <c r="N199" s="183">
        <v>0</v>
      </c>
      <c r="O199" s="183">
        <v>0</v>
      </c>
      <c r="P199" s="183">
        <v>0</v>
      </c>
      <c r="Q199" s="183">
        <v>0</v>
      </c>
      <c r="R199" s="183">
        <v>0</v>
      </c>
      <c r="S199" s="184">
        <f t="shared" si="40"/>
        <v>0</v>
      </c>
      <c r="U199" s="65">
        <f t="shared" si="41"/>
        <v>0</v>
      </c>
      <c r="V199" s="103"/>
      <c r="W199" s="103"/>
      <c r="X199" s="599"/>
      <c r="Y199" s="103"/>
      <c r="Z199" s="103"/>
      <c r="AA199" s="65"/>
      <c r="AB199" s="103"/>
      <c r="AD199" s="42">
        <f t="shared" si="42"/>
        <v>0</v>
      </c>
      <c r="AF199" s="6"/>
    </row>
    <row r="200" spans="1:32">
      <c r="A200" s="2">
        <f t="shared" si="37"/>
        <v>183</v>
      </c>
      <c r="B200" s="688" t="s">
        <v>2330</v>
      </c>
      <c r="C200" s="688" t="s">
        <v>2739</v>
      </c>
      <c r="D200" s="688" t="s">
        <v>2718</v>
      </c>
      <c r="E200" s="182" t="s">
        <v>2748</v>
      </c>
      <c r="F200" s="183">
        <v>8749066.8200000003</v>
      </c>
      <c r="G200" s="183">
        <v>13409260.789999999</v>
      </c>
      <c r="H200" s="183">
        <v>4785970.8600000003</v>
      </c>
      <c r="I200" s="183">
        <v>758292.46999999904</v>
      </c>
      <c r="J200" s="183">
        <v>1269890.6599999999</v>
      </c>
      <c r="K200" s="183">
        <v>4813678.29</v>
      </c>
      <c r="L200" s="183">
        <v>5388625.8200000003</v>
      </c>
      <c r="M200" s="183">
        <v>6335696.9000000004</v>
      </c>
      <c r="N200" s="183">
        <v>7672872.1100000003</v>
      </c>
      <c r="O200" s="183">
        <v>8512554.8800000008</v>
      </c>
      <c r="P200" s="183">
        <v>8431943.3800000008</v>
      </c>
      <c r="Q200" s="183">
        <v>6648574.9100000001</v>
      </c>
      <c r="R200" s="183">
        <v>7905551.3099999996</v>
      </c>
      <c r="S200" s="184">
        <f t="shared" si="40"/>
        <v>6362889.1779166674</v>
      </c>
      <c r="U200" s="65">
        <f t="shared" si="41"/>
        <v>6362889.1779166674</v>
      </c>
      <c r="V200" s="103"/>
      <c r="W200" s="103"/>
      <c r="X200" s="599"/>
      <c r="Y200" s="103"/>
      <c r="Z200" s="103"/>
      <c r="AA200" s="65"/>
      <c r="AB200" s="103"/>
      <c r="AD200" s="42">
        <f t="shared" si="42"/>
        <v>6362889.1779166674</v>
      </c>
      <c r="AF200" s="6"/>
    </row>
    <row r="201" spans="1:32">
      <c r="A201" s="2">
        <f t="shared" si="37"/>
        <v>184</v>
      </c>
      <c r="B201" s="688" t="s">
        <v>2330</v>
      </c>
      <c r="C201" s="688" t="s">
        <v>2739</v>
      </c>
      <c r="D201" s="688" t="s">
        <v>2749</v>
      </c>
      <c r="E201" s="182" t="s">
        <v>2750</v>
      </c>
      <c r="F201" s="183">
        <v>204200</v>
      </c>
      <c r="G201" s="183">
        <v>0</v>
      </c>
      <c r="H201" s="183">
        <v>0</v>
      </c>
      <c r="I201" s="183">
        <v>0</v>
      </c>
      <c r="J201" s="183">
        <v>0</v>
      </c>
      <c r="K201" s="183">
        <v>0</v>
      </c>
      <c r="L201" s="183">
        <v>0</v>
      </c>
      <c r="M201" s="183">
        <v>0</v>
      </c>
      <c r="N201" s="183">
        <v>0</v>
      </c>
      <c r="O201" s="183">
        <v>0</v>
      </c>
      <c r="P201" s="183">
        <v>0</v>
      </c>
      <c r="Q201" s="183">
        <v>0</v>
      </c>
      <c r="R201" s="183">
        <v>277727.09999999998</v>
      </c>
      <c r="S201" s="184">
        <f t="shared" si="40"/>
        <v>20080.295833333334</v>
      </c>
      <c r="U201" s="65">
        <f t="shared" si="41"/>
        <v>20080.295833333334</v>
      </c>
      <c r="V201" s="103"/>
      <c r="W201" s="103"/>
      <c r="X201" s="599"/>
      <c r="Y201" s="103"/>
      <c r="Z201" s="103"/>
      <c r="AA201" s="65"/>
      <c r="AB201" s="103"/>
      <c r="AD201" s="42">
        <f t="shared" si="42"/>
        <v>20080.295833333334</v>
      </c>
      <c r="AF201" s="6"/>
    </row>
    <row r="202" spans="1:32">
      <c r="A202" s="2">
        <f t="shared" si="37"/>
        <v>185</v>
      </c>
      <c r="B202" s="688" t="s">
        <v>2330</v>
      </c>
      <c r="C202" s="688" t="s">
        <v>2739</v>
      </c>
      <c r="D202" s="688" t="s">
        <v>2751</v>
      </c>
      <c r="E202" s="182" t="s">
        <v>2752</v>
      </c>
      <c r="F202" s="183">
        <v>0</v>
      </c>
      <c r="G202" s="183">
        <v>0</v>
      </c>
      <c r="H202" s="183">
        <v>0</v>
      </c>
      <c r="I202" s="183">
        <v>0</v>
      </c>
      <c r="J202" s="183">
        <v>0</v>
      </c>
      <c r="K202" s="183">
        <v>0</v>
      </c>
      <c r="L202" s="183">
        <v>0</v>
      </c>
      <c r="M202" s="183">
        <v>0</v>
      </c>
      <c r="N202" s="183">
        <v>0</v>
      </c>
      <c r="O202" s="183">
        <v>0</v>
      </c>
      <c r="P202" s="183">
        <v>0</v>
      </c>
      <c r="Q202" s="183">
        <v>0</v>
      </c>
      <c r="R202" s="183">
        <v>0</v>
      </c>
      <c r="S202" s="184">
        <f t="shared" si="40"/>
        <v>0</v>
      </c>
      <c r="U202" s="65">
        <f t="shared" si="41"/>
        <v>0</v>
      </c>
      <c r="V202" s="103"/>
      <c r="W202" s="103"/>
      <c r="X202" s="599"/>
      <c r="Y202" s="103"/>
      <c r="Z202" s="103"/>
      <c r="AA202" s="65"/>
      <c r="AB202" s="103"/>
      <c r="AD202" s="42">
        <f t="shared" si="42"/>
        <v>0</v>
      </c>
      <c r="AF202" s="6"/>
    </row>
    <row r="203" spans="1:32">
      <c r="A203" s="2">
        <f t="shared" si="37"/>
        <v>186</v>
      </c>
      <c r="B203" s="688" t="s">
        <v>2330</v>
      </c>
      <c r="C203" s="688" t="s">
        <v>2753</v>
      </c>
      <c r="D203" s="688" t="s">
        <v>2537</v>
      </c>
      <c r="E203" s="182" t="s">
        <v>2754</v>
      </c>
      <c r="F203" s="183">
        <v>0</v>
      </c>
      <c r="G203" s="183">
        <v>0</v>
      </c>
      <c r="H203" s="183">
        <v>0</v>
      </c>
      <c r="I203" s="183">
        <v>0</v>
      </c>
      <c r="J203" s="183">
        <v>0</v>
      </c>
      <c r="K203" s="183">
        <v>0</v>
      </c>
      <c r="L203" s="183">
        <v>0</v>
      </c>
      <c r="M203" s="183">
        <v>0</v>
      </c>
      <c r="N203" s="183">
        <v>0</v>
      </c>
      <c r="O203" s="183">
        <v>0</v>
      </c>
      <c r="P203" s="183">
        <v>0</v>
      </c>
      <c r="Q203" s="183">
        <v>0</v>
      </c>
      <c r="R203" s="183">
        <v>0</v>
      </c>
      <c r="S203" s="184">
        <f t="shared" si="40"/>
        <v>0</v>
      </c>
      <c r="U203" s="65">
        <f t="shared" si="41"/>
        <v>0</v>
      </c>
      <c r="V203" s="103"/>
      <c r="W203" s="103"/>
      <c r="X203" s="599"/>
      <c r="Y203" s="103"/>
      <c r="Z203" s="103"/>
      <c r="AA203" s="65"/>
      <c r="AB203" s="103"/>
      <c r="AD203" s="42">
        <f t="shared" si="42"/>
        <v>0</v>
      </c>
      <c r="AF203" s="6"/>
    </row>
    <row r="204" spans="1:32">
      <c r="A204" s="2">
        <f t="shared" si="37"/>
        <v>187</v>
      </c>
      <c r="B204" s="688" t="s">
        <v>2330</v>
      </c>
      <c r="C204" s="688" t="s">
        <v>2755</v>
      </c>
      <c r="D204" s="688" t="s">
        <v>2537</v>
      </c>
      <c r="E204" s="182" t="s">
        <v>2756</v>
      </c>
      <c r="F204" s="183">
        <v>0</v>
      </c>
      <c r="G204" s="183">
        <v>0</v>
      </c>
      <c r="H204" s="183">
        <v>0</v>
      </c>
      <c r="I204" s="183">
        <v>0</v>
      </c>
      <c r="J204" s="183">
        <v>0</v>
      </c>
      <c r="K204" s="183">
        <v>0</v>
      </c>
      <c r="L204" s="183">
        <v>0</v>
      </c>
      <c r="M204" s="183">
        <v>0</v>
      </c>
      <c r="N204" s="183">
        <v>0</v>
      </c>
      <c r="O204" s="183">
        <v>0</v>
      </c>
      <c r="P204" s="183">
        <v>0</v>
      </c>
      <c r="Q204" s="183">
        <v>0</v>
      </c>
      <c r="R204" s="183">
        <v>0</v>
      </c>
      <c r="S204" s="184">
        <f t="shared" si="40"/>
        <v>0</v>
      </c>
      <c r="U204" s="65">
        <f t="shared" si="41"/>
        <v>0</v>
      </c>
      <c r="V204" s="103"/>
      <c r="W204" s="103"/>
      <c r="X204" s="599"/>
      <c r="Y204" s="103"/>
      <c r="Z204" s="103"/>
      <c r="AA204" s="65"/>
      <c r="AB204" s="103"/>
      <c r="AD204" s="42">
        <f t="shared" si="42"/>
        <v>0</v>
      </c>
      <c r="AF204" s="6"/>
    </row>
    <row r="205" spans="1:32">
      <c r="A205" s="2">
        <f t="shared" si="37"/>
        <v>188</v>
      </c>
      <c r="B205" s="688" t="s">
        <v>2342</v>
      </c>
      <c r="C205" s="688" t="s">
        <v>2739</v>
      </c>
      <c r="D205" s="688" t="s">
        <v>2537</v>
      </c>
      <c r="E205" s="182" t="s">
        <v>2757</v>
      </c>
      <c r="F205" s="183">
        <v>0</v>
      </c>
      <c r="G205" s="183">
        <v>0</v>
      </c>
      <c r="H205" s="183">
        <v>0</v>
      </c>
      <c r="I205" s="183">
        <v>0</v>
      </c>
      <c r="J205" s="183">
        <v>0</v>
      </c>
      <c r="K205" s="183">
        <v>0</v>
      </c>
      <c r="L205" s="183">
        <v>0</v>
      </c>
      <c r="M205" s="183">
        <v>0</v>
      </c>
      <c r="N205" s="183">
        <v>0</v>
      </c>
      <c r="O205" s="183">
        <v>0</v>
      </c>
      <c r="P205" s="183">
        <v>0</v>
      </c>
      <c r="Q205" s="183">
        <v>0</v>
      </c>
      <c r="R205" s="183">
        <v>0</v>
      </c>
      <c r="S205" s="184">
        <f t="shared" si="40"/>
        <v>0</v>
      </c>
      <c r="U205" s="65">
        <f t="shared" si="41"/>
        <v>0</v>
      </c>
      <c r="V205" s="103"/>
      <c r="W205" s="103"/>
      <c r="X205" s="599"/>
      <c r="Y205" s="103"/>
      <c r="Z205" s="103"/>
      <c r="AA205" s="65"/>
      <c r="AB205" s="103"/>
      <c r="AD205" s="42">
        <f t="shared" si="42"/>
        <v>0</v>
      </c>
      <c r="AF205" s="6"/>
    </row>
    <row r="206" spans="1:32">
      <c r="A206" s="2">
        <f t="shared" si="37"/>
        <v>189</v>
      </c>
      <c r="B206" s="688" t="s">
        <v>2342</v>
      </c>
      <c r="C206" s="688" t="s">
        <v>2739</v>
      </c>
      <c r="D206" s="688" t="s">
        <v>2539</v>
      </c>
      <c r="E206" s="182" t="s">
        <v>2758</v>
      </c>
      <c r="F206" s="183">
        <v>0</v>
      </c>
      <c r="G206" s="183">
        <v>0</v>
      </c>
      <c r="H206" s="183">
        <v>0</v>
      </c>
      <c r="I206" s="183">
        <v>0</v>
      </c>
      <c r="J206" s="183">
        <v>0</v>
      </c>
      <c r="K206" s="183">
        <v>0</v>
      </c>
      <c r="L206" s="183">
        <v>0</v>
      </c>
      <c r="M206" s="183">
        <v>0</v>
      </c>
      <c r="N206" s="183">
        <v>0</v>
      </c>
      <c r="O206" s="183">
        <v>0</v>
      </c>
      <c r="P206" s="183">
        <v>0</v>
      </c>
      <c r="Q206" s="183">
        <v>0</v>
      </c>
      <c r="R206" s="183">
        <v>0</v>
      </c>
      <c r="S206" s="184">
        <f t="shared" si="40"/>
        <v>0</v>
      </c>
      <c r="U206" s="65">
        <f t="shared" si="41"/>
        <v>0</v>
      </c>
      <c r="V206" s="103"/>
      <c r="W206" s="103"/>
      <c r="X206" s="599"/>
      <c r="Y206" s="103"/>
      <c r="Z206" s="103"/>
      <c r="AA206" s="65"/>
      <c r="AB206" s="103"/>
      <c r="AD206" s="42">
        <f t="shared" si="42"/>
        <v>0</v>
      </c>
      <c r="AF206" s="6"/>
    </row>
    <row r="207" spans="1:32">
      <c r="A207" s="2">
        <f t="shared" si="37"/>
        <v>190</v>
      </c>
      <c r="B207" s="688" t="s">
        <v>2342</v>
      </c>
      <c r="C207" s="688" t="s">
        <v>2739</v>
      </c>
      <c r="D207" s="688" t="s">
        <v>2586</v>
      </c>
      <c r="E207" s="182" t="s">
        <v>2759</v>
      </c>
      <c r="F207" s="183">
        <v>1166847.52</v>
      </c>
      <c r="G207" s="183">
        <v>972373.52</v>
      </c>
      <c r="H207" s="183">
        <v>777899.52000000002</v>
      </c>
      <c r="I207" s="183">
        <v>583425.52</v>
      </c>
      <c r="J207" s="183">
        <v>388951.52</v>
      </c>
      <c r="K207" s="183">
        <v>194477.52</v>
      </c>
      <c r="L207" s="183">
        <v>2.91038304567337E-11</v>
      </c>
      <c r="M207" s="183">
        <v>2.91038304567337E-11</v>
      </c>
      <c r="N207" s="183">
        <v>2.91038304567337E-11</v>
      </c>
      <c r="O207" s="183">
        <v>2.91038304567337E-11</v>
      </c>
      <c r="P207" s="183">
        <v>2.91038304567337E-11</v>
      </c>
      <c r="Q207" s="183">
        <v>1305334.05</v>
      </c>
      <c r="R207" s="183">
        <v>1118858.05</v>
      </c>
      <c r="S207" s="184">
        <f t="shared" si="40"/>
        <v>447109.53625000006</v>
      </c>
      <c r="U207" s="65">
        <f t="shared" si="41"/>
        <v>447109.53625000006</v>
      </c>
      <c r="V207" s="103"/>
      <c r="W207" s="103"/>
      <c r="X207" s="599"/>
      <c r="Y207" s="103"/>
      <c r="Z207" s="103"/>
      <c r="AA207" s="65"/>
      <c r="AB207" s="103"/>
      <c r="AD207" s="42">
        <f t="shared" si="42"/>
        <v>447109.53625000006</v>
      </c>
      <c r="AF207" s="6"/>
    </row>
    <row r="208" spans="1:32">
      <c r="A208" s="2">
        <f t="shared" si="37"/>
        <v>191</v>
      </c>
      <c r="B208" s="688" t="s">
        <v>2342</v>
      </c>
      <c r="C208" s="688" t="s">
        <v>2739</v>
      </c>
      <c r="D208" s="688" t="s">
        <v>2760</v>
      </c>
      <c r="E208" s="182" t="s">
        <v>2761</v>
      </c>
      <c r="F208" s="183">
        <v>0</v>
      </c>
      <c r="G208" s="183">
        <v>0</v>
      </c>
      <c r="H208" s="183">
        <v>0</v>
      </c>
      <c r="I208" s="183">
        <v>0</v>
      </c>
      <c r="J208" s="183">
        <v>0</v>
      </c>
      <c r="K208" s="183">
        <v>0</v>
      </c>
      <c r="L208" s="183">
        <v>0</v>
      </c>
      <c r="M208" s="183">
        <v>0</v>
      </c>
      <c r="N208" s="183">
        <v>0</v>
      </c>
      <c r="O208" s="183">
        <v>0</v>
      </c>
      <c r="P208" s="183">
        <v>0</v>
      </c>
      <c r="Q208" s="183">
        <v>0</v>
      </c>
      <c r="R208" s="183">
        <v>0</v>
      </c>
      <c r="S208" s="184">
        <f t="shared" si="40"/>
        <v>0</v>
      </c>
      <c r="U208" s="65">
        <f t="shared" si="41"/>
        <v>0</v>
      </c>
      <c r="V208" s="103"/>
      <c r="W208" s="103"/>
      <c r="X208" s="599"/>
      <c r="Y208" s="103"/>
      <c r="Z208" s="103"/>
      <c r="AA208" s="65"/>
      <c r="AB208" s="103"/>
      <c r="AD208" s="42">
        <f t="shared" si="42"/>
        <v>0</v>
      </c>
      <c r="AF208" s="6"/>
    </row>
    <row r="209" spans="1:34">
      <c r="A209" s="2">
        <f t="shared" si="37"/>
        <v>192</v>
      </c>
      <c r="B209" s="688" t="s">
        <v>2342</v>
      </c>
      <c r="C209" s="688" t="s">
        <v>2762</v>
      </c>
      <c r="D209" s="688" t="s">
        <v>2763</v>
      </c>
      <c r="E209" s="182" t="s">
        <v>2764</v>
      </c>
      <c r="F209" s="183">
        <v>0</v>
      </c>
      <c r="G209" s="183">
        <v>0</v>
      </c>
      <c r="H209" s="183">
        <v>0</v>
      </c>
      <c r="I209" s="183">
        <v>0</v>
      </c>
      <c r="J209" s="183">
        <v>0</v>
      </c>
      <c r="K209" s="183">
        <v>0</v>
      </c>
      <c r="L209" s="183">
        <v>0</v>
      </c>
      <c r="M209" s="183">
        <v>0</v>
      </c>
      <c r="N209" s="183">
        <v>0</v>
      </c>
      <c r="O209" s="183">
        <v>0</v>
      </c>
      <c r="P209" s="183">
        <v>0</v>
      </c>
      <c r="Q209" s="183">
        <v>0</v>
      </c>
      <c r="R209" s="183">
        <v>0</v>
      </c>
      <c r="S209" s="184">
        <f t="shared" si="40"/>
        <v>0</v>
      </c>
      <c r="U209" s="65">
        <f>+S209</f>
        <v>0</v>
      </c>
      <c r="V209" s="103"/>
      <c r="W209" s="103"/>
      <c r="X209" s="599"/>
      <c r="Y209" s="103"/>
      <c r="Z209" s="103"/>
      <c r="AA209" s="65"/>
      <c r="AB209" s="103"/>
      <c r="AD209" s="42">
        <f t="shared" si="42"/>
        <v>0</v>
      </c>
      <c r="AF209" s="6"/>
    </row>
    <row r="210" spans="1:34">
      <c r="A210" s="2">
        <f t="shared" si="37"/>
        <v>193</v>
      </c>
      <c r="B210" s="688" t="s">
        <v>2324</v>
      </c>
      <c r="C210" s="688" t="s">
        <v>2762</v>
      </c>
      <c r="D210" s="688" t="s">
        <v>2765</v>
      </c>
      <c r="E210" s="182" t="s">
        <v>2764</v>
      </c>
      <c r="F210" s="183">
        <v>0</v>
      </c>
      <c r="G210" s="183">
        <v>0</v>
      </c>
      <c r="H210" s="183">
        <v>0</v>
      </c>
      <c r="I210" s="183">
        <v>0</v>
      </c>
      <c r="J210" s="183">
        <v>0</v>
      </c>
      <c r="K210" s="183">
        <v>0</v>
      </c>
      <c r="L210" s="183">
        <v>0</v>
      </c>
      <c r="M210" s="183">
        <v>0</v>
      </c>
      <c r="N210" s="183">
        <v>0</v>
      </c>
      <c r="O210" s="183">
        <v>0</v>
      </c>
      <c r="P210" s="183">
        <v>0</v>
      </c>
      <c r="Q210" s="183">
        <v>0</v>
      </c>
      <c r="R210" s="183">
        <v>0</v>
      </c>
      <c r="S210" s="184">
        <f t="shared" si="40"/>
        <v>0</v>
      </c>
      <c r="U210" s="65">
        <f>+S210</f>
        <v>0</v>
      </c>
      <c r="V210" s="103"/>
      <c r="W210" s="103"/>
      <c r="X210" s="599"/>
      <c r="Y210" s="103"/>
      <c r="Z210" s="103"/>
      <c r="AA210" s="65"/>
      <c r="AB210" s="103"/>
      <c r="AD210" s="42">
        <f t="shared" si="42"/>
        <v>0</v>
      </c>
      <c r="AF210" s="6"/>
    </row>
    <row r="211" spans="1:34">
      <c r="A211" s="2">
        <f t="shared" si="37"/>
        <v>194</v>
      </c>
      <c r="E211" s="182" t="s">
        <v>2766</v>
      </c>
      <c r="F211" s="512">
        <f t="shared" ref="F211:S211" si="43">SUM(F194:F210)</f>
        <v>10915646.689999999</v>
      </c>
      <c r="G211" s="512">
        <f t="shared" si="43"/>
        <v>16260077.459999999</v>
      </c>
      <c r="H211" s="512">
        <f t="shared" si="43"/>
        <v>7360118.6600000001</v>
      </c>
      <c r="I211" s="512">
        <f t="shared" si="43"/>
        <v>3029598.0099999993</v>
      </c>
      <c r="J211" s="512">
        <f t="shared" si="43"/>
        <v>3179622.5500000003</v>
      </c>
      <c r="K211" s="512">
        <f t="shared" si="43"/>
        <v>6373767.5399999991</v>
      </c>
      <c r="L211" s="512">
        <f t="shared" si="43"/>
        <v>6587480.2200000007</v>
      </c>
      <c r="M211" s="512">
        <f t="shared" si="43"/>
        <v>7354322.0200000005</v>
      </c>
      <c r="N211" s="512">
        <f t="shared" si="43"/>
        <v>8529135.25</v>
      </c>
      <c r="O211" s="512">
        <f t="shared" si="43"/>
        <v>9405055.1000000015</v>
      </c>
      <c r="P211" s="512">
        <f t="shared" si="43"/>
        <v>8971799.4100000001</v>
      </c>
      <c r="Q211" s="512">
        <f t="shared" si="43"/>
        <v>8653786.8800000008</v>
      </c>
      <c r="R211" s="512">
        <f t="shared" si="43"/>
        <v>10113075.57</v>
      </c>
      <c r="S211" s="512">
        <f t="shared" si="43"/>
        <v>8018260.352500001</v>
      </c>
      <c r="U211" s="65"/>
      <c r="V211" s="103"/>
      <c r="W211" s="103"/>
      <c r="X211" s="599"/>
      <c r="Y211" s="103"/>
      <c r="Z211" s="103"/>
      <c r="AA211" s="65"/>
      <c r="AB211" s="103"/>
      <c r="AF211" s="6"/>
    </row>
    <row r="212" spans="1:34">
      <c r="A212" s="2">
        <f t="shared" ref="A212:A275" si="44">MAX(A211:A211)+1</f>
        <v>195</v>
      </c>
      <c r="E212" s="697"/>
      <c r="F212" s="183"/>
      <c r="G212" s="198"/>
      <c r="H212" s="188"/>
      <c r="I212" s="188"/>
      <c r="J212" s="189"/>
      <c r="K212" s="190"/>
      <c r="L212" s="191"/>
      <c r="M212" s="192"/>
      <c r="N212" s="193"/>
      <c r="O212" s="689"/>
      <c r="P212" s="194"/>
      <c r="Q212" s="199"/>
      <c r="R212" s="183"/>
      <c r="S212" s="47"/>
      <c r="U212" s="65"/>
      <c r="V212" s="103"/>
      <c r="W212" s="103"/>
      <c r="X212" s="599"/>
      <c r="Y212" s="103"/>
      <c r="Z212" s="103"/>
      <c r="AA212" s="65"/>
      <c r="AB212" s="103"/>
      <c r="AF212" s="6"/>
    </row>
    <row r="213" spans="1:34">
      <c r="A213" s="2">
        <f t="shared" si="44"/>
        <v>196</v>
      </c>
      <c r="B213" s="688" t="s">
        <v>2342</v>
      </c>
      <c r="C213" s="688" t="s">
        <v>2767</v>
      </c>
      <c r="D213" s="688" t="s">
        <v>2537</v>
      </c>
      <c r="E213" s="182" t="s">
        <v>2768</v>
      </c>
      <c r="F213" s="183">
        <v>8339983.2800000003</v>
      </c>
      <c r="G213" s="183">
        <v>6262831.2000000002</v>
      </c>
      <c r="H213" s="183">
        <v>7053446.5800000001</v>
      </c>
      <c r="I213" s="183">
        <v>4811756.3899999997</v>
      </c>
      <c r="J213" s="183">
        <v>3809723.44</v>
      </c>
      <c r="K213" s="183">
        <v>1426963.85</v>
      </c>
      <c r="L213" s="183">
        <v>1442177.9</v>
      </c>
      <c r="M213" s="183">
        <v>809996.90000000095</v>
      </c>
      <c r="N213" s="183">
        <v>718767.06000000099</v>
      </c>
      <c r="O213" s="183">
        <v>1277843.6200000001</v>
      </c>
      <c r="P213" s="183">
        <v>3541628.35</v>
      </c>
      <c r="Q213" s="183">
        <v>6448520.3300000001</v>
      </c>
      <c r="R213" s="183">
        <v>6663619.5</v>
      </c>
      <c r="S213" s="184">
        <f>((F213+R213)+((G213+H213+I213+J213+K213+L213+M213+N213+O213+P213+Q213)*2))/24</f>
        <v>3758788.0841666679</v>
      </c>
      <c r="U213" s="65">
        <f t="shared" ref="U213:U222" si="45">+S213</f>
        <v>3758788.0841666679</v>
      </c>
      <c r="V213" s="103"/>
      <c r="W213" s="103"/>
      <c r="X213" s="599"/>
      <c r="Y213" s="103"/>
      <c r="Z213" s="103"/>
      <c r="AA213" s="65"/>
      <c r="AB213" s="103"/>
      <c r="AD213" s="42">
        <f t="shared" ref="AD213:AD222" si="46">+S213</f>
        <v>3758788.0841666679</v>
      </c>
      <c r="AF213" s="6"/>
    </row>
    <row r="214" spans="1:34">
      <c r="A214" s="2">
        <f t="shared" si="44"/>
        <v>197</v>
      </c>
      <c r="B214" s="688" t="s">
        <v>2342</v>
      </c>
      <c r="C214" s="688" t="s">
        <v>2767</v>
      </c>
      <c r="D214" s="688" t="s">
        <v>2539</v>
      </c>
      <c r="E214" s="182" t="s">
        <v>2769</v>
      </c>
      <c r="F214" s="183">
        <v>5022132.26</v>
      </c>
      <c r="G214" s="183">
        <v>3991131.45</v>
      </c>
      <c r="H214" s="183">
        <v>4347882.63</v>
      </c>
      <c r="I214" s="183">
        <v>3022467.61</v>
      </c>
      <c r="J214" s="183">
        <v>2393315.71</v>
      </c>
      <c r="K214" s="183">
        <v>982761.54</v>
      </c>
      <c r="L214" s="183">
        <v>1024295.73</v>
      </c>
      <c r="M214" s="183">
        <v>613853.77</v>
      </c>
      <c r="N214" s="183">
        <v>561398.15</v>
      </c>
      <c r="O214" s="183">
        <v>1010529.88</v>
      </c>
      <c r="P214" s="183">
        <v>2325371.48</v>
      </c>
      <c r="Q214" s="183">
        <v>3994023.11</v>
      </c>
      <c r="R214" s="183">
        <v>4024633.64</v>
      </c>
      <c r="S214" s="184">
        <f t="shared" ref="S214:S221" si="47">((F214+R214)+((G214+H214+I214+J214+K214+L214+M214+N214+O214+P214+Q214)*2))/24</f>
        <v>2399201.1674999995</v>
      </c>
      <c r="U214" s="65">
        <f t="shared" si="45"/>
        <v>2399201.1674999995</v>
      </c>
      <c r="V214" s="103"/>
      <c r="W214" s="103"/>
      <c r="X214" s="599"/>
      <c r="Y214" s="103"/>
      <c r="Z214" s="103"/>
      <c r="AA214" s="65"/>
      <c r="AB214" s="103"/>
      <c r="AD214" s="42">
        <f t="shared" si="46"/>
        <v>2399201.1674999995</v>
      </c>
      <c r="AF214" s="6"/>
      <c r="AH214" s="42"/>
    </row>
    <row r="215" spans="1:34">
      <c r="A215" s="2">
        <f t="shared" si="44"/>
        <v>198</v>
      </c>
      <c r="B215" s="688" t="s">
        <v>2342</v>
      </c>
      <c r="C215" s="688" t="s">
        <v>2767</v>
      </c>
      <c r="D215" s="688" t="s">
        <v>2586</v>
      </c>
      <c r="E215" s="182" t="s">
        <v>2770</v>
      </c>
      <c r="F215" s="183">
        <v>26392.560000000001</v>
      </c>
      <c r="G215" s="183">
        <v>19396.36</v>
      </c>
      <c r="H215" s="183">
        <v>18386.78</v>
      </c>
      <c r="I215" s="183">
        <v>18442.97</v>
      </c>
      <c r="J215" s="183">
        <v>14276.88</v>
      </c>
      <c r="K215" s="183">
        <v>10671.02</v>
      </c>
      <c r="L215" s="183">
        <v>11690.08</v>
      </c>
      <c r="M215" s="183">
        <v>12658.14</v>
      </c>
      <c r="N215" s="183">
        <v>12556.16</v>
      </c>
      <c r="O215" s="183">
        <v>13778.49</v>
      </c>
      <c r="P215" s="183">
        <v>187494.67</v>
      </c>
      <c r="Q215" s="183">
        <v>21135.54</v>
      </c>
      <c r="R215" s="183">
        <v>23600.19</v>
      </c>
      <c r="S215" s="184">
        <f t="shared" si="47"/>
        <v>30456.955416666668</v>
      </c>
      <c r="U215" s="65">
        <f t="shared" si="45"/>
        <v>30456.955416666668</v>
      </c>
      <c r="V215" s="103"/>
      <c r="W215" s="103"/>
      <c r="X215" s="599"/>
      <c r="Y215" s="103"/>
      <c r="Z215" s="103"/>
      <c r="AA215" s="65"/>
      <c r="AB215" s="103"/>
      <c r="AD215" s="42">
        <f t="shared" si="46"/>
        <v>30456.955416666668</v>
      </c>
      <c r="AF215" s="6"/>
      <c r="AH215" s="42"/>
    </row>
    <row r="216" spans="1:34">
      <c r="A216" s="2">
        <f t="shared" si="44"/>
        <v>199</v>
      </c>
      <c r="B216" s="688" t="s">
        <v>2342</v>
      </c>
      <c r="C216" s="688" t="s">
        <v>2771</v>
      </c>
      <c r="D216" s="688" t="s">
        <v>2586</v>
      </c>
      <c r="E216" s="182" t="s">
        <v>2772</v>
      </c>
      <c r="F216" s="183">
        <v>171922.78</v>
      </c>
      <c r="G216" s="183">
        <v>243206.36</v>
      </c>
      <c r="H216" s="183">
        <v>243577.42</v>
      </c>
      <c r="I216" s="183">
        <v>270039.57</v>
      </c>
      <c r="J216" s="183">
        <v>242962.98</v>
      </c>
      <c r="K216" s="183">
        <v>225130.9</v>
      </c>
      <c r="L216" s="183">
        <v>207946.38</v>
      </c>
      <c r="M216" s="183">
        <v>226690</v>
      </c>
      <c r="N216" s="183">
        <v>231995.47</v>
      </c>
      <c r="O216" s="183">
        <v>247847.88</v>
      </c>
      <c r="P216" s="183">
        <v>272602.40000000002</v>
      </c>
      <c r="Q216" s="183">
        <v>254399.05</v>
      </c>
      <c r="R216" s="183">
        <v>261933.13</v>
      </c>
      <c r="S216" s="184">
        <f t="shared" si="47"/>
        <v>240277.1970833333</v>
      </c>
      <c r="U216" s="65">
        <f t="shared" si="45"/>
        <v>240277.1970833333</v>
      </c>
      <c r="V216" s="103"/>
      <c r="W216" s="103"/>
      <c r="X216" s="599"/>
      <c r="Y216" s="103"/>
      <c r="Z216" s="103"/>
      <c r="AA216" s="65"/>
      <c r="AB216" s="103"/>
      <c r="AD216" s="42">
        <f t="shared" si="46"/>
        <v>240277.1970833333</v>
      </c>
      <c r="AF216" s="6"/>
    </row>
    <row r="217" spans="1:34">
      <c r="A217" s="2">
        <f t="shared" si="44"/>
        <v>200</v>
      </c>
      <c r="B217" s="688" t="s">
        <v>2342</v>
      </c>
      <c r="C217" s="688" t="s">
        <v>2771</v>
      </c>
      <c r="D217" s="688" t="s">
        <v>2541</v>
      </c>
      <c r="E217" s="182" t="s">
        <v>2773</v>
      </c>
      <c r="F217" s="183">
        <v>93444.96</v>
      </c>
      <c r="G217" s="183">
        <v>93454.06</v>
      </c>
      <c r="H217" s="183">
        <v>88359.03</v>
      </c>
      <c r="I217" s="183">
        <v>84082.27</v>
      </c>
      <c r="J217" s="183">
        <v>90197.7</v>
      </c>
      <c r="K217" s="183">
        <v>58093.85</v>
      </c>
      <c r="L217" s="183">
        <v>86589.27</v>
      </c>
      <c r="M217" s="183">
        <v>91007.12</v>
      </c>
      <c r="N217" s="183">
        <v>92057.86</v>
      </c>
      <c r="O217" s="183">
        <v>89081.58</v>
      </c>
      <c r="P217" s="183">
        <v>81387.360000000001</v>
      </c>
      <c r="Q217" s="183">
        <v>59024.34</v>
      </c>
      <c r="R217" s="183">
        <v>67957.03</v>
      </c>
      <c r="S217" s="184">
        <f t="shared" si="47"/>
        <v>82836.28624999999</v>
      </c>
      <c r="U217" s="65">
        <f t="shared" si="45"/>
        <v>82836.28624999999</v>
      </c>
      <c r="V217" s="103"/>
      <c r="W217" s="103"/>
      <c r="X217" s="599"/>
      <c r="Y217" s="103"/>
      <c r="Z217" s="103"/>
      <c r="AA217" s="65"/>
      <c r="AB217" s="103"/>
      <c r="AD217" s="42">
        <f t="shared" si="46"/>
        <v>82836.28624999999</v>
      </c>
      <c r="AF217" s="6"/>
    </row>
    <row r="218" spans="1:34">
      <c r="A218" s="2">
        <f t="shared" si="44"/>
        <v>201</v>
      </c>
      <c r="B218" s="688" t="s">
        <v>2324</v>
      </c>
      <c r="C218" s="688" t="s">
        <v>2767</v>
      </c>
      <c r="D218" s="688" t="s">
        <v>2537</v>
      </c>
      <c r="E218" s="182" t="s">
        <v>2768</v>
      </c>
      <c r="F218" s="183">
        <v>24080546.760000002</v>
      </c>
      <c r="G218" s="183">
        <v>19618805.579999998</v>
      </c>
      <c r="H218" s="183">
        <v>19823469.510000002</v>
      </c>
      <c r="I218" s="183">
        <v>13849301.4</v>
      </c>
      <c r="J218" s="183">
        <v>9644544.6699999999</v>
      </c>
      <c r="K218" s="183">
        <v>4234224.72</v>
      </c>
      <c r="L218" s="183">
        <v>3987232.93</v>
      </c>
      <c r="M218" s="183">
        <v>2335339.27</v>
      </c>
      <c r="N218" s="183">
        <v>2031851.79</v>
      </c>
      <c r="O218" s="183">
        <v>3741429.23</v>
      </c>
      <c r="P218" s="183">
        <v>8700770.0800000001</v>
      </c>
      <c r="Q218" s="183">
        <v>17938275.82</v>
      </c>
      <c r="R218" s="183">
        <v>18765787.620000001</v>
      </c>
      <c r="S218" s="184">
        <f t="shared" si="47"/>
        <v>10610701.015833335</v>
      </c>
      <c r="U218" s="65">
        <f t="shared" si="45"/>
        <v>10610701.015833335</v>
      </c>
      <c r="V218" s="103"/>
      <c r="W218" s="103"/>
      <c r="X218" s="599"/>
      <c r="Y218" s="103"/>
      <c r="Z218" s="103"/>
      <c r="AA218" s="65"/>
      <c r="AB218" s="103"/>
      <c r="AD218" s="42">
        <f t="shared" si="46"/>
        <v>10610701.015833335</v>
      </c>
      <c r="AF218" s="6"/>
    </row>
    <row r="219" spans="1:34">
      <c r="A219" s="2">
        <f t="shared" si="44"/>
        <v>202</v>
      </c>
      <c r="B219" s="688" t="s">
        <v>2324</v>
      </c>
      <c r="C219" s="688" t="s">
        <v>2767</v>
      </c>
      <c r="D219" s="688" t="s">
        <v>2539</v>
      </c>
      <c r="E219" s="182" t="s">
        <v>2769</v>
      </c>
      <c r="F219" s="183">
        <v>17331668.98</v>
      </c>
      <c r="G219" s="183">
        <v>14782606.630000001</v>
      </c>
      <c r="H219" s="183">
        <v>14933081.17</v>
      </c>
      <c r="I219" s="183">
        <v>10169419.27</v>
      </c>
      <c r="J219" s="183">
        <v>7282007.3300000001</v>
      </c>
      <c r="K219" s="183">
        <v>3343481.49</v>
      </c>
      <c r="L219" s="183">
        <v>3358157.36</v>
      </c>
      <c r="M219" s="183">
        <v>1954376.93</v>
      </c>
      <c r="N219" s="183">
        <v>1814136.11</v>
      </c>
      <c r="O219" s="183">
        <v>3469169.39</v>
      </c>
      <c r="P219" s="183">
        <v>7390181.8200000003</v>
      </c>
      <c r="Q219" s="183">
        <v>12759342.01</v>
      </c>
      <c r="R219" s="183">
        <v>13314579.970000001</v>
      </c>
      <c r="S219" s="184">
        <f t="shared" si="47"/>
        <v>8048256.9987500012</v>
      </c>
      <c r="U219" s="65">
        <f t="shared" si="45"/>
        <v>8048256.9987500012</v>
      </c>
      <c r="V219" s="103"/>
      <c r="W219" s="103"/>
      <c r="X219" s="599"/>
      <c r="Y219" s="103"/>
      <c r="Z219" s="103"/>
      <c r="AA219" s="65"/>
      <c r="AB219" s="103"/>
      <c r="AD219" s="42">
        <f t="shared" si="46"/>
        <v>8048256.9987500012</v>
      </c>
      <c r="AF219" s="6"/>
    </row>
    <row r="220" spans="1:34">
      <c r="A220" s="2">
        <f t="shared" si="44"/>
        <v>203</v>
      </c>
      <c r="B220" s="688" t="s">
        <v>2324</v>
      </c>
      <c r="C220" s="688" t="s">
        <v>2767</v>
      </c>
      <c r="D220" s="688" t="s">
        <v>2586</v>
      </c>
      <c r="E220" s="182" t="s">
        <v>2770</v>
      </c>
      <c r="F220" s="183">
        <v>511716.97</v>
      </c>
      <c r="G220" s="183">
        <v>426190.33</v>
      </c>
      <c r="H220" s="183">
        <v>376026.59</v>
      </c>
      <c r="I220" s="183">
        <v>362534.98</v>
      </c>
      <c r="J220" s="183">
        <v>281646.88</v>
      </c>
      <c r="K220" s="183">
        <v>151871.67000000001</v>
      </c>
      <c r="L220" s="183">
        <v>124000.56</v>
      </c>
      <c r="M220" s="183">
        <v>110236.14</v>
      </c>
      <c r="N220" s="183">
        <v>107807.83</v>
      </c>
      <c r="O220" s="183">
        <v>133607.6</v>
      </c>
      <c r="P220" s="183">
        <v>246897.95</v>
      </c>
      <c r="Q220" s="183">
        <v>394782.47</v>
      </c>
      <c r="R220" s="183">
        <v>420494.18</v>
      </c>
      <c r="S220" s="184">
        <f t="shared" si="47"/>
        <v>265142.38125000003</v>
      </c>
      <c r="U220" s="65">
        <f t="shared" si="45"/>
        <v>265142.38125000003</v>
      </c>
      <c r="V220" s="103"/>
      <c r="W220" s="103"/>
      <c r="X220" s="599"/>
      <c r="Y220" s="103"/>
      <c r="Z220" s="103"/>
      <c r="AA220" s="65"/>
      <c r="AB220" s="103"/>
      <c r="AD220" s="42">
        <f t="shared" si="46"/>
        <v>265142.38125000003</v>
      </c>
      <c r="AF220" s="6"/>
    </row>
    <row r="221" spans="1:34">
      <c r="A221" s="2">
        <f t="shared" si="44"/>
        <v>204</v>
      </c>
      <c r="B221" s="688" t="s">
        <v>2324</v>
      </c>
      <c r="C221" s="688" t="s">
        <v>2771</v>
      </c>
      <c r="D221" s="688" t="s">
        <v>2586</v>
      </c>
      <c r="E221" s="182" t="s">
        <v>2772</v>
      </c>
      <c r="F221" s="183">
        <v>1382923.35</v>
      </c>
      <c r="G221" s="183">
        <v>1597296.22</v>
      </c>
      <c r="H221" s="183">
        <v>1556435.09</v>
      </c>
      <c r="I221" s="183">
        <v>1591399.5</v>
      </c>
      <c r="J221" s="183">
        <v>1480951.94</v>
      </c>
      <c r="K221" s="183">
        <v>1412453.28</v>
      </c>
      <c r="L221" s="183">
        <v>1405983.8</v>
      </c>
      <c r="M221" s="183">
        <v>1378359.07</v>
      </c>
      <c r="N221" s="183">
        <v>1445174.31</v>
      </c>
      <c r="O221" s="183">
        <v>1540060.12</v>
      </c>
      <c r="P221" s="183">
        <v>1666299.22</v>
      </c>
      <c r="Q221" s="183">
        <v>1723217.34</v>
      </c>
      <c r="R221" s="183">
        <v>1680493.73</v>
      </c>
      <c r="S221" s="184">
        <f t="shared" si="47"/>
        <v>1527444.8691666669</v>
      </c>
      <c r="U221" s="65">
        <f t="shared" si="45"/>
        <v>1527444.8691666669</v>
      </c>
      <c r="V221" s="103"/>
      <c r="W221" s="103"/>
      <c r="X221" s="599"/>
      <c r="Y221" s="103"/>
      <c r="Z221" s="103"/>
      <c r="AA221" s="65"/>
      <c r="AB221" s="103"/>
      <c r="AD221" s="42">
        <f t="shared" si="46"/>
        <v>1527444.8691666669</v>
      </c>
      <c r="AF221" s="6"/>
    </row>
    <row r="222" spans="1:34">
      <c r="A222" s="2">
        <f t="shared" si="44"/>
        <v>205</v>
      </c>
      <c r="B222" s="688" t="s">
        <v>2324</v>
      </c>
      <c r="C222" s="688" t="s">
        <v>2771</v>
      </c>
      <c r="D222" s="688" t="s">
        <v>2541</v>
      </c>
      <c r="E222" s="182" t="s">
        <v>2773</v>
      </c>
      <c r="F222" s="313">
        <v>932161.81</v>
      </c>
      <c r="G222" s="313">
        <v>948671.93</v>
      </c>
      <c r="H222" s="313">
        <v>850223.26</v>
      </c>
      <c r="I222" s="313">
        <v>1178503.9099999999</v>
      </c>
      <c r="J222" s="313">
        <v>1084314.1000000001</v>
      </c>
      <c r="K222" s="313">
        <v>565695.16</v>
      </c>
      <c r="L222" s="313">
        <v>747739.14</v>
      </c>
      <c r="M222" s="313">
        <v>1201205.58</v>
      </c>
      <c r="N222" s="313">
        <v>1261933.19</v>
      </c>
      <c r="O222" s="313">
        <v>1306897.23</v>
      </c>
      <c r="P222" s="313">
        <v>1050985.29</v>
      </c>
      <c r="Q222" s="313">
        <v>1259658.45</v>
      </c>
      <c r="R222" s="313">
        <v>1320977.6499999999</v>
      </c>
      <c r="S222" s="314">
        <f>((F222+R222)+((G222+H222+I222+J222+K222+L222+M222+N222+O222+P222+Q222)*2))/24</f>
        <v>1048533.0808333332</v>
      </c>
      <c r="U222" s="65">
        <f t="shared" si="45"/>
        <v>1048533.0808333332</v>
      </c>
      <c r="V222" s="103"/>
      <c r="W222" s="103"/>
      <c r="X222" s="599"/>
      <c r="Y222" s="103"/>
      <c r="Z222" s="103"/>
      <c r="AA222" s="65"/>
      <c r="AB222" s="103"/>
      <c r="AD222" s="42">
        <f t="shared" si="46"/>
        <v>1048533.0808333332</v>
      </c>
      <c r="AF222" s="6"/>
    </row>
    <row r="223" spans="1:34">
      <c r="A223" s="2">
        <f t="shared" si="44"/>
        <v>206</v>
      </c>
      <c r="E223" s="182" t="s">
        <v>2774</v>
      </c>
      <c r="F223" s="511">
        <f>SUM(F213:F222)</f>
        <v>57892893.710000001</v>
      </c>
      <c r="G223" s="511">
        <f t="shared" ref="G223:R223" si="48">SUM(G213:G222)</f>
        <v>47983590.119999997</v>
      </c>
      <c r="H223" s="511">
        <f t="shared" si="48"/>
        <v>49290888.06000001</v>
      </c>
      <c r="I223" s="511">
        <f t="shared" si="48"/>
        <v>35357947.869999997</v>
      </c>
      <c r="J223" s="511">
        <f t="shared" si="48"/>
        <v>26323941.630000003</v>
      </c>
      <c r="K223" s="511">
        <f t="shared" si="48"/>
        <v>12411347.48</v>
      </c>
      <c r="L223" s="511">
        <f t="shared" si="48"/>
        <v>12395813.150000002</v>
      </c>
      <c r="M223" s="511">
        <f t="shared" si="48"/>
        <v>8733722.9200000018</v>
      </c>
      <c r="N223" s="511">
        <f t="shared" si="48"/>
        <v>8277677.9300000016</v>
      </c>
      <c r="O223" s="511">
        <f t="shared" si="48"/>
        <v>12830245.02</v>
      </c>
      <c r="P223" s="511">
        <f t="shared" si="48"/>
        <v>25463618.619999997</v>
      </c>
      <c r="Q223" s="511">
        <f t="shared" si="48"/>
        <v>44852378.460000001</v>
      </c>
      <c r="R223" s="511">
        <f t="shared" si="48"/>
        <v>46544076.639999993</v>
      </c>
      <c r="S223" s="512">
        <f>SUM(S213:S222)</f>
        <v>28011638.036250006</v>
      </c>
      <c r="U223" s="65"/>
      <c r="V223" s="103"/>
      <c r="W223" s="103"/>
      <c r="X223" s="599"/>
      <c r="Y223" s="103"/>
      <c r="Z223" s="103"/>
      <c r="AA223" s="65"/>
      <c r="AB223" s="103"/>
      <c r="AF223" s="6"/>
    </row>
    <row r="224" spans="1:34">
      <c r="A224" s="2">
        <f t="shared" si="44"/>
        <v>207</v>
      </c>
      <c r="E224" s="697"/>
      <c r="F224" s="183"/>
      <c r="G224" s="198"/>
      <c r="H224" s="188"/>
      <c r="I224" s="188"/>
      <c r="J224" s="189"/>
      <c r="K224" s="190"/>
      <c r="L224" s="191"/>
      <c r="M224" s="192"/>
      <c r="N224" s="193"/>
      <c r="O224" s="689"/>
      <c r="P224" s="194"/>
      <c r="Q224" s="199"/>
      <c r="R224" s="183"/>
      <c r="S224" s="47"/>
      <c r="U224" s="65"/>
      <c r="V224" s="103"/>
      <c r="W224" s="103"/>
      <c r="X224" s="599"/>
      <c r="Y224" s="103"/>
      <c r="Z224" s="103"/>
      <c r="AA224" s="65"/>
      <c r="AB224" s="103"/>
      <c r="AF224" s="6"/>
    </row>
    <row r="225" spans="1:32">
      <c r="A225" s="2">
        <f t="shared" si="44"/>
        <v>208</v>
      </c>
      <c r="B225" s="688" t="s">
        <v>2330</v>
      </c>
      <c r="C225" s="688" t="s">
        <v>2347</v>
      </c>
      <c r="D225" s="688" t="s">
        <v>2375</v>
      </c>
      <c r="E225" s="182" t="s">
        <v>2775</v>
      </c>
      <c r="F225" s="183">
        <v>-36729.72</v>
      </c>
      <c r="G225" s="183">
        <v>-36117.56</v>
      </c>
      <c r="H225" s="183">
        <v>-35505.39</v>
      </c>
      <c r="I225" s="183">
        <v>-34893.24</v>
      </c>
      <c r="J225" s="183">
        <v>-34281.07</v>
      </c>
      <c r="K225" s="183">
        <v>-33668.9</v>
      </c>
      <c r="L225" s="183">
        <v>-33056.74</v>
      </c>
      <c r="M225" s="183">
        <v>-32444.58</v>
      </c>
      <c r="N225" s="183">
        <v>-31832.41</v>
      </c>
      <c r="O225" s="183">
        <v>-31220.28</v>
      </c>
      <c r="P225" s="183">
        <v>-30608.13</v>
      </c>
      <c r="Q225" s="183">
        <v>-29995.98</v>
      </c>
      <c r="R225" s="183">
        <v>-29383.78</v>
      </c>
      <c r="S225" s="184">
        <f>((F225+R225)+((G225+H225+I225+J225+K225+L225+M225+N225+O225+P225+Q225)*2))/24</f>
        <v>-33056.752499999995</v>
      </c>
      <c r="U225" s="65"/>
      <c r="V225" s="103"/>
      <c r="W225" s="103"/>
      <c r="X225" s="599">
        <f>+S225</f>
        <v>-33056.752499999995</v>
      </c>
      <c r="Y225" s="103"/>
      <c r="Z225" s="103"/>
      <c r="AA225" s="65"/>
      <c r="AB225" s="103">
        <f>+S225</f>
        <v>-33056.752499999995</v>
      </c>
      <c r="AD225" s="42"/>
      <c r="AF225" s="6"/>
    </row>
    <row r="226" spans="1:32">
      <c r="A226" s="2">
        <f t="shared" si="44"/>
        <v>209</v>
      </c>
      <c r="B226" s="688" t="s">
        <v>2330</v>
      </c>
      <c r="C226" s="688" t="s">
        <v>2347</v>
      </c>
      <c r="D226" s="688" t="s">
        <v>2377</v>
      </c>
      <c r="E226" s="182" t="s">
        <v>2776</v>
      </c>
      <c r="F226" s="183">
        <v>-138173.73000000001</v>
      </c>
      <c r="G226" s="183">
        <v>-135870.82</v>
      </c>
      <c r="H226" s="183">
        <v>-133567.93</v>
      </c>
      <c r="I226" s="183">
        <v>-131265.01999999999</v>
      </c>
      <c r="J226" s="183">
        <v>-128962.14</v>
      </c>
      <c r="K226" s="183">
        <v>-126659.24</v>
      </c>
      <c r="L226" s="183">
        <v>-124356.38</v>
      </c>
      <c r="M226" s="183">
        <v>-122053.51</v>
      </c>
      <c r="N226" s="183">
        <v>-119750.62</v>
      </c>
      <c r="O226" s="183">
        <v>-117447.73</v>
      </c>
      <c r="P226" s="183">
        <v>-115144.89</v>
      </c>
      <c r="Q226" s="183">
        <v>-112842</v>
      </c>
      <c r="R226" s="183">
        <v>-110539.11</v>
      </c>
      <c r="S226" s="184">
        <f>((F226+R226)+((G226+H226+I226+J226+K226+L226+M226+N226+O226+P226+Q226)*2))/24</f>
        <v>-124356.39166666666</v>
      </c>
      <c r="U226" s="65"/>
      <c r="V226" s="103"/>
      <c r="W226" s="103"/>
      <c r="X226" s="599">
        <f>+S226</f>
        <v>-124356.39166666666</v>
      </c>
      <c r="Y226" s="103"/>
      <c r="Z226" s="103"/>
      <c r="AA226" s="65"/>
      <c r="AB226" s="103">
        <f>+S226</f>
        <v>-124356.39166666666</v>
      </c>
      <c r="AD226" s="42"/>
      <c r="AF226" s="6"/>
    </row>
    <row r="227" spans="1:32">
      <c r="A227" s="2">
        <f t="shared" si="44"/>
        <v>210</v>
      </c>
      <c r="B227" s="688" t="s">
        <v>2330</v>
      </c>
      <c r="C227" s="688" t="s">
        <v>2347</v>
      </c>
      <c r="D227" s="688" t="s">
        <v>2348</v>
      </c>
      <c r="E227" s="182" t="s">
        <v>2777</v>
      </c>
      <c r="F227" s="183">
        <v>0</v>
      </c>
      <c r="G227" s="183">
        <v>0</v>
      </c>
      <c r="H227" s="183">
        <v>0</v>
      </c>
      <c r="I227" s="183">
        <v>0</v>
      </c>
      <c r="J227" s="183">
        <v>0</v>
      </c>
      <c r="K227" s="183">
        <v>0</v>
      </c>
      <c r="L227" s="183">
        <v>0</v>
      </c>
      <c r="M227" s="183">
        <v>0</v>
      </c>
      <c r="N227" s="183">
        <v>0</v>
      </c>
      <c r="O227" s="183">
        <v>0</v>
      </c>
      <c r="P227" s="183">
        <v>0</v>
      </c>
      <c r="Q227" s="183">
        <v>0</v>
      </c>
      <c r="R227" s="183">
        <v>0</v>
      </c>
      <c r="S227" s="184">
        <f>((F227+R227)+((G227+H227+I227+J227+K227+L227+M227+N227+O227+P227+Q227)*2))/24</f>
        <v>0</v>
      </c>
      <c r="U227" s="65"/>
      <c r="V227" s="103"/>
      <c r="W227" s="103"/>
      <c r="X227" s="599">
        <f>+S227</f>
        <v>0</v>
      </c>
      <c r="Y227" s="103">
        <f>+S227*Z10</f>
        <v>0</v>
      </c>
      <c r="Z227" s="103">
        <f>+S227*Z11</f>
        <v>0</v>
      </c>
      <c r="AA227" s="65"/>
      <c r="AB227" s="103"/>
      <c r="AD227" s="42"/>
      <c r="AF227" s="6"/>
    </row>
    <row r="228" spans="1:32">
      <c r="A228" s="2">
        <f t="shared" si="44"/>
        <v>211</v>
      </c>
      <c r="B228" s="688" t="s">
        <v>2330</v>
      </c>
      <c r="C228" s="688" t="s">
        <v>2347</v>
      </c>
      <c r="D228" s="688" t="s">
        <v>2778</v>
      </c>
      <c r="E228" s="182" t="s">
        <v>2779</v>
      </c>
      <c r="F228" s="183">
        <v>714372.44</v>
      </c>
      <c r="G228" s="183">
        <v>709487.65</v>
      </c>
      <c r="H228" s="183">
        <v>705822.32</v>
      </c>
      <c r="I228" s="183">
        <v>707907.01</v>
      </c>
      <c r="J228" s="183">
        <v>705100.38</v>
      </c>
      <c r="K228" s="183">
        <v>701725.9</v>
      </c>
      <c r="L228" s="183">
        <v>697072.79</v>
      </c>
      <c r="M228" s="183">
        <v>865866.65</v>
      </c>
      <c r="N228" s="183">
        <v>862265.2</v>
      </c>
      <c r="O228" s="183">
        <v>858108.95</v>
      </c>
      <c r="P228" s="183">
        <v>854191.87</v>
      </c>
      <c r="Q228" s="183">
        <v>852913.26</v>
      </c>
      <c r="R228" s="183">
        <v>873735.72</v>
      </c>
      <c r="S228" s="184">
        <f t="shared" ref="S228:S241" si="49">((F228+R228)+((G228+H228+I228+J228+K228+L228+M228+N228+O228+P228+Q228)*2))/24</f>
        <v>776209.67166666675</v>
      </c>
      <c r="U228" s="65"/>
      <c r="V228" s="103"/>
      <c r="W228" s="103"/>
      <c r="X228" s="599">
        <f>+S228</f>
        <v>776209.67166666675</v>
      </c>
      <c r="Y228" s="103"/>
      <c r="Z228" s="103"/>
      <c r="AA228" s="65"/>
      <c r="AB228" s="103">
        <f>+S228</f>
        <v>776209.67166666675</v>
      </c>
      <c r="AD228" s="42"/>
      <c r="AF228" s="6"/>
    </row>
    <row r="229" spans="1:32">
      <c r="A229" s="2">
        <f t="shared" si="44"/>
        <v>212</v>
      </c>
      <c r="B229" s="688" t="s">
        <v>2330</v>
      </c>
      <c r="C229" s="688" t="s">
        <v>2347</v>
      </c>
      <c r="D229" s="688" t="s">
        <v>2380</v>
      </c>
      <c r="E229" s="182" t="s">
        <v>2780</v>
      </c>
      <c r="F229" s="183">
        <v>5143359.8099999996</v>
      </c>
      <c r="G229" s="183">
        <v>5125552.3</v>
      </c>
      <c r="H229" s="183">
        <v>5112100.16</v>
      </c>
      <c r="I229" s="183">
        <v>9615983.9900000002</v>
      </c>
      <c r="J229" s="183">
        <v>9711076.5099999998</v>
      </c>
      <c r="K229" s="183">
        <v>9698526.9399999995</v>
      </c>
      <c r="L229" s="183">
        <v>9136837.7100000009</v>
      </c>
      <c r="M229" s="183">
        <v>9154314.9900000002</v>
      </c>
      <c r="N229" s="183">
        <v>19220994.18</v>
      </c>
      <c r="O229" s="183">
        <v>19807783.050000001</v>
      </c>
      <c r="P229" s="183">
        <v>21348998.34</v>
      </c>
      <c r="Q229" s="183">
        <v>30098285.120000001</v>
      </c>
      <c r="R229" s="183">
        <v>31483489.199999999</v>
      </c>
      <c r="S229" s="184">
        <f t="shared" si="49"/>
        <v>13861989.816249998</v>
      </c>
      <c r="U229" s="65">
        <f>+S229</f>
        <v>13861989.816249998</v>
      </c>
      <c r="V229" s="103"/>
      <c r="W229" s="103"/>
      <c r="X229" s="599"/>
      <c r="Y229" s="103"/>
      <c r="Z229" s="103"/>
      <c r="AA229" s="65"/>
      <c r="AB229" s="103"/>
      <c r="AD229" s="42">
        <f>+S229</f>
        <v>13861989.816249998</v>
      </c>
      <c r="AF229" s="6"/>
    </row>
    <row r="230" spans="1:32">
      <c r="A230" s="2">
        <f t="shared" si="44"/>
        <v>213</v>
      </c>
      <c r="B230" s="688" t="s">
        <v>2330</v>
      </c>
      <c r="C230" s="688" t="s">
        <v>2347</v>
      </c>
      <c r="D230" s="688" t="s">
        <v>2382</v>
      </c>
      <c r="E230" s="182" t="s">
        <v>2781</v>
      </c>
      <c r="F230" s="183">
        <v>1352982.12</v>
      </c>
      <c r="G230" s="183">
        <v>1391041.69</v>
      </c>
      <c r="H230" s="183">
        <v>1287805.9099999999</v>
      </c>
      <c r="I230" s="183">
        <v>1070799.54</v>
      </c>
      <c r="J230" s="183">
        <v>1036590.85</v>
      </c>
      <c r="K230" s="183">
        <v>1041406.63</v>
      </c>
      <c r="L230" s="183">
        <v>1016925.27</v>
      </c>
      <c r="M230" s="183">
        <v>1025071.85</v>
      </c>
      <c r="N230" s="183">
        <v>1031875.19</v>
      </c>
      <c r="O230" s="183">
        <v>1157124.3700000001</v>
      </c>
      <c r="P230" s="183">
        <v>1200345.21</v>
      </c>
      <c r="Q230" s="183">
        <v>1185662.49</v>
      </c>
      <c r="R230" s="183">
        <v>1295514.8</v>
      </c>
      <c r="S230" s="184">
        <f t="shared" si="49"/>
        <v>1147408.1216666664</v>
      </c>
      <c r="U230" s="65">
        <f>+S230</f>
        <v>1147408.1216666664</v>
      </c>
      <c r="V230" s="103"/>
      <c r="W230" s="103"/>
      <c r="X230" s="599"/>
      <c r="Y230" s="103"/>
      <c r="Z230" s="103"/>
      <c r="AA230" s="65"/>
      <c r="AB230" s="103"/>
      <c r="AD230" s="42">
        <f>+S230</f>
        <v>1147408.1216666664</v>
      </c>
      <c r="AF230" s="6"/>
    </row>
    <row r="231" spans="1:32">
      <c r="A231" s="2">
        <f t="shared" si="44"/>
        <v>214</v>
      </c>
      <c r="B231" s="688" t="s">
        <v>2342</v>
      </c>
      <c r="C231" s="688" t="s">
        <v>2347</v>
      </c>
      <c r="D231" s="688" t="s">
        <v>2384</v>
      </c>
      <c r="E231" s="182" t="s">
        <v>2782</v>
      </c>
      <c r="F231" s="183">
        <v>-3214.81</v>
      </c>
      <c r="G231" s="183">
        <v>-3161.23</v>
      </c>
      <c r="H231" s="183">
        <v>-3107.65</v>
      </c>
      <c r="I231" s="183">
        <v>-3054.07</v>
      </c>
      <c r="J231" s="183">
        <v>-3000.49</v>
      </c>
      <c r="K231" s="183">
        <v>-2946.91</v>
      </c>
      <c r="L231" s="183">
        <v>-2893.33</v>
      </c>
      <c r="M231" s="183">
        <v>-2839.75</v>
      </c>
      <c r="N231" s="183">
        <v>-2786.17</v>
      </c>
      <c r="O231" s="183">
        <v>-2732.59</v>
      </c>
      <c r="P231" s="183">
        <v>-2679.01</v>
      </c>
      <c r="Q231" s="183">
        <v>-2625.43</v>
      </c>
      <c r="R231" s="183">
        <v>-2571.85</v>
      </c>
      <c r="S231" s="184">
        <f t="shared" si="49"/>
        <v>-2893.33</v>
      </c>
      <c r="U231" s="65"/>
      <c r="V231" s="103"/>
      <c r="W231" s="103"/>
      <c r="X231" s="599">
        <f>+S231</f>
        <v>-2893.33</v>
      </c>
      <c r="Y231" s="103"/>
      <c r="Z231" s="103"/>
      <c r="AA231" s="65"/>
      <c r="AB231" s="103">
        <f>+S231</f>
        <v>-2893.33</v>
      </c>
      <c r="AD231" s="42"/>
      <c r="AF231" s="6"/>
    </row>
    <row r="232" spans="1:32">
      <c r="A232" s="2">
        <f t="shared" si="44"/>
        <v>215</v>
      </c>
      <c r="B232" s="688" t="s">
        <v>2342</v>
      </c>
      <c r="C232" s="688" t="s">
        <v>2347</v>
      </c>
      <c r="D232" s="688" t="s">
        <v>2386</v>
      </c>
      <c r="E232" s="182" t="s">
        <v>2783</v>
      </c>
      <c r="F232" s="183">
        <v>4.0000000000048899E-2</v>
      </c>
      <c r="G232" s="183">
        <v>0.02</v>
      </c>
      <c r="H232" s="183">
        <v>7.0000000000000007E-2</v>
      </c>
      <c r="I232" s="183">
        <v>0.09</v>
      </c>
      <c r="J232" s="183">
        <v>7.0000000000000007E-2</v>
      </c>
      <c r="K232" s="183">
        <v>0.09</v>
      </c>
      <c r="L232" s="183">
        <v>0.11</v>
      </c>
      <c r="M232" s="183">
        <v>0.08</v>
      </c>
      <c r="N232" s="183">
        <v>0.08</v>
      </c>
      <c r="O232" s="183">
        <v>0.05</v>
      </c>
      <c r="P232" s="183">
        <v>0.05</v>
      </c>
      <c r="Q232" s="183">
        <v>0.04</v>
      </c>
      <c r="R232" s="183">
        <v>7.0000000000000007E-2</v>
      </c>
      <c r="S232" s="184">
        <f t="shared" si="49"/>
        <v>6.7083333333335368E-2</v>
      </c>
      <c r="U232" s="65"/>
      <c r="V232" s="103"/>
      <c r="W232" s="103"/>
      <c r="X232" s="599">
        <f>+S232</f>
        <v>6.7083333333335368E-2</v>
      </c>
      <c r="Y232" s="103"/>
      <c r="Z232" s="103"/>
      <c r="AA232" s="65"/>
      <c r="AB232" s="103">
        <f>+S232</f>
        <v>6.7083333333335368E-2</v>
      </c>
      <c r="AD232" s="42"/>
      <c r="AF232" s="6"/>
    </row>
    <row r="233" spans="1:32">
      <c r="A233" s="2">
        <f t="shared" si="44"/>
        <v>216</v>
      </c>
      <c r="B233" s="688" t="s">
        <v>2342</v>
      </c>
      <c r="C233" s="688" t="s">
        <v>2347</v>
      </c>
      <c r="D233" s="688" t="s">
        <v>2358</v>
      </c>
      <c r="E233" s="182" t="s">
        <v>2784</v>
      </c>
      <c r="F233" s="183">
        <v>3766.09</v>
      </c>
      <c r="G233" s="183">
        <v>3869</v>
      </c>
      <c r="H233" s="183">
        <v>3869</v>
      </c>
      <c r="I233" s="183">
        <v>3917.89</v>
      </c>
      <c r="J233" s="183">
        <v>3917.89</v>
      </c>
      <c r="K233" s="183">
        <v>3945.52</v>
      </c>
      <c r="L233" s="183">
        <v>3945.52</v>
      </c>
      <c r="M233" s="183">
        <v>3945.52</v>
      </c>
      <c r="N233" s="183">
        <v>4018.27</v>
      </c>
      <c r="O233" s="183">
        <v>2673.42</v>
      </c>
      <c r="P233" s="183">
        <v>2854.68</v>
      </c>
      <c r="Q233" s="183">
        <v>2854.68</v>
      </c>
      <c r="R233" s="183">
        <v>2854.68</v>
      </c>
      <c r="S233" s="184">
        <f t="shared" si="49"/>
        <v>3593.4812500000003</v>
      </c>
      <c r="U233" s="65"/>
      <c r="V233" s="103"/>
      <c r="W233" s="103"/>
      <c r="X233" s="599">
        <f>+S233</f>
        <v>3593.4812500000003</v>
      </c>
      <c r="Y233" s="103"/>
      <c r="Z233" s="103">
        <f>+X233</f>
        <v>3593.4812500000003</v>
      </c>
      <c r="AA233" s="65"/>
      <c r="AB233" s="103"/>
      <c r="AD233" s="42"/>
      <c r="AF233" s="6"/>
    </row>
    <row r="234" spans="1:32">
      <c r="A234" s="2">
        <f t="shared" si="44"/>
        <v>217</v>
      </c>
      <c r="B234" s="688" t="s">
        <v>2342</v>
      </c>
      <c r="C234" s="688" t="s">
        <v>2347</v>
      </c>
      <c r="D234" s="688" t="s">
        <v>2360</v>
      </c>
      <c r="E234" s="182" t="s">
        <v>2785</v>
      </c>
      <c r="F234" s="183">
        <v>-8.5265128291211997E-14</v>
      </c>
      <c r="G234" s="183">
        <v>0</v>
      </c>
      <c r="H234" s="183">
        <v>0</v>
      </c>
      <c r="I234" s="183">
        <v>0</v>
      </c>
      <c r="J234" s="183">
        <v>0</v>
      </c>
      <c r="K234" s="183">
        <v>0</v>
      </c>
      <c r="L234" s="183">
        <v>0</v>
      </c>
      <c r="M234" s="183">
        <v>0</v>
      </c>
      <c r="N234" s="183">
        <v>0</v>
      </c>
      <c r="O234" s="183">
        <v>0</v>
      </c>
      <c r="P234" s="183">
        <v>0</v>
      </c>
      <c r="Q234" s="183">
        <v>0</v>
      </c>
      <c r="R234" s="183">
        <v>0</v>
      </c>
      <c r="S234" s="184">
        <f t="shared" si="49"/>
        <v>-3.5527136788004997E-15</v>
      </c>
      <c r="U234" s="65"/>
      <c r="V234" s="103"/>
      <c r="W234" s="103"/>
      <c r="X234" s="599">
        <f>+S234</f>
        <v>-3.5527136788004997E-15</v>
      </c>
      <c r="Y234" s="103"/>
      <c r="Z234" s="103">
        <f>+X234</f>
        <v>-3.5527136788004997E-15</v>
      </c>
      <c r="AA234" s="65"/>
      <c r="AB234" s="103"/>
      <c r="AD234" s="42"/>
      <c r="AF234" s="6"/>
    </row>
    <row r="235" spans="1:32">
      <c r="A235" s="2">
        <f t="shared" si="44"/>
        <v>218</v>
      </c>
      <c r="B235" s="688" t="s">
        <v>2342</v>
      </c>
      <c r="C235" s="688" t="s">
        <v>2347</v>
      </c>
      <c r="D235" s="688" t="s">
        <v>2388</v>
      </c>
      <c r="E235" s="182" t="s">
        <v>2786</v>
      </c>
      <c r="F235" s="183">
        <v>62526.15</v>
      </c>
      <c r="G235" s="183">
        <v>62098.6</v>
      </c>
      <c r="H235" s="183">
        <v>61777.79</v>
      </c>
      <c r="I235" s="183">
        <v>61960.25</v>
      </c>
      <c r="J235" s="183">
        <v>61714.6</v>
      </c>
      <c r="K235" s="183">
        <v>61419.24</v>
      </c>
      <c r="L235" s="183">
        <v>61011.97</v>
      </c>
      <c r="M235" s="183">
        <v>75785.81</v>
      </c>
      <c r="N235" s="183">
        <v>75470.59</v>
      </c>
      <c r="O235" s="183">
        <v>75106.820000000007</v>
      </c>
      <c r="P235" s="183">
        <v>74763.97</v>
      </c>
      <c r="Q235" s="183">
        <v>74652.06</v>
      </c>
      <c r="R235" s="183">
        <v>76474.55</v>
      </c>
      <c r="S235" s="184">
        <f t="shared" si="49"/>
        <v>67938.50416666668</v>
      </c>
      <c r="U235" s="65"/>
      <c r="V235" s="103"/>
      <c r="W235" s="103"/>
      <c r="X235" s="599">
        <f>+S235</f>
        <v>67938.50416666668</v>
      </c>
      <c r="Y235" s="103"/>
      <c r="Z235" s="103"/>
      <c r="AA235" s="65"/>
      <c r="AB235" s="103">
        <f>+S235</f>
        <v>67938.50416666668</v>
      </c>
      <c r="AD235" s="42"/>
      <c r="AF235" s="6"/>
    </row>
    <row r="236" spans="1:32">
      <c r="A236" s="2">
        <f t="shared" si="44"/>
        <v>219</v>
      </c>
      <c r="B236" s="688" t="s">
        <v>2342</v>
      </c>
      <c r="C236" s="688" t="s">
        <v>2347</v>
      </c>
      <c r="D236" s="688" t="s">
        <v>2390</v>
      </c>
      <c r="E236" s="182" t="s">
        <v>2787</v>
      </c>
      <c r="F236" s="183">
        <v>450177.49</v>
      </c>
      <c r="G236" s="183">
        <v>448618.88</v>
      </c>
      <c r="H236" s="183">
        <v>447441.47</v>
      </c>
      <c r="I236" s="183">
        <v>841648.26</v>
      </c>
      <c r="J236" s="183">
        <v>849971.33</v>
      </c>
      <c r="K236" s="183">
        <v>848872.91</v>
      </c>
      <c r="L236" s="183">
        <v>799710.51</v>
      </c>
      <c r="M236" s="183">
        <v>801240.22</v>
      </c>
      <c r="N236" s="183">
        <v>1682336.08</v>
      </c>
      <c r="O236" s="183">
        <v>1733695.35</v>
      </c>
      <c r="P236" s="183">
        <v>1868591.71</v>
      </c>
      <c r="Q236" s="183">
        <v>2634381.5099999998</v>
      </c>
      <c r="R236" s="183">
        <v>2755622.86</v>
      </c>
      <c r="S236" s="184">
        <f t="shared" si="49"/>
        <v>1213284.0337499997</v>
      </c>
      <c r="U236" s="65">
        <f>+S236</f>
        <v>1213284.0337499997</v>
      </c>
      <c r="V236" s="103"/>
      <c r="W236" s="103"/>
      <c r="X236" s="599"/>
      <c r="Y236" s="103"/>
      <c r="Z236" s="103"/>
      <c r="AA236" s="65"/>
      <c r="AB236" s="103"/>
      <c r="AD236" s="42">
        <f>+S236</f>
        <v>1213284.0337499997</v>
      </c>
      <c r="AF236" s="6"/>
    </row>
    <row r="237" spans="1:32">
      <c r="A237" s="2">
        <f t="shared" si="44"/>
        <v>220</v>
      </c>
      <c r="B237" s="688" t="s">
        <v>2342</v>
      </c>
      <c r="C237" s="688" t="s">
        <v>2347</v>
      </c>
      <c r="D237" s="688" t="s">
        <v>843</v>
      </c>
      <c r="E237" s="182" t="s">
        <v>2788</v>
      </c>
      <c r="F237" s="183">
        <v>118421.05</v>
      </c>
      <c r="G237" s="183">
        <v>121752.26</v>
      </c>
      <c r="H237" s="183">
        <v>112716.44</v>
      </c>
      <c r="I237" s="183">
        <v>93722.72</v>
      </c>
      <c r="J237" s="183">
        <v>90728.58</v>
      </c>
      <c r="K237" s="183">
        <v>91150.080000000002</v>
      </c>
      <c r="L237" s="183">
        <v>89007.33</v>
      </c>
      <c r="M237" s="183">
        <v>89720.37</v>
      </c>
      <c r="N237" s="183">
        <v>90315.83</v>
      </c>
      <c r="O237" s="183">
        <v>101278.39999999999</v>
      </c>
      <c r="P237" s="183">
        <v>105061.35</v>
      </c>
      <c r="Q237" s="183">
        <v>103776.23</v>
      </c>
      <c r="R237" s="183">
        <v>113391.16</v>
      </c>
      <c r="S237" s="184">
        <f t="shared" si="49"/>
        <v>100427.97458333334</v>
      </c>
      <c r="U237" s="65">
        <f>+S237</f>
        <v>100427.97458333334</v>
      </c>
      <c r="V237" s="103"/>
      <c r="W237" s="103"/>
      <c r="X237" s="599"/>
      <c r="Y237" s="103"/>
      <c r="Z237" s="103"/>
      <c r="AA237" s="65"/>
      <c r="AB237" s="103"/>
      <c r="AD237" s="42">
        <f>+S237</f>
        <v>100427.97458333334</v>
      </c>
      <c r="AF237" s="6"/>
    </row>
    <row r="238" spans="1:32">
      <c r="A238" s="2">
        <f t="shared" si="44"/>
        <v>221</v>
      </c>
      <c r="B238" s="688" t="s">
        <v>2342</v>
      </c>
      <c r="C238" s="688" t="s">
        <v>2347</v>
      </c>
      <c r="D238" s="688" t="s">
        <v>2348</v>
      </c>
      <c r="E238" s="182" t="s">
        <v>2777</v>
      </c>
      <c r="F238" s="183">
        <v>43028.38</v>
      </c>
      <c r="G238" s="183">
        <v>44204.09</v>
      </c>
      <c r="H238" s="183">
        <v>44204.09</v>
      </c>
      <c r="I238" s="183">
        <v>44762.7</v>
      </c>
      <c r="J238" s="183">
        <v>44762.7</v>
      </c>
      <c r="K238" s="183">
        <v>45078.44</v>
      </c>
      <c r="L238" s="183">
        <v>45078.44</v>
      </c>
      <c r="M238" s="183">
        <v>45078.44</v>
      </c>
      <c r="N238" s="183">
        <v>45909.57</v>
      </c>
      <c r="O238" s="183">
        <v>30544.41</v>
      </c>
      <c r="P238" s="183">
        <v>32615.37</v>
      </c>
      <c r="Q238" s="183">
        <v>32615.37</v>
      </c>
      <c r="R238" s="183">
        <v>32615.37</v>
      </c>
      <c r="S238" s="184">
        <f t="shared" si="49"/>
        <v>41056.291250000002</v>
      </c>
      <c r="U238" s="65"/>
      <c r="V238" s="103"/>
      <c r="W238" s="103"/>
      <c r="X238" s="599">
        <f>+S238</f>
        <v>41056.291250000002</v>
      </c>
      <c r="Y238" s="103"/>
      <c r="Z238" s="103">
        <f>+X238</f>
        <v>41056.291250000002</v>
      </c>
      <c r="AA238" s="65"/>
      <c r="AB238" s="103"/>
      <c r="AD238" s="42"/>
      <c r="AF238" s="6"/>
    </row>
    <row r="239" spans="1:32">
      <c r="A239" s="2">
        <f t="shared" si="44"/>
        <v>222</v>
      </c>
      <c r="B239" s="688" t="s">
        <v>2342</v>
      </c>
      <c r="C239" s="688" t="s">
        <v>2347</v>
      </c>
      <c r="D239" s="688" t="s">
        <v>2352</v>
      </c>
      <c r="E239" s="182" t="s">
        <v>2789</v>
      </c>
      <c r="F239" s="183">
        <v>-1.1368683772161601E-12</v>
      </c>
      <c r="G239" s="183">
        <v>0</v>
      </c>
      <c r="H239" s="183">
        <v>0</v>
      </c>
      <c r="I239" s="183">
        <v>0</v>
      </c>
      <c r="J239" s="183">
        <v>0</v>
      </c>
      <c r="K239" s="183">
        <v>0</v>
      </c>
      <c r="L239" s="183">
        <v>0</v>
      </c>
      <c r="M239" s="183">
        <v>0</v>
      </c>
      <c r="N239" s="183">
        <v>0</v>
      </c>
      <c r="O239" s="183">
        <v>0</v>
      </c>
      <c r="P239" s="183">
        <v>0</v>
      </c>
      <c r="Q239" s="183">
        <v>0</v>
      </c>
      <c r="R239" s="183">
        <v>0</v>
      </c>
      <c r="S239" s="184">
        <f t="shared" si="49"/>
        <v>-4.7369515717340002E-14</v>
      </c>
      <c r="U239" s="65"/>
      <c r="V239" s="103"/>
      <c r="W239" s="103"/>
      <c r="X239" s="599">
        <f>+S239</f>
        <v>-4.7369515717340002E-14</v>
      </c>
      <c r="Y239" s="103"/>
      <c r="Z239" s="103">
        <f>+X239</f>
        <v>-4.7369515717340002E-14</v>
      </c>
      <c r="AA239" s="65"/>
      <c r="AB239" s="103"/>
      <c r="AD239" s="42"/>
      <c r="AF239" s="6"/>
    </row>
    <row r="240" spans="1:32">
      <c r="A240" s="2">
        <f t="shared" si="44"/>
        <v>223</v>
      </c>
      <c r="B240" s="688" t="s">
        <v>2324</v>
      </c>
      <c r="C240" s="688" t="s">
        <v>2347</v>
      </c>
      <c r="D240" s="688" t="s">
        <v>2348</v>
      </c>
      <c r="E240" s="182" t="s">
        <v>2777</v>
      </c>
      <c r="F240" s="183">
        <v>-6.0595084505621305E-11</v>
      </c>
      <c r="G240" s="183">
        <v>0</v>
      </c>
      <c r="H240" s="183">
        <v>0</v>
      </c>
      <c r="I240" s="183">
        <v>0</v>
      </c>
      <c r="J240" s="183">
        <v>0</v>
      </c>
      <c r="K240" s="183">
        <v>0</v>
      </c>
      <c r="L240" s="183">
        <v>0</v>
      </c>
      <c r="M240" s="183">
        <v>0</v>
      </c>
      <c r="N240" s="183">
        <v>0</v>
      </c>
      <c r="O240" s="183">
        <v>0</v>
      </c>
      <c r="P240" s="183">
        <v>0</v>
      </c>
      <c r="Q240" s="183">
        <v>0</v>
      </c>
      <c r="R240" s="183">
        <v>0</v>
      </c>
      <c r="S240" s="184">
        <f t="shared" si="49"/>
        <v>-2.5247951877342209E-12</v>
      </c>
      <c r="U240" s="65"/>
      <c r="V240" s="103"/>
      <c r="W240" s="103"/>
      <c r="X240" s="599">
        <f>+S240</f>
        <v>-2.5247951877342209E-12</v>
      </c>
      <c r="Y240" s="103">
        <f>+X240</f>
        <v>-2.5247951877342209E-12</v>
      </c>
      <c r="Z240" s="103"/>
      <c r="AA240" s="65"/>
      <c r="AB240" s="103"/>
      <c r="AD240" s="42"/>
      <c r="AF240" s="6"/>
    </row>
    <row r="241" spans="1:32">
      <c r="A241" s="2">
        <f t="shared" si="44"/>
        <v>224</v>
      </c>
      <c r="B241" s="688" t="s">
        <v>2324</v>
      </c>
      <c r="C241" s="688" t="s">
        <v>2347</v>
      </c>
      <c r="D241" s="688" t="s">
        <v>2352</v>
      </c>
      <c r="E241" s="182" t="s">
        <v>2789</v>
      </c>
      <c r="F241" s="183">
        <v>138173.84</v>
      </c>
      <c r="G241" s="183">
        <v>135870.94</v>
      </c>
      <c r="H241" s="183">
        <v>133568.04</v>
      </c>
      <c r="I241" s="183">
        <v>131265.15</v>
      </c>
      <c r="J241" s="183">
        <v>128962.25</v>
      </c>
      <c r="K241" s="183">
        <v>126659.35</v>
      </c>
      <c r="L241" s="183">
        <v>124356.46</v>
      </c>
      <c r="M241" s="183">
        <v>122053.56</v>
      </c>
      <c r="N241" s="183">
        <v>119750.66</v>
      </c>
      <c r="O241" s="183">
        <v>117447.77</v>
      </c>
      <c r="P241" s="183">
        <v>115144.87</v>
      </c>
      <c r="Q241" s="183">
        <v>112841.97</v>
      </c>
      <c r="R241" s="183">
        <v>110539.08</v>
      </c>
      <c r="S241" s="184">
        <f t="shared" si="49"/>
        <v>124356.45666666665</v>
      </c>
      <c r="U241" s="65"/>
      <c r="V241" s="103"/>
      <c r="W241" s="103"/>
      <c r="X241" s="599">
        <f>+S241</f>
        <v>124356.45666666665</v>
      </c>
      <c r="Y241" s="103">
        <f>+X241</f>
        <v>124356.45666666665</v>
      </c>
      <c r="Z241" s="103"/>
      <c r="AA241" s="65"/>
      <c r="AB241" s="103"/>
      <c r="AD241" s="42"/>
      <c r="AF241" s="6"/>
    </row>
    <row r="242" spans="1:32">
      <c r="A242" s="2">
        <f t="shared" si="44"/>
        <v>225</v>
      </c>
      <c r="B242" s="688"/>
      <c r="C242" s="688"/>
      <c r="D242" s="688"/>
      <c r="E242" s="182"/>
      <c r="F242" s="183"/>
      <c r="G242" s="183"/>
      <c r="H242" s="183"/>
      <c r="I242" s="183"/>
      <c r="J242" s="183"/>
      <c r="K242" s="183"/>
      <c r="L242" s="183"/>
      <c r="M242" s="183"/>
      <c r="N242" s="183"/>
      <c r="O242" s="183"/>
      <c r="P242" s="183"/>
      <c r="Q242" s="183"/>
      <c r="R242" s="183"/>
      <c r="S242" s="47"/>
      <c r="U242" s="65"/>
      <c r="V242" s="103"/>
      <c r="W242" s="103"/>
      <c r="X242" s="599"/>
      <c r="Y242" s="103"/>
      <c r="Z242" s="103"/>
      <c r="AA242" s="65"/>
      <c r="AB242" s="103"/>
      <c r="AD242" s="42"/>
      <c r="AF242" s="6"/>
    </row>
    <row r="243" spans="1:32">
      <c r="A243" s="2">
        <f t="shared" si="44"/>
        <v>226</v>
      </c>
      <c r="B243" s="1" t="s">
        <v>2342</v>
      </c>
      <c r="C243" s="1" t="s">
        <v>2790</v>
      </c>
      <c r="D243" s="1" t="s">
        <v>2539</v>
      </c>
      <c r="E243" s="697" t="s">
        <v>2791</v>
      </c>
      <c r="F243" s="183">
        <v>0</v>
      </c>
      <c r="G243" s="198">
        <v>0</v>
      </c>
      <c r="H243" s="188">
        <v>0</v>
      </c>
      <c r="I243" s="188">
        <v>0</v>
      </c>
      <c r="J243" s="189">
        <v>0</v>
      </c>
      <c r="K243" s="190">
        <v>0</v>
      </c>
      <c r="L243" s="191">
        <v>0</v>
      </c>
      <c r="M243" s="192">
        <v>0</v>
      </c>
      <c r="N243" s="193">
        <v>0</v>
      </c>
      <c r="O243" s="689">
        <v>0</v>
      </c>
      <c r="P243" s="194">
        <v>0</v>
      </c>
      <c r="Q243" s="199">
        <v>0</v>
      </c>
      <c r="R243" s="183">
        <v>0</v>
      </c>
      <c r="S243" s="184">
        <f t="shared" ref="S243:S254" si="50">((F243+R243)+((G243+H243+I243+J243+K243+L243+M243+N243+O243+P243+Q243)*2))/24</f>
        <v>0</v>
      </c>
      <c r="U243" s="65"/>
      <c r="V243" s="103"/>
      <c r="W243" s="103"/>
      <c r="X243" s="599">
        <f>+S243</f>
        <v>0</v>
      </c>
      <c r="Y243" s="103"/>
      <c r="Z243" s="103"/>
      <c r="AA243" s="65"/>
      <c r="AB243" s="103">
        <f>+S243</f>
        <v>0</v>
      </c>
      <c r="AF243" s="6"/>
    </row>
    <row r="244" spans="1:32">
      <c r="A244" s="2">
        <f t="shared" si="44"/>
        <v>227</v>
      </c>
      <c r="B244" s="1" t="s">
        <v>2342</v>
      </c>
      <c r="C244" s="688" t="s">
        <v>2790</v>
      </c>
      <c r="D244" s="688" t="s">
        <v>2792</v>
      </c>
      <c r="E244" s="182" t="s">
        <v>2793</v>
      </c>
      <c r="F244" s="183">
        <v>9059399.1400000006</v>
      </c>
      <c r="G244" s="183">
        <v>28131599.579999998</v>
      </c>
      <c r="H244" s="183">
        <v>30976297.850000001</v>
      </c>
      <c r="I244" s="183">
        <v>31160156.620000001</v>
      </c>
      <c r="J244" s="183">
        <v>30258405.559999999</v>
      </c>
      <c r="K244" s="183">
        <v>29725503.84</v>
      </c>
      <c r="L244" s="183">
        <v>29288685.789999999</v>
      </c>
      <c r="M244" s="183">
        <v>29355721.260000002</v>
      </c>
      <c r="N244" s="183">
        <v>29112790.02</v>
      </c>
      <c r="O244" s="183">
        <v>28776985.789999999</v>
      </c>
      <c r="P244" s="183">
        <v>27852572.07</v>
      </c>
      <c r="Q244" s="183">
        <v>-470609.10999999603</v>
      </c>
      <c r="R244" s="183">
        <v>-280560.199999996</v>
      </c>
      <c r="S244" s="184">
        <f t="shared" si="50"/>
        <v>24879794.061666667</v>
      </c>
      <c r="U244" s="65"/>
      <c r="V244" s="103"/>
      <c r="W244" s="103"/>
      <c r="X244" s="599">
        <f>+S244</f>
        <v>24879794.061666667</v>
      </c>
      <c r="Y244" s="103"/>
      <c r="Z244" s="103"/>
      <c r="AA244" s="65"/>
      <c r="AB244" s="103">
        <f>+S244</f>
        <v>24879794.061666667</v>
      </c>
      <c r="AF244" s="6"/>
    </row>
    <row r="245" spans="1:32">
      <c r="A245" s="2">
        <f t="shared" si="44"/>
        <v>228</v>
      </c>
      <c r="B245" s="1" t="s">
        <v>2342</v>
      </c>
      <c r="C245" s="688" t="s">
        <v>2790</v>
      </c>
      <c r="D245" s="688" t="s">
        <v>2794</v>
      </c>
      <c r="E245" s="182" t="s">
        <v>2795</v>
      </c>
      <c r="F245" s="183">
        <v>330445.27</v>
      </c>
      <c r="G245" s="183">
        <v>-1844712.19</v>
      </c>
      <c r="H245" s="183">
        <v>-2474743.06</v>
      </c>
      <c r="I245" s="183">
        <v>-2682441.14</v>
      </c>
      <c r="J245" s="183">
        <v>-2692843.56</v>
      </c>
      <c r="K245" s="183">
        <v>-2257158.9700000002</v>
      </c>
      <c r="L245" s="183">
        <v>-1856830.55</v>
      </c>
      <c r="M245" s="183">
        <v>-1215048.8999999999</v>
      </c>
      <c r="N245" s="183">
        <v>-653146.91</v>
      </c>
      <c r="O245" s="183">
        <v>-256529.45</v>
      </c>
      <c r="P245" s="183">
        <v>-411499.23</v>
      </c>
      <c r="Q245" s="183">
        <v>944018.49</v>
      </c>
      <c r="R245" s="183">
        <v>-238865.25</v>
      </c>
      <c r="S245" s="184">
        <f t="shared" si="50"/>
        <v>-1279595.4550000003</v>
      </c>
      <c r="U245" s="65"/>
      <c r="V245" s="103"/>
      <c r="W245" s="103"/>
      <c r="X245" s="599">
        <f t="shared" ref="X245:X254" si="51">+S245</f>
        <v>-1279595.4550000003</v>
      </c>
      <c r="Y245" s="103"/>
      <c r="Z245" s="103"/>
      <c r="AA245" s="65"/>
      <c r="AB245" s="103">
        <f t="shared" ref="AB245:AB254" si="52">+S245</f>
        <v>-1279595.4550000003</v>
      </c>
      <c r="AF245" s="6"/>
    </row>
    <row r="246" spans="1:32">
      <c r="A246" s="2">
        <f t="shared" si="44"/>
        <v>229</v>
      </c>
      <c r="B246" s="1" t="s">
        <v>2342</v>
      </c>
      <c r="C246" s="688" t="s">
        <v>2790</v>
      </c>
      <c r="D246" s="688" t="s">
        <v>2796</v>
      </c>
      <c r="E246" s="182" t="s">
        <v>2797</v>
      </c>
      <c r="F246" s="183">
        <v>8086812.3300000001</v>
      </c>
      <c r="G246" s="183">
        <v>6270952.2300000004</v>
      </c>
      <c r="H246" s="183">
        <v>4353407.9000000004</v>
      </c>
      <c r="I246" s="183">
        <v>2768419.08</v>
      </c>
      <c r="J246" s="183">
        <v>1503115.08</v>
      </c>
      <c r="K246" s="183">
        <v>1100059.31</v>
      </c>
      <c r="L246" s="183">
        <v>660139.24</v>
      </c>
      <c r="M246" s="183">
        <v>456786.64</v>
      </c>
      <c r="N246" s="183">
        <v>161402.87</v>
      </c>
      <c r="O246" s="183">
        <v>-272172.73</v>
      </c>
      <c r="P246" s="183">
        <v>-1292099.6100000001</v>
      </c>
      <c r="Q246" s="183">
        <v>23596631.149999999</v>
      </c>
      <c r="R246" s="183">
        <v>20116375.440000001</v>
      </c>
      <c r="S246" s="184">
        <f t="shared" si="50"/>
        <v>4450686.2537500001</v>
      </c>
      <c r="U246" s="65"/>
      <c r="V246" s="103"/>
      <c r="W246" s="103"/>
      <c r="X246" s="599">
        <f t="shared" si="51"/>
        <v>4450686.2537500001</v>
      </c>
      <c r="Y246" s="103"/>
      <c r="Z246" s="103"/>
      <c r="AA246" s="65"/>
      <c r="AB246" s="103">
        <f t="shared" si="52"/>
        <v>4450686.2537500001</v>
      </c>
      <c r="AF246" s="6"/>
    </row>
    <row r="247" spans="1:32">
      <c r="A247" s="2">
        <f t="shared" si="44"/>
        <v>230</v>
      </c>
      <c r="B247" s="1" t="s">
        <v>2342</v>
      </c>
      <c r="C247" s="688" t="s">
        <v>2790</v>
      </c>
      <c r="D247" s="688" t="s">
        <v>2798</v>
      </c>
      <c r="E247" s="182" t="s">
        <v>2799</v>
      </c>
      <c r="F247" s="183">
        <v>1.45519152283669E-11</v>
      </c>
      <c r="G247" s="183">
        <v>0</v>
      </c>
      <c r="H247" s="183">
        <v>0</v>
      </c>
      <c r="I247" s="183">
        <v>0</v>
      </c>
      <c r="J247" s="183">
        <v>0</v>
      </c>
      <c r="K247" s="183">
        <v>0</v>
      </c>
      <c r="L247" s="183">
        <v>0</v>
      </c>
      <c r="M247" s="183">
        <v>0</v>
      </c>
      <c r="N247" s="183">
        <v>0</v>
      </c>
      <c r="O247" s="183">
        <v>0</v>
      </c>
      <c r="P247" s="183">
        <v>0</v>
      </c>
      <c r="Q247" s="183">
        <v>0</v>
      </c>
      <c r="R247" s="183">
        <v>0</v>
      </c>
      <c r="S247" s="184">
        <f t="shared" si="50"/>
        <v>6.0632980118195414E-13</v>
      </c>
      <c r="U247" s="65"/>
      <c r="V247" s="103"/>
      <c r="W247" s="103"/>
      <c r="X247" s="599">
        <f t="shared" si="51"/>
        <v>6.0632980118195414E-13</v>
      </c>
      <c r="Y247" s="103"/>
      <c r="Z247" s="103"/>
      <c r="AA247" s="65"/>
      <c r="AB247" s="103">
        <f t="shared" si="52"/>
        <v>6.0632980118195414E-13</v>
      </c>
      <c r="AF247" s="6"/>
    </row>
    <row r="248" spans="1:32">
      <c r="A248" s="2">
        <f t="shared" si="44"/>
        <v>231</v>
      </c>
      <c r="B248" s="1" t="s">
        <v>2324</v>
      </c>
      <c r="C248" s="688" t="s">
        <v>2790</v>
      </c>
      <c r="D248" s="688" t="s">
        <v>2537</v>
      </c>
      <c r="E248" s="182" t="s">
        <v>2791</v>
      </c>
      <c r="F248" s="183">
        <v>0</v>
      </c>
      <c r="G248" s="183">
        <v>0</v>
      </c>
      <c r="H248" s="183">
        <v>0</v>
      </c>
      <c r="I248" s="183">
        <v>0</v>
      </c>
      <c r="J248" s="183">
        <v>0</v>
      </c>
      <c r="K248" s="183">
        <v>0</v>
      </c>
      <c r="L248" s="183">
        <v>0</v>
      </c>
      <c r="M248" s="183">
        <v>0</v>
      </c>
      <c r="N248" s="183">
        <v>0</v>
      </c>
      <c r="O248" s="183">
        <v>0</v>
      </c>
      <c r="P248" s="183">
        <v>0</v>
      </c>
      <c r="Q248" s="183">
        <v>0</v>
      </c>
      <c r="R248" s="183">
        <v>0</v>
      </c>
      <c r="S248" s="184">
        <f t="shared" si="50"/>
        <v>0</v>
      </c>
      <c r="U248" s="65"/>
      <c r="V248" s="103"/>
      <c r="W248" s="103"/>
      <c r="X248" s="599">
        <f t="shared" si="51"/>
        <v>0</v>
      </c>
      <c r="Y248" s="103"/>
      <c r="Z248" s="103"/>
      <c r="AA248" s="65"/>
      <c r="AB248" s="103">
        <f t="shared" si="52"/>
        <v>0</v>
      </c>
      <c r="AF248" s="6"/>
    </row>
    <row r="249" spans="1:32">
      <c r="A249" s="2">
        <f t="shared" si="44"/>
        <v>232</v>
      </c>
      <c r="B249" s="1" t="s">
        <v>2324</v>
      </c>
      <c r="C249" s="688" t="s">
        <v>2790</v>
      </c>
      <c r="D249" s="688" t="s">
        <v>2800</v>
      </c>
      <c r="E249" s="182" t="s">
        <v>2793</v>
      </c>
      <c r="F249" s="183">
        <v>36313934.82</v>
      </c>
      <c r="G249" s="183">
        <v>143315118.16</v>
      </c>
      <c r="H249" s="183">
        <v>154990210.02000001</v>
      </c>
      <c r="I249" s="183">
        <v>156645302.25999999</v>
      </c>
      <c r="J249" s="183">
        <v>154028474.78999999</v>
      </c>
      <c r="K249" s="183">
        <v>152055579.22</v>
      </c>
      <c r="L249" s="183">
        <v>150519203.84999999</v>
      </c>
      <c r="M249" s="183">
        <v>151045650.38</v>
      </c>
      <c r="N249" s="183">
        <v>150816684.91</v>
      </c>
      <c r="O249" s="183">
        <v>149738412.34</v>
      </c>
      <c r="P249" s="183">
        <v>148232173.03999999</v>
      </c>
      <c r="Q249" s="183">
        <v>-3546453.63</v>
      </c>
      <c r="R249" s="183">
        <v>6839336.2000000002</v>
      </c>
      <c r="S249" s="184">
        <f t="shared" si="50"/>
        <v>127451415.90416665</v>
      </c>
      <c r="U249" s="65"/>
      <c r="V249" s="103"/>
      <c r="W249" s="103"/>
      <c r="X249" s="599">
        <f t="shared" si="51"/>
        <v>127451415.90416665</v>
      </c>
      <c r="Y249" s="103"/>
      <c r="Z249" s="103"/>
      <c r="AA249" s="65"/>
      <c r="AB249" s="103">
        <f t="shared" si="52"/>
        <v>127451415.90416665</v>
      </c>
      <c r="AF249" s="6"/>
    </row>
    <row r="250" spans="1:32">
      <c r="A250" s="2">
        <f t="shared" si="44"/>
        <v>233</v>
      </c>
      <c r="B250" s="1" t="s">
        <v>2324</v>
      </c>
      <c r="C250" s="688" t="s">
        <v>2790</v>
      </c>
      <c r="D250" s="688" t="s">
        <v>2801</v>
      </c>
      <c r="E250" s="182" t="s">
        <v>2795</v>
      </c>
      <c r="F250" s="183">
        <v>-324643.15999999997</v>
      </c>
      <c r="G250" s="183">
        <v>-16439776.15</v>
      </c>
      <c r="H250" s="183">
        <v>-19033669.039999999</v>
      </c>
      <c r="I250" s="183">
        <v>-20567735.670000002</v>
      </c>
      <c r="J250" s="183">
        <v>-20520345.949999999</v>
      </c>
      <c r="K250" s="183">
        <v>-18790411.850000001</v>
      </c>
      <c r="L250" s="183">
        <v>-16799744.93</v>
      </c>
      <c r="M250" s="183">
        <v>-14129497.27</v>
      </c>
      <c r="N250" s="183">
        <v>-11653003.82</v>
      </c>
      <c r="O250" s="183">
        <v>-9750428.4700000007</v>
      </c>
      <c r="P250" s="183">
        <v>-9115951.6099999994</v>
      </c>
      <c r="Q250" s="183">
        <v>3970779.55</v>
      </c>
      <c r="R250" s="183">
        <v>2097993.27</v>
      </c>
      <c r="S250" s="184">
        <f t="shared" si="50"/>
        <v>-12661925.846249998</v>
      </c>
      <c r="U250" s="65"/>
      <c r="V250" s="103"/>
      <c r="W250" s="103"/>
      <c r="X250" s="599">
        <f t="shared" si="51"/>
        <v>-12661925.846249998</v>
      </c>
      <c r="Y250" s="103"/>
      <c r="Z250" s="103"/>
      <c r="AA250" s="65"/>
      <c r="AB250" s="103">
        <f t="shared" si="52"/>
        <v>-12661925.846249998</v>
      </c>
      <c r="AD250" s="42"/>
      <c r="AF250" s="6"/>
    </row>
    <row r="251" spans="1:32">
      <c r="A251" s="2">
        <f t="shared" si="44"/>
        <v>234</v>
      </c>
      <c r="B251" s="1" t="s">
        <v>2324</v>
      </c>
      <c r="C251" s="688" t="s">
        <v>2790</v>
      </c>
      <c r="D251" s="688" t="s">
        <v>2802</v>
      </c>
      <c r="E251" s="182" t="s">
        <v>2797</v>
      </c>
      <c r="F251" s="183">
        <v>28642589.620000001</v>
      </c>
      <c r="G251" s="183">
        <v>22162494.510000002</v>
      </c>
      <c r="H251" s="183">
        <v>16603858.76</v>
      </c>
      <c r="I251" s="183">
        <v>11584786.59</v>
      </c>
      <c r="J251" s="183">
        <v>8400610.5700000003</v>
      </c>
      <c r="K251" s="183">
        <v>6733312.6100000003</v>
      </c>
      <c r="L251" s="183">
        <v>5397526.7000000002</v>
      </c>
      <c r="M251" s="183">
        <v>4621812.28</v>
      </c>
      <c r="N251" s="183">
        <v>3567841.26</v>
      </c>
      <c r="O251" s="183">
        <v>2118860.69</v>
      </c>
      <c r="P251" s="183">
        <v>-656486.04999999795</v>
      </c>
      <c r="Q251" s="183">
        <v>-13252818.01</v>
      </c>
      <c r="R251" s="183">
        <v>-11293700.24</v>
      </c>
      <c r="S251" s="184">
        <f t="shared" si="50"/>
        <v>6329687.0499999998</v>
      </c>
      <c r="U251" s="65"/>
      <c r="V251" s="103"/>
      <c r="W251" s="103"/>
      <c r="X251" s="599">
        <f t="shared" si="51"/>
        <v>6329687.0499999998</v>
      </c>
      <c r="Y251" s="103"/>
      <c r="Z251" s="103"/>
      <c r="AA251" s="65"/>
      <c r="AB251" s="103">
        <f t="shared" si="52"/>
        <v>6329687.0499999998</v>
      </c>
      <c r="AD251" s="42"/>
      <c r="AF251" s="6"/>
    </row>
    <row r="252" spans="1:32">
      <c r="A252" s="2">
        <f t="shared" si="44"/>
        <v>235</v>
      </c>
      <c r="B252" s="1" t="s">
        <v>2324</v>
      </c>
      <c r="C252" s="688" t="s">
        <v>2790</v>
      </c>
      <c r="D252" s="688" t="s">
        <v>2803</v>
      </c>
      <c r="E252" s="182" t="s">
        <v>2804</v>
      </c>
      <c r="F252" s="183">
        <v>-4.65661287307739E-10</v>
      </c>
      <c r="G252" s="183">
        <v>0</v>
      </c>
      <c r="H252" s="183">
        <v>0</v>
      </c>
      <c r="I252" s="183">
        <v>0</v>
      </c>
      <c r="J252" s="183">
        <v>0</v>
      </c>
      <c r="K252" s="183">
        <v>0</v>
      </c>
      <c r="L252" s="183">
        <v>0</v>
      </c>
      <c r="M252" s="183">
        <v>0</v>
      </c>
      <c r="N252" s="183">
        <v>0</v>
      </c>
      <c r="O252" s="183">
        <v>0</v>
      </c>
      <c r="P252" s="183">
        <v>0</v>
      </c>
      <c r="Q252" s="183">
        <v>0</v>
      </c>
      <c r="R252" s="183">
        <v>0</v>
      </c>
      <c r="S252" s="184">
        <f t="shared" si="50"/>
        <v>-1.9402553637822458E-11</v>
      </c>
      <c r="U252" s="65"/>
      <c r="V252" s="103"/>
      <c r="W252" s="103"/>
      <c r="X252" s="599">
        <f t="shared" si="51"/>
        <v>-1.9402553637822458E-11</v>
      </c>
      <c r="Y252" s="103"/>
      <c r="Z252" s="103"/>
      <c r="AA252" s="65"/>
      <c r="AB252" s="103">
        <f t="shared" si="52"/>
        <v>-1.9402553637822458E-11</v>
      </c>
      <c r="AD252" s="42"/>
      <c r="AF252" s="6"/>
    </row>
    <row r="253" spans="1:32">
      <c r="A253" s="2">
        <f t="shared" si="44"/>
        <v>236</v>
      </c>
      <c r="B253" s="1" t="s">
        <v>2324</v>
      </c>
      <c r="C253" s="688" t="s">
        <v>2790</v>
      </c>
      <c r="D253" s="688" t="s">
        <v>2805</v>
      </c>
      <c r="E253" s="182" t="s">
        <v>2806</v>
      </c>
      <c r="F253" s="183"/>
      <c r="G253" s="183"/>
      <c r="H253" s="183"/>
      <c r="I253" s="183"/>
      <c r="J253" s="183"/>
      <c r="K253" s="183"/>
      <c r="L253" s="183"/>
      <c r="M253" s="183"/>
      <c r="N253" s="183"/>
      <c r="O253" s="183"/>
      <c r="P253" s="183"/>
      <c r="Q253" s="183">
        <v>145511774.41</v>
      </c>
      <c r="R253" s="183">
        <v>135872662.06</v>
      </c>
      <c r="S253" s="184">
        <f t="shared" si="50"/>
        <v>17787342.120000001</v>
      </c>
      <c r="U253" s="65"/>
      <c r="V253" s="103"/>
      <c r="W253" s="103"/>
      <c r="X253" s="599">
        <f>+S253</f>
        <v>17787342.120000001</v>
      </c>
      <c r="Y253" s="103"/>
      <c r="Z253" s="103"/>
      <c r="AA253" s="65"/>
      <c r="AB253" s="103">
        <f>+X253</f>
        <v>17787342.120000001</v>
      </c>
      <c r="AD253" s="42"/>
      <c r="AF253" s="6"/>
    </row>
    <row r="254" spans="1:32">
      <c r="A254" s="2">
        <f t="shared" si="44"/>
        <v>237</v>
      </c>
      <c r="B254" s="1" t="s">
        <v>2324</v>
      </c>
      <c r="C254" s="1" t="s">
        <v>2790</v>
      </c>
      <c r="D254" s="1" t="s">
        <v>2798</v>
      </c>
      <c r="E254" s="697" t="s">
        <v>2799</v>
      </c>
      <c r="F254" s="183">
        <v>-6.9849193096160899E-10</v>
      </c>
      <c r="G254" s="198">
        <v>0</v>
      </c>
      <c r="H254" s="188">
        <v>0</v>
      </c>
      <c r="I254" s="188">
        <v>0</v>
      </c>
      <c r="J254" s="189">
        <v>0</v>
      </c>
      <c r="K254" s="190">
        <v>0</v>
      </c>
      <c r="L254" s="191">
        <v>0</v>
      </c>
      <c r="M254" s="192">
        <v>0</v>
      </c>
      <c r="N254" s="193">
        <v>0</v>
      </c>
      <c r="O254" s="689">
        <v>0</v>
      </c>
      <c r="P254" s="194">
        <v>0</v>
      </c>
      <c r="Q254" s="199">
        <v>0</v>
      </c>
      <c r="R254" s="183">
        <v>0</v>
      </c>
      <c r="S254" s="184">
        <f t="shared" si="50"/>
        <v>-2.910383045673371E-11</v>
      </c>
      <c r="U254" s="65"/>
      <c r="V254" s="103"/>
      <c r="W254" s="103"/>
      <c r="X254" s="599">
        <f t="shared" si="51"/>
        <v>-2.910383045673371E-11</v>
      </c>
      <c r="Y254" s="103"/>
      <c r="Z254" s="103"/>
      <c r="AA254" s="65"/>
      <c r="AB254" s="103">
        <f t="shared" si="52"/>
        <v>-2.910383045673371E-11</v>
      </c>
      <c r="AF254" s="6"/>
    </row>
    <row r="255" spans="1:32">
      <c r="A255" s="2">
        <f t="shared" si="44"/>
        <v>238</v>
      </c>
      <c r="E255" s="697"/>
      <c r="F255" s="183"/>
      <c r="G255" s="198"/>
      <c r="H255" s="188"/>
      <c r="I255" s="188"/>
      <c r="J255" s="189"/>
      <c r="K255" s="190"/>
      <c r="L255" s="191"/>
      <c r="M255" s="192"/>
      <c r="N255" s="193"/>
      <c r="O255" s="689"/>
      <c r="P255" s="194"/>
      <c r="Q255" s="199"/>
      <c r="R255" s="183"/>
      <c r="S255" s="184"/>
      <c r="U255" s="65"/>
      <c r="V255" s="103"/>
      <c r="W255" s="103"/>
      <c r="X255" s="599"/>
      <c r="Y255" s="103"/>
      <c r="Z255" s="103"/>
      <c r="AA255" s="65"/>
      <c r="AB255" s="103"/>
      <c r="AF255" s="6"/>
    </row>
    <row r="256" spans="1:32">
      <c r="A256" s="2">
        <f t="shared" si="44"/>
        <v>239</v>
      </c>
      <c r="B256" s="688" t="s">
        <v>2330</v>
      </c>
      <c r="C256" s="688" t="s">
        <v>2807</v>
      </c>
      <c r="D256" s="688" t="s">
        <v>2302</v>
      </c>
      <c r="E256" s="182" t="s">
        <v>2808</v>
      </c>
      <c r="F256" s="183">
        <v>31609.49</v>
      </c>
      <c r="G256" s="183">
        <v>31050.03</v>
      </c>
      <c r="H256" s="183">
        <v>30490.57</v>
      </c>
      <c r="I256" s="183">
        <v>29931.11</v>
      </c>
      <c r="J256" s="183">
        <v>29371.65</v>
      </c>
      <c r="K256" s="183">
        <v>28812.19</v>
      </c>
      <c r="L256" s="183">
        <v>28252.73</v>
      </c>
      <c r="M256" s="183">
        <v>27693.27</v>
      </c>
      <c r="N256" s="183">
        <v>27133.81</v>
      </c>
      <c r="O256" s="183">
        <v>26574.35</v>
      </c>
      <c r="P256" s="183">
        <v>26014.89</v>
      </c>
      <c r="Q256" s="183">
        <v>25455.43</v>
      </c>
      <c r="R256" s="183">
        <v>24895.97</v>
      </c>
      <c r="S256" s="184">
        <f t="shared" ref="S256:S276" si="53">((F256+R256)+((G256+H256+I256+J256+K256+L256+M256+N256+O256+P256+Q256)*2))/24</f>
        <v>28252.729999999996</v>
      </c>
      <c r="U256" s="65"/>
      <c r="V256" s="103"/>
      <c r="W256" s="103">
        <f>+S256</f>
        <v>28252.729999999996</v>
      </c>
      <c r="X256" s="599"/>
      <c r="Y256" s="103"/>
      <c r="Z256" s="103"/>
      <c r="AA256" s="65"/>
      <c r="AB256" s="103"/>
      <c r="AC256" s="42">
        <f t="shared" ref="AC256:AC267" si="54">+S256</f>
        <v>28252.729999999996</v>
      </c>
      <c r="AF256" s="6"/>
    </row>
    <row r="257" spans="1:32">
      <c r="A257" s="2">
        <f t="shared" si="44"/>
        <v>240</v>
      </c>
      <c r="B257" s="688" t="s">
        <v>2330</v>
      </c>
      <c r="C257" s="688" t="s">
        <v>2807</v>
      </c>
      <c r="D257" s="688" t="s">
        <v>2809</v>
      </c>
      <c r="E257" s="182" t="s">
        <v>2810</v>
      </c>
      <c r="F257" s="183">
        <v>31049.02</v>
      </c>
      <c r="G257" s="183">
        <v>30629.42</v>
      </c>
      <c r="H257" s="183">
        <v>30209.82</v>
      </c>
      <c r="I257" s="183">
        <v>29790.22</v>
      </c>
      <c r="J257" s="183">
        <v>29370.62</v>
      </c>
      <c r="K257" s="183">
        <v>28951.02</v>
      </c>
      <c r="L257" s="183">
        <v>28531.42</v>
      </c>
      <c r="M257" s="183">
        <v>28111.82</v>
      </c>
      <c r="N257" s="183">
        <v>27692.22</v>
      </c>
      <c r="O257" s="183">
        <v>27272.62</v>
      </c>
      <c r="P257" s="183">
        <v>26853.02</v>
      </c>
      <c r="Q257" s="183">
        <v>26433.42</v>
      </c>
      <c r="R257" s="183">
        <v>26013.82</v>
      </c>
      <c r="S257" s="184">
        <f t="shared" si="53"/>
        <v>28531.419999999995</v>
      </c>
      <c r="U257" s="65"/>
      <c r="V257" s="103"/>
      <c r="W257" s="103">
        <f t="shared" ref="W257:W275" si="55">+S257</f>
        <v>28531.419999999995</v>
      </c>
      <c r="X257" s="599"/>
      <c r="Y257" s="103"/>
      <c r="Z257" s="103"/>
      <c r="AA257" s="65"/>
      <c r="AB257" s="103"/>
      <c r="AC257" s="42">
        <f t="shared" si="54"/>
        <v>28531.419999999995</v>
      </c>
      <c r="AF257" s="6"/>
    </row>
    <row r="258" spans="1:32">
      <c r="A258" s="2">
        <f t="shared" si="44"/>
        <v>241</v>
      </c>
      <c r="B258" s="688" t="s">
        <v>2330</v>
      </c>
      <c r="C258" s="688" t="s">
        <v>2807</v>
      </c>
      <c r="D258" s="688" t="s">
        <v>2811</v>
      </c>
      <c r="E258" s="182" t="s">
        <v>2812</v>
      </c>
      <c r="F258" s="183">
        <v>0</v>
      </c>
      <c r="G258" s="183">
        <v>0</v>
      </c>
      <c r="H258" s="183">
        <v>0</v>
      </c>
      <c r="I258" s="183">
        <v>0</v>
      </c>
      <c r="J258" s="183">
        <v>0</v>
      </c>
      <c r="K258" s="183">
        <v>0</v>
      </c>
      <c r="L258" s="183">
        <v>0</v>
      </c>
      <c r="M258" s="183">
        <v>0</v>
      </c>
      <c r="N258" s="183">
        <v>0</v>
      </c>
      <c r="O258" s="183">
        <v>0</v>
      </c>
      <c r="P258" s="183">
        <v>0</v>
      </c>
      <c r="Q258" s="183">
        <v>0</v>
      </c>
      <c r="R258" s="183">
        <v>0</v>
      </c>
      <c r="S258" s="184">
        <f t="shared" si="53"/>
        <v>0</v>
      </c>
      <c r="U258" s="65"/>
      <c r="V258" s="103"/>
      <c r="W258" s="103">
        <f t="shared" si="55"/>
        <v>0</v>
      </c>
      <c r="X258" s="599"/>
      <c r="Y258" s="103"/>
      <c r="Z258" s="103"/>
      <c r="AA258" s="65"/>
      <c r="AB258" s="103"/>
      <c r="AC258" s="42">
        <f t="shared" si="54"/>
        <v>0</v>
      </c>
      <c r="AF258" s="6"/>
    </row>
    <row r="259" spans="1:32">
      <c r="A259" s="2">
        <f t="shared" si="44"/>
        <v>242</v>
      </c>
      <c r="B259" s="688" t="s">
        <v>2330</v>
      </c>
      <c r="C259" s="688" t="s">
        <v>2807</v>
      </c>
      <c r="D259" s="688" t="s">
        <v>2745</v>
      </c>
      <c r="E259" s="182" t="s">
        <v>2813</v>
      </c>
      <c r="F259" s="183">
        <v>0</v>
      </c>
      <c r="G259" s="183">
        <v>0</v>
      </c>
      <c r="H259" s="183">
        <v>0</v>
      </c>
      <c r="I259" s="183">
        <v>0</v>
      </c>
      <c r="J259" s="183">
        <v>0</v>
      </c>
      <c r="K259" s="183">
        <v>0</v>
      </c>
      <c r="L259" s="183">
        <v>0</v>
      </c>
      <c r="M259" s="183">
        <v>0</v>
      </c>
      <c r="N259" s="183">
        <v>0</v>
      </c>
      <c r="O259" s="183">
        <v>0</v>
      </c>
      <c r="P259" s="183">
        <v>0</v>
      </c>
      <c r="Q259" s="183">
        <v>0</v>
      </c>
      <c r="R259" s="183">
        <v>0</v>
      </c>
      <c r="S259" s="184">
        <f t="shared" si="53"/>
        <v>0</v>
      </c>
      <c r="U259" s="65"/>
      <c r="V259" s="103"/>
      <c r="W259" s="103">
        <f t="shared" si="55"/>
        <v>0</v>
      </c>
      <c r="X259" s="599"/>
      <c r="Y259" s="103"/>
      <c r="Z259" s="103"/>
      <c r="AA259" s="65"/>
      <c r="AB259" s="103"/>
      <c r="AC259" s="42">
        <f t="shared" si="54"/>
        <v>0</v>
      </c>
      <c r="AF259" s="6"/>
    </row>
    <row r="260" spans="1:32">
      <c r="A260" s="2">
        <f t="shared" si="44"/>
        <v>243</v>
      </c>
      <c r="B260" s="688" t="s">
        <v>2330</v>
      </c>
      <c r="C260" s="688" t="s">
        <v>2807</v>
      </c>
      <c r="D260" s="688" t="s">
        <v>2760</v>
      </c>
      <c r="E260" s="182" t="s">
        <v>2814</v>
      </c>
      <c r="F260" s="183">
        <v>110125.08</v>
      </c>
      <c r="G260" s="183">
        <v>109477.58</v>
      </c>
      <c r="H260" s="183">
        <v>108830.08</v>
      </c>
      <c r="I260" s="183">
        <v>108182.58</v>
      </c>
      <c r="J260" s="183">
        <v>107535.08</v>
      </c>
      <c r="K260" s="183">
        <v>106887.58</v>
      </c>
      <c r="L260" s="183">
        <v>106240.08</v>
      </c>
      <c r="M260" s="183">
        <v>105592.58</v>
      </c>
      <c r="N260" s="183">
        <v>104945.08</v>
      </c>
      <c r="O260" s="183">
        <v>104297.58</v>
      </c>
      <c r="P260" s="183">
        <v>103650.08</v>
      </c>
      <c r="Q260" s="183">
        <v>103002.58</v>
      </c>
      <c r="R260" s="183">
        <v>102355.08</v>
      </c>
      <c r="S260" s="184">
        <f t="shared" si="53"/>
        <v>106240.08</v>
      </c>
      <c r="U260" s="65"/>
      <c r="V260" s="103"/>
      <c r="W260" s="103">
        <f t="shared" si="55"/>
        <v>106240.08</v>
      </c>
      <c r="X260" s="599"/>
      <c r="Y260" s="103"/>
      <c r="Z260" s="103"/>
      <c r="AA260" s="65"/>
      <c r="AB260" s="103"/>
      <c r="AC260" s="42">
        <f t="shared" si="54"/>
        <v>106240.08</v>
      </c>
      <c r="AF260" s="6"/>
    </row>
    <row r="261" spans="1:32">
      <c r="A261" s="2">
        <f t="shared" si="44"/>
        <v>244</v>
      </c>
      <c r="B261" s="688" t="s">
        <v>2330</v>
      </c>
      <c r="C261" s="688" t="s">
        <v>2807</v>
      </c>
      <c r="D261" s="688" t="s">
        <v>2593</v>
      </c>
      <c r="E261" s="689" t="s">
        <v>2815</v>
      </c>
      <c r="F261" s="183">
        <v>32508.43</v>
      </c>
      <c r="G261" s="183">
        <v>31459.759999999998</v>
      </c>
      <c r="H261" s="183">
        <v>30411.09</v>
      </c>
      <c r="I261" s="183">
        <v>29362.42</v>
      </c>
      <c r="J261" s="183">
        <v>28313.75</v>
      </c>
      <c r="K261" s="183">
        <v>27265.08</v>
      </c>
      <c r="L261" s="183">
        <v>26216.41</v>
      </c>
      <c r="M261" s="183">
        <v>25167.74</v>
      </c>
      <c r="N261" s="183">
        <v>24119.07</v>
      </c>
      <c r="O261" s="183">
        <v>23070.400000000001</v>
      </c>
      <c r="P261" s="183">
        <v>22021.73</v>
      </c>
      <c r="Q261" s="183">
        <v>20973.06</v>
      </c>
      <c r="R261" s="183">
        <v>19924.39</v>
      </c>
      <c r="S261" s="184">
        <f t="shared" si="53"/>
        <v>26216.409999999993</v>
      </c>
      <c r="U261" s="65"/>
      <c r="V261" s="103"/>
      <c r="W261" s="103">
        <f t="shared" si="55"/>
        <v>26216.409999999993</v>
      </c>
      <c r="X261" s="599"/>
      <c r="Y261" s="103"/>
      <c r="Z261" s="103"/>
      <c r="AA261" s="65"/>
      <c r="AB261" s="103"/>
      <c r="AC261" s="42">
        <f t="shared" si="54"/>
        <v>26216.409999999993</v>
      </c>
      <c r="AF261" s="6"/>
    </row>
    <row r="262" spans="1:32">
      <c r="A262" s="2">
        <f t="shared" si="44"/>
        <v>245</v>
      </c>
      <c r="B262" s="688" t="s">
        <v>2330</v>
      </c>
      <c r="C262" s="688" t="s">
        <v>2807</v>
      </c>
      <c r="D262" s="688" t="s">
        <v>2816</v>
      </c>
      <c r="E262" s="689" t="s">
        <v>2817</v>
      </c>
      <c r="F262" s="183">
        <v>56208.85</v>
      </c>
      <c r="G262" s="183">
        <v>55369.919999999998</v>
      </c>
      <c r="H262" s="183">
        <v>54530.99</v>
      </c>
      <c r="I262" s="183">
        <v>53692.06</v>
      </c>
      <c r="J262" s="183">
        <v>52853.13</v>
      </c>
      <c r="K262" s="183">
        <v>52014.2</v>
      </c>
      <c r="L262" s="183">
        <v>51175.27</v>
      </c>
      <c r="M262" s="183">
        <v>50336.34</v>
      </c>
      <c r="N262" s="183">
        <v>49497.41</v>
      </c>
      <c r="O262" s="183">
        <v>48658.48</v>
      </c>
      <c r="P262" s="183">
        <v>47819.55</v>
      </c>
      <c r="Q262" s="183">
        <v>46980.62</v>
      </c>
      <c r="R262" s="183">
        <v>46141.69</v>
      </c>
      <c r="S262" s="184">
        <f t="shared" si="53"/>
        <v>51175.270000000011</v>
      </c>
      <c r="U262" s="65"/>
      <c r="V262" s="103"/>
      <c r="W262" s="103">
        <f t="shared" si="55"/>
        <v>51175.270000000011</v>
      </c>
      <c r="X262" s="599"/>
      <c r="Y262" s="103"/>
      <c r="Z262" s="103"/>
      <c r="AA262" s="65"/>
      <c r="AB262" s="103"/>
      <c r="AC262" s="42">
        <f t="shared" si="54"/>
        <v>51175.270000000011</v>
      </c>
      <c r="AF262" s="6"/>
    </row>
    <row r="263" spans="1:32">
      <c r="A263" s="2">
        <f t="shared" si="44"/>
        <v>246</v>
      </c>
      <c r="B263" s="688" t="s">
        <v>2330</v>
      </c>
      <c r="C263" s="688" t="s">
        <v>2807</v>
      </c>
      <c r="D263" s="688" t="s">
        <v>2718</v>
      </c>
      <c r="E263" s="689" t="s">
        <v>2818</v>
      </c>
      <c r="F263" s="183">
        <v>471324.39</v>
      </c>
      <c r="G263" s="183">
        <v>466498.2</v>
      </c>
      <c r="H263" s="183">
        <v>470099.11</v>
      </c>
      <c r="I263" s="183">
        <v>461851.76</v>
      </c>
      <c r="J263" s="183">
        <v>453604.41</v>
      </c>
      <c r="K263" s="183">
        <v>445357.06</v>
      </c>
      <c r="L263" s="183">
        <v>437109.71</v>
      </c>
      <c r="M263" s="183">
        <v>428862.36</v>
      </c>
      <c r="N263" s="183">
        <v>420615.01</v>
      </c>
      <c r="O263" s="183">
        <v>412367.66</v>
      </c>
      <c r="P263" s="183">
        <v>404120.31</v>
      </c>
      <c r="Q263" s="183">
        <v>395872.96</v>
      </c>
      <c r="R263" s="183">
        <v>387625.61</v>
      </c>
      <c r="S263" s="184">
        <f t="shared" si="53"/>
        <v>435486.12916666665</v>
      </c>
      <c r="U263" s="65"/>
      <c r="V263" s="103"/>
      <c r="W263" s="103">
        <f t="shared" si="55"/>
        <v>435486.12916666665</v>
      </c>
      <c r="X263" s="599"/>
      <c r="Y263" s="103"/>
      <c r="Z263" s="103"/>
      <c r="AA263" s="65"/>
      <c r="AB263" s="103"/>
      <c r="AC263" s="42">
        <f t="shared" si="54"/>
        <v>435486.12916666665</v>
      </c>
      <c r="AF263" s="6"/>
    </row>
    <row r="264" spans="1:32">
      <c r="A264" s="2">
        <f t="shared" si="44"/>
        <v>247</v>
      </c>
      <c r="B264" s="688" t="s">
        <v>2330</v>
      </c>
      <c r="C264" s="688" t="s">
        <v>2807</v>
      </c>
      <c r="D264" s="688" t="s">
        <v>2749</v>
      </c>
      <c r="E264" s="689" t="s">
        <v>2819</v>
      </c>
      <c r="F264" s="183">
        <v>45453.32</v>
      </c>
      <c r="G264" s="183">
        <v>45279.83</v>
      </c>
      <c r="H264" s="183">
        <v>45106.34</v>
      </c>
      <c r="I264" s="183">
        <v>44932.85</v>
      </c>
      <c r="J264" s="183">
        <v>44759.360000000001</v>
      </c>
      <c r="K264" s="183">
        <v>44585.87</v>
      </c>
      <c r="L264" s="183">
        <v>44412.38</v>
      </c>
      <c r="M264" s="183">
        <v>44238.89</v>
      </c>
      <c r="N264" s="183">
        <v>44065.4</v>
      </c>
      <c r="O264" s="183">
        <v>43891.91</v>
      </c>
      <c r="P264" s="183">
        <v>43718.42</v>
      </c>
      <c r="Q264" s="183">
        <v>43544.93</v>
      </c>
      <c r="R264" s="183">
        <v>43371.44</v>
      </c>
      <c r="S264" s="184">
        <f t="shared" si="53"/>
        <v>44412.380000000005</v>
      </c>
      <c r="U264" s="65"/>
      <c r="V264" s="103"/>
      <c r="W264" s="103">
        <f t="shared" si="55"/>
        <v>44412.380000000005</v>
      </c>
      <c r="X264" s="599"/>
      <c r="Y264" s="103"/>
      <c r="Z264" s="103"/>
      <c r="AA264" s="65"/>
      <c r="AB264" s="103"/>
      <c r="AC264" s="42">
        <f t="shared" si="54"/>
        <v>44412.380000000005</v>
      </c>
      <c r="AF264" s="6"/>
    </row>
    <row r="265" spans="1:32">
      <c r="A265" s="2">
        <f t="shared" si="44"/>
        <v>248</v>
      </c>
      <c r="B265" s="688" t="s">
        <v>2330</v>
      </c>
      <c r="C265" s="688" t="s">
        <v>2807</v>
      </c>
      <c r="D265" s="688" t="s">
        <v>2751</v>
      </c>
      <c r="E265" s="689" t="s">
        <v>2820</v>
      </c>
      <c r="F265" s="183">
        <v>48629.94</v>
      </c>
      <c r="G265" s="183">
        <v>48502.64</v>
      </c>
      <c r="H265" s="183">
        <v>48375.34</v>
      </c>
      <c r="I265" s="183">
        <v>48248.04</v>
      </c>
      <c r="J265" s="183">
        <v>48120.74</v>
      </c>
      <c r="K265" s="183">
        <v>47993.440000000002</v>
      </c>
      <c r="L265" s="183">
        <v>47866.14</v>
      </c>
      <c r="M265" s="183">
        <v>47738.84</v>
      </c>
      <c r="N265" s="183">
        <v>47611.54</v>
      </c>
      <c r="O265" s="183">
        <v>47484.24</v>
      </c>
      <c r="P265" s="183">
        <v>47356.94</v>
      </c>
      <c r="Q265" s="183">
        <v>47229.64</v>
      </c>
      <c r="R265" s="183">
        <v>47102.34</v>
      </c>
      <c r="S265" s="184">
        <f t="shared" si="53"/>
        <v>47866.139999999992</v>
      </c>
      <c r="U265" s="65"/>
      <c r="V265" s="103"/>
      <c r="W265" s="103">
        <f t="shared" si="55"/>
        <v>47866.139999999992</v>
      </c>
      <c r="X265" s="599"/>
      <c r="Y265" s="103"/>
      <c r="Z265" s="103"/>
      <c r="AA265" s="65"/>
      <c r="AB265" s="103"/>
      <c r="AC265" s="42">
        <f t="shared" si="54"/>
        <v>47866.139999999992</v>
      </c>
      <c r="AF265" s="6"/>
    </row>
    <row r="266" spans="1:32">
      <c r="A266" s="2">
        <f t="shared" si="44"/>
        <v>249</v>
      </c>
      <c r="B266" s="688" t="s">
        <v>2330</v>
      </c>
      <c r="C266" s="688" t="s">
        <v>2807</v>
      </c>
      <c r="D266" s="688" t="s">
        <v>2821</v>
      </c>
      <c r="E266" s="689" t="s">
        <v>2822</v>
      </c>
      <c r="F266" s="183">
        <v>45800.3</v>
      </c>
      <c r="G266" s="183">
        <v>45626.81</v>
      </c>
      <c r="H266" s="183">
        <v>45453.32</v>
      </c>
      <c r="I266" s="183">
        <v>45279.83</v>
      </c>
      <c r="J266" s="183">
        <v>45106.34</v>
      </c>
      <c r="K266" s="183">
        <v>44932.85</v>
      </c>
      <c r="L266" s="183">
        <v>44759.360000000001</v>
      </c>
      <c r="M266" s="183">
        <v>44585.87</v>
      </c>
      <c r="N266" s="183">
        <v>44412.38</v>
      </c>
      <c r="O266" s="183">
        <v>44238.89</v>
      </c>
      <c r="P266" s="183">
        <v>44065.4</v>
      </c>
      <c r="Q266" s="183">
        <v>43891.91</v>
      </c>
      <c r="R266" s="183">
        <v>43718.42</v>
      </c>
      <c r="S266" s="184">
        <f t="shared" si="53"/>
        <v>44759.360000000008</v>
      </c>
      <c r="U266" s="65"/>
      <c r="V266" s="103"/>
      <c r="W266" s="103">
        <f t="shared" si="55"/>
        <v>44759.360000000008</v>
      </c>
      <c r="X266" s="599"/>
      <c r="Y266" s="103"/>
      <c r="Z266" s="103"/>
      <c r="AA266" s="65"/>
      <c r="AB266" s="103"/>
      <c r="AC266" s="42">
        <f t="shared" si="54"/>
        <v>44759.360000000008</v>
      </c>
      <c r="AF266" s="6"/>
    </row>
    <row r="267" spans="1:32">
      <c r="A267" s="2">
        <f t="shared" si="44"/>
        <v>250</v>
      </c>
      <c r="B267" s="688" t="s">
        <v>2330</v>
      </c>
      <c r="C267" s="688" t="s">
        <v>2807</v>
      </c>
      <c r="D267" s="688" t="s">
        <v>2823</v>
      </c>
      <c r="E267" s="689" t="s">
        <v>2824</v>
      </c>
      <c r="F267" s="183">
        <v>48884.54</v>
      </c>
      <c r="G267" s="183">
        <v>48757.24</v>
      </c>
      <c r="H267" s="183">
        <v>48629.94</v>
      </c>
      <c r="I267" s="183">
        <v>48502.64</v>
      </c>
      <c r="J267" s="183">
        <v>48375.34</v>
      </c>
      <c r="K267" s="183">
        <v>48248.04</v>
      </c>
      <c r="L267" s="183">
        <v>48120.74</v>
      </c>
      <c r="M267" s="183">
        <v>47993.440000000002</v>
      </c>
      <c r="N267" s="183">
        <v>47866.14</v>
      </c>
      <c r="O267" s="183">
        <v>47738.84</v>
      </c>
      <c r="P267" s="183">
        <v>47611.54</v>
      </c>
      <c r="Q267" s="183">
        <v>47484.24</v>
      </c>
      <c r="R267" s="183">
        <v>47356.94</v>
      </c>
      <c r="S267" s="184">
        <f t="shared" si="53"/>
        <v>48120.74</v>
      </c>
      <c r="U267" s="65"/>
      <c r="V267" s="103"/>
      <c r="W267" s="103">
        <f t="shared" si="55"/>
        <v>48120.74</v>
      </c>
      <c r="X267" s="599"/>
      <c r="Y267" s="103"/>
      <c r="Z267" s="103"/>
      <c r="AA267" s="65"/>
      <c r="AB267" s="103"/>
      <c r="AC267" s="42">
        <f t="shared" si="54"/>
        <v>48120.74</v>
      </c>
      <c r="AF267" s="6"/>
    </row>
    <row r="268" spans="1:32">
      <c r="A268" s="2">
        <f t="shared" si="44"/>
        <v>251</v>
      </c>
      <c r="B268" s="688" t="s">
        <v>2330</v>
      </c>
      <c r="C268" s="688" t="s">
        <v>2807</v>
      </c>
      <c r="D268" s="688" t="s">
        <v>2825</v>
      </c>
      <c r="E268" s="689" t="s">
        <v>2826</v>
      </c>
      <c r="F268" s="183">
        <v>82428.299999999901</v>
      </c>
      <c r="G268" s="183">
        <v>81357.81</v>
      </c>
      <c r="H268" s="183">
        <v>80287.320000000007</v>
      </c>
      <c r="I268" s="183">
        <v>79216.83</v>
      </c>
      <c r="J268" s="183">
        <v>78146.34</v>
      </c>
      <c r="K268" s="183">
        <v>77075.850000000006</v>
      </c>
      <c r="L268" s="183">
        <v>76005.36</v>
      </c>
      <c r="M268" s="183">
        <v>74934.87</v>
      </c>
      <c r="N268" s="183">
        <v>73864.38</v>
      </c>
      <c r="O268" s="183">
        <v>72793.89</v>
      </c>
      <c r="P268" s="183">
        <v>71723.399999999994</v>
      </c>
      <c r="Q268" s="183">
        <v>70652.909999999902</v>
      </c>
      <c r="R268" s="183">
        <v>69582.419999999896</v>
      </c>
      <c r="S268" s="184">
        <f t="shared" si="53"/>
        <v>76005.359999999986</v>
      </c>
      <c r="U268" s="65"/>
      <c r="V268" s="103"/>
      <c r="W268" s="103">
        <f t="shared" si="55"/>
        <v>76005.359999999986</v>
      </c>
      <c r="X268" s="599"/>
      <c r="Y268" s="103"/>
      <c r="Z268" s="103"/>
      <c r="AA268" s="65"/>
      <c r="AB268" s="103"/>
      <c r="AC268" s="42">
        <f t="shared" ref="AC268:AC275" si="56">+S268</f>
        <v>76005.359999999986</v>
      </c>
      <c r="AF268" s="6"/>
    </row>
    <row r="269" spans="1:32">
      <c r="A269" s="2">
        <f t="shared" si="44"/>
        <v>252</v>
      </c>
      <c r="B269" s="688" t="s">
        <v>2330</v>
      </c>
      <c r="C269" s="688" t="s">
        <v>2807</v>
      </c>
      <c r="D269" s="688" t="s">
        <v>2827</v>
      </c>
      <c r="E269" s="689" t="s">
        <v>2828</v>
      </c>
      <c r="F269" s="183">
        <v>78217.510000000097</v>
      </c>
      <c r="G269" s="183">
        <v>77646.58</v>
      </c>
      <c r="H269" s="183">
        <v>77075.649999999994</v>
      </c>
      <c r="I269" s="183">
        <v>76504.72</v>
      </c>
      <c r="J269" s="183">
        <v>75933.789999999994</v>
      </c>
      <c r="K269" s="183">
        <v>75362.86</v>
      </c>
      <c r="L269" s="183">
        <v>74791.929999999993</v>
      </c>
      <c r="M269" s="183">
        <v>74221</v>
      </c>
      <c r="N269" s="183">
        <v>73650.070000000094</v>
      </c>
      <c r="O269" s="183">
        <v>73079.140000000101</v>
      </c>
      <c r="P269" s="183">
        <v>72508.210000000094</v>
      </c>
      <c r="Q269" s="183">
        <v>71937.280000000101</v>
      </c>
      <c r="R269" s="183">
        <v>71366.350000000093</v>
      </c>
      <c r="S269" s="184">
        <f t="shared" si="53"/>
        <v>74791.930000000037</v>
      </c>
      <c r="U269" s="65"/>
      <c r="V269" s="103"/>
      <c r="W269" s="103">
        <f t="shared" si="55"/>
        <v>74791.930000000037</v>
      </c>
      <c r="X269" s="599"/>
      <c r="Y269" s="103"/>
      <c r="Z269" s="103"/>
      <c r="AA269" s="65"/>
      <c r="AB269" s="103"/>
      <c r="AC269" s="42">
        <f t="shared" si="56"/>
        <v>74791.930000000037</v>
      </c>
      <c r="AF269" s="6"/>
    </row>
    <row r="270" spans="1:32">
      <c r="A270" s="2">
        <f t="shared" si="44"/>
        <v>253</v>
      </c>
      <c r="B270" s="688" t="s">
        <v>2330</v>
      </c>
      <c r="C270" s="688" t="s">
        <v>2807</v>
      </c>
      <c r="D270" s="688" t="s">
        <v>2829</v>
      </c>
      <c r="E270" s="689" t="s">
        <v>2830</v>
      </c>
      <c r="F270" s="183">
        <v>135738.64000000001</v>
      </c>
      <c r="G270" s="183">
        <v>135310.44</v>
      </c>
      <c r="H270" s="183">
        <v>134882.23999999999</v>
      </c>
      <c r="I270" s="183">
        <v>134454.04</v>
      </c>
      <c r="J270" s="183">
        <v>134025.84</v>
      </c>
      <c r="K270" s="183">
        <v>133597.64000000001</v>
      </c>
      <c r="L270" s="183">
        <v>133169.44</v>
      </c>
      <c r="M270" s="183">
        <v>132741.24</v>
      </c>
      <c r="N270" s="183">
        <v>132313.04</v>
      </c>
      <c r="O270" s="183">
        <v>131884.84</v>
      </c>
      <c r="P270" s="183">
        <v>131456.64000000001</v>
      </c>
      <c r="Q270" s="183">
        <v>131028.44</v>
      </c>
      <c r="R270" s="183">
        <v>130600.24</v>
      </c>
      <c r="S270" s="184">
        <f t="shared" si="53"/>
        <v>133169.43999999997</v>
      </c>
      <c r="U270" s="65"/>
      <c r="V270" s="103"/>
      <c r="W270" s="103">
        <f t="shared" si="55"/>
        <v>133169.43999999997</v>
      </c>
      <c r="X270" s="599"/>
      <c r="Y270" s="103"/>
      <c r="Z270" s="103"/>
      <c r="AA270" s="65"/>
      <c r="AB270" s="103"/>
      <c r="AC270" s="42">
        <f t="shared" si="56"/>
        <v>133169.43999999997</v>
      </c>
      <c r="AF270" s="6"/>
    </row>
    <row r="271" spans="1:32">
      <c r="A271" s="2">
        <f t="shared" si="44"/>
        <v>254</v>
      </c>
      <c r="B271" s="688" t="s">
        <v>2330</v>
      </c>
      <c r="C271" s="688" t="s">
        <v>2807</v>
      </c>
      <c r="D271" s="688" t="s">
        <v>2831</v>
      </c>
      <c r="E271" s="689" t="s">
        <v>2832</v>
      </c>
      <c r="F271" s="196">
        <v>118406.84</v>
      </c>
      <c r="G271" s="196">
        <v>118046.94</v>
      </c>
      <c r="H271" s="196">
        <v>117687.03999999999</v>
      </c>
      <c r="I271" s="196">
        <v>117327.14</v>
      </c>
      <c r="J271" s="196">
        <v>116967.24</v>
      </c>
      <c r="K271" s="196">
        <v>116607.34</v>
      </c>
      <c r="L271" s="196">
        <v>116247.44</v>
      </c>
      <c r="M271" s="196">
        <v>115887.54</v>
      </c>
      <c r="N271" s="196">
        <v>115527.64</v>
      </c>
      <c r="O271" s="196">
        <v>115167.74</v>
      </c>
      <c r="P271" s="196">
        <v>114807.84</v>
      </c>
      <c r="Q271" s="196">
        <v>114447.94</v>
      </c>
      <c r="R271" s="196">
        <v>114088.04</v>
      </c>
      <c r="S271" s="103">
        <f t="shared" si="53"/>
        <v>116247.44</v>
      </c>
      <c r="U271" s="65"/>
      <c r="V271" s="103"/>
      <c r="W271" s="103">
        <f t="shared" si="55"/>
        <v>116247.44</v>
      </c>
      <c r="X271" s="599"/>
      <c r="Y271" s="103"/>
      <c r="Z271" s="103"/>
      <c r="AA271" s="65"/>
      <c r="AB271" s="103"/>
      <c r="AC271" s="42">
        <f t="shared" si="56"/>
        <v>116247.44</v>
      </c>
      <c r="AD271" s="42"/>
      <c r="AF271" s="6"/>
    </row>
    <row r="272" spans="1:32">
      <c r="A272" s="2">
        <f t="shared" si="44"/>
        <v>255</v>
      </c>
      <c r="B272" s="688" t="s">
        <v>2330</v>
      </c>
      <c r="C272" s="688" t="s">
        <v>2807</v>
      </c>
      <c r="D272" s="688" t="s">
        <v>2833</v>
      </c>
      <c r="E272" s="689" t="s">
        <v>2834</v>
      </c>
      <c r="F272" s="196">
        <v>80797.38</v>
      </c>
      <c r="G272" s="196">
        <v>80617.429999999993</v>
      </c>
      <c r="H272" s="196">
        <v>80437.48</v>
      </c>
      <c r="I272" s="196">
        <v>80257.53</v>
      </c>
      <c r="J272" s="196">
        <v>80077.58</v>
      </c>
      <c r="K272" s="196">
        <v>79897.63</v>
      </c>
      <c r="L272" s="196">
        <v>79717.679999999993</v>
      </c>
      <c r="M272" s="196">
        <v>79537.73</v>
      </c>
      <c r="N272" s="196">
        <v>79357.78</v>
      </c>
      <c r="O272" s="196">
        <v>79177.83</v>
      </c>
      <c r="P272" s="196">
        <v>78997.88</v>
      </c>
      <c r="Q272" s="196">
        <v>78817.929999999993</v>
      </c>
      <c r="R272" s="196">
        <v>78637.98</v>
      </c>
      <c r="S272" s="103">
        <f t="shared" si="53"/>
        <v>79717.679999999993</v>
      </c>
      <c r="U272" s="65"/>
      <c r="V272" s="103"/>
      <c r="W272" s="103">
        <f t="shared" si="55"/>
        <v>79717.679999999993</v>
      </c>
      <c r="X272" s="599"/>
      <c r="Y272" s="103"/>
      <c r="Z272" s="103"/>
      <c r="AA272" s="65"/>
      <c r="AB272" s="103"/>
      <c r="AC272" s="42">
        <f t="shared" si="56"/>
        <v>79717.679999999993</v>
      </c>
      <c r="AD272" s="42"/>
      <c r="AF272" s="6"/>
    </row>
    <row r="273" spans="1:32">
      <c r="A273" s="2">
        <f t="shared" si="44"/>
        <v>256</v>
      </c>
      <c r="B273" s="688" t="s">
        <v>2330</v>
      </c>
      <c r="C273" s="688" t="s">
        <v>2807</v>
      </c>
      <c r="D273" s="688" t="s">
        <v>2720</v>
      </c>
      <c r="E273" s="689" t="s">
        <v>2835</v>
      </c>
      <c r="F273" s="196">
        <v>138937.1</v>
      </c>
      <c r="G273" s="196">
        <v>138630.39999999999</v>
      </c>
      <c r="H273" s="196">
        <v>138323.70000000001</v>
      </c>
      <c r="I273" s="196">
        <v>138017</v>
      </c>
      <c r="J273" s="196">
        <v>137710.29999999999</v>
      </c>
      <c r="K273" s="196">
        <v>137403.6</v>
      </c>
      <c r="L273" s="196">
        <v>137096.9</v>
      </c>
      <c r="M273" s="196">
        <v>136790.20000000001</v>
      </c>
      <c r="N273" s="196">
        <v>136483.5</v>
      </c>
      <c r="O273" s="196">
        <v>136176.79999999999</v>
      </c>
      <c r="P273" s="196">
        <v>135870.1</v>
      </c>
      <c r="Q273" s="196">
        <v>135563.4</v>
      </c>
      <c r="R273" s="196">
        <v>135256.70000000001</v>
      </c>
      <c r="S273" s="103">
        <f t="shared" si="53"/>
        <v>137096.9</v>
      </c>
      <c r="U273" s="65"/>
      <c r="V273" s="103"/>
      <c r="W273" s="103">
        <f t="shared" si="55"/>
        <v>137096.9</v>
      </c>
      <c r="X273" s="599"/>
      <c r="Y273" s="103"/>
      <c r="Z273" s="103"/>
      <c r="AA273" s="65"/>
      <c r="AB273" s="103"/>
      <c r="AC273" s="42">
        <f t="shared" si="56"/>
        <v>137096.9</v>
      </c>
      <c r="AD273" s="42"/>
      <c r="AF273" s="6"/>
    </row>
    <row r="274" spans="1:32">
      <c r="A274" s="2">
        <f t="shared" si="44"/>
        <v>257</v>
      </c>
      <c r="B274" s="688" t="s">
        <v>2330</v>
      </c>
      <c r="C274" s="688" t="s">
        <v>2807</v>
      </c>
      <c r="D274" s="688" t="s">
        <v>2836</v>
      </c>
      <c r="E274" s="689" t="s">
        <v>2837</v>
      </c>
      <c r="F274" s="196">
        <v>50807.24</v>
      </c>
      <c r="G274" s="196">
        <v>50357.62</v>
      </c>
      <c r="H274" s="196">
        <v>49908</v>
      </c>
      <c r="I274" s="196">
        <v>49458.38</v>
      </c>
      <c r="J274" s="196">
        <v>49008.76</v>
      </c>
      <c r="K274" s="196">
        <v>48559.14</v>
      </c>
      <c r="L274" s="196">
        <v>48109.52</v>
      </c>
      <c r="M274" s="196">
        <v>47659.9</v>
      </c>
      <c r="N274" s="196">
        <v>47210.28</v>
      </c>
      <c r="O274" s="196">
        <v>46760.66</v>
      </c>
      <c r="P274" s="196">
        <v>46311.040000000001</v>
      </c>
      <c r="Q274" s="196">
        <v>45861.42</v>
      </c>
      <c r="R274" s="196">
        <v>45411.8</v>
      </c>
      <c r="S274" s="103">
        <f t="shared" si="53"/>
        <v>48109.520000000011</v>
      </c>
      <c r="U274" s="65"/>
      <c r="V274" s="103"/>
      <c r="W274" s="103">
        <f t="shared" si="55"/>
        <v>48109.520000000011</v>
      </c>
      <c r="X274" s="599"/>
      <c r="Y274" s="103"/>
      <c r="Z274" s="103"/>
      <c r="AA274" s="65"/>
      <c r="AB274" s="103"/>
      <c r="AC274" s="42">
        <f t="shared" si="56"/>
        <v>48109.520000000011</v>
      </c>
      <c r="AD274" s="42"/>
      <c r="AF274" s="6"/>
    </row>
    <row r="275" spans="1:32">
      <c r="A275" s="2">
        <f t="shared" si="44"/>
        <v>258</v>
      </c>
      <c r="B275" s="688" t="s">
        <v>2330</v>
      </c>
      <c r="C275" s="688" t="s">
        <v>2807</v>
      </c>
      <c r="D275" s="688" t="s">
        <v>2838</v>
      </c>
      <c r="E275" s="689" t="s">
        <v>2839</v>
      </c>
      <c r="F275" s="196">
        <v>123446.04</v>
      </c>
      <c r="G275" s="196">
        <v>123096.33</v>
      </c>
      <c r="H275" s="196">
        <v>122746.62</v>
      </c>
      <c r="I275" s="196">
        <v>122396.91</v>
      </c>
      <c r="J275" s="196">
        <v>122047.2</v>
      </c>
      <c r="K275" s="196">
        <v>121697.49</v>
      </c>
      <c r="L275" s="196">
        <v>121347.78</v>
      </c>
      <c r="M275" s="196">
        <v>120998.07</v>
      </c>
      <c r="N275" s="196">
        <v>120648.36</v>
      </c>
      <c r="O275" s="196">
        <v>120298.65</v>
      </c>
      <c r="P275" s="196">
        <v>119948.94</v>
      </c>
      <c r="Q275" s="196">
        <v>119599.23</v>
      </c>
      <c r="R275" s="196">
        <v>119249.52</v>
      </c>
      <c r="S275" s="103">
        <f t="shared" si="53"/>
        <v>121347.78000000001</v>
      </c>
      <c r="U275" s="65"/>
      <c r="V275" s="103"/>
      <c r="W275" s="103">
        <f t="shared" si="55"/>
        <v>121347.78000000001</v>
      </c>
      <c r="X275" s="599"/>
      <c r="Y275" s="103"/>
      <c r="Z275" s="103"/>
      <c r="AA275" s="65"/>
      <c r="AB275" s="103"/>
      <c r="AC275" s="42">
        <f t="shared" si="56"/>
        <v>121347.78000000001</v>
      </c>
      <c r="AD275" s="42"/>
      <c r="AF275" s="6"/>
    </row>
    <row r="276" spans="1:32">
      <c r="A276" s="2">
        <f t="shared" ref="A276:A339" si="57">MAX(A275:A275)+1</f>
        <v>259</v>
      </c>
      <c r="B276" s="688" t="s">
        <v>2330</v>
      </c>
      <c r="C276" s="688" t="s">
        <v>2807</v>
      </c>
      <c r="D276" s="688" t="s">
        <v>2840</v>
      </c>
      <c r="E276" s="689" t="s">
        <v>2841</v>
      </c>
      <c r="F276" s="313"/>
      <c r="G276" s="313"/>
      <c r="H276" s="313"/>
      <c r="I276" s="313"/>
      <c r="J276" s="313"/>
      <c r="K276" s="313"/>
      <c r="L276" s="313"/>
      <c r="M276" s="313"/>
      <c r="N276" s="313"/>
      <c r="O276" s="313"/>
      <c r="P276" s="313"/>
      <c r="Q276" s="313">
        <v>450936.76</v>
      </c>
      <c r="R276" s="313">
        <v>465644.18</v>
      </c>
      <c r="S276" s="314">
        <f t="shared" si="53"/>
        <v>56979.904166666667</v>
      </c>
      <c r="U276" s="65"/>
      <c r="V276" s="103"/>
      <c r="W276" s="103">
        <f>+S276</f>
        <v>56979.904166666667</v>
      </c>
      <c r="X276" s="599"/>
      <c r="Y276" s="103"/>
      <c r="Z276" s="103"/>
      <c r="AA276" s="65"/>
      <c r="AB276" s="103"/>
      <c r="AC276" s="42">
        <f>+S276</f>
        <v>56979.904166666667</v>
      </c>
      <c r="AD276" s="42"/>
      <c r="AF276" s="6"/>
    </row>
    <row r="277" spans="1:32">
      <c r="A277" s="2">
        <f t="shared" si="57"/>
        <v>260</v>
      </c>
      <c r="E277" s="690" t="s">
        <v>2842</v>
      </c>
      <c r="F277" s="183">
        <f>SUM(F256:F275)</f>
        <v>1730372.4100000004</v>
      </c>
      <c r="G277" s="183">
        <f t="shared" ref="G277:P277" si="58">SUM(G256:G275)</f>
        <v>1717714.98</v>
      </c>
      <c r="H277" s="183">
        <f t="shared" si="58"/>
        <v>1713484.65</v>
      </c>
      <c r="I277" s="183">
        <f t="shared" si="58"/>
        <v>1697406.0599999998</v>
      </c>
      <c r="J277" s="183">
        <f t="shared" si="58"/>
        <v>1681327.47</v>
      </c>
      <c r="K277" s="183">
        <f t="shared" si="58"/>
        <v>1665248.88</v>
      </c>
      <c r="L277" s="183">
        <f t="shared" si="58"/>
        <v>1649170.2899999998</v>
      </c>
      <c r="M277" s="183">
        <f t="shared" si="58"/>
        <v>1633091.6999999997</v>
      </c>
      <c r="N277" s="183">
        <f t="shared" si="58"/>
        <v>1617013.11</v>
      </c>
      <c r="O277" s="183">
        <f t="shared" si="58"/>
        <v>1600934.52</v>
      </c>
      <c r="P277" s="183">
        <f t="shared" si="58"/>
        <v>1584855.9300000006</v>
      </c>
      <c r="Q277" s="183">
        <f>SUM(Q256:Q276)</f>
        <v>2019714.0999999999</v>
      </c>
      <c r="R277" s="183">
        <f>SUM(R256:R276)</f>
        <v>2018342.93</v>
      </c>
      <c r="S277" s="183">
        <f>SUM(S256:S276)</f>
        <v>1704526.6133333331</v>
      </c>
      <c r="U277" s="65"/>
      <c r="V277" s="103"/>
      <c r="W277" s="103"/>
      <c r="X277" s="599"/>
      <c r="Y277" s="103"/>
      <c r="Z277" s="103"/>
      <c r="AA277" s="65"/>
      <c r="AB277" s="103"/>
      <c r="AF277" s="6"/>
    </row>
    <row r="278" spans="1:32">
      <c r="A278" s="2">
        <f t="shared" si="57"/>
        <v>261</v>
      </c>
      <c r="E278" s="691"/>
      <c r="F278" s="183">
        <v>0</v>
      </c>
      <c r="G278" s="198">
        <v>0</v>
      </c>
      <c r="H278" s="188">
        <v>0</v>
      </c>
      <c r="I278" s="188">
        <v>0</v>
      </c>
      <c r="J278" s="189"/>
      <c r="K278" s="190"/>
      <c r="L278" s="191"/>
      <c r="M278" s="192"/>
      <c r="N278" s="193"/>
      <c r="O278" s="689"/>
      <c r="P278" s="194"/>
      <c r="Q278" s="199"/>
      <c r="R278" s="183"/>
      <c r="S278" s="47"/>
      <c r="U278" s="65"/>
      <c r="V278" s="103"/>
      <c r="W278" s="103"/>
      <c r="X278" s="599"/>
      <c r="Y278" s="103"/>
      <c r="Z278" s="103"/>
      <c r="AA278" s="65"/>
      <c r="AB278" s="103"/>
      <c r="AF278" s="6"/>
    </row>
    <row r="279" spans="1:32">
      <c r="A279" s="2">
        <f t="shared" si="57"/>
        <v>262</v>
      </c>
      <c r="B279" s="688" t="s">
        <v>2330</v>
      </c>
      <c r="C279" s="688" t="s">
        <v>2843</v>
      </c>
      <c r="D279" s="688" t="s">
        <v>2541</v>
      </c>
      <c r="E279" s="182" t="s">
        <v>2844</v>
      </c>
      <c r="F279" s="183">
        <v>580417.91</v>
      </c>
      <c r="G279" s="183">
        <v>577003.68999999994</v>
      </c>
      <c r="H279" s="183">
        <v>573589.47</v>
      </c>
      <c r="I279" s="183">
        <v>570175.25</v>
      </c>
      <c r="J279" s="183">
        <v>566761.03</v>
      </c>
      <c r="K279" s="183">
        <v>563346.81000000006</v>
      </c>
      <c r="L279" s="183">
        <v>559932.59</v>
      </c>
      <c r="M279" s="183">
        <v>556518.37</v>
      </c>
      <c r="N279" s="183">
        <v>553104.15</v>
      </c>
      <c r="O279" s="183">
        <v>549689.93000000005</v>
      </c>
      <c r="P279" s="183">
        <v>546275.71</v>
      </c>
      <c r="Q279" s="183">
        <v>542861.49</v>
      </c>
      <c r="R279" s="183">
        <v>539447.27</v>
      </c>
      <c r="S279" s="184">
        <f>((F279+R279)+((G279+H279+I279+J279+K279+L279+M279+N279+O279+P279+Q279)*2))/24</f>
        <v>559932.59</v>
      </c>
      <c r="U279" s="65"/>
      <c r="V279" s="103"/>
      <c r="W279" s="103">
        <f>+S279</f>
        <v>559932.59</v>
      </c>
      <c r="X279" s="599"/>
      <c r="Y279" s="103"/>
      <c r="Z279" s="103"/>
      <c r="AA279" s="65"/>
      <c r="AB279" s="103"/>
      <c r="AC279" s="42">
        <f>+S279</f>
        <v>559932.59</v>
      </c>
      <c r="AF279" s="6"/>
    </row>
    <row r="280" spans="1:32">
      <c r="A280" s="2">
        <f t="shared" si="57"/>
        <v>263</v>
      </c>
      <c r="B280" s="688"/>
      <c r="C280" s="688" t="s">
        <v>2843</v>
      </c>
      <c r="D280" s="688" t="s">
        <v>2591</v>
      </c>
      <c r="E280" s="182" t="s">
        <v>2845</v>
      </c>
      <c r="F280" s="183">
        <v>714621.24999999895</v>
      </c>
      <c r="G280" s="183">
        <v>713047.19</v>
      </c>
      <c r="H280" s="183">
        <v>711473.13</v>
      </c>
      <c r="I280" s="183">
        <v>709899.07</v>
      </c>
      <c r="J280" s="183">
        <v>708325.01</v>
      </c>
      <c r="K280" s="183">
        <v>706750.95</v>
      </c>
      <c r="L280" s="183">
        <v>705176.89</v>
      </c>
      <c r="M280" s="183">
        <v>703602.83</v>
      </c>
      <c r="N280" s="183">
        <v>702028.77</v>
      </c>
      <c r="O280" s="183">
        <v>700454.70999999903</v>
      </c>
      <c r="P280" s="183">
        <v>698880.64999999898</v>
      </c>
      <c r="Q280" s="183">
        <v>697306.58999999904</v>
      </c>
      <c r="R280" s="183">
        <v>695732.52999999898</v>
      </c>
      <c r="S280" s="184">
        <f>((F280+R280)+((G280+H280+I280+J280+K280+L280+M280+N280+O280+P280+Q280)*2))/24</f>
        <v>705176.88999999966</v>
      </c>
      <c r="U280" s="65"/>
      <c r="V280" s="103"/>
      <c r="W280" s="103">
        <f>+S280</f>
        <v>705176.88999999966</v>
      </c>
      <c r="X280" s="599"/>
      <c r="Y280" s="103"/>
      <c r="Z280" s="103"/>
      <c r="AA280" s="65"/>
      <c r="AB280" s="103"/>
      <c r="AC280" s="42">
        <f>+S280</f>
        <v>705176.88999999966</v>
      </c>
      <c r="AF280" s="6"/>
    </row>
    <row r="281" spans="1:32">
      <c r="A281" s="2">
        <f t="shared" si="57"/>
        <v>264</v>
      </c>
      <c r="E281" s="182" t="s">
        <v>2842</v>
      </c>
      <c r="F281" s="511">
        <f>SUM(F279:F280)</f>
        <v>1295039.159999999</v>
      </c>
      <c r="G281" s="511">
        <f t="shared" ref="G281:R281" si="59">SUM(G279:G280)</f>
        <v>1290050.8799999999</v>
      </c>
      <c r="H281" s="511">
        <f t="shared" si="59"/>
        <v>1285062.6000000001</v>
      </c>
      <c r="I281" s="511">
        <f t="shared" si="59"/>
        <v>1280074.3199999998</v>
      </c>
      <c r="J281" s="511">
        <f t="shared" si="59"/>
        <v>1275086.04</v>
      </c>
      <c r="K281" s="511">
        <f t="shared" si="59"/>
        <v>1270097.76</v>
      </c>
      <c r="L281" s="511">
        <f t="shared" si="59"/>
        <v>1265109.48</v>
      </c>
      <c r="M281" s="511">
        <f t="shared" si="59"/>
        <v>1260121.2</v>
      </c>
      <c r="N281" s="511">
        <f t="shared" si="59"/>
        <v>1255132.92</v>
      </c>
      <c r="O281" s="511">
        <f t="shared" si="59"/>
        <v>1250144.6399999992</v>
      </c>
      <c r="P281" s="511">
        <f t="shared" si="59"/>
        <v>1245156.3599999989</v>
      </c>
      <c r="Q281" s="511">
        <f t="shared" si="59"/>
        <v>1240168.0799999991</v>
      </c>
      <c r="R281" s="511">
        <f t="shared" si="59"/>
        <v>1235179.7999999989</v>
      </c>
      <c r="S281" s="511">
        <f>SUM(S279:S280)</f>
        <v>1265109.4799999995</v>
      </c>
      <c r="U281" s="65"/>
      <c r="V281" s="103"/>
      <c r="W281" s="103"/>
      <c r="X281" s="599"/>
      <c r="Y281" s="103"/>
      <c r="Z281" s="103"/>
      <c r="AA281" s="65"/>
      <c r="AB281" s="103"/>
      <c r="AF281" s="6"/>
    </row>
    <row r="282" spans="1:32">
      <c r="A282" s="2">
        <f t="shared" si="57"/>
        <v>265</v>
      </c>
      <c r="E282" s="697"/>
      <c r="F282" s="183"/>
      <c r="G282" s="198"/>
      <c r="H282" s="188"/>
      <c r="I282" s="188"/>
      <c r="J282" s="189"/>
      <c r="K282" s="190"/>
      <c r="L282" s="191"/>
      <c r="M282" s="192"/>
      <c r="N282" s="193"/>
      <c r="O282" s="689"/>
      <c r="P282" s="194"/>
      <c r="Q282" s="199"/>
      <c r="R282" s="183"/>
      <c r="S282" s="47"/>
      <c r="U282" s="65"/>
      <c r="V282" s="103"/>
      <c r="W282" s="103"/>
      <c r="X282" s="599"/>
      <c r="Y282" s="103"/>
      <c r="Z282" s="103"/>
      <c r="AA282" s="65"/>
      <c r="AB282" s="103"/>
      <c r="AF282" s="6"/>
    </row>
    <row r="283" spans="1:32">
      <c r="A283" s="2">
        <f t="shared" si="57"/>
        <v>266</v>
      </c>
      <c r="B283" s="688" t="s">
        <v>2330</v>
      </c>
      <c r="C283" s="688" t="s">
        <v>2581</v>
      </c>
      <c r="D283" s="688" t="s">
        <v>2311</v>
      </c>
      <c r="E283" s="182" t="s">
        <v>2846</v>
      </c>
      <c r="F283" s="183">
        <v>493643.92</v>
      </c>
      <c r="G283" s="183">
        <v>484983.92</v>
      </c>
      <c r="H283" s="183">
        <v>476323.92</v>
      </c>
      <c r="I283" s="183">
        <v>467663.92</v>
      </c>
      <c r="J283" s="183">
        <v>459003.92</v>
      </c>
      <c r="K283" s="183">
        <v>450343.92</v>
      </c>
      <c r="L283" s="183">
        <v>441683.92</v>
      </c>
      <c r="M283" s="183">
        <v>433023.92</v>
      </c>
      <c r="N283" s="183">
        <v>424363.92</v>
      </c>
      <c r="O283" s="183">
        <v>415703.92</v>
      </c>
      <c r="P283" s="183">
        <v>407043.92</v>
      </c>
      <c r="Q283" s="183">
        <v>398383.92</v>
      </c>
      <c r="R283" s="183">
        <v>389723.92</v>
      </c>
      <c r="S283" s="184">
        <f t="shared" ref="S283:S368" si="60">((F283+R283)+((G283+H283+I283+J283+K283+L283+M283+N283+O283+P283+Q283)*2))/24</f>
        <v>441683.92</v>
      </c>
      <c r="U283" s="65">
        <f t="shared" ref="U283:U292" si="61">+S283</f>
        <v>441683.92</v>
      </c>
      <c r="V283" s="103"/>
      <c r="W283" s="103"/>
      <c r="X283" s="599"/>
      <c r="Y283" s="103"/>
      <c r="Z283" s="103"/>
      <c r="AA283" s="65"/>
      <c r="AB283" s="103"/>
      <c r="AD283" s="42">
        <f>+S283</f>
        <v>441683.92</v>
      </c>
      <c r="AF283" s="6"/>
    </row>
    <row r="284" spans="1:32">
      <c r="A284" s="2">
        <f t="shared" si="57"/>
        <v>267</v>
      </c>
      <c r="B284" s="688" t="s">
        <v>2330</v>
      </c>
      <c r="C284" s="688" t="s">
        <v>2755</v>
      </c>
      <c r="D284" s="688" t="s">
        <v>2539</v>
      </c>
      <c r="E284" s="182" t="s">
        <v>2847</v>
      </c>
      <c r="F284" s="183">
        <v>0</v>
      </c>
      <c r="G284" s="183">
        <v>0</v>
      </c>
      <c r="H284" s="183">
        <v>0</v>
      </c>
      <c r="I284" s="183">
        <v>0</v>
      </c>
      <c r="J284" s="183">
        <v>0</v>
      </c>
      <c r="K284" s="183">
        <v>0</v>
      </c>
      <c r="L284" s="183">
        <v>0</v>
      </c>
      <c r="M284" s="183">
        <v>0</v>
      </c>
      <c r="N284" s="183">
        <v>0</v>
      </c>
      <c r="O284" s="183">
        <v>0</v>
      </c>
      <c r="P284" s="183">
        <v>0</v>
      </c>
      <c r="Q284" s="183">
        <v>0</v>
      </c>
      <c r="R284" s="183">
        <v>0</v>
      </c>
      <c r="S284" s="184">
        <f t="shared" si="60"/>
        <v>0</v>
      </c>
      <c r="U284" s="65">
        <f t="shared" si="61"/>
        <v>0</v>
      </c>
      <c r="V284" s="103"/>
      <c r="W284" s="103"/>
      <c r="X284" s="599"/>
      <c r="Y284" s="103"/>
      <c r="Z284" s="103"/>
      <c r="AA284" s="65"/>
      <c r="AB284" s="103"/>
      <c r="AD284" s="42">
        <f t="shared" ref="AD284:AD314" si="62">+S284</f>
        <v>0</v>
      </c>
      <c r="AF284" s="6"/>
    </row>
    <row r="285" spans="1:32">
      <c r="A285" s="2">
        <f t="shared" si="57"/>
        <v>268</v>
      </c>
      <c r="B285" s="688" t="s">
        <v>2330</v>
      </c>
      <c r="C285" s="688" t="s">
        <v>2848</v>
      </c>
      <c r="D285" s="688" t="s">
        <v>31</v>
      </c>
      <c r="E285" s="182" t="s">
        <v>2849</v>
      </c>
      <c r="F285" s="183">
        <v>91789.04</v>
      </c>
      <c r="G285" s="183">
        <v>182201.36</v>
      </c>
      <c r="H285" s="183">
        <v>323999.63</v>
      </c>
      <c r="I285" s="183">
        <v>486018.66</v>
      </c>
      <c r="J285" s="183">
        <v>592848.06999999995</v>
      </c>
      <c r="K285" s="183">
        <v>734476.62</v>
      </c>
      <c r="L285" s="183">
        <v>859940.5</v>
      </c>
      <c r="M285" s="183">
        <v>865640.49</v>
      </c>
      <c r="N285" s="183">
        <v>871555.82</v>
      </c>
      <c r="O285" s="183">
        <v>1060929.3899999999</v>
      </c>
      <c r="P285" s="183">
        <v>1237981.8400000001</v>
      </c>
      <c r="Q285" s="183">
        <v>1186311.51</v>
      </c>
      <c r="R285" s="183">
        <v>1278410.94</v>
      </c>
      <c r="S285" s="184">
        <f t="shared" si="60"/>
        <v>757250.32333333336</v>
      </c>
      <c r="U285" s="65">
        <f t="shared" si="61"/>
        <v>757250.32333333336</v>
      </c>
      <c r="V285" s="103"/>
      <c r="W285" s="103"/>
      <c r="X285" s="599"/>
      <c r="Y285" s="103"/>
      <c r="Z285" s="103"/>
      <c r="AA285" s="65"/>
      <c r="AB285" s="103"/>
      <c r="AD285" s="42">
        <f t="shared" si="62"/>
        <v>757250.32333333336</v>
      </c>
      <c r="AF285" s="6"/>
    </row>
    <row r="286" spans="1:32">
      <c r="A286" s="2">
        <f t="shared" si="57"/>
        <v>269</v>
      </c>
      <c r="B286" s="688" t="s">
        <v>2330</v>
      </c>
      <c r="C286" s="688" t="s">
        <v>2850</v>
      </c>
      <c r="D286" s="688" t="s">
        <v>2851</v>
      </c>
      <c r="E286" s="182" t="s">
        <v>2852</v>
      </c>
      <c r="F286" s="183">
        <v>37329772</v>
      </c>
      <c r="G286" s="183">
        <v>37329772</v>
      </c>
      <c r="H286" s="183">
        <v>37329772</v>
      </c>
      <c r="I286" s="183">
        <v>37329772</v>
      </c>
      <c r="J286" s="183">
        <v>37329772</v>
      </c>
      <c r="K286" s="183">
        <v>37329772</v>
      </c>
      <c r="L286" s="183">
        <v>37329772</v>
      </c>
      <c r="M286" s="183">
        <v>37329772</v>
      </c>
      <c r="N286" s="183">
        <v>37329772</v>
      </c>
      <c r="O286" s="183">
        <v>37329772</v>
      </c>
      <c r="P286" s="183">
        <v>37329772</v>
      </c>
      <c r="Q286" s="183">
        <v>37329772</v>
      </c>
      <c r="R286" s="183">
        <v>36576851</v>
      </c>
      <c r="S286" s="184">
        <f t="shared" si="60"/>
        <v>37298400.291666664</v>
      </c>
      <c r="U286" s="65">
        <f t="shared" si="61"/>
        <v>37298400.291666664</v>
      </c>
      <c r="V286" s="103"/>
      <c r="W286" s="103"/>
      <c r="X286" s="599"/>
      <c r="Y286" s="103"/>
      <c r="Z286" s="103"/>
      <c r="AA286" s="65"/>
      <c r="AB286" s="103"/>
      <c r="AD286" s="42">
        <f t="shared" si="62"/>
        <v>37298400.291666664</v>
      </c>
      <c r="AF286" s="6"/>
    </row>
    <row r="287" spans="1:32">
      <c r="A287" s="2">
        <f t="shared" si="57"/>
        <v>270</v>
      </c>
      <c r="B287" s="688" t="s">
        <v>2330</v>
      </c>
      <c r="C287" s="688" t="s">
        <v>2850</v>
      </c>
      <c r="D287" s="688" t="s">
        <v>2853</v>
      </c>
      <c r="E287" s="182" t="s">
        <v>2854</v>
      </c>
      <c r="F287" s="183">
        <v>0</v>
      </c>
      <c r="G287" s="183">
        <v>0</v>
      </c>
      <c r="H287" s="183">
        <v>0</v>
      </c>
      <c r="I287" s="183">
        <v>0</v>
      </c>
      <c r="J287" s="183">
        <v>0</v>
      </c>
      <c r="K287" s="183">
        <v>0</v>
      </c>
      <c r="L287" s="183">
        <v>0</v>
      </c>
      <c r="M287" s="183">
        <v>0</v>
      </c>
      <c r="N287" s="183">
        <v>0</v>
      </c>
      <c r="O287" s="183">
        <v>0</v>
      </c>
      <c r="P287" s="183">
        <v>0</v>
      </c>
      <c r="Q287" s="183">
        <v>0</v>
      </c>
      <c r="R287" s="183">
        <v>0</v>
      </c>
      <c r="S287" s="184">
        <f t="shared" si="60"/>
        <v>0</v>
      </c>
      <c r="U287" s="65">
        <f t="shared" si="61"/>
        <v>0</v>
      </c>
      <c r="V287" s="103"/>
      <c r="W287" s="103"/>
      <c r="X287" s="599"/>
      <c r="Y287" s="103"/>
      <c r="Z287" s="103"/>
      <c r="AA287" s="65"/>
      <c r="AB287" s="103"/>
      <c r="AD287" s="42">
        <f t="shared" si="62"/>
        <v>0</v>
      </c>
      <c r="AF287" s="6"/>
    </row>
    <row r="288" spans="1:32">
      <c r="A288" s="2">
        <f t="shared" si="57"/>
        <v>271</v>
      </c>
      <c r="B288" s="688" t="s">
        <v>2330</v>
      </c>
      <c r="C288" s="688" t="s">
        <v>2850</v>
      </c>
      <c r="D288" s="688" t="s">
        <v>2855</v>
      </c>
      <c r="E288" s="182" t="s">
        <v>2856</v>
      </c>
      <c r="F288" s="183">
        <v>0</v>
      </c>
      <c r="G288" s="183">
        <v>0</v>
      </c>
      <c r="H288" s="183">
        <v>0</v>
      </c>
      <c r="I288" s="183">
        <v>0</v>
      </c>
      <c r="J288" s="183">
        <v>0</v>
      </c>
      <c r="K288" s="183">
        <v>0</v>
      </c>
      <c r="L288" s="183">
        <v>0</v>
      </c>
      <c r="M288" s="183">
        <v>0</v>
      </c>
      <c r="N288" s="183">
        <v>0</v>
      </c>
      <c r="O288" s="183">
        <v>0</v>
      </c>
      <c r="P288" s="183">
        <v>0</v>
      </c>
      <c r="Q288" s="183">
        <v>0</v>
      </c>
      <c r="R288" s="183">
        <v>0</v>
      </c>
      <c r="S288" s="184">
        <f t="shared" si="60"/>
        <v>0</v>
      </c>
      <c r="U288" s="65">
        <f t="shared" si="61"/>
        <v>0</v>
      </c>
      <c r="V288" s="103"/>
      <c r="W288" s="103"/>
      <c r="X288" s="599"/>
      <c r="Y288" s="103"/>
      <c r="Z288" s="103"/>
      <c r="AA288" s="65"/>
      <c r="AB288" s="103"/>
      <c r="AD288" s="42">
        <f t="shared" si="62"/>
        <v>0</v>
      </c>
      <c r="AF288" s="6"/>
    </row>
    <row r="289" spans="1:32">
      <c r="A289" s="2">
        <f t="shared" si="57"/>
        <v>272</v>
      </c>
      <c r="B289" s="688" t="s">
        <v>2330</v>
      </c>
      <c r="C289" s="688" t="s">
        <v>2850</v>
      </c>
      <c r="D289" s="688" t="s">
        <v>2857</v>
      </c>
      <c r="E289" s="182" t="s">
        <v>2858</v>
      </c>
      <c r="F289" s="183">
        <v>2141422</v>
      </c>
      <c r="G289" s="183">
        <v>2141422</v>
      </c>
      <c r="H289" s="183">
        <v>2141422</v>
      </c>
      <c r="I289" s="183">
        <v>2141422</v>
      </c>
      <c r="J289" s="183">
        <v>2141422</v>
      </c>
      <c r="K289" s="183">
        <v>3049964</v>
      </c>
      <c r="L289" s="183">
        <v>3049964</v>
      </c>
      <c r="M289" s="183">
        <v>3049964</v>
      </c>
      <c r="N289" s="183">
        <v>3049964</v>
      </c>
      <c r="O289" s="183">
        <v>3049964</v>
      </c>
      <c r="P289" s="183">
        <v>3049964</v>
      </c>
      <c r="Q289" s="183">
        <v>3049964</v>
      </c>
      <c r="R289" s="183">
        <v>1969762</v>
      </c>
      <c r="S289" s="184">
        <f t="shared" si="60"/>
        <v>2664252.3333333335</v>
      </c>
      <c r="U289" s="65">
        <f t="shared" si="61"/>
        <v>2664252.3333333335</v>
      </c>
      <c r="V289" s="103"/>
      <c r="W289" s="103"/>
      <c r="X289" s="599"/>
      <c r="Y289" s="103"/>
      <c r="Z289" s="103"/>
      <c r="AA289" s="65"/>
      <c r="AB289" s="103"/>
      <c r="AD289" s="42">
        <f t="shared" si="62"/>
        <v>2664252.3333333335</v>
      </c>
      <c r="AF289" s="6"/>
    </row>
    <row r="290" spans="1:32">
      <c r="A290" s="2">
        <f t="shared" si="57"/>
        <v>273</v>
      </c>
      <c r="B290" s="688" t="s">
        <v>2342</v>
      </c>
      <c r="C290" s="688" t="s">
        <v>2850</v>
      </c>
      <c r="D290" s="688" t="s">
        <v>2859</v>
      </c>
      <c r="E290" s="182" t="s">
        <v>2860</v>
      </c>
      <c r="F290" s="183">
        <v>0</v>
      </c>
      <c r="G290" s="183">
        <v>0</v>
      </c>
      <c r="H290" s="183">
        <v>0</v>
      </c>
      <c r="I290" s="183">
        <v>0</v>
      </c>
      <c r="J290" s="183">
        <v>0</v>
      </c>
      <c r="K290" s="183">
        <v>0</v>
      </c>
      <c r="L290" s="183">
        <v>0</v>
      </c>
      <c r="M290" s="183">
        <v>0</v>
      </c>
      <c r="N290" s="183">
        <v>0</v>
      </c>
      <c r="O290" s="183">
        <v>0</v>
      </c>
      <c r="P290" s="183">
        <v>0</v>
      </c>
      <c r="Q290" s="183">
        <v>0</v>
      </c>
      <c r="R290" s="183">
        <v>0</v>
      </c>
      <c r="S290" s="184">
        <f t="shared" si="60"/>
        <v>0</v>
      </c>
      <c r="U290" s="65">
        <f t="shared" si="61"/>
        <v>0</v>
      </c>
      <c r="V290" s="103"/>
      <c r="W290" s="103"/>
      <c r="X290" s="599"/>
      <c r="Y290" s="103"/>
      <c r="Z290" s="103"/>
      <c r="AA290" s="65"/>
      <c r="AB290" s="103"/>
      <c r="AD290" s="42">
        <f t="shared" si="62"/>
        <v>0</v>
      </c>
      <c r="AF290" s="6"/>
    </row>
    <row r="291" spans="1:32">
      <c r="A291" s="2">
        <f t="shared" si="57"/>
        <v>274</v>
      </c>
      <c r="B291" s="688" t="s">
        <v>2342</v>
      </c>
      <c r="C291" s="688" t="s">
        <v>2850</v>
      </c>
      <c r="D291" s="688" t="s">
        <v>2861</v>
      </c>
      <c r="E291" s="182" t="s">
        <v>2862</v>
      </c>
      <c r="F291" s="183">
        <v>0</v>
      </c>
      <c r="G291" s="183">
        <v>0</v>
      </c>
      <c r="H291" s="183">
        <v>0</v>
      </c>
      <c r="I291" s="183">
        <v>0</v>
      </c>
      <c r="J291" s="183">
        <v>0</v>
      </c>
      <c r="K291" s="183">
        <v>0</v>
      </c>
      <c r="L291" s="183">
        <v>0</v>
      </c>
      <c r="M291" s="183">
        <v>0</v>
      </c>
      <c r="N291" s="183">
        <v>0</v>
      </c>
      <c r="O291" s="183">
        <v>0</v>
      </c>
      <c r="P291" s="183">
        <v>0</v>
      </c>
      <c r="Q291" s="183">
        <v>0</v>
      </c>
      <c r="R291" s="183">
        <v>0</v>
      </c>
      <c r="S291" s="184">
        <f t="shared" si="60"/>
        <v>0</v>
      </c>
      <c r="U291" s="65">
        <f t="shared" si="61"/>
        <v>0</v>
      </c>
      <c r="V291" s="103"/>
      <c r="W291" s="103"/>
      <c r="X291" s="599"/>
      <c r="Y291" s="103"/>
      <c r="Z291" s="103"/>
      <c r="AA291" s="65"/>
      <c r="AB291" s="103"/>
      <c r="AD291" s="42">
        <f t="shared" si="62"/>
        <v>0</v>
      </c>
      <c r="AF291" s="6"/>
    </row>
    <row r="292" spans="1:32">
      <c r="A292" s="2">
        <f t="shared" si="57"/>
        <v>275</v>
      </c>
      <c r="B292" s="688" t="s">
        <v>2342</v>
      </c>
      <c r="C292" s="688" t="s">
        <v>2850</v>
      </c>
      <c r="D292" s="688" t="s">
        <v>2863</v>
      </c>
      <c r="E292" s="182" t="s">
        <v>2864</v>
      </c>
      <c r="F292" s="183">
        <v>1.8189894035458601E-12</v>
      </c>
      <c r="G292" s="183">
        <v>0</v>
      </c>
      <c r="H292" s="183">
        <v>0</v>
      </c>
      <c r="I292" s="183">
        <v>0</v>
      </c>
      <c r="J292" s="183">
        <v>0</v>
      </c>
      <c r="K292" s="183">
        <v>0</v>
      </c>
      <c r="L292" s="183">
        <v>0</v>
      </c>
      <c r="M292" s="183">
        <v>0</v>
      </c>
      <c r="N292" s="183">
        <v>0</v>
      </c>
      <c r="O292" s="183">
        <v>0</v>
      </c>
      <c r="P292" s="183">
        <v>0</v>
      </c>
      <c r="Q292" s="183">
        <v>0</v>
      </c>
      <c r="R292" s="183">
        <v>0</v>
      </c>
      <c r="S292" s="184">
        <f t="shared" si="60"/>
        <v>7.5791225147744167E-14</v>
      </c>
      <c r="U292" s="65">
        <f t="shared" si="61"/>
        <v>7.5791225147744167E-14</v>
      </c>
      <c r="V292" s="103"/>
      <c r="W292" s="103"/>
      <c r="X292" s="599"/>
      <c r="Y292" s="103"/>
      <c r="Z292" s="103"/>
      <c r="AA292" s="65"/>
      <c r="AB292" s="103"/>
      <c r="AD292" s="42">
        <f t="shared" si="62"/>
        <v>7.5791225147744167E-14</v>
      </c>
      <c r="AF292" s="6"/>
    </row>
    <row r="293" spans="1:32">
      <c r="A293" s="2">
        <f t="shared" si="57"/>
        <v>276</v>
      </c>
      <c r="B293" s="688" t="s">
        <v>2342</v>
      </c>
      <c r="C293" s="688" t="s">
        <v>2850</v>
      </c>
      <c r="D293" s="688" t="s">
        <v>2865</v>
      </c>
      <c r="E293" s="182" t="s">
        <v>2866</v>
      </c>
      <c r="F293" s="183">
        <v>0</v>
      </c>
      <c r="G293" s="183">
        <v>0</v>
      </c>
      <c r="H293" s="183">
        <v>0</v>
      </c>
      <c r="I293" s="183">
        <v>0</v>
      </c>
      <c r="J293" s="183">
        <v>0</v>
      </c>
      <c r="K293" s="183">
        <v>0</v>
      </c>
      <c r="L293" s="183">
        <v>0</v>
      </c>
      <c r="M293" s="183">
        <v>0</v>
      </c>
      <c r="N293" s="183">
        <v>0</v>
      </c>
      <c r="O293" s="183">
        <v>0</v>
      </c>
      <c r="P293" s="183">
        <v>0</v>
      </c>
      <c r="Q293" s="183">
        <v>0</v>
      </c>
      <c r="R293" s="183">
        <v>0</v>
      </c>
      <c r="S293" s="184">
        <f t="shared" si="60"/>
        <v>0</v>
      </c>
      <c r="V293" s="103"/>
      <c r="W293" s="103"/>
      <c r="X293" s="65">
        <f t="shared" ref="X293:X299" si="63">+S293</f>
        <v>0</v>
      </c>
      <c r="Y293" s="824"/>
      <c r="Z293" s="103"/>
      <c r="AA293" s="65"/>
      <c r="AB293" s="103"/>
      <c r="AD293" s="42">
        <f t="shared" si="62"/>
        <v>0</v>
      </c>
      <c r="AF293" s="6"/>
    </row>
    <row r="294" spans="1:32">
      <c r="A294" s="2">
        <f t="shared" si="57"/>
        <v>277</v>
      </c>
      <c r="B294" s="688" t="s">
        <v>2342</v>
      </c>
      <c r="C294" s="688" t="s">
        <v>2850</v>
      </c>
      <c r="D294" s="688" t="s">
        <v>2867</v>
      </c>
      <c r="E294" s="182" t="s">
        <v>2868</v>
      </c>
      <c r="F294" s="183">
        <v>1077921.21</v>
      </c>
      <c r="G294" s="183">
        <v>1080492.05</v>
      </c>
      <c r="H294" s="183">
        <v>1082829.47</v>
      </c>
      <c r="I294" s="183">
        <v>1098398.6299999999</v>
      </c>
      <c r="J294" s="183">
        <v>1100944.51</v>
      </c>
      <c r="K294" s="183">
        <v>1103581.3500000001</v>
      </c>
      <c r="L294" s="183">
        <v>-2.3283064365386999E-10</v>
      </c>
      <c r="M294" s="183">
        <v>-2.3283064365386999E-10</v>
      </c>
      <c r="N294" s="183">
        <v>-2.3283064365386999E-10</v>
      </c>
      <c r="O294" s="183">
        <v>-2.3283064365386999E-10</v>
      </c>
      <c r="P294" s="183">
        <v>-2.3283064365386999E-10</v>
      </c>
      <c r="Q294" s="183">
        <v>-2.3283064365386999E-10</v>
      </c>
      <c r="R294" s="183">
        <v>-2.3283064365386999E-10</v>
      </c>
      <c r="S294" s="184">
        <f t="shared" si="60"/>
        <v>500433.88458333327</v>
      </c>
      <c r="V294" s="103"/>
      <c r="W294" s="103"/>
      <c r="X294" s="65">
        <f t="shared" si="63"/>
        <v>500433.88458333327</v>
      </c>
      <c r="Y294" s="824"/>
      <c r="Z294" s="103"/>
      <c r="AA294" s="65"/>
      <c r="AB294" s="103">
        <f t="shared" ref="AB294:AB299" si="64">+S294</f>
        <v>500433.88458333327</v>
      </c>
      <c r="AD294" s="42"/>
      <c r="AF294" s="6"/>
    </row>
    <row r="295" spans="1:32">
      <c r="A295" s="2">
        <f t="shared" si="57"/>
        <v>278</v>
      </c>
      <c r="B295" s="688" t="s">
        <v>2342</v>
      </c>
      <c r="C295" s="688" t="s">
        <v>2850</v>
      </c>
      <c r="D295" s="688" t="s">
        <v>2869</v>
      </c>
      <c r="E295" s="182" t="s">
        <v>2870</v>
      </c>
      <c r="F295" s="183">
        <v>255043.86</v>
      </c>
      <c r="G295" s="183">
        <v>267635.3</v>
      </c>
      <c r="H295" s="183">
        <v>283842.49</v>
      </c>
      <c r="I295" s="183">
        <v>300499.40000000002</v>
      </c>
      <c r="J295" s="183">
        <v>301195.90000000002</v>
      </c>
      <c r="K295" s="183">
        <v>301917.28000000003</v>
      </c>
      <c r="L295" s="183">
        <v>-5.8207660913467401E-11</v>
      </c>
      <c r="M295" s="183">
        <v>-5.8207660913467401E-11</v>
      </c>
      <c r="N295" s="183">
        <v>-5.8207660913467401E-11</v>
      </c>
      <c r="O295" s="183">
        <v>-5.8207660913467401E-11</v>
      </c>
      <c r="P295" s="183">
        <v>-5.8207660913467401E-11</v>
      </c>
      <c r="Q295" s="183">
        <v>-5.8207660913467401E-11</v>
      </c>
      <c r="R295" s="183">
        <v>-5.8207660913467401E-11</v>
      </c>
      <c r="S295" s="184">
        <f t="shared" si="60"/>
        <v>131884.35833333334</v>
      </c>
      <c r="V295" s="103"/>
      <c r="W295" s="103"/>
      <c r="X295" s="65">
        <f t="shared" si="63"/>
        <v>131884.35833333334</v>
      </c>
      <c r="Y295" s="824"/>
      <c r="Z295" s="103"/>
      <c r="AA295" s="65"/>
      <c r="AB295" s="103">
        <f t="shared" si="64"/>
        <v>131884.35833333334</v>
      </c>
      <c r="AD295" s="42"/>
      <c r="AF295" s="6"/>
    </row>
    <row r="296" spans="1:32">
      <c r="A296" s="2">
        <f t="shared" si="57"/>
        <v>279</v>
      </c>
      <c r="B296" s="688" t="s">
        <v>2342</v>
      </c>
      <c r="C296" s="688" t="s">
        <v>2850</v>
      </c>
      <c r="D296" s="688" t="s">
        <v>2871</v>
      </c>
      <c r="E296" s="182" t="s">
        <v>2872</v>
      </c>
      <c r="F296" s="183">
        <v>76801.89</v>
      </c>
      <c r="G296" s="183">
        <v>144190.04</v>
      </c>
      <c r="H296" s="183">
        <v>210230.74</v>
      </c>
      <c r="I296" s="183">
        <v>299458.98</v>
      </c>
      <c r="J296" s="183">
        <v>371125.43</v>
      </c>
      <c r="K296" s="183">
        <v>424552.93</v>
      </c>
      <c r="L296" s="183">
        <v>454847.37</v>
      </c>
      <c r="M296" s="183">
        <v>479448.12</v>
      </c>
      <c r="N296" s="183">
        <v>505101.64</v>
      </c>
      <c r="O296" s="183">
        <v>528897.44999999995</v>
      </c>
      <c r="P296" s="183">
        <v>568099.41</v>
      </c>
      <c r="Q296" s="183">
        <v>643415.53</v>
      </c>
      <c r="R296" s="183">
        <v>782565.28</v>
      </c>
      <c r="S296" s="184">
        <f t="shared" si="60"/>
        <v>421587.60208333336</v>
      </c>
      <c r="V296" s="103"/>
      <c r="W296" s="103"/>
      <c r="X296" s="65">
        <f t="shared" si="63"/>
        <v>421587.60208333336</v>
      </c>
      <c r="Y296" s="824"/>
      <c r="Z296" s="103"/>
      <c r="AA296" s="65"/>
      <c r="AB296" s="103">
        <f t="shared" si="64"/>
        <v>421587.60208333336</v>
      </c>
      <c r="AD296" s="42"/>
      <c r="AF296" s="6"/>
    </row>
    <row r="297" spans="1:32">
      <c r="A297" s="2">
        <f t="shared" si="57"/>
        <v>280</v>
      </c>
      <c r="B297" s="688" t="s">
        <v>2342</v>
      </c>
      <c r="C297" s="688" t="s">
        <v>2850</v>
      </c>
      <c r="D297" s="688" t="s">
        <v>2873</v>
      </c>
      <c r="E297" s="182" t="s">
        <v>2874</v>
      </c>
      <c r="F297" s="183">
        <v>0</v>
      </c>
      <c r="G297" s="183">
        <v>0</v>
      </c>
      <c r="H297" s="183">
        <v>1048.8800000000001</v>
      </c>
      <c r="I297" s="183">
        <v>1051.3900000000001</v>
      </c>
      <c r="J297" s="183">
        <v>1412.58</v>
      </c>
      <c r="K297" s="183">
        <v>4302.0600000000004</v>
      </c>
      <c r="L297" s="183">
        <v>2294.69</v>
      </c>
      <c r="M297" s="183">
        <v>1125.0899999999999</v>
      </c>
      <c r="N297" s="183">
        <v>1127.78</v>
      </c>
      <c r="O297" s="183">
        <v>1153.54</v>
      </c>
      <c r="P297" s="183">
        <v>1153.3900000000001</v>
      </c>
      <c r="Q297" s="183">
        <v>1525.15</v>
      </c>
      <c r="R297" s="183">
        <v>9939.43</v>
      </c>
      <c r="S297" s="184">
        <f t="shared" si="60"/>
        <v>1763.68875</v>
      </c>
      <c r="V297" s="103"/>
      <c r="W297" s="103"/>
      <c r="X297" s="65">
        <f t="shared" si="63"/>
        <v>1763.68875</v>
      </c>
      <c r="Y297" s="824"/>
      <c r="Z297" s="103"/>
      <c r="AA297" s="65"/>
      <c r="AB297" s="103">
        <f t="shared" si="64"/>
        <v>1763.68875</v>
      </c>
      <c r="AD297" s="42"/>
      <c r="AF297" s="6"/>
    </row>
    <row r="298" spans="1:32">
      <c r="A298" s="2">
        <f t="shared" si="57"/>
        <v>281</v>
      </c>
      <c r="B298" s="688" t="s">
        <v>2342</v>
      </c>
      <c r="C298" s="688" t="s">
        <v>2850</v>
      </c>
      <c r="D298" s="688" t="s">
        <v>2875</v>
      </c>
      <c r="E298" s="182" t="s">
        <v>2876</v>
      </c>
      <c r="F298" s="183">
        <v>-249829.81</v>
      </c>
      <c r="G298" s="183">
        <v>-375850.41</v>
      </c>
      <c r="H298" s="183">
        <v>-490593.86</v>
      </c>
      <c r="I298" s="183">
        <v>-613609.88</v>
      </c>
      <c r="J298" s="183">
        <v>-720608.26</v>
      </c>
      <c r="K298" s="183">
        <v>-812262.32</v>
      </c>
      <c r="L298" s="183">
        <v>-892114.25</v>
      </c>
      <c r="M298" s="183">
        <v>-969771.22</v>
      </c>
      <c r="N298" s="183">
        <v>-1047345.11</v>
      </c>
      <c r="O298" s="183">
        <v>-1125882.06</v>
      </c>
      <c r="P298" s="183">
        <v>-1210483.22</v>
      </c>
      <c r="Q298" s="183">
        <v>-1308152.6100000001</v>
      </c>
      <c r="R298" s="183">
        <v>-1425945.98</v>
      </c>
      <c r="S298" s="184">
        <f t="shared" si="60"/>
        <v>-867046.75791666668</v>
      </c>
      <c r="V298" s="103"/>
      <c r="W298" s="103"/>
      <c r="X298" s="65">
        <f t="shared" si="63"/>
        <v>-867046.75791666668</v>
      </c>
      <c r="Y298" s="824"/>
      <c r="Z298" s="103"/>
      <c r="AA298" s="65"/>
      <c r="AB298" s="103">
        <f t="shared" si="64"/>
        <v>-867046.75791666668</v>
      </c>
      <c r="AD298" s="42"/>
      <c r="AF298" s="6"/>
    </row>
    <row r="299" spans="1:32">
      <c r="A299" s="2">
        <f t="shared" si="57"/>
        <v>282</v>
      </c>
      <c r="B299" s="688" t="s">
        <v>2342</v>
      </c>
      <c r="C299" s="688" t="s">
        <v>2850</v>
      </c>
      <c r="D299" s="688" t="s">
        <v>2877</v>
      </c>
      <c r="E299" s="182" t="s">
        <v>2878</v>
      </c>
      <c r="F299" s="183">
        <v>87447.63</v>
      </c>
      <c r="G299" s="183">
        <v>114689.34</v>
      </c>
      <c r="H299" s="183">
        <v>141028.66</v>
      </c>
      <c r="I299" s="183">
        <v>521535.42</v>
      </c>
      <c r="J299" s="183">
        <v>569998.67000000004</v>
      </c>
      <c r="K299" s="183">
        <v>620484.51</v>
      </c>
      <c r="L299" s="183">
        <v>2039806.8</v>
      </c>
      <c r="M299" s="183">
        <v>2133187.73</v>
      </c>
      <c r="N299" s="183">
        <v>2248282.65</v>
      </c>
      <c r="O299" s="183">
        <v>2423452.87</v>
      </c>
      <c r="P299" s="183">
        <v>2470179.06</v>
      </c>
      <c r="Q299" s="183">
        <v>2713349.32</v>
      </c>
      <c r="R299" s="183">
        <v>2919123.95</v>
      </c>
      <c r="S299" s="184">
        <f t="shared" si="60"/>
        <v>1458273.4016666666</v>
      </c>
      <c r="V299" s="103"/>
      <c r="W299" s="103"/>
      <c r="X299" s="65">
        <f t="shared" si="63"/>
        <v>1458273.4016666666</v>
      </c>
      <c r="Y299" s="824"/>
      <c r="Z299" s="103"/>
      <c r="AA299" s="65"/>
      <c r="AB299" s="103">
        <f t="shared" si="64"/>
        <v>1458273.4016666666</v>
      </c>
      <c r="AD299" s="42"/>
      <c r="AF299" s="6"/>
    </row>
    <row r="300" spans="1:32">
      <c r="A300" s="2">
        <f t="shared" si="57"/>
        <v>283</v>
      </c>
      <c r="B300" s="688" t="s">
        <v>2342</v>
      </c>
      <c r="C300" s="688" t="s">
        <v>2850</v>
      </c>
      <c r="D300" s="688" t="s">
        <v>2879</v>
      </c>
      <c r="E300" s="182" t="s">
        <v>2880</v>
      </c>
      <c r="F300" s="183">
        <v>0</v>
      </c>
      <c r="G300" s="183">
        <v>0</v>
      </c>
      <c r="H300" s="183">
        <v>0</v>
      </c>
      <c r="I300" s="183">
        <v>0</v>
      </c>
      <c r="J300" s="183">
        <v>558897.5</v>
      </c>
      <c r="K300" s="183">
        <v>558897.5</v>
      </c>
      <c r="L300" s="183">
        <v>930055.7</v>
      </c>
      <c r="M300" s="183">
        <v>1120851.2</v>
      </c>
      <c r="N300" s="183">
        <v>1344381.5</v>
      </c>
      <c r="O300" s="183">
        <v>0</v>
      </c>
      <c r="P300" s="183">
        <v>0</v>
      </c>
      <c r="Q300" s="183">
        <v>1830829.7</v>
      </c>
      <c r="R300" s="183"/>
      <c r="S300" s="184">
        <f t="shared" si="60"/>
        <v>528659.42500000005</v>
      </c>
      <c r="U300" s="65">
        <f>+S300</f>
        <v>528659.42500000005</v>
      </c>
      <c r="V300" s="103"/>
      <c r="W300" s="103"/>
      <c r="X300" s="103"/>
      <c r="Y300" s="824"/>
      <c r="Z300" s="103"/>
      <c r="AA300" s="65"/>
      <c r="AB300" s="103"/>
      <c r="AD300" s="42">
        <f t="shared" si="62"/>
        <v>528659.42500000005</v>
      </c>
      <c r="AF300" s="6"/>
    </row>
    <row r="301" spans="1:32">
      <c r="A301" s="2">
        <f t="shared" si="57"/>
        <v>284</v>
      </c>
      <c r="B301" s="688" t="s">
        <v>2342</v>
      </c>
      <c r="C301" s="688" t="s">
        <v>2850</v>
      </c>
      <c r="D301" s="688" t="s">
        <v>2881</v>
      </c>
      <c r="E301" s="182" t="s">
        <v>2882</v>
      </c>
      <c r="F301" s="183"/>
      <c r="G301" s="183"/>
      <c r="H301" s="183"/>
      <c r="I301" s="183"/>
      <c r="J301" s="183"/>
      <c r="K301" s="183"/>
      <c r="L301" s="183"/>
      <c r="M301" s="183"/>
      <c r="N301" s="183"/>
      <c r="O301" s="183"/>
      <c r="P301" s="183"/>
      <c r="Q301" s="183">
        <v>16768278.720000001</v>
      </c>
      <c r="R301" s="183"/>
      <c r="S301" s="184">
        <f t="shared" si="60"/>
        <v>1397356.56</v>
      </c>
      <c r="U301" s="65">
        <f>+S301</f>
        <v>1397356.56</v>
      </c>
      <c r="V301" s="103"/>
      <c r="W301" s="103"/>
      <c r="X301" s="103"/>
      <c r="Y301" s="824"/>
      <c r="Z301" s="103"/>
      <c r="AA301" s="65"/>
      <c r="AB301" s="103"/>
      <c r="AD301" s="42">
        <f>+U301</f>
        <v>1397356.56</v>
      </c>
      <c r="AF301" s="6"/>
    </row>
    <row r="302" spans="1:32">
      <c r="A302" s="2">
        <f t="shared" si="57"/>
        <v>285</v>
      </c>
      <c r="B302" s="688" t="s">
        <v>2342</v>
      </c>
      <c r="C302" s="688" t="s">
        <v>2850</v>
      </c>
      <c r="D302" s="688" t="s">
        <v>2883</v>
      </c>
      <c r="E302" s="182" t="s">
        <v>2884</v>
      </c>
      <c r="F302" s="183"/>
      <c r="G302" s="183"/>
      <c r="H302" s="183"/>
      <c r="I302" s="183"/>
      <c r="J302" s="183"/>
      <c r="K302" s="183"/>
      <c r="L302" s="183"/>
      <c r="M302" s="183"/>
      <c r="N302" s="183"/>
      <c r="O302" s="183"/>
      <c r="P302" s="183">
        <v>8073.69</v>
      </c>
      <c r="Q302" s="183">
        <v>18760.990000000002</v>
      </c>
      <c r="R302" s="183">
        <v>29868.720000000001</v>
      </c>
      <c r="S302" s="184">
        <f t="shared" si="60"/>
        <v>3480.7533333333336</v>
      </c>
      <c r="V302" s="103"/>
      <c r="W302" s="103"/>
      <c r="X302" s="65">
        <f t="shared" ref="X302:X309" si="65">+S302</f>
        <v>3480.7533333333336</v>
      </c>
      <c r="Y302" s="824"/>
      <c r="Z302" s="103"/>
      <c r="AA302" s="65"/>
      <c r="AB302" s="103">
        <f>+S302</f>
        <v>3480.7533333333336</v>
      </c>
      <c r="AD302" s="42"/>
      <c r="AF302" s="6"/>
    </row>
    <row r="303" spans="1:32">
      <c r="A303" s="2">
        <f t="shared" si="57"/>
        <v>286</v>
      </c>
      <c r="B303" s="688" t="s">
        <v>2342</v>
      </c>
      <c r="C303" s="688" t="s">
        <v>2850</v>
      </c>
      <c r="D303" s="688" t="s">
        <v>2885</v>
      </c>
      <c r="E303" s="182" t="s">
        <v>2886</v>
      </c>
      <c r="F303" s="183">
        <v>0</v>
      </c>
      <c r="G303" s="183">
        <v>0</v>
      </c>
      <c r="H303" s="183">
        <v>0</v>
      </c>
      <c r="I303" s="183">
        <v>0</v>
      </c>
      <c r="J303" s="183">
        <v>0</v>
      </c>
      <c r="K303" s="183">
        <v>0</v>
      </c>
      <c r="L303" s="183">
        <v>1197427.98</v>
      </c>
      <c r="M303" s="183">
        <v>1174269.29</v>
      </c>
      <c r="N303" s="183">
        <v>1149407.0900000001</v>
      </c>
      <c r="O303" s="183">
        <v>1110832.52</v>
      </c>
      <c r="P303" s="183">
        <v>1011450.26</v>
      </c>
      <c r="Q303" s="183">
        <v>865469.93</v>
      </c>
      <c r="R303" s="183">
        <v>701256.6</v>
      </c>
      <c r="S303" s="184">
        <f t="shared" si="60"/>
        <v>571623.78083333338</v>
      </c>
      <c r="V303" s="103"/>
      <c r="W303" s="103"/>
      <c r="X303" s="65">
        <f t="shared" si="65"/>
        <v>571623.78083333338</v>
      </c>
      <c r="Y303" s="824"/>
      <c r="Z303" s="103"/>
      <c r="AA303" s="65"/>
      <c r="AB303" s="103">
        <f>+S303</f>
        <v>571623.78083333338</v>
      </c>
      <c r="AD303" s="42"/>
      <c r="AF303" s="6"/>
    </row>
    <row r="304" spans="1:32">
      <c r="A304" s="2">
        <f t="shared" si="57"/>
        <v>287</v>
      </c>
      <c r="B304" s="688" t="s">
        <v>2324</v>
      </c>
      <c r="C304" s="688" t="s">
        <v>2850</v>
      </c>
      <c r="D304" s="688" t="s">
        <v>2851</v>
      </c>
      <c r="E304" s="182" t="s">
        <v>2852</v>
      </c>
      <c r="F304" s="183">
        <v>0</v>
      </c>
      <c r="G304" s="183">
        <v>0</v>
      </c>
      <c r="H304" s="183">
        <v>0</v>
      </c>
      <c r="I304" s="183">
        <v>0</v>
      </c>
      <c r="J304" s="183">
        <v>0</v>
      </c>
      <c r="K304" s="183">
        <v>0</v>
      </c>
      <c r="L304" s="183">
        <v>0</v>
      </c>
      <c r="M304" s="183">
        <v>0</v>
      </c>
      <c r="N304" s="183">
        <v>0</v>
      </c>
      <c r="O304" s="183">
        <v>0</v>
      </c>
      <c r="P304" s="183">
        <v>0</v>
      </c>
      <c r="Q304" s="183">
        <v>0</v>
      </c>
      <c r="R304" s="183">
        <v>0</v>
      </c>
      <c r="S304" s="184">
        <f t="shared" si="60"/>
        <v>0</v>
      </c>
      <c r="V304" s="103"/>
      <c r="W304" s="103"/>
      <c r="X304" s="65">
        <f t="shared" si="65"/>
        <v>0</v>
      </c>
      <c r="Y304" s="824"/>
      <c r="Z304" s="103"/>
      <c r="AA304" s="65"/>
      <c r="AB304" s="103"/>
      <c r="AD304" s="42">
        <f t="shared" si="62"/>
        <v>0</v>
      </c>
      <c r="AF304" s="6"/>
    </row>
    <row r="305" spans="1:32">
      <c r="A305" s="2">
        <f t="shared" si="57"/>
        <v>288</v>
      </c>
      <c r="B305" s="688" t="s">
        <v>2324</v>
      </c>
      <c r="C305" s="688" t="s">
        <v>2850</v>
      </c>
      <c r="D305" s="688" t="s">
        <v>2853</v>
      </c>
      <c r="E305" s="182" t="s">
        <v>2854</v>
      </c>
      <c r="F305" s="183">
        <v>0</v>
      </c>
      <c r="G305" s="183">
        <v>0</v>
      </c>
      <c r="H305" s="183">
        <v>0</v>
      </c>
      <c r="I305" s="183">
        <v>0</v>
      </c>
      <c r="J305" s="183">
        <v>0</v>
      </c>
      <c r="K305" s="183">
        <v>0</v>
      </c>
      <c r="L305" s="183">
        <v>0</v>
      </c>
      <c r="M305" s="183">
        <v>0</v>
      </c>
      <c r="N305" s="183">
        <v>0</v>
      </c>
      <c r="O305" s="183">
        <v>0</v>
      </c>
      <c r="P305" s="183">
        <v>0</v>
      </c>
      <c r="Q305" s="183">
        <v>0</v>
      </c>
      <c r="R305" s="183">
        <v>0</v>
      </c>
      <c r="S305" s="184">
        <f t="shared" si="60"/>
        <v>0</v>
      </c>
      <c r="V305" s="103"/>
      <c r="W305" s="103"/>
      <c r="X305" s="65">
        <f t="shared" si="65"/>
        <v>0</v>
      </c>
      <c r="Y305" s="824"/>
      <c r="Z305" s="103"/>
      <c r="AA305" s="65"/>
      <c r="AB305" s="103"/>
      <c r="AD305" s="42">
        <f t="shared" si="62"/>
        <v>0</v>
      </c>
      <c r="AF305" s="6"/>
    </row>
    <row r="306" spans="1:32">
      <c r="A306" s="2">
        <f t="shared" si="57"/>
        <v>289</v>
      </c>
      <c r="B306" s="688" t="s">
        <v>2324</v>
      </c>
      <c r="C306" s="688" t="s">
        <v>2850</v>
      </c>
      <c r="D306" s="688" t="s">
        <v>2855</v>
      </c>
      <c r="E306" s="182" t="s">
        <v>2856</v>
      </c>
      <c r="F306" s="183">
        <v>0</v>
      </c>
      <c r="G306" s="183">
        <v>0</v>
      </c>
      <c r="H306" s="183">
        <v>0</v>
      </c>
      <c r="I306" s="183">
        <v>0</v>
      </c>
      <c r="J306" s="183">
        <v>0</v>
      </c>
      <c r="K306" s="183">
        <v>0</v>
      </c>
      <c r="L306" s="183">
        <v>0</v>
      </c>
      <c r="M306" s="183">
        <v>0</v>
      </c>
      <c r="N306" s="183">
        <v>0</v>
      </c>
      <c r="O306" s="183">
        <v>0</v>
      </c>
      <c r="P306" s="183">
        <v>0</v>
      </c>
      <c r="Q306" s="183">
        <v>0</v>
      </c>
      <c r="R306" s="183">
        <v>0</v>
      </c>
      <c r="S306" s="184">
        <f t="shared" si="60"/>
        <v>0</v>
      </c>
      <c r="V306" s="103"/>
      <c r="W306" s="103"/>
      <c r="X306" s="65">
        <f t="shared" si="65"/>
        <v>0</v>
      </c>
      <c r="Y306" s="824"/>
      <c r="Z306" s="103"/>
      <c r="AA306" s="65"/>
      <c r="AB306" s="103"/>
      <c r="AD306" s="42">
        <f t="shared" si="62"/>
        <v>0</v>
      </c>
      <c r="AF306" s="6"/>
    </row>
    <row r="307" spans="1:32">
      <c r="A307" s="2">
        <f t="shared" si="57"/>
        <v>290</v>
      </c>
      <c r="B307" s="688" t="s">
        <v>2324</v>
      </c>
      <c r="C307" s="688" t="s">
        <v>2850</v>
      </c>
      <c r="D307" s="688" t="s">
        <v>2857</v>
      </c>
      <c r="E307" s="182" t="s">
        <v>2858</v>
      </c>
      <c r="F307" s="183">
        <v>0</v>
      </c>
      <c r="G307" s="183">
        <v>0</v>
      </c>
      <c r="H307" s="183">
        <v>0</v>
      </c>
      <c r="I307" s="183">
        <v>0</v>
      </c>
      <c r="J307" s="183">
        <v>0</v>
      </c>
      <c r="K307" s="183">
        <v>0</v>
      </c>
      <c r="L307" s="183">
        <v>0</v>
      </c>
      <c r="M307" s="183">
        <v>0</v>
      </c>
      <c r="N307" s="183">
        <v>0</v>
      </c>
      <c r="O307" s="183">
        <v>0</v>
      </c>
      <c r="P307" s="183">
        <v>0</v>
      </c>
      <c r="Q307" s="183">
        <v>0</v>
      </c>
      <c r="R307" s="183">
        <v>0</v>
      </c>
      <c r="S307" s="184">
        <f t="shared" si="60"/>
        <v>0</v>
      </c>
      <c r="V307" s="103"/>
      <c r="W307" s="103"/>
      <c r="X307" s="65">
        <f t="shared" si="65"/>
        <v>0</v>
      </c>
      <c r="Y307" s="824"/>
      <c r="Z307" s="103"/>
      <c r="AA307" s="65"/>
      <c r="AB307" s="103"/>
      <c r="AD307" s="42">
        <f t="shared" si="62"/>
        <v>0</v>
      </c>
      <c r="AF307" s="6"/>
    </row>
    <row r="308" spans="1:32">
      <c r="A308" s="2">
        <f t="shared" si="57"/>
        <v>291</v>
      </c>
      <c r="B308" s="688" t="s">
        <v>2324</v>
      </c>
      <c r="C308" s="688" t="s">
        <v>2850</v>
      </c>
      <c r="D308" s="688" t="s">
        <v>2887</v>
      </c>
      <c r="E308" s="182" t="s">
        <v>2888</v>
      </c>
      <c r="F308" s="183">
        <v>347245.82</v>
      </c>
      <c r="G308" s="183">
        <v>454263.91</v>
      </c>
      <c r="H308" s="183">
        <v>568887.84</v>
      </c>
      <c r="I308" s="183">
        <v>669703.63</v>
      </c>
      <c r="J308" s="183">
        <v>677570.61</v>
      </c>
      <c r="K308" s="183">
        <v>747094.24</v>
      </c>
      <c r="L308" s="183">
        <v>773162.85</v>
      </c>
      <c r="M308" s="183">
        <v>835273.35</v>
      </c>
      <c r="N308" s="183">
        <v>959439.14</v>
      </c>
      <c r="O308" s="183">
        <v>1155980.8700000001</v>
      </c>
      <c r="P308" s="183">
        <v>1262403.22</v>
      </c>
      <c r="Q308" s="183">
        <v>1497399.06</v>
      </c>
      <c r="R308" s="183">
        <v>1686668.03</v>
      </c>
      <c r="S308" s="184">
        <f t="shared" si="60"/>
        <v>884844.63708333333</v>
      </c>
      <c r="V308" s="103"/>
      <c r="W308" s="103"/>
      <c r="X308" s="65">
        <f t="shared" si="65"/>
        <v>884844.63708333333</v>
      </c>
      <c r="Y308" s="824"/>
      <c r="Z308" s="103"/>
      <c r="AA308" s="65"/>
      <c r="AB308" s="103">
        <f>+S308</f>
        <v>884844.63708333333</v>
      </c>
      <c r="AD308" s="42"/>
      <c r="AF308" s="6"/>
    </row>
    <row r="309" spans="1:32">
      <c r="A309" s="2">
        <f t="shared" si="57"/>
        <v>292</v>
      </c>
      <c r="B309" s="688" t="s">
        <v>2324</v>
      </c>
      <c r="C309" s="688" t="s">
        <v>2850</v>
      </c>
      <c r="D309" s="688" t="s">
        <v>2889</v>
      </c>
      <c r="E309" s="182" t="s">
        <v>2890</v>
      </c>
      <c r="F309" s="183">
        <v>75250</v>
      </c>
      <c r="G309" s="183">
        <v>75687.789999999994</v>
      </c>
      <c r="H309" s="183">
        <v>76085.509999999995</v>
      </c>
      <c r="I309" s="183">
        <v>76528.160000000003</v>
      </c>
      <c r="J309" s="183">
        <v>76959.02</v>
      </c>
      <c r="K309" s="183">
        <v>77406.75</v>
      </c>
      <c r="L309" s="183">
        <v>77842.559999999998</v>
      </c>
      <c r="M309" s="183">
        <v>78295.429999999993</v>
      </c>
      <c r="N309" s="183">
        <v>78750.94</v>
      </c>
      <c r="O309" s="183">
        <v>79194.320000000007</v>
      </c>
      <c r="P309" s="183">
        <v>79655.06</v>
      </c>
      <c r="Q309" s="183">
        <v>80103.53</v>
      </c>
      <c r="R309" s="183">
        <v>80569.56</v>
      </c>
      <c r="S309" s="184">
        <f t="shared" si="60"/>
        <v>77868.237500000003</v>
      </c>
      <c r="V309" s="103"/>
      <c r="W309" s="103"/>
      <c r="X309" s="65">
        <f t="shared" si="65"/>
        <v>77868.237500000003</v>
      </c>
      <c r="Y309" s="824"/>
      <c r="Z309" s="103"/>
      <c r="AA309" s="65"/>
      <c r="AB309" s="103">
        <f>+S309</f>
        <v>77868.237500000003</v>
      </c>
      <c r="AD309" s="42"/>
      <c r="AF309" s="6"/>
    </row>
    <row r="310" spans="1:32">
      <c r="A310" s="2">
        <f t="shared" si="57"/>
        <v>293</v>
      </c>
      <c r="B310" s="688" t="s">
        <v>2324</v>
      </c>
      <c r="C310" s="688" t="s">
        <v>2850</v>
      </c>
      <c r="D310" s="688" t="s">
        <v>2891</v>
      </c>
      <c r="E310" s="182" t="s">
        <v>2892</v>
      </c>
      <c r="F310" s="183">
        <v>0</v>
      </c>
      <c r="G310" s="183">
        <v>0</v>
      </c>
      <c r="H310" s="183">
        <v>0</v>
      </c>
      <c r="I310" s="183">
        <v>0</v>
      </c>
      <c r="J310" s="183">
        <v>0</v>
      </c>
      <c r="K310" s="183">
        <v>0</v>
      </c>
      <c r="L310" s="183">
        <v>0</v>
      </c>
      <c r="M310" s="183">
        <v>0</v>
      </c>
      <c r="N310" s="183">
        <v>0</v>
      </c>
      <c r="O310" s="183">
        <v>0</v>
      </c>
      <c r="P310" s="183">
        <v>0</v>
      </c>
      <c r="Q310" s="183">
        <v>0</v>
      </c>
      <c r="R310" s="183">
        <v>0</v>
      </c>
      <c r="S310" s="184">
        <f t="shared" si="60"/>
        <v>0</v>
      </c>
      <c r="U310" s="65">
        <f>+S310</f>
        <v>0</v>
      </c>
      <c r="V310" s="103"/>
      <c r="W310" s="103"/>
      <c r="X310" s="599"/>
      <c r="Y310" s="103"/>
      <c r="Z310" s="103"/>
      <c r="AA310" s="65"/>
      <c r="AB310" s="103"/>
      <c r="AD310" s="42">
        <f t="shared" si="62"/>
        <v>0</v>
      </c>
      <c r="AF310" s="6"/>
    </row>
    <row r="311" spans="1:32">
      <c r="A311" s="2">
        <f t="shared" si="57"/>
        <v>294</v>
      </c>
      <c r="B311" s="688" t="s">
        <v>2324</v>
      </c>
      <c r="C311" s="688" t="s">
        <v>2850</v>
      </c>
      <c r="D311" s="688" t="s">
        <v>2893</v>
      </c>
      <c r="E311" s="182" t="s">
        <v>2894</v>
      </c>
      <c r="F311" s="183">
        <v>0</v>
      </c>
      <c r="G311" s="183">
        <v>0</v>
      </c>
      <c r="H311" s="183">
        <v>0</v>
      </c>
      <c r="I311" s="183">
        <v>0</v>
      </c>
      <c r="J311" s="183">
        <v>0</v>
      </c>
      <c r="K311" s="183">
        <v>0</v>
      </c>
      <c r="L311" s="183">
        <v>0</v>
      </c>
      <c r="M311" s="183">
        <v>0</v>
      </c>
      <c r="N311" s="183">
        <v>0</v>
      </c>
      <c r="O311" s="183">
        <v>0</v>
      </c>
      <c r="P311" s="183">
        <v>0</v>
      </c>
      <c r="Q311" s="183">
        <v>0</v>
      </c>
      <c r="R311" s="183">
        <v>0</v>
      </c>
      <c r="S311" s="184">
        <f t="shared" si="60"/>
        <v>0</v>
      </c>
      <c r="U311" s="65">
        <f>+S311</f>
        <v>0</v>
      </c>
      <c r="V311" s="103"/>
      <c r="W311" s="103"/>
      <c r="X311" s="599"/>
      <c r="Y311" s="103"/>
      <c r="Z311" s="103"/>
      <c r="AA311" s="65"/>
      <c r="AB311" s="103"/>
      <c r="AD311" s="42">
        <f t="shared" si="62"/>
        <v>0</v>
      </c>
      <c r="AF311" s="6"/>
    </row>
    <row r="312" spans="1:32">
      <c r="A312" s="2">
        <f t="shared" si="57"/>
        <v>295</v>
      </c>
      <c r="B312" s="688" t="s">
        <v>2324</v>
      </c>
      <c r="C312" s="688" t="s">
        <v>2850</v>
      </c>
      <c r="D312" s="688" t="s">
        <v>2895</v>
      </c>
      <c r="E312" s="182" t="s">
        <v>2896</v>
      </c>
      <c r="F312" s="183">
        <v>0</v>
      </c>
      <c r="G312" s="183">
        <v>0</v>
      </c>
      <c r="H312" s="183">
        <v>0</v>
      </c>
      <c r="I312" s="183">
        <v>0</v>
      </c>
      <c r="J312" s="183">
        <v>0</v>
      </c>
      <c r="K312" s="183">
        <v>0</v>
      </c>
      <c r="L312" s="183">
        <v>0</v>
      </c>
      <c r="M312" s="183">
        <v>0</v>
      </c>
      <c r="N312" s="183">
        <v>0</v>
      </c>
      <c r="O312" s="183">
        <v>0</v>
      </c>
      <c r="P312" s="183">
        <v>0</v>
      </c>
      <c r="Q312" s="183">
        <v>0</v>
      </c>
      <c r="R312" s="183">
        <v>0</v>
      </c>
      <c r="S312" s="184">
        <f t="shared" si="60"/>
        <v>0</v>
      </c>
      <c r="U312" s="65">
        <f>+S312</f>
        <v>0</v>
      </c>
      <c r="V312" s="103"/>
      <c r="W312" s="103"/>
      <c r="X312" s="599"/>
      <c r="Y312" s="103"/>
      <c r="Z312" s="103"/>
      <c r="AA312" s="65"/>
      <c r="AB312" s="103"/>
      <c r="AD312" s="42">
        <f t="shared" si="62"/>
        <v>0</v>
      </c>
      <c r="AF312" s="6"/>
    </row>
    <row r="313" spans="1:32">
      <c r="A313" s="2">
        <f t="shared" si="57"/>
        <v>296</v>
      </c>
      <c r="B313" s="688" t="s">
        <v>2324</v>
      </c>
      <c r="C313" s="688" t="s">
        <v>2850</v>
      </c>
      <c r="D313" s="1" t="s">
        <v>2897</v>
      </c>
      <c r="E313" s="182" t="s">
        <v>2898</v>
      </c>
      <c r="F313" s="183">
        <v>0</v>
      </c>
      <c r="G313" s="183">
        <v>0</v>
      </c>
      <c r="H313" s="183">
        <v>0</v>
      </c>
      <c r="I313" s="183">
        <v>9845500</v>
      </c>
      <c r="J313" s="183">
        <v>9845500</v>
      </c>
      <c r="K313" s="183">
        <v>9845500</v>
      </c>
      <c r="L313" s="183">
        <v>17158700</v>
      </c>
      <c r="M313" s="183">
        <v>17158700</v>
      </c>
      <c r="N313" s="183">
        <v>38185778.600000001</v>
      </c>
      <c r="O313" s="183">
        <v>36604769.810000002</v>
      </c>
      <c r="P313" s="183">
        <v>38185778.600000001</v>
      </c>
      <c r="Q313" s="183">
        <v>50675825</v>
      </c>
      <c r="R313" s="183">
        <v>66805586.479999997</v>
      </c>
      <c r="S313" s="184">
        <f t="shared" si="60"/>
        <v>21742403.770833332</v>
      </c>
      <c r="U313" s="65">
        <f>+S313</f>
        <v>21742403.770833332</v>
      </c>
      <c r="V313" s="103"/>
      <c r="W313" s="103"/>
      <c r="X313" s="599"/>
      <c r="Y313" s="103"/>
      <c r="Z313" s="103"/>
      <c r="AA313" s="65"/>
      <c r="AB313" s="103"/>
      <c r="AD313" s="42">
        <f t="shared" si="62"/>
        <v>21742403.770833332</v>
      </c>
      <c r="AF313" s="6"/>
    </row>
    <row r="314" spans="1:32">
      <c r="A314" s="2">
        <f t="shared" si="57"/>
        <v>297</v>
      </c>
      <c r="B314" s="688" t="s">
        <v>2324</v>
      </c>
      <c r="C314" s="688" t="s">
        <v>2850</v>
      </c>
      <c r="D314" s="688" t="s">
        <v>2899</v>
      </c>
      <c r="E314" s="182" t="s">
        <v>2900</v>
      </c>
      <c r="F314" s="183">
        <v>0</v>
      </c>
      <c r="G314" s="183">
        <v>0</v>
      </c>
      <c r="H314" s="183">
        <v>0</v>
      </c>
      <c r="I314" s="183">
        <v>12096212.310000001</v>
      </c>
      <c r="J314" s="183">
        <v>12096212.310000001</v>
      </c>
      <c r="K314" s="183">
        <v>12096212.310000001</v>
      </c>
      <c r="L314" s="183">
        <v>2521878.11</v>
      </c>
      <c r="M314" s="183">
        <v>2521878.11</v>
      </c>
      <c r="N314" s="183">
        <v>-6405185.9100000001</v>
      </c>
      <c r="O314" s="183">
        <v>1.00000016391277E-2</v>
      </c>
      <c r="P314" s="183">
        <v>5876701.2800000003</v>
      </c>
      <c r="Q314" s="183">
        <v>17126254.620000001</v>
      </c>
      <c r="R314" s="183">
        <v>1.00000016391277E-2</v>
      </c>
      <c r="S314" s="184">
        <f t="shared" si="60"/>
        <v>4827513.5962500004</v>
      </c>
      <c r="U314" s="65">
        <f>+S314</f>
        <v>4827513.5962500004</v>
      </c>
      <c r="V314" s="103"/>
      <c r="W314" s="103"/>
      <c r="X314" s="599"/>
      <c r="Y314" s="103"/>
      <c r="Z314" s="103"/>
      <c r="AA314" s="65"/>
      <c r="AB314" s="103"/>
      <c r="AD314" s="42">
        <f t="shared" si="62"/>
        <v>4827513.5962500004</v>
      </c>
      <c r="AF314" s="6"/>
    </row>
    <row r="315" spans="1:32">
      <c r="A315" s="2">
        <f t="shared" si="57"/>
        <v>298</v>
      </c>
      <c r="B315" s="688" t="s">
        <v>2324</v>
      </c>
      <c r="C315" s="688" t="s">
        <v>2850</v>
      </c>
      <c r="D315" s="688" t="s">
        <v>2901</v>
      </c>
      <c r="E315" s="182" t="s">
        <v>2902</v>
      </c>
      <c r="F315" s="183">
        <v>0</v>
      </c>
      <c r="G315" s="183">
        <v>0</v>
      </c>
      <c r="H315" s="183">
        <v>0</v>
      </c>
      <c r="I315" s="183">
        <v>0</v>
      </c>
      <c r="J315" s="183">
        <v>37143.160000000003</v>
      </c>
      <c r="K315" s="183">
        <v>75669.22</v>
      </c>
      <c r="L315" s="183">
        <v>113097.85</v>
      </c>
      <c r="M315" s="183">
        <v>180429.47</v>
      </c>
      <c r="N315" s="183">
        <v>248023.57</v>
      </c>
      <c r="O315" s="183">
        <v>393019.04</v>
      </c>
      <c r="P315" s="183">
        <v>543412.93000000005</v>
      </c>
      <c r="Q315" s="183">
        <v>689522.78</v>
      </c>
      <c r="R315" s="183">
        <v>889763.2</v>
      </c>
      <c r="S315" s="184">
        <f t="shared" si="60"/>
        <v>227099.96833333338</v>
      </c>
      <c r="V315" s="103"/>
      <c r="W315" s="103"/>
      <c r="X315" s="65">
        <f t="shared" ref="X315:X325" si="66">+S315</f>
        <v>227099.96833333338</v>
      </c>
      <c r="Y315" s="824"/>
      <c r="Z315" s="103"/>
      <c r="AA315" s="65"/>
      <c r="AB315" s="103">
        <f t="shared" ref="AB315:AB325" si="67">+S315</f>
        <v>227099.96833333338</v>
      </c>
      <c r="AD315" s="42"/>
      <c r="AF315" s="6"/>
    </row>
    <row r="316" spans="1:32">
      <c r="A316" s="2">
        <f t="shared" si="57"/>
        <v>299</v>
      </c>
      <c r="B316" s="688" t="s">
        <v>2324</v>
      </c>
      <c r="C316" s="688" t="s">
        <v>2850</v>
      </c>
      <c r="D316" s="688" t="s">
        <v>2903</v>
      </c>
      <c r="E316" s="182" t="s">
        <v>2904</v>
      </c>
      <c r="F316" s="183"/>
      <c r="G316" s="183"/>
      <c r="H316" s="183"/>
      <c r="I316" s="183"/>
      <c r="J316" s="183"/>
      <c r="K316" s="183"/>
      <c r="L316" s="183"/>
      <c r="M316" s="183"/>
      <c r="N316" s="183"/>
      <c r="O316" s="183"/>
      <c r="P316" s="183">
        <v>5064.83</v>
      </c>
      <c r="Q316" s="183">
        <v>55399.24</v>
      </c>
      <c r="R316" s="183">
        <v>161399.97</v>
      </c>
      <c r="S316" s="184">
        <f t="shared" si="60"/>
        <v>11763.671249999999</v>
      </c>
      <c r="V316" s="103"/>
      <c r="W316" s="103"/>
      <c r="X316" s="65">
        <f t="shared" si="66"/>
        <v>11763.671249999999</v>
      </c>
      <c r="Y316" s="824"/>
      <c r="Z316" s="103"/>
      <c r="AA316" s="65"/>
      <c r="AB316" s="103">
        <f t="shared" si="67"/>
        <v>11763.671249999999</v>
      </c>
      <c r="AD316" s="42"/>
      <c r="AF316" s="6"/>
    </row>
    <row r="317" spans="1:32">
      <c r="A317" s="2">
        <f t="shared" si="57"/>
        <v>300</v>
      </c>
      <c r="B317" s="688" t="s">
        <v>2324</v>
      </c>
      <c r="C317" s="688" t="s">
        <v>2850</v>
      </c>
      <c r="D317" s="688" t="s">
        <v>2905</v>
      </c>
      <c r="E317" s="182" t="s">
        <v>2906</v>
      </c>
      <c r="F317" s="183">
        <v>0</v>
      </c>
      <c r="G317" s="183">
        <v>0</v>
      </c>
      <c r="H317" s="183">
        <v>0</v>
      </c>
      <c r="I317" s="183">
        <v>0</v>
      </c>
      <c r="J317" s="183">
        <v>0</v>
      </c>
      <c r="K317" s="183">
        <v>2801.41</v>
      </c>
      <c r="L317" s="183">
        <v>274.42</v>
      </c>
      <c r="M317" s="183">
        <v>-1244.52</v>
      </c>
      <c r="N317" s="183">
        <v>-1249.8</v>
      </c>
      <c r="O317" s="183">
        <v>-5.13999999999987</v>
      </c>
      <c r="P317" s="183">
        <v>375962.06</v>
      </c>
      <c r="Q317" s="183">
        <v>401250.21</v>
      </c>
      <c r="R317" s="183">
        <v>409181.53</v>
      </c>
      <c r="S317" s="184">
        <f t="shared" si="60"/>
        <v>81864.950416666674</v>
      </c>
      <c r="V317" s="103"/>
      <c r="W317" s="103"/>
      <c r="X317" s="65">
        <f t="shared" si="66"/>
        <v>81864.950416666674</v>
      </c>
      <c r="Y317" s="824"/>
      <c r="Z317" s="103"/>
      <c r="AA317" s="65"/>
      <c r="AB317" s="103">
        <f t="shared" si="67"/>
        <v>81864.950416666674</v>
      </c>
      <c r="AD317" s="42"/>
      <c r="AF317" s="6"/>
    </row>
    <row r="318" spans="1:32">
      <c r="A318" s="2">
        <f t="shared" si="57"/>
        <v>301</v>
      </c>
      <c r="B318" s="688" t="s">
        <v>2324</v>
      </c>
      <c r="C318" s="688" t="s">
        <v>2850</v>
      </c>
      <c r="D318" s="688" t="s">
        <v>2907</v>
      </c>
      <c r="E318" s="182" t="s">
        <v>2908</v>
      </c>
      <c r="F318" s="183"/>
      <c r="G318" s="183"/>
      <c r="H318" s="183"/>
      <c r="I318" s="183"/>
      <c r="J318" s="183"/>
      <c r="K318" s="183"/>
      <c r="L318" s="183"/>
      <c r="M318" s="183"/>
      <c r="N318" s="183"/>
      <c r="O318" s="183"/>
      <c r="P318" s="183">
        <v>3420.98</v>
      </c>
      <c r="Q318" s="183">
        <v>7608.1</v>
      </c>
      <c r="R318" s="183">
        <v>13878.87</v>
      </c>
      <c r="S318" s="184">
        <f t="shared" si="60"/>
        <v>1497.37625</v>
      </c>
      <c r="V318" s="103"/>
      <c r="W318" s="103"/>
      <c r="X318" s="65">
        <f t="shared" si="66"/>
        <v>1497.37625</v>
      </c>
      <c r="Y318" s="824"/>
      <c r="Z318" s="103"/>
      <c r="AA318" s="65"/>
      <c r="AB318" s="103">
        <f t="shared" si="67"/>
        <v>1497.37625</v>
      </c>
      <c r="AD318" s="42"/>
      <c r="AF318" s="6"/>
    </row>
    <row r="319" spans="1:32">
      <c r="A319" s="2">
        <f t="shared" si="57"/>
        <v>302</v>
      </c>
      <c r="B319" s="688" t="s">
        <v>2324</v>
      </c>
      <c r="C319" s="688" t="s">
        <v>2850</v>
      </c>
      <c r="D319" s="688" t="s">
        <v>2909</v>
      </c>
      <c r="E319" s="182" t="s">
        <v>2910</v>
      </c>
      <c r="F319" s="183"/>
      <c r="G319" s="183"/>
      <c r="H319" s="183"/>
      <c r="I319" s="183"/>
      <c r="J319" s="183"/>
      <c r="K319" s="183"/>
      <c r="L319" s="183"/>
      <c r="M319" s="183"/>
      <c r="N319" s="183"/>
      <c r="O319" s="183"/>
      <c r="P319" s="183">
        <v>-36878.36</v>
      </c>
      <c r="Q319" s="183">
        <v>-313240.03000000003</v>
      </c>
      <c r="R319" s="183">
        <v>-743501.6</v>
      </c>
      <c r="S319" s="184">
        <f t="shared" si="60"/>
        <v>-60155.765833333331</v>
      </c>
      <c r="V319" s="103"/>
      <c r="W319" s="103"/>
      <c r="X319" s="65">
        <f t="shared" si="66"/>
        <v>-60155.765833333331</v>
      </c>
      <c r="Y319" s="824"/>
      <c r="Z319" s="103"/>
      <c r="AA319" s="65"/>
      <c r="AB319" s="103">
        <f t="shared" si="67"/>
        <v>-60155.765833333331</v>
      </c>
      <c r="AD319" s="42"/>
      <c r="AF319" s="6"/>
    </row>
    <row r="320" spans="1:32">
      <c r="A320" s="2">
        <f t="shared" si="57"/>
        <v>303</v>
      </c>
      <c r="B320" s="688" t="s">
        <v>2324</v>
      </c>
      <c r="C320" s="688" t="s">
        <v>2850</v>
      </c>
      <c r="D320" s="688" t="s">
        <v>2911</v>
      </c>
      <c r="E320" s="182" t="s">
        <v>2912</v>
      </c>
      <c r="F320" s="183"/>
      <c r="G320" s="183"/>
      <c r="H320" s="183"/>
      <c r="I320" s="183"/>
      <c r="J320" s="183"/>
      <c r="K320" s="183"/>
      <c r="L320" s="183"/>
      <c r="M320" s="183"/>
      <c r="N320" s="183"/>
      <c r="O320" s="183"/>
      <c r="P320" s="183"/>
      <c r="Q320" s="183">
        <v>0</v>
      </c>
      <c r="R320" s="183">
        <v>2809291.97</v>
      </c>
      <c r="S320" s="184">
        <f t="shared" si="60"/>
        <v>117053.83208333334</v>
      </c>
      <c r="V320" s="103"/>
      <c r="W320" s="103"/>
      <c r="X320" s="65">
        <f t="shared" si="66"/>
        <v>117053.83208333334</v>
      </c>
      <c r="Y320" s="824"/>
      <c r="Z320" s="103"/>
      <c r="AA320" s="65"/>
      <c r="AB320" s="103">
        <f t="shared" si="67"/>
        <v>117053.83208333334</v>
      </c>
      <c r="AD320" s="42"/>
      <c r="AF320" s="6"/>
    </row>
    <row r="321" spans="1:32">
      <c r="A321" s="2">
        <f t="shared" si="57"/>
        <v>304</v>
      </c>
      <c r="B321" s="688" t="s">
        <v>2324</v>
      </c>
      <c r="C321" s="688" t="s">
        <v>2850</v>
      </c>
      <c r="D321" s="688" t="s">
        <v>2913</v>
      </c>
      <c r="E321" s="182" t="s">
        <v>2914</v>
      </c>
      <c r="F321" s="183">
        <v>440098.6</v>
      </c>
      <c r="G321" s="183">
        <v>638292.66</v>
      </c>
      <c r="H321" s="183">
        <v>701068.85</v>
      </c>
      <c r="I321" s="183">
        <v>775907.22</v>
      </c>
      <c r="J321" s="183">
        <v>1148750.3600000001</v>
      </c>
      <c r="K321" s="183">
        <v>1279613.47</v>
      </c>
      <c r="L321" s="183">
        <v>1390071.5</v>
      </c>
      <c r="M321" s="183">
        <v>1470605.29</v>
      </c>
      <c r="N321" s="183">
        <v>1484788.33</v>
      </c>
      <c r="O321" s="183">
        <v>1659624.62</v>
      </c>
      <c r="P321" s="183">
        <v>1716387.31</v>
      </c>
      <c r="Q321" s="183">
        <v>298114.12</v>
      </c>
      <c r="R321" s="183">
        <v>357266.43</v>
      </c>
      <c r="S321" s="184">
        <f t="shared" si="60"/>
        <v>1080158.85375</v>
      </c>
      <c r="U321" s="65"/>
      <c r="V321" s="103"/>
      <c r="W321" s="103"/>
      <c r="X321" s="599">
        <f t="shared" si="66"/>
        <v>1080158.85375</v>
      </c>
      <c r="Y321" s="103"/>
      <c r="Z321" s="103"/>
      <c r="AA321" s="65"/>
      <c r="AB321" s="42">
        <f t="shared" si="67"/>
        <v>1080158.85375</v>
      </c>
      <c r="AF321" s="6"/>
    </row>
    <row r="322" spans="1:32">
      <c r="A322" s="2">
        <f t="shared" si="57"/>
        <v>305</v>
      </c>
      <c r="B322" s="688" t="s">
        <v>2324</v>
      </c>
      <c r="C322" s="688" t="s">
        <v>2850</v>
      </c>
      <c r="D322" s="688" t="s">
        <v>2915</v>
      </c>
      <c r="E322" s="182" t="s">
        <v>2916</v>
      </c>
      <c r="F322" s="183">
        <v>141094.56</v>
      </c>
      <c r="G322" s="183">
        <v>186721.15</v>
      </c>
      <c r="H322" s="183">
        <v>285338.42</v>
      </c>
      <c r="I322" s="183">
        <v>286867.59999999998</v>
      </c>
      <c r="J322" s="183">
        <v>343000.7</v>
      </c>
      <c r="K322" s="183">
        <v>759856.87</v>
      </c>
      <c r="L322" s="183">
        <v>745302.86</v>
      </c>
      <c r="M322" s="183">
        <v>789977.5</v>
      </c>
      <c r="N322" s="183">
        <v>950736.86</v>
      </c>
      <c r="O322" s="183">
        <v>993778.98</v>
      </c>
      <c r="P322" s="183">
        <v>1000826.64</v>
      </c>
      <c r="Q322" s="183">
        <v>341645.58</v>
      </c>
      <c r="R322" s="183">
        <v>526539.53</v>
      </c>
      <c r="S322" s="184">
        <f t="shared" si="60"/>
        <v>584822.51708333322</v>
      </c>
      <c r="U322" s="65"/>
      <c r="V322" s="103"/>
      <c r="W322" s="103"/>
      <c r="X322" s="599">
        <f t="shared" si="66"/>
        <v>584822.51708333322</v>
      </c>
      <c r="Y322" s="103"/>
      <c r="Z322" s="103"/>
      <c r="AA322" s="65"/>
      <c r="AB322" s="42">
        <f t="shared" si="67"/>
        <v>584822.51708333322</v>
      </c>
      <c r="AF322" s="6"/>
    </row>
    <row r="323" spans="1:32">
      <c r="A323" s="2">
        <f t="shared" si="57"/>
        <v>306</v>
      </c>
      <c r="B323" s="688" t="s">
        <v>2324</v>
      </c>
      <c r="C323" s="688" t="s">
        <v>2850</v>
      </c>
      <c r="D323" s="688" t="s">
        <v>2917</v>
      </c>
      <c r="E323" s="182" t="s">
        <v>2918</v>
      </c>
      <c r="F323" s="183">
        <v>986298.63</v>
      </c>
      <c r="G323" s="183">
        <v>1607806.11</v>
      </c>
      <c r="H323" s="183">
        <v>1710165.26</v>
      </c>
      <c r="I323" s="183">
        <v>2136767.7400000002</v>
      </c>
      <c r="J323" s="183">
        <v>2371096.5299999998</v>
      </c>
      <c r="K323" s="183">
        <v>2597809.13</v>
      </c>
      <c r="L323" s="183">
        <v>2893453.61</v>
      </c>
      <c r="M323" s="183">
        <v>3178695.6</v>
      </c>
      <c r="N323" s="183">
        <v>3274945.63</v>
      </c>
      <c r="O323" s="183">
        <v>3567934.76</v>
      </c>
      <c r="P323" s="183">
        <v>3696043.73</v>
      </c>
      <c r="Q323" s="183">
        <v>561900.75999999896</v>
      </c>
      <c r="R323" s="183">
        <v>764866.75999999896</v>
      </c>
      <c r="S323" s="184">
        <f t="shared" si="60"/>
        <v>2372683.4629166662</v>
      </c>
      <c r="U323" s="65"/>
      <c r="V323" s="103"/>
      <c r="W323" s="103"/>
      <c r="X323" s="599">
        <f t="shared" si="66"/>
        <v>2372683.4629166662</v>
      </c>
      <c r="Y323" s="103"/>
      <c r="Z323" s="103"/>
      <c r="AA323" s="65"/>
      <c r="AB323" s="42">
        <f t="shared" si="67"/>
        <v>2372683.4629166662</v>
      </c>
      <c r="AF323" s="6"/>
    </row>
    <row r="324" spans="1:32">
      <c r="A324" s="2">
        <f t="shared" si="57"/>
        <v>307</v>
      </c>
      <c r="B324" s="688" t="s">
        <v>2324</v>
      </c>
      <c r="C324" s="688" t="s">
        <v>2850</v>
      </c>
      <c r="D324" s="688" t="s">
        <v>2919</v>
      </c>
      <c r="E324" s="182" t="s">
        <v>2920</v>
      </c>
      <c r="F324" s="183">
        <v>1757365.82</v>
      </c>
      <c r="G324" s="183">
        <v>2307511.7000000002</v>
      </c>
      <c r="H324" s="183">
        <v>2861676.47</v>
      </c>
      <c r="I324" s="183">
        <v>3235834.6</v>
      </c>
      <c r="J324" s="183">
        <v>3623738.11</v>
      </c>
      <c r="K324" s="183">
        <v>4034260.83</v>
      </c>
      <c r="L324" s="183">
        <v>4808540.63</v>
      </c>
      <c r="M324" s="183">
        <v>5669401.0499999998</v>
      </c>
      <c r="N324" s="183">
        <v>6875627.5099999998</v>
      </c>
      <c r="O324" s="183">
        <v>7693488.0999999996</v>
      </c>
      <c r="P324" s="183">
        <v>8450470.1099999994</v>
      </c>
      <c r="Q324" s="183">
        <v>3240993.81</v>
      </c>
      <c r="R324" s="183">
        <v>4111208.81</v>
      </c>
      <c r="S324" s="184">
        <f t="shared" si="60"/>
        <v>4644652.5195833333</v>
      </c>
      <c r="U324" s="65"/>
      <c r="V324" s="103"/>
      <c r="W324" s="103"/>
      <c r="X324" s="599">
        <f t="shared" si="66"/>
        <v>4644652.5195833333</v>
      </c>
      <c r="Y324" s="103"/>
      <c r="Z324" s="103"/>
      <c r="AA324" s="65"/>
      <c r="AB324" s="42">
        <f t="shared" si="67"/>
        <v>4644652.5195833333</v>
      </c>
      <c r="AF324" s="6"/>
    </row>
    <row r="325" spans="1:32">
      <c r="A325" s="2">
        <f t="shared" si="57"/>
        <v>308</v>
      </c>
      <c r="B325" s="688" t="s">
        <v>2324</v>
      </c>
      <c r="C325" s="688" t="s">
        <v>2850</v>
      </c>
      <c r="D325" s="688" t="s">
        <v>2921</v>
      </c>
      <c r="E325" s="182" t="s">
        <v>2922</v>
      </c>
      <c r="F325" s="183">
        <v>5108380.37</v>
      </c>
      <c r="G325" s="183">
        <v>3957302.95</v>
      </c>
      <c r="H325" s="183">
        <v>2969912.32</v>
      </c>
      <c r="I325" s="183">
        <v>2078385.8</v>
      </c>
      <c r="J325" s="183">
        <v>1512844.41</v>
      </c>
      <c r="K325" s="183">
        <v>1216780.42</v>
      </c>
      <c r="L325" s="183">
        <v>979605.95</v>
      </c>
      <c r="M325" s="183">
        <v>841942.03</v>
      </c>
      <c r="N325" s="183">
        <v>654846.96</v>
      </c>
      <c r="O325" s="183">
        <v>397575.06</v>
      </c>
      <c r="P325" s="183">
        <v>-95313.489999999802</v>
      </c>
      <c r="Q325" s="183">
        <v>9974654.5099999998</v>
      </c>
      <c r="R325" s="183">
        <v>8555209.5299999993</v>
      </c>
      <c r="S325" s="184">
        <f t="shared" si="60"/>
        <v>2610027.6558333333</v>
      </c>
      <c r="U325" s="65"/>
      <c r="V325" s="103"/>
      <c r="W325" s="103"/>
      <c r="X325" s="599">
        <f t="shared" si="66"/>
        <v>2610027.6558333333</v>
      </c>
      <c r="Y325" s="103"/>
      <c r="Z325" s="103"/>
      <c r="AA325" s="65"/>
      <c r="AB325" s="42">
        <f t="shared" si="67"/>
        <v>2610027.6558333333</v>
      </c>
      <c r="AF325" s="6"/>
    </row>
    <row r="326" spans="1:32">
      <c r="A326" s="2">
        <f t="shared" si="57"/>
        <v>309</v>
      </c>
      <c r="B326" s="688" t="s">
        <v>2330</v>
      </c>
      <c r="C326" s="688" t="s">
        <v>2923</v>
      </c>
      <c r="D326" s="688" t="s">
        <v>2924</v>
      </c>
      <c r="E326" s="182" t="s">
        <v>2925</v>
      </c>
      <c r="F326" s="183">
        <v>0</v>
      </c>
      <c r="G326" s="183">
        <v>0</v>
      </c>
      <c r="H326" s="183">
        <v>0</v>
      </c>
      <c r="I326" s="183">
        <v>0</v>
      </c>
      <c r="J326" s="183">
        <v>0</v>
      </c>
      <c r="K326" s="183">
        <v>0</v>
      </c>
      <c r="L326" s="183">
        <v>0</v>
      </c>
      <c r="M326" s="183">
        <v>0</v>
      </c>
      <c r="N326" s="183">
        <v>0</v>
      </c>
      <c r="O326" s="183">
        <v>0</v>
      </c>
      <c r="P326" s="183">
        <v>0</v>
      </c>
      <c r="Q326" s="183">
        <v>0</v>
      </c>
      <c r="R326" s="183">
        <v>0</v>
      </c>
      <c r="S326" s="184">
        <f t="shared" si="60"/>
        <v>0</v>
      </c>
      <c r="U326" s="65">
        <f>+S326</f>
        <v>0</v>
      </c>
      <c r="V326" s="103"/>
      <c r="W326" s="103"/>
      <c r="X326" s="599"/>
      <c r="Y326" s="103"/>
      <c r="Z326" s="103"/>
      <c r="AA326" s="65"/>
      <c r="AB326" s="103"/>
      <c r="AD326" s="42">
        <f>+S326</f>
        <v>0</v>
      </c>
      <c r="AF326" s="6"/>
    </row>
    <row r="327" spans="1:32">
      <c r="A327" s="2">
        <f t="shared" si="57"/>
        <v>310</v>
      </c>
      <c r="B327" s="688" t="s">
        <v>2330</v>
      </c>
      <c r="C327" s="688" t="s">
        <v>2923</v>
      </c>
      <c r="D327" s="688" t="s">
        <v>2926</v>
      </c>
      <c r="E327" s="182" t="s">
        <v>2927</v>
      </c>
      <c r="F327" s="183">
        <v>0</v>
      </c>
      <c r="G327" s="183">
        <v>0</v>
      </c>
      <c r="H327" s="183">
        <v>0</v>
      </c>
      <c r="I327" s="183">
        <v>0</v>
      </c>
      <c r="J327" s="183">
        <v>0</v>
      </c>
      <c r="K327" s="183">
        <v>0</v>
      </c>
      <c r="L327" s="183">
        <v>0</v>
      </c>
      <c r="M327" s="183">
        <v>0</v>
      </c>
      <c r="N327" s="183">
        <v>0</v>
      </c>
      <c r="O327" s="183">
        <v>0</v>
      </c>
      <c r="P327" s="183">
        <v>0</v>
      </c>
      <c r="Q327" s="183">
        <v>0</v>
      </c>
      <c r="R327" s="183">
        <v>0</v>
      </c>
      <c r="S327" s="184">
        <f t="shared" si="60"/>
        <v>0</v>
      </c>
      <c r="U327" s="65">
        <f t="shared" ref="U327:U336" si="68">+S327</f>
        <v>0</v>
      </c>
      <c r="V327" s="103"/>
      <c r="W327" s="103"/>
      <c r="X327" s="599"/>
      <c r="Y327" s="103"/>
      <c r="Z327" s="103"/>
      <c r="AA327" s="65"/>
      <c r="AB327" s="103"/>
      <c r="AD327" s="42">
        <f t="shared" ref="AD327:AD349" si="69">+S327</f>
        <v>0</v>
      </c>
      <c r="AF327" s="6"/>
    </row>
    <row r="328" spans="1:32">
      <c r="A328" s="2">
        <f t="shared" si="57"/>
        <v>311</v>
      </c>
      <c r="B328" s="688" t="s">
        <v>2330</v>
      </c>
      <c r="C328" s="688" t="s">
        <v>2923</v>
      </c>
      <c r="D328" s="688" t="s">
        <v>2928</v>
      </c>
      <c r="E328" s="182" t="s">
        <v>2929</v>
      </c>
      <c r="F328" s="183">
        <v>0</v>
      </c>
      <c r="G328" s="183">
        <v>0</v>
      </c>
      <c r="H328" s="183">
        <v>0</v>
      </c>
      <c r="I328" s="183">
        <v>0</v>
      </c>
      <c r="J328" s="183">
        <v>0</v>
      </c>
      <c r="K328" s="183">
        <v>0</v>
      </c>
      <c r="L328" s="183">
        <v>0</v>
      </c>
      <c r="M328" s="183">
        <v>0</v>
      </c>
      <c r="N328" s="183">
        <v>0</v>
      </c>
      <c r="O328" s="183">
        <v>0</v>
      </c>
      <c r="P328" s="183">
        <v>0</v>
      </c>
      <c r="Q328" s="183">
        <v>0</v>
      </c>
      <c r="R328" s="183">
        <v>0</v>
      </c>
      <c r="S328" s="184">
        <f t="shared" si="60"/>
        <v>0</v>
      </c>
      <c r="U328" s="65">
        <f t="shared" si="68"/>
        <v>0</v>
      </c>
      <c r="V328" s="103"/>
      <c r="W328" s="103"/>
      <c r="X328" s="599"/>
      <c r="Y328" s="103"/>
      <c r="Z328" s="103"/>
      <c r="AA328" s="65"/>
      <c r="AB328" s="103"/>
      <c r="AD328" s="42">
        <f t="shared" si="69"/>
        <v>0</v>
      </c>
      <c r="AF328" s="6"/>
    </row>
    <row r="329" spans="1:32">
      <c r="A329" s="2">
        <f t="shared" si="57"/>
        <v>312</v>
      </c>
      <c r="B329" s="688" t="s">
        <v>2330</v>
      </c>
      <c r="C329" s="688" t="s">
        <v>2923</v>
      </c>
      <c r="D329" s="688" t="s">
        <v>2930</v>
      </c>
      <c r="E329" s="182" t="s">
        <v>2931</v>
      </c>
      <c r="F329" s="183">
        <v>0</v>
      </c>
      <c r="G329" s="183">
        <v>0</v>
      </c>
      <c r="H329" s="183">
        <v>0</v>
      </c>
      <c r="I329" s="183">
        <v>0</v>
      </c>
      <c r="J329" s="183">
        <v>0</v>
      </c>
      <c r="K329" s="183">
        <v>0</v>
      </c>
      <c r="L329" s="183">
        <v>0</v>
      </c>
      <c r="M329" s="183">
        <v>0</v>
      </c>
      <c r="N329" s="183">
        <v>0</v>
      </c>
      <c r="O329" s="183">
        <v>0</v>
      </c>
      <c r="P329" s="183">
        <v>0</v>
      </c>
      <c r="Q329" s="183">
        <v>0</v>
      </c>
      <c r="R329" s="183">
        <v>0</v>
      </c>
      <c r="S329" s="184">
        <f t="shared" si="60"/>
        <v>0</v>
      </c>
      <c r="U329" s="65">
        <f t="shared" si="68"/>
        <v>0</v>
      </c>
      <c r="V329" s="103"/>
      <c r="W329" s="103"/>
      <c r="X329" s="599"/>
      <c r="Y329" s="103"/>
      <c r="Z329" s="103"/>
      <c r="AA329" s="65"/>
      <c r="AB329" s="103"/>
      <c r="AD329" s="42">
        <f t="shared" si="69"/>
        <v>0</v>
      </c>
      <c r="AF329" s="6"/>
    </row>
    <row r="330" spans="1:32">
      <c r="A330" s="2">
        <f t="shared" si="57"/>
        <v>313</v>
      </c>
      <c r="B330" s="688" t="s">
        <v>2330</v>
      </c>
      <c r="C330" s="688" t="s">
        <v>2923</v>
      </c>
      <c r="D330" s="688" t="s">
        <v>2932</v>
      </c>
      <c r="E330" s="182" t="s">
        <v>2933</v>
      </c>
      <c r="F330" s="183">
        <v>0</v>
      </c>
      <c r="G330" s="183">
        <v>0</v>
      </c>
      <c r="H330" s="183">
        <v>0</v>
      </c>
      <c r="I330" s="183">
        <v>0</v>
      </c>
      <c r="J330" s="183">
        <v>0</v>
      </c>
      <c r="K330" s="183">
        <v>0</v>
      </c>
      <c r="L330" s="183">
        <v>0</v>
      </c>
      <c r="M330" s="183">
        <v>0</v>
      </c>
      <c r="N330" s="183">
        <v>0</v>
      </c>
      <c r="O330" s="183">
        <v>0</v>
      </c>
      <c r="P330" s="183">
        <v>0</v>
      </c>
      <c r="Q330" s="183">
        <v>0</v>
      </c>
      <c r="R330" s="183">
        <v>0</v>
      </c>
      <c r="S330" s="184">
        <f t="shared" si="60"/>
        <v>0</v>
      </c>
      <c r="U330" s="65">
        <f t="shared" si="68"/>
        <v>0</v>
      </c>
      <c r="V330" s="103"/>
      <c r="W330" s="103"/>
      <c r="X330" s="599"/>
      <c r="Y330" s="103"/>
      <c r="Z330" s="103"/>
      <c r="AA330" s="65"/>
      <c r="AB330" s="103"/>
      <c r="AD330" s="42">
        <f t="shared" si="69"/>
        <v>0</v>
      </c>
      <c r="AF330" s="6"/>
    </row>
    <row r="331" spans="1:32">
      <c r="A331" s="2">
        <f t="shared" si="57"/>
        <v>314</v>
      </c>
      <c r="B331" s="688" t="s">
        <v>2330</v>
      </c>
      <c r="C331" s="688" t="s">
        <v>2923</v>
      </c>
      <c r="D331" s="688" t="s">
        <v>2934</v>
      </c>
      <c r="E331" s="182" t="s">
        <v>2935</v>
      </c>
      <c r="F331" s="183">
        <v>0</v>
      </c>
      <c r="G331" s="183">
        <v>0</v>
      </c>
      <c r="H331" s="183">
        <v>0</v>
      </c>
      <c r="I331" s="183">
        <v>0</v>
      </c>
      <c r="J331" s="183">
        <v>0</v>
      </c>
      <c r="K331" s="183">
        <v>0</v>
      </c>
      <c r="L331" s="183">
        <v>0</v>
      </c>
      <c r="M331" s="183">
        <v>0</v>
      </c>
      <c r="N331" s="183">
        <v>0</v>
      </c>
      <c r="O331" s="183">
        <v>0</v>
      </c>
      <c r="P331" s="183">
        <v>0</v>
      </c>
      <c r="Q331" s="183">
        <v>0</v>
      </c>
      <c r="R331" s="183">
        <v>0</v>
      </c>
      <c r="S331" s="184">
        <f t="shared" si="60"/>
        <v>0</v>
      </c>
      <c r="U331" s="65">
        <f t="shared" si="68"/>
        <v>0</v>
      </c>
      <c r="V331" s="103"/>
      <c r="W331" s="103"/>
      <c r="X331" s="599"/>
      <c r="Y331" s="103"/>
      <c r="Z331" s="103"/>
      <c r="AA331" s="65"/>
      <c r="AD331" s="42">
        <f t="shared" si="69"/>
        <v>0</v>
      </c>
      <c r="AF331" s="6"/>
    </row>
    <row r="332" spans="1:32">
      <c r="A332" s="2">
        <f t="shared" si="57"/>
        <v>315</v>
      </c>
      <c r="B332" s="688" t="s">
        <v>2330</v>
      </c>
      <c r="C332" s="688" t="s">
        <v>2923</v>
      </c>
      <c r="D332" s="688" t="s">
        <v>2936</v>
      </c>
      <c r="E332" s="182" t="s">
        <v>2937</v>
      </c>
      <c r="F332" s="183">
        <v>0</v>
      </c>
      <c r="G332" s="183">
        <v>0</v>
      </c>
      <c r="H332" s="183">
        <v>0</v>
      </c>
      <c r="I332" s="183">
        <v>0</v>
      </c>
      <c r="J332" s="183">
        <v>0</v>
      </c>
      <c r="K332" s="183">
        <v>0</v>
      </c>
      <c r="L332" s="183">
        <v>0</v>
      </c>
      <c r="M332" s="183">
        <v>0</v>
      </c>
      <c r="N332" s="183">
        <v>0</v>
      </c>
      <c r="O332" s="183">
        <v>0</v>
      </c>
      <c r="P332" s="183">
        <v>0</v>
      </c>
      <c r="Q332" s="183">
        <v>0</v>
      </c>
      <c r="R332" s="183">
        <v>0</v>
      </c>
      <c r="S332" s="184">
        <f t="shared" si="60"/>
        <v>0</v>
      </c>
      <c r="U332" s="65">
        <f t="shared" si="68"/>
        <v>0</v>
      </c>
      <c r="V332" s="103"/>
      <c r="W332" s="103"/>
      <c r="X332" s="599"/>
      <c r="Y332" s="103"/>
      <c r="Z332" s="103"/>
      <c r="AA332" s="65"/>
      <c r="AD332" s="42">
        <f t="shared" si="69"/>
        <v>0</v>
      </c>
      <c r="AF332" s="6"/>
    </row>
    <row r="333" spans="1:32">
      <c r="A333" s="2">
        <f t="shared" si="57"/>
        <v>316</v>
      </c>
      <c r="B333" s="688" t="s">
        <v>2330</v>
      </c>
      <c r="C333" s="688" t="s">
        <v>2923</v>
      </c>
      <c r="D333" s="688" t="s">
        <v>2532</v>
      </c>
      <c r="E333" s="182" t="s">
        <v>2938</v>
      </c>
      <c r="F333" s="183">
        <v>0</v>
      </c>
      <c r="G333" s="183">
        <v>0</v>
      </c>
      <c r="H333" s="183">
        <v>0</v>
      </c>
      <c r="I333" s="183">
        <v>0</v>
      </c>
      <c r="J333" s="183">
        <v>0</v>
      </c>
      <c r="K333" s="183">
        <v>0</v>
      </c>
      <c r="L333" s="183">
        <v>0</v>
      </c>
      <c r="M333" s="183">
        <v>0</v>
      </c>
      <c r="N333" s="183">
        <v>0</v>
      </c>
      <c r="O333" s="183">
        <v>0</v>
      </c>
      <c r="P333" s="183">
        <v>0</v>
      </c>
      <c r="Q333" s="183">
        <v>0</v>
      </c>
      <c r="R333" s="183">
        <v>0</v>
      </c>
      <c r="S333" s="184">
        <f t="shared" si="60"/>
        <v>0</v>
      </c>
      <c r="U333" s="65">
        <f t="shared" si="68"/>
        <v>0</v>
      </c>
      <c r="V333" s="103"/>
      <c r="W333" s="103"/>
      <c r="X333" s="599"/>
      <c r="Y333" s="103"/>
      <c r="Z333" s="103"/>
      <c r="AA333" s="65"/>
      <c r="AD333" s="42">
        <f t="shared" si="69"/>
        <v>0</v>
      </c>
      <c r="AF333" s="6"/>
    </row>
    <row r="334" spans="1:32">
      <c r="A334" s="2">
        <f t="shared" si="57"/>
        <v>317</v>
      </c>
      <c r="B334" s="688" t="s">
        <v>2330</v>
      </c>
      <c r="C334" s="688" t="s">
        <v>2923</v>
      </c>
      <c r="D334" s="688" t="s">
        <v>2939</v>
      </c>
      <c r="E334" s="182" t="s">
        <v>2940</v>
      </c>
      <c r="F334" s="183">
        <v>0</v>
      </c>
      <c r="G334" s="183">
        <v>0</v>
      </c>
      <c r="H334" s="183">
        <v>0</v>
      </c>
      <c r="I334" s="183">
        <v>0</v>
      </c>
      <c r="J334" s="183">
        <v>0</v>
      </c>
      <c r="K334" s="183">
        <v>0</v>
      </c>
      <c r="L334" s="183">
        <v>0</v>
      </c>
      <c r="M334" s="183">
        <v>0</v>
      </c>
      <c r="N334" s="183">
        <v>0</v>
      </c>
      <c r="O334" s="183">
        <v>0</v>
      </c>
      <c r="P334" s="183">
        <v>0</v>
      </c>
      <c r="Q334" s="183">
        <v>0</v>
      </c>
      <c r="R334" s="183">
        <v>0</v>
      </c>
      <c r="S334" s="184">
        <f t="shared" si="60"/>
        <v>0</v>
      </c>
      <c r="U334" s="65">
        <f t="shared" si="68"/>
        <v>0</v>
      </c>
      <c r="V334" s="103"/>
      <c r="W334" s="103"/>
      <c r="X334" s="599"/>
      <c r="Y334" s="103"/>
      <c r="Z334" s="103"/>
      <c r="AA334" s="65"/>
      <c r="AB334" s="103"/>
      <c r="AD334" s="42">
        <f t="shared" si="69"/>
        <v>0</v>
      </c>
      <c r="AF334" s="6"/>
    </row>
    <row r="335" spans="1:32">
      <c r="A335" s="2">
        <f t="shared" si="57"/>
        <v>318</v>
      </c>
      <c r="B335" s="688" t="s">
        <v>2330</v>
      </c>
      <c r="C335" s="688" t="s">
        <v>2923</v>
      </c>
      <c r="D335" s="688" t="s">
        <v>2941</v>
      </c>
      <c r="E335" s="182" t="s">
        <v>2942</v>
      </c>
      <c r="F335" s="183">
        <v>0</v>
      </c>
      <c r="G335" s="183">
        <v>0</v>
      </c>
      <c r="H335" s="183">
        <v>0</v>
      </c>
      <c r="I335" s="183">
        <v>0</v>
      </c>
      <c r="J335" s="183">
        <v>0</v>
      </c>
      <c r="K335" s="183">
        <v>0</v>
      </c>
      <c r="L335" s="183">
        <v>0</v>
      </c>
      <c r="M335" s="183">
        <v>0</v>
      </c>
      <c r="N335" s="183">
        <v>0</v>
      </c>
      <c r="O335" s="183">
        <v>0</v>
      </c>
      <c r="P335" s="183">
        <v>0</v>
      </c>
      <c r="Q335" s="183">
        <v>0</v>
      </c>
      <c r="R335" s="183">
        <v>0</v>
      </c>
      <c r="S335" s="184">
        <f t="shared" si="60"/>
        <v>0</v>
      </c>
      <c r="U335" s="65">
        <f t="shared" si="68"/>
        <v>0</v>
      </c>
      <c r="V335" s="103"/>
      <c r="W335" s="103"/>
      <c r="X335" s="599"/>
      <c r="Y335" s="103"/>
      <c r="Z335" s="103"/>
      <c r="AA335" s="65"/>
      <c r="AB335" s="103"/>
      <c r="AD335" s="42">
        <f t="shared" si="69"/>
        <v>0</v>
      </c>
      <c r="AF335" s="6"/>
    </row>
    <row r="336" spans="1:32">
      <c r="A336" s="2">
        <f t="shared" si="57"/>
        <v>319</v>
      </c>
      <c r="B336" s="688" t="s">
        <v>2330</v>
      </c>
      <c r="C336" s="688" t="s">
        <v>2923</v>
      </c>
      <c r="D336" s="688" t="s">
        <v>2943</v>
      </c>
      <c r="E336" s="182" t="s">
        <v>2944</v>
      </c>
      <c r="F336" s="183">
        <v>0</v>
      </c>
      <c r="G336" s="183">
        <v>0</v>
      </c>
      <c r="H336" s="183">
        <v>0</v>
      </c>
      <c r="I336" s="183">
        <v>0</v>
      </c>
      <c r="J336" s="183">
        <v>0</v>
      </c>
      <c r="K336" s="183">
        <v>0</v>
      </c>
      <c r="L336" s="183">
        <v>0</v>
      </c>
      <c r="M336" s="183">
        <v>0</v>
      </c>
      <c r="N336" s="183">
        <v>0</v>
      </c>
      <c r="O336" s="183">
        <v>0</v>
      </c>
      <c r="P336" s="183">
        <v>0</v>
      </c>
      <c r="Q336" s="183">
        <v>0</v>
      </c>
      <c r="R336" s="183">
        <v>0</v>
      </c>
      <c r="S336" s="184">
        <f t="shared" si="60"/>
        <v>0</v>
      </c>
      <c r="U336" s="65">
        <f t="shared" si="68"/>
        <v>0</v>
      </c>
      <c r="V336" s="103"/>
      <c r="W336" s="103"/>
      <c r="X336" s="599"/>
      <c r="Y336" s="103"/>
      <c r="Z336" s="103"/>
      <c r="AA336" s="65"/>
      <c r="AB336" s="103"/>
      <c r="AD336" s="42">
        <f t="shared" si="69"/>
        <v>0</v>
      </c>
      <c r="AF336" s="6"/>
    </row>
    <row r="337" spans="1:32">
      <c r="A337" s="2">
        <f t="shared" si="57"/>
        <v>320</v>
      </c>
      <c r="B337" s="688" t="s">
        <v>2330</v>
      </c>
      <c r="C337" s="688" t="s">
        <v>2923</v>
      </c>
      <c r="D337" s="688" t="s">
        <v>2945</v>
      </c>
      <c r="E337" s="182" t="s">
        <v>2946</v>
      </c>
      <c r="F337" s="183">
        <v>0</v>
      </c>
      <c r="G337" s="183">
        <v>0</v>
      </c>
      <c r="H337" s="183">
        <v>0</v>
      </c>
      <c r="I337" s="183">
        <v>0</v>
      </c>
      <c r="J337" s="183">
        <v>0</v>
      </c>
      <c r="K337" s="183">
        <v>0</v>
      </c>
      <c r="L337" s="183">
        <v>0</v>
      </c>
      <c r="M337" s="183">
        <v>0</v>
      </c>
      <c r="N337" s="183">
        <v>0</v>
      </c>
      <c r="O337" s="183">
        <v>0</v>
      </c>
      <c r="P337" s="183">
        <v>0</v>
      </c>
      <c r="Q337" s="183">
        <v>0</v>
      </c>
      <c r="R337" s="183">
        <v>0</v>
      </c>
      <c r="S337" s="184">
        <f t="shared" si="60"/>
        <v>0</v>
      </c>
      <c r="U337" s="65">
        <f t="shared" ref="U337:U349" si="70">+S337</f>
        <v>0</v>
      </c>
      <c r="V337" s="103"/>
      <c r="W337" s="103"/>
      <c r="X337" s="599"/>
      <c r="Y337" s="103"/>
      <c r="Z337" s="103"/>
      <c r="AA337" s="65"/>
      <c r="AB337" s="103"/>
      <c r="AD337" s="42">
        <f t="shared" si="69"/>
        <v>0</v>
      </c>
      <c r="AF337" s="6"/>
    </row>
    <row r="338" spans="1:32">
      <c r="A338" s="2">
        <f t="shared" si="57"/>
        <v>321</v>
      </c>
      <c r="B338" s="688" t="s">
        <v>2330</v>
      </c>
      <c r="C338" s="688" t="s">
        <v>2923</v>
      </c>
      <c r="D338" s="688" t="s">
        <v>2657</v>
      </c>
      <c r="E338" s="182" t="s">
        <v>2947</v>
      </c>
      <c r="F338" s="183">
        <v>0</v>
      </c>
      <c r="G338" s="183">
        <v>0</v>
      </c>
      <c r="H338" s="183">
        <v>0</v>
      </c>
      <c r="I338" s="183">
        <v>0</v>
      </c>
      <c r="J338" s="183">
        <v>0</v>
      </c>
      <c r="K338" s="183">
        <v>0</v>
      </c>
      <c r="L338" s="183">
        <v>0</v>
      </c>
      <c r="M338" s="183">
        <v>0</v>
      </c>
      <c r="N338" s="183">
        <v>0</v>
      </c>
      <c r="O338" s="183">
        <v>0</v>
      </c>
      <c r="P338" s="183">
        <v>0</v>
      </c>
      <c r="Q338" s="183">
        <v>0</v>
      </c>
      <c r="R338" s="183">
        <v>0</v>
      </c>
      <c r="S338" s="184">
        <f t="shared" si="60"/>
        <v>0</v>
      </c>
      <c r="U338" s="65">
        <f t="shared" si="70"/>
        <v>0</v>
      </c>
      <c r="V338" s="103"/>
      <c r="W338" s="103"/>
      <c r="X338" s="599"/>
      <c r="Y338" s="103"/>
      <c r="Z338" s="103"/>
      <c r="AA338" s="65"/>
      <c r="AB338" s="103"/>
      <c r="AD338" s="42">
        <f t="shared" si="69"/>
        <v>0</v>
      </c>
      <c r="AF338" s="6"/>
    </row>
    <row r="339" spans="1:32">
      <c r="A339" s="2">
        <f t="shared" si="57"/>
        <v>322</v>
      </c>
      <c r="B339" s="688" t="s">
        <v>2330</v>
      </c>
      <c r="C339" s="688" t="s">
        <v>2923</v>
      </c>
      <c r="D339" s="688" t="s">
        <v>2711</v>
      </c>
      <c r="E339" s="182" t="s">
        <v>2948</v>
      </c>
      <c r="F339" s="183">
        <v>0</v>
      </c>
      <c r="G339" s="183">
        <v>0</v>
      </c>
      <c r="H339" s="183">
        <v>0</v>
      </c>
      <c r="I339" s="183">
        <v>0</v>
      </c>
      <c r="J339" s="183">
        <v>0</v>
      </c>
      <c r="K339" s="183">
        <v>0</v>
      </c>
      <c r="L339" s="183">
        <v>0</v>
      </c>
      <c r="M339" s="183">
        <v>0</v>
      </c>
      <c r="N339" s="183">
        <v>0</v>
      </c>
      <c r="O339" s="183">
        <v>0</v>
      </c>
      <c r="P339" s="183">
        <v>0</v>
      </c>
      <c r="Q339" s="183">
        <v>0</v>
      </c>
      <c r="R339" s="183">
        <v>0</v>
      </c>
      <c r="S339" s="184">
        <f t="shared" si="60"/>
        <v>0</v>
      </c>
      <c r="U339" s="65">
        <f t="shared" si="70"/>
        <v>0</v>
      </c>
      <c r="V339" s="103"/>
      <c r="W339" s="103"/>
      <c r="X339" s="599"/>
      <c r="Y339" s="103"/>
      <c r="Z339" s="103"/>
      <c r="AA339" s="65"/>
      <c r="AB339" s="103"/>
      <c r="AD339" s="42">
        <f t="shared" si="69"/>
        <v>0</v>
      </c>
      <c r="AF339" s="6"/>
    </row>
    <row r="340" spans="1:32">
      <c r="A340" s="2">
        <f t="shared" ref="A340:A403" si="71">MAX(A339:A339)+1</f>
        <v>323</v>
      </c>
      <c r="B340" s="688" t="s">
        <v>2330</v>
      </c>
      <c r="C340" s="688" t="s">
        <v>2923</v>
      </c>
      <c r="D340" s="688" t="s">
        <v>2949</v>
      </c>
      <c r="E340" s="182" t="s">
        <v>2950</v>
      </c>
      <c r="F340" s="183">
        <v>0</v>
      </c>
      <c r="G340" s="183">
        <v>0</v>
      </c>
      <c r="H340" s="183">
        <v>0</v>
      </c>
      <c r="I340" s="183">
        <v>0</v>
      </c>
      <c r="J340" s="183">
        <v>0</v>
      </c>
      <c r="K340" s="183">
        <v>0</v>
      </c>
      <c r="L340" s="183">
        <v>0</v>
      </c>
      <c r="M340" s="183">
        <v>0</v>
      </c>
      <c r="N340" s="183">
        <v>0</v>
      </c>
      <c r="O340" s="183">
        <v>0</v>
      </c>
      <c r="P340" s="183">
        <v>0</v>
      </c>
      <c r="Q340" s="183">
        <v>0</v>
      </c>
      <c r="R340" s="183">
        <v>0</v>
      </c>
      <c r="S340" s="184">
        <f t="shared" si="60"/>
        <v>0</v>
      </c>
      <c r="U340" s="65">
        <f t="shared" si="70"/>
        <v>0</v>
      </c>
      <c r="V340" s="103"/>
      <c r="W340" s="103"/>
      <c r="X340" s="599"/>
      <c r="Y340" s="103"/>
      <c r="Z340" s="103"/>
      <c r="AA340" s="65"/>
      <c r="AB340" s="103"/>
      <c r="AD340" s="42">
        <f t="shared" si="69"/>
        <v>0</v>
      </c>
      <c r="AF340" s="6"/>
    </row>
    <row r="341" spans="1:32">
      <c r="A341" s="2">
        <f t="shared" si="71"/>
        <v>324</v>
      </c>
      <c r="B341" s="688" t="s">
        <v>2330</v>
      </c>
      <c r="C341" s="688" t="s">
        <v>2923</v>
      </c>
      <c r="D341" s="688" t="s">
        <v>2951</v>
      </c>
      <c r="E341" s="182" t="s">
        <v>2952</v>
      </c>
      <c r="F341" s="183">
        <v>0</v>
      </c>
      <c r="G341" s="183">
        <v>0</v>
      </c>
      <c r="H341" s="183">
        <v>0</v>
      </c>
      <c r="I341" s="183">
        <v>0</v>
      </c>
      <c r="J341" s="183">
        <v>0</v>
      </c>
      <c r="K341" s="183">
        <v>0</v>
      </c>
      <c r="L341" s="183">
        <v>0</v>
      </c>
      <c r="M341" s="183">
        <v>0</v>
      </c>
      <c r="N341" s="183">
        <v>0</v>
      </c>
      <c r="O341" s="183">
        <v>0</v>
      </c>
      <c r="P341" s="183">
        <v>0</v>
      </c>
      <c r="Q341" s="183">
        <v>0</v>
      </c>
      <c r="R341" s="183">
        <v>0</v>
      </c>
      <c r="S341" s="184">
        <f t="shared" si="60"/>
        <v>0</v>
      </c>
      <c r="U341" s="65">
        <f t="shared" si="70"/>
        <v>0</v>
      </c>
      <c r="V341" s="103"/>
      <c r="W341" s="103"/>
      <c r="X341" s="599"/>
      <c r="Y341" s="103"/>
      <c r="Z341" s="103"/>
      <c r="AA341" s="65"/>
      <c r="AB341" s="103"/>
      <c r="AD341" s="42">
        <f t="shared" si="69"/>
        <v>0</v>
      </c>
      <c r="AF341" s="6"/>
    </row>
    <row r="342" spans="1:32">
      <c r="A342" s="2">
        <f t="shared" si="71"/>
        <v>325</v>
      </c>
      <c r="B342" s="688" t="s">
        <v>2330</v>
      </c>
      <c r="C342" s="688" t="s">
        <v>2923</v>
      </c>
      <c r="D342" s="688" t="s">
        <v>2953</v>
      </c>
      <c r="E342" s="182" t="s">
        <v>2954</v>
      </c>
      <c r="F342" s="183">
        <v>0</v>
      </c>
      <c r="G342" s="183">
        <v>0</v>
      </c>
      <c r="H342" s="183">
        <v>0</v>
      </c>
      <c r="I342" s="183">
        <v>0</v>
      </c>
      <c r="J342" s="183">
        <v>0</v>
      </c>
      <c r="K342" s="183">
        <v>0</v>
      </c>
      <c r="L342" s="183">
        <v>0</v>
      </c>
      <c r="M342" s="183">
        <v>0</v>
      </c>
      <c r="N342" s="183">
        <v>0</v>
      </c>
      <c r="O342" s="183">
        <v>0</v>
      </c>
      <c r="P342" s="183">
        <v>0</v>
      </c>
      <c r="Q342" s="183">
        <v>0</v>
      </c>
      <c r="R342" s="183">
        <v>0</v>
      </c>
      <c r="S342" s="184">
        <f t="shared" si="60"/>
        <v>0</v>
      </c>
      <c r="U342" s="65">
        <f t="shared" si="70"/>
        <v>0</v>
      </c>
      <c r="V342" s="103"/>
      <c r="W342" s="103"/>
      <c r="X342" s="599"/>
      <c r="Y342" s="103"/>
      <c r="Z342" s="103"/>
      <c r="AA342" s="65"/>
      <c r="AB342" s="103"/>
      <c r="AD342" s="42">
        <f t="shared" si="69"/>
        <v>0</v>
      </c>
      <c r="AF342" s="6"/>
    </row>
    <row r="343" spans="1:32">
      <c r="A343" s="2">
        <f t="shared" si="71"/>
        <v>326</v>
      </c>
      <c r="B343" s="688" t="s">
        <v>2330</v>
      </c>
      <c r="C343" s="688" t="s">
        <v>2923</v>
      </c>
      <c r="D343" s="688" t="s">
        <v>2955</v>
      </c>
      <c r="E343" s="182" t="s">
        <v>2956</v>
      </c>
      <c r="F343" s="183">
        <v>0</v>
      </c>
      <c r="G343" s="183">
        <v>0</v>
      </c>
      <c r="H343" s="183">
        <v>0</v>
      </c>
      <c r="I343" s="183">
        <v>0</v>
      </c>
      <c r="J343" s="183">
        <v>0</v>
      </c>
      <c r="K343" s="183">
        <v>0</v>
      </c>
      <c r="L343" s="183">
        <v>0</v>
      </c>
      <c r="M343" s="183">
        <v>0</v>
      </c>
      <c r="N343" s="183">
        <v>0</v>
      </c>
      <c r="O343" s="183">
        <v>0</v>
      </c>
      <c r="P343" s="183">
        <v>0</v>
      </c>
      <c r="Q343" s="183">
        <v>0</v>
      </c>
      <c r="R343" s="183">
        <v>0</v>
      </c>
      <c r="S343" s="184">
        <f t="shared" si="60"/>
        <v>0</v>
      </c>
      <c r="U343" s="65">
        <f t="shared" si="70"/>
        <v>0</v>
      </c>
      <c r="V343" s="103"/>
      <c r="W343" s="103"/>
      <c r="X343" s="599"/>
      <c r="Y343" s="103"/>
      <c r="Z343" s="103"/>
      <c r="AA343" s="65"/>
      <c r="AB343" s="103"/>
      <c r="AD343" s="42">
        <f t="shared" si="69"/>
        <v>0</v>
      </c>
      <c r="AF343" s="6"/>
    </row>
    <row r="344" spans="1:32">
      <c r="A344" s="2">
        <f t="shared" si="71"/>
        <v>327</v>
      </c>
      <c r="B344" s="688" t="s">
        <v>2330</v>
      </c>
      <c r="C344" s="688" t="s">
        <v>2923</v>
      </c>
      <c r="D344" s="688" t="s">
        <v>2957</v>
      </c>
      <c r="E344" s="182" t="s">
        <v>2958</v>
      </c>
      <c r="F344" s="183">
        <v>0</v>
      </c>
      <c r="G344" s="183">
        <v>0</v>
      </c>
      <c r="H344" s="183">
        <v>0</v>
      </c>
      <c r="I344" s="183">
        <v>0</v>
      </c>
      <c r="J344" s="183">
        <v>0</v>
      </c>
      <c r="K344" s="183">
        <v>0</v>
      </c>
      <c r="L344" s="183">
        <v>0</v>
      </c>
      <c r="M344" s="183">
        <v>0</v>
      </c>
      <c r="N344" s="183">
        <v>0</v>
      </c>
      <c r="O344" s="183">
        <v>0</v>
      </c>
      <c r="P344" s="183">
        <v>0</v>
      </c>
      <c r="Q344" s="183">
        <v>0</v>
      </c>
      <c r="R344" s="183">
        <v>0</v>
      </c>
      <c r="S344" s="184">
        <f t="shared" si="60"/>
        <v>0</v>
      </c>
      <c r="U344" s="65">
        <f t="shared" si="70"/>
        <v>0</v>
      </c>
      <c r="V344" s="103"/>
      <c r="W344" s="103"/>
      <c r="X344" s="599"/>
      <c r="Y344" s="103"/>
      <c r="Z344" s="103"/>
      <c r="AA344" s="65"/>
      <c r="AB344" s="103"/>
      <c r="AD344" s="42">
        <f t="shared" si="69"/>
        <v>0</v>
      </c>
      <c r="AF344" s="6"/>
    </row>
    <row r="345" spans="1:32">
      <c r="A345" s="2">
        <f t="shared" si="71"/>
        <v>328</v>
      </c>
      <c r="B345" s="688" t="s">
        <v>2330</v>
      </c>
      <c r="C345" s="688" t="s">
        <v>2923</v>
      </c>
      <c r="D345" s="688" t="s">
        <v>640</v>
      </c>
      <c r="E345" s="182" t="s">
        <v>2959</v>
      </c>
      <c r="F345" s="183">
        <v>0</v>
      </c>
      <c r="G345" s="183">
        <v>0</v>
      </c>
      <c r="H345" s="183">
        <v>0</v>
      </c>
      <c r="I345" s="183">
        <v>0</v>
      </c>
      <c r="J345" s="183">
        <v>0</v>
      </c>
      <c r="K345" s="183">
        <v>0</v>
      </c>
      <c r="L345" s="183">
        <v>0</v>
      </c>
      <c r="M345" s="183">
        <v>0</v>
      </c>
      <c r="N345" s="183">
        <v>0</v>
      </c>
      <c r="O345" s="183">
        <v>0</v>
      </c>
      <c r="P345" s="183">
        <v>0</v>
      </c>
      <c r="Q345" s="183">
        <v>0</v>
      </c>
      <c r="R345" s="183">
        <v>0</v>
      </c>
      <c r="S345" s="184">
        <f t="shared" si="60"/>
        <v>0</v>
      </c>
      <c r="U345" s="65">
        <f t="shared" si="70"/>
        <v>0</v>
      </c>
      <c r="V345" s="103"/>
      <c r="W345" s="103"/>
      <c r="X345" s="599"/>
      <c r="Y345" s="103"/>
      <c r="Z345" s="103"/>
      <c r="AA345" s="65"/>
      <c r="AB345" s="103"/>
      <c r="AD345" s="42">
        <f t="shared" si="69"/>
        <v>0</v>
      </c>
      <c r="AF345" s="6"/>
    </row>
    <row r="346" spans="1:32">
      <c r="A346" s="2">
        <f t="shared" si="71"/>
        <v>329</v>
      </c>
      <c r="B346" s="688" t="s">
        <v>2330</v>
      </c>
      <c r="C346" s="688" t="s">
        <v>2923</v>
      </c>
      <c r="D346" s="688" t="s">
        <v>2960</v>
      </c>
      <c r="E346" s="182" t="s">
        <v>2961</v>
      </c>
      <c r="F346" s="183">
        <v>0</v>
      </c>
      <c r="G346" s="183">
        <v>0</v>
      </c>
      <c r="H346" s="183">
        <v>0</v>
      </c>
      <c r="I346" s="183">
        <v>0</v>
      </c>
      <c r="J346" s="183">
        <v>0</v>
      </c>
      <c r="K346" s="183">
        <v>0</v>
      </c>
      <c r="L346" s="183">
        <v>0</v>
      </c>
      <c r="M346" s="183">
        <v>0</v>
      </c>
      <c r="N346" s="183">
        <v>0</v>
      </c>
      <c r="O346" s="183">
        <v>0</v>
      </c>
      <c r="P346" s="183">
        <v>0</v>
      </c>
      <c r="Q346" s="183">
        <v>0</v>
      </c>
      <c r="R346" s="183">
        <v>0</v>
      </c>
      <c r="S346" s="184">
        <f t="shared" si="60"/>
        <v>0</v>
      </c>
      <c r="U346" s="65">
        <f t="shared" si="70"/>
        <v>0</v>
      </c>
      <c r="V346" s="103"/>
      <c r="W346" s="103"/>
      <c r="X346" s="599"/>
      <c r="Y346" s="103"/>
      <c r="Z346" s="103"/>
      <c r="AA346" s="65"/>
      <c r="AB346" s="103"/>
      <c r="AD346" s="42">
        <f t="shared" si="69"/>
        <v>0</v>
      </c>
      <c r="AF346" s="6"/>
    </row>
    <row r="347" spans="1:32">
      <c r="A347" s="2">
        <f t="shared" si="71"/>
        <v>330</v>
      </c>
      <c r="B347" s="688" t="s">
        <v>2330</v>
      </c>
      <c r="C347" s="688" t="s">
        <v>2923</v>
      </c>
      <c r="D347" s="688" t="s">
        <v>639</v>
      </c>
      <c r="E347" s="182" t="s">
        <v>2962</v>
      </c>
      <c r="F347" s="183">
        <v>0</v>
      </c>
      <c r="G347" s="183">
        <v>0</v>
      </c>
      <c r="H347" s="183">
        <v>0</v>
      </c>
      <c r="I347" s="183">
        <v>0</v>
      </c>
      <c r="J347" s="183">
        <v>0</v>
      </c>
      <c r="K347" s="183">
        <v>0</v>
      </c>
      <c r="L347" s="183">
        <v>0</v>
      </c>
      <c r="M347" s="183">
        <v>0</v>
      </c>
      <c r="N347" s="183">
        <v>0</v>
      </c>
      <c r="O347" s="183">
        <v>0</v>
      </c>
      <c r="P347" s="183">
        <v>0</v>
      </c>
      <c r="Q347" s="183">
        <v>0</v>
      </c>
      <c r="R347" s="183">
        <v>0</v>
      </c>
      <c r="S347" s="184">
        <f t="shared" si="60"/>
        <v>0</v>
      </c>
      <c r="U347" s="65">
        <f t="shared" si="70"/>
        <v>0</v>
      </c>
      <c r="V347" s="103"/>
      <c r="W347" s="103"/>
      <c r="X347" s="599"/>
      <c r="Y347" s="103"/>
      <c r="Z347" s="103"/>
      <c r="AA347" s="65"/>
      <c r="AB347" s="103"/>
      <c r="AD347" s="42">
        <f t="shared" si="69"/>
        <v>0</v>
      </c>
      <c r="AF347" s="6"/>
    </row>
    <row r="348" spans="1:32">
      <c r="A348" s="2">
        <f t="shared" si="71"/>
        <v>331</v>
      </c>
      <c r="B348" s="688" t="s">
        <v>31</v>
      </c>
      <c r="C348" s="688" t="s">
        <v>2963</v>
      </c>
      <c r="D348" s="688" t="s">
        <v>31</v>
      </c>
      <c r="E348" s="182" t="s">
        <v>2964</v>
      </c>
      <c r="F348" s="183">
        <v>33015.120000000097</v>
      </c>
      <c r="G348" s="183">
        <v>174289.35</v>
      </c>
      <c r="H348" s="183">
        <v>162131.57</v>
      </c>
      <c r="I348" s="183">
        <v>64901.47</v>
      </c>
      <c r="J348" s="183">
        <v>77567.62</v>
      </c>
      <c r="K348" s="183">
        <v>-39885.949999999997</v>
      </c>
      <c r="L348" s="183">
        <v>-3524.8400000000101</v>
      </c>
      <c r="M348" s="183">
        <v>-158788.19</v>
      </c>
      <c r="N348" s="183">
        <v>-140340.18</v>
      </c>
      <c r="O348" s="183">
        <v>-122383.39</v>
      </c>
      <c r="P348" s="183">
        <v>-83591.33</v>
      </c>
      <c r="Q348" s="183">
        <v>-165009.43</v>
      </c>
      <c r="R348" s="183">
        <v>13205.37</v>
      </c>
      <c r="S348" s="184">
        <f t="shared" si="60"/>
        <v>-17626.921249999996</v>
      </c>
      <c r="U348" s="65">
        <f t="shared" si="70"/>
        <v>-17626.921249999996</v>
      </c>
      <c r="V348" s="103"/>
      <c r="W348" s="103"/>
      <c r="X348" s="599"/>
      <c r="Y348" s="103"/>
      <c r="Z348" s="103"/>
      <c r="AA348" s="65"/>
      <c r="AB348" s="103"/>
      <c r="AD348" s="42">
        <f t="shared" si="69"/>
        <v>-17626.921249999996</v>
      </c>
      <c r="AF348" s="6"/>
    </row>
    <row r="349" spans="1:32">
      <c r="A349" s="2">
        <f t="shared" si="71"/>
        <v>332</v>
      </c>
      <c r="B349" s="688" t="s">
        <v>2330</v>
      </c>
      <c r="C349" s="688" t="s">
        <v>2762</v>
      </c>
      <c r="D349" s="688" t="s">
        <v>2965</v>
      </c>
      <c r="E349" s="182" t="s">
        <v>2966</v>
      </c>
      <c r="F349" s="183">
        <v>5404439.71</v>
      </c>
      <c r="G349" s="183">
        <v>5395901.1699999999</v>
      </c>
      <c r="H349" s="183">
        <v>5387271.0300000003</v>
      </c>
      <c r="I349" s="183">
        <v>5378531.6399999997</v>
      </c>
      <c r="J349" s="183">
        <v>5369938.5800000001</v>
      </c>
      <c r="K349" s="183">
        <v>4459121.3499999996</v>
      </c>
      <c r="L349" s="183">
        <v>4451519.67</v>
      </c>
      <c r="M349" s="183">
        <v>4444677.51</v>
      </c>
      <c r="N349" s="183">
        <v>4437737.1399999997</v>
      </c>
      <c r="O349" s="183">
        <v>4237795.51</v>
      </c>
      <c r="P349" s="183">
        <v>4182622.66</v>
      </c>
      <c r="Q349" s="183">
        <v>4127405.43</v>
      </c>
      <c r="R349" s="183">
        <v>5151267.63</v>
      </c>
      <c r="S349" s="184">
        <f t="shared" si="60"/>
        <v>4762531.28</v>
      </c>
      <c r="U349" s="65">
        <f t="shared" si="70"/>
        <v>4762531.28</v>
      </c>
      <c r="V349" s="103"/>
      <c r="W349" s="103"/>
      <c r="X349" s="599"/>
      <c r="Y349" s="103"/>
      <c r="Z349" s="103"/>
      <c r="AA349" s="65"/>
      <c r="AB349" s="103"/>
      <c r="AD349" s="42">
        <f t="shared" si="69"/>
        <v>4762531.28</v>
      </c>
      <c r="AF349" s="6"/>
    </row>
    <row r="350" spans="1:32">
      <c r="A350" s="2">
        <f t="shared" si="71"/>
        <v>333</v>
      </c>
      <c r="B350" s="688" t="s">
        <v>2342</v>
      </c>
      <c r="C350" s="688" t="s">
        <v>2762</v>
      </c>
      <c r="D350" s="688" t="s">
        <v>2967</v>
      </c>
      <c r="E350" s="182" t="s">
        <v>2968</v>
      </c>
      <c r="F350" s="183">
        <v>27776.61</v>
      </c>
      <c r="G350" s="183">
        <v>21422.06</v>
      </c>
      <c r="H350" s="183">
        <v>14476.91</v>
      </c>
      <c r="I350" s="183">
        <v>8833.18</v>
      </c>
      <c r="J350" s="183">
        <v>4358.46</v>
      </c>
      <c r="K350" s="183">
        <v>3142.32</v>
      </c>
      <c r="L350" s="183">
        <v>1825.7</v>
      </c>
      <c r="M350" s="183">
        <v>1300.9100000000001</v>
      </c>
      <c r="N350" s="183">
        <v>471.84000000000202</v>
      </c>
      <c r="O350" s="183">
        <v>-807.34999999999798</v>
      </c>
      <c r="P350" s="183">
        <v>-4251.2299999999996</v>
      </c>
      <c r="Q350" s="183">
        <v>41788.019999999997</v>
      </c>
      <c r="R350" s="183">
        <v>35309.42</v>
      </c>
      <c r="S350" s="184">
        <f t="shared" si="60"/>
        <v>10341.98625</v>
      </c>
      <c r="U350" s="65"/>
      <c r="V350" s="103"/>
      <c r="W350" s="103"/>
      <c r="X350" s="599">
        <f t="shared" ref="X350:X356" si="72">+S350</f>
        <v>10341.98625</v>
      </c>
      <c r="Y350" s="103"/>
      <c r="Z350" s="103"/>
      <c r="AA350" s="65"/>
      <c r="AB350" s="103">
        <f>+S350</f>
        <v>10341.98625</v>
      </c>
      <c r="AD350" s="42"/>
      <c r="AF350" s="6"/>
    </row>
    <row r="351" spans="1:32">
      <c r="A351" s="2">
        <f t="shared" si="71"/>
        <v>334</v>
      </c>
      <c r="B351" s="688" t="s">
        <v>2342</v>
      </c>
      <c r="C351" s="688" t="s">
        <v>2762</v>
      </c>
      <c r="D351" s="688" t="s">
        <v>2969</v>
      </c>
      <c r="E351" s="182" t="s">
        <v>2970</v>
      </c>
      <c r="F351" s="183">
        <v>4286.00000000001</v>
      </c>
      <c r="G351" s="183">
        <v>4311.74</v>
      </c>
      <c r="H351" s="183">
        <v>4335.13</v>
      </c>
      <c r="I351" s="183">
        <v>49786.16</v>
      </c>
      <c r="J351" s="183">
        <v>51215.51</v>
      </c>
      <c r="K351" s="183">
        <v>51523.09</v>
      </c>
      <c r="L351" s="183">
        <v>51822.53</v>
      </c>
      <c r="M351" s="183">
        <v>50973.31</v>
      </c>
      <c r="N351" s="183">
        <v>57279.43</v>
      </c>
      <c r="O351" s="183">
        <v>57612.33</v>
      </c>
      <c r="P351" s="183">
        <v>57958.32</v>
      </c>
      <c r="Q351" s="183">
        <v>6106.39</v>
      </c>
      <c r="R351" s="183">
        <v>6143.06</v>
      </c>
      <c r="S351" s="184">
        <f t="shared" si="60"/>
        <v>37344.872500000005</v>
      </c>
      <c r="U351" s="65"/>
      <c r="V351" s="103"/>
      <c r="W351" s="103"/>
      <c r="X351" s="599">
        <f t="shared" si="72"/>
        <v>37344.872500000005</v>
      </c>
      <c r="Y351" s="103"/>
      <c r="Z351" s="103"/>
      <c r="AA351" s="65"/>
      <c r="AB351" s="103">
        <f t="shared" ref="AB351:AB356" si="73">+S351</f>
        <v>37344.872500000005</v>
      </c>
      <c r="AD351" s="42"/>
      <c r="AF351" s="6"/>
    </row>
    <row r="352" spans="1:32">
      <c r="A352" s="2">
        <f t="shared" si="71"/>
        <v>335</v>
      </c>
      <c r="B352" s="688" t="s">
        <v>2342</v>
      </c>
      <c r="C352" s="688" t="s">
        <v>2762</v>
      </c>
      <c r="D352" s="688" t="s">
        <v>2971</v>
      </c>
      <c r="E352" s="182" t="s">
        <v>2972</v>
      </c>
      <c r="F352" s="183">
        <v>5218.6899999999996</v>
      </c>
      <c r="G352" s="183">
        <v>4696.42</v>
      </c>
      <c r="H352" s="183">
        <v>3770.15</v>
      </c>
      <c r="I352" s="183">
        <v>2743.52</v>
      </c>
      <c r="J352" s="183">
        <v>1883.42</v>
      </c>
      <c r="K352" s="183">
        <v>1129.8399999999999</v>
      </c>
      <c r="L352" s="183">
        <v>542.05999999999995</v>
      </c>
      <c r="M352" s="183">
        <v>-147.12</v>
      </c>
      <c r="N352" s="183">
        <v>-849.36</v>
      </c>
      <c r="O352" s="183">
        <v>-1646.49</v>
      </c>
      <c r="P352" s="183">
        <v>-2643.43</v>
      </c>
      <c r="Q352" s="183">
        <v>59.820000000000199</v>
      </c>
      <c r="R352" s="183">
        <v>60.080000000000197</v>
      </c>
      <c r="S352" s="184">
        <f t="shared" si="60"/>
        <v>1014.8512499999998</v>
      </c>
      <c r="U352" s="65"/>
      <c r="V352" s="103"/>
      <c r="W352" s="103"/>
      <c r="X352" s="599">
        <f t="shared" si="72"/>
        <v>1014.8512499999998</v>
      </c>
      <c r="Y352" s="103"/>
      <c r="Z352" s="103"/>
      <c r="AA352" s="65"/>
      <c r="AB352" s="103">
        <f t="shared" si="73"/>
        <v>1014.8512499999998</v>
      </c>
      <c r="AD352" s="42"/>
      <c r="AF352" s="6"/>
    </row>
    <row r="353" spans="1:32">
      <c r="A353" s="2">
        <f t="shared" si="71"/>
        <v>336</v>
      </c>
      <c r="B353" s="688" t="s">
        <v>2342</v>
      </c>
      <c r="C353" s="688" t="s">
        <v>2762</v>
      </c>
      <c r="D353" s="688" t="s">
        <v>2973</v>
      </c>
      <c r="E353" s="182" t="s">
        <v>2970</v>
      </c>
      <c r="F353" s="183">
        <v>2614.44</v>
      </c>
      <c r="G353" s="183">
        <v>2630.14</v>
      </c>
      <c r="H353" s="183">
        <v>2644.41</v>
      </c>
      <c r="I353" s="183">
        <v>2660.29</v>
      </c>
      <c r="J353" s="183">
        <v>2675.75</v>
      </c>
      <c r="K353" s="183">
        <v>2691.82</v>
      </c>
      <c r="L353" s="183">
        <v>2707.46</v>
      </c>
      <c r="M353" s="183">
        <v>2723.72</v>
      </c>
      <c r="N353" s="183">
        <v>2740.08</v>
      </c>
      <c r="O353" s="183">
        <v>2756</v>
      </c>
      <c r="P353" s="183">
        <v>2772.55</v>
      </c>
      <c r="Q353" s="183">
        <v>3507.4</v>
      </c>
      <c r="R353" s="183">
        <v>3528.46</v>
      </c>
      <c r="S353" s="184">
        <f t="shared" si="60"/>
        <v>2798.4225000000001</v>
      </c>
      <c r="U353" s="65"/>
      <c r="V353" s="103"/>
      <c r="W353" s="103"/>
      <c r="X353" s="599">
        <f t="shared" si="72"/>
        <v>2798.4225000000001</v>
      </c>
      <c r="Y353" s="103"/>
      <c r="Z353" s="103"/>
      <c r="AA353" s="65"/>
      <c r="AB353" s="103">
        <f t="shared" si="73"/>
        <v>2798.4225000000001</v>
      </c>
      <c r="AD353" s="42"/>
      <c r="AF353" s="6"/>
    </row>
    <row r="354" spans="1:32">
      <c r="A354" s="2">
        <f t="shared" si="71"/>
        <v>337</v>
      </c>
      <c r="B354" s="688" t="s">
        <v>2342</v>
      </c>
      <c r="C354" s="688" t="s">
        <v>2762</v>
      </c>
      <c r="D354" s="688" t="s">
        <v>2974</v>
      </c>
      <c r="E354" s="182" t="s">
        <v>2975</v>
      </c>
      <c r="F354" s="183">
        <v>1384582.7</v>
      </c>
      <c r="G354" s="183">
        <v>1392897.82</v>
      </c>
      <c r="H354" s="183">
        <v>1400453.36</v>
      </c>
      <c r="I354" s="183">
        <v>1410756.29</v>
      </c>
      <c r="J354" s="183">
        <v>1419367.8</v>
      </c>
      <c r="K354" s="183">
        <v>1428055.82</v>
      </c>
      <c r="L354" s="183">
        <v>1439003.62</v>
      </c>
      <c r="M354" s="183">
        <v>1448835.57</v>
      </c>
      <c r="N354" s="183">
        <v>1459023.31</v>
      </c>
      <c r="O354" s="183">
        <v>357814.88</v>
      </c>
      <c r="P354" s="183">
        <v>359963.74</v>
      </c>
      <c r="Q354" s="183">
        <v>362055.77</v>
      </c>
      <c r="R354" s="183">
        <v>364230.1</v>
      </c>
      <c r="S354" s="184">
        <f t="shared" si="60"/>
        <v>1112719.531666667</v>
      </c>
      <c r="U354" s="65"/>
      <c r="V354" s="103"/>
      <c r="W354" s="103"/>
      <c r="X354" s="599">
        <f t="shared" si="72"/>
        <v>1112719.531666667</v>
      </c>
      <c r="Y354" s="103"/>
      <c r="Z354" s="103"/>
      <c r="AA354" s="65"/>
      <c r="AB354" s="103">
        <f t="shared" si="73"/>
        <v>1112719.531666667</v>
      </c>
      <c r="AD354" s="42"/>
      <c r="AF354" s="6"/>
    </row>
    <row r="355" spans="1:32">
      <c r="A355" s="2">
        <f t="shared" si="71"/>
        <v>338</v>
      </c>
      <c r="B355" s="688" t="s">
        <v>2342</v>
      </c>
      <c r="C355" s="688" t="s">
        <v>2762</v>
      </c>
      <c r="D355" s="688" t="s">
        <v>2976</v>
      </c>
      <c r="E355" s="182" t="s">
        <v>2977</v>
      </c>
      <c r="F355" s="183">
        <v>121964.25</v>
      </c>
      <c r="G355" s="183">
        <v>117819.54</v>
      </c>
      <c r="H355" s="183">
        <v>112813.93</v>
      </c>
      <c r="I355" s="183">
        <v>108433.33</v>
      </c>
      <c r="J355" s="183">
        <v>104893.75999999999</v>
      </c>
      <c r="K355" s="183">
        <v>103305.17</v>
      </c>
      <c r="L355" s="183">
        <v>101824.02</v>
      </c>
      <c r="M355" s="183">
        <v>100695.32</v>
      </c>
      <c r="N355" s="183">
        <v>99352.44</v>
      </c>
      <c r="O355" s="183">
        <v>97580.18</v>
      </c>
      <c r="P355" s="183">
        <v>94390.46</v>
      </c>
      <c r="Q355" s="183">
        <v>90532.23</v>
      </c>
      <c r="R355" s="183">
        <v>86085.09</v>
      </c>
      <c r="S355" s="184">
        <f t="shared" si="60"/>
        <v>102972.08749999998</v>
      </c>
      <c r="U355" s="65"/>
      <c r="V355" s="103"/>
      <c r="W355" s="103"/>
      <c r="X355" s="599">
        <f t="shared" si="72"/>
        <v>102972.08749999998</v>
      </c>
      <c r="Y355" s="103"/>
      <c r="Z355" s="103"/>
      <c r="AA355" s="65"/>
      <c r="AB355" s="103">
        <f t="shared" si="73"/>
        <v>102972.08749999998</v>
      </c>
      <c r="AD355" s="42"/>
      <c r="AF355" s="6"/>
    </row>
    <row r="356" spans="1:32">
      <c r="A356" s="2">
        <f t="shared" si="71"/>
        <v>339</v>
      </c>
      <c r="B356" s="688" t="s">
        <v>2342</v>
      </c>
      <c r="C356" s="688" t="s">
        <v>2762</v>
      </c>
      <c r="D356" s="688" t="s">
        <v>2978</v>
      </c>
      <c r="E356" s="182" t="s">
        <v>2979</v>
      </c>
      <c r="F356" s="183">
        <v>-1.8189894035458601E-12</v>
      </c>
      <c r="G356" s="183">
        <v>0</v>
      </c>
      <c r="H356" s="183">
        <v>0</v>
      </c>
      <c r="I356" s="183">
        <v>0</v>
      </c>
      <c r="J356" s="183">
        <v>0</v>
      </c>
      <c r="K356" s="183">
        <v>0</v>
      </c>
      <c r="L356" s="183">
        <v>0</v>
      </c>
      <c r="M356" s="183">
        <v>0</v>
      </c>
      <c r="N356" s="183">
        <v>0</v>
      </c>
      <c r="O356" s="183">
        <v>0</v>
      </c>
      <c r="P356" s="183">
        <v>0</v>
      </c>
      <c r="Q356" s="183">
        <v>0</v>
      </c>
      <c r="R356" s="183">
        <v>0</v>
      </c>
      <c r="S356" s="184">
        <f t="shared" si="60"/>
        <v>-7.5791225147744167E-14</v>
      </c>
      <c r="U356" s="65"/>
      <c r="V356" s="103"/>
      <c r="W356" s="103"/>
      <c r="X356" s="599">
        <f t="shared" si="72"/>
        <v>-7.5791225147744167E-14</v>
      </c>
      <c r="Y356" s="103"/>
      <c r="Z356" s="103"/>
      <c r="AA356" s="65"/>
      <c r="AB356" s="103">
        <f t="shared" si="73"/>
        <v>-7.5791225147744167E-14</v>
      </c>
      <c r="AD356" s="42"/>
      <c r="AF356" s="6"/>
    </row>
    <row r="357" spans="1:32">
      <c r="A357" s="2">
        <f t="shared" si="71"/>
        <v>340</v>
      </c>
      <c r="B357" s="688" t="s">
        <v>2324</v>
      </c>
      <c r="C357" s="688" t="s">
        <v>2762</v>
      </c>
      <c r="D357" s="688" t="s">
        <v>2980</v>
      </c>
      <c r="E357" s="182" t="s">
        <v>2981</v>
      </c>
      <c r="F357" s="183">
        <v>22716398.530000001</v>
      </c>
      <c r="G357" s="183">
        <v>22716401.530000001</v>
      </c>
      <c r="H357" s="183">
        <v>22716401.530000001</v>
      </c>
      <c r="I357" s="183">
        <v>22722985.030000001</v>
      </c>
      <c r="J357" s="183">
        <v>22430995.059999999</v>
      </c>
      <c r="K357" s="183">
        <v>22437658.690000001</v>
      </c>
      <c r="L357" s="183">
        <v>22123794.43</v>
      </c>
      <c r="M357" s="183">
        <v>22128903.43</v>
      </c>
      <c r="N357" s="183">
        <v>22070046.859999999</v>
      </c>
      <c r="O357" s="183">
        <v>22076090.739999998</v>
      </c>
      <c r="P357" s="183">
        <v>22078160.239999998</v>
      </c>
      <c r="Q357" s="183">
        <v>22085189.739999998</v>
      </c>
      <c r="R357" s="183">
        <v>23570165.010000002</v>
      </c>
      <c r="S357" s="184">
        <f t="shared" si="60"/>
        <v>22394159.087500002</v>
      </c>
      <c r="U357" s="65">
        <f>+S357</f>
        <v>22394159.087500002</v>
      </c>
      <c r="V357" s="103"/>
      <c r="W357" s="103"/>
      <c r="X357" s="599"/>
      <c r="Y357" s="103"/>
      <c r="Z357" s="103"/>
      <c r="AA357" s="65"/>
      <c r="AB357" s="103"/>
      <c r="AD357" s="42">
        <f>+S357</f>
        <v>22394159.087500002</v>
      </c>
      <c r="AF357" s="6"/>
    </row>
    <row r="358" spans="1:32">
      <c r="A358" s="2">
        <f t="shared" si="71"/>
        <v>341</v>
      </c>
      <c r="B358" s="688" t="s">
        <v>2324</v>
      </c>
      <c r="C358" s="688" t="s">
        <v>2762</v>
      </c>
      <c r="D358" s="688" t="s">
        <v>2982</v>
      </c>
      <c r="E358" s="182" t="s">
        <v>2983</v>
      </c>
      <c r="F358" s="183">
        <v>466500</v>
      </c>
      <c r="G358" s="183">
        <v>466500</v>
      </c>
      <c r="H358" s="183">
        <v>466500</v>
      </c>
      <c r="I358" s="183">
        <v>466500</v>
      </c>
      <c r="J358" s="183">
        <v>466500</v>
      </c>
      <c r="K358" s="183">
        <v>466500</v>
      </c>
      <c r="L358" s="183">
        <v>466500</v>
      </c>
      <c r="M358" s="183">
        <v>466500</v>
      </c>
      <c r="N358" s="183">
        <v>466500</v>
      </c>
      <c r="O358" s="183">
        <v>466500</v>
      </c>
      <c r="P358" s="183">
        <v>466500</v>
      </c>
      <c r="Q358" s="183">
        <v>466500</v>
      </c>
      <c r="R358" s="183">
        <v>466500</v>
      </c>
      <c r="S358" s="184">
        <f t="shared" si="60"/>
        <v>466500</v>
      </c>
      <c r="U358" s="65">
        <f>+S358</f>
        <v>466500</v>
      </c>
      <c r="V358" s="103"/>
      <c r="W358" s="103"/>
      <c r="X358" s="599"/>
      <c r="Y358" s="103"/>
      <c r="Z358" s="103"/>
      <c r="AA358" s="65"/>
      <c r="AB358" s="103"/>
      <c r="AD358" s="42">
        <f t="shared" ref="AD358:AD367" si="74">+S358</f>
        <v>466500</v>
      </c>
      <c r="AF358" s="6"/>
    </row>
    <row r="359" spans="1:32">
      <c r="A359" s="2">
        <f t="shared" si="71"/>
        <v>342</v>
      </c>
      <c r="B359" s="688" t="s">
        <v>2324</v>
      </c>
      <c r="C359" s="688" t="s">
        <v>2762</v>
      </c>
      <c r="D359" s="688" t="s">
        <v>2984</v>
      </c>
      <c r="E359" s="182" t="s">
        <v>2979</v>
      </c>
      <c r="F359" s="183">
        <v>11521900.33</v>
      </c>
      <c r="G359" s="183">
        <v>11490151.710000001</v>
      </c>
      <c r="H359" s="183">
        <v>11490151.710000001</v>
      </c>
      <c r="I359" s="183">
        <v>11490151.710000001</v>
      </c>
      <c r="J359" s="183">
        <v>11490151.710000001</v>
      </c>
      <c r="K359" s="183">
        <v>11503591.710000001</v>
      </c>
      <c r="L359" s="183">
        <v>11759543.76</v>
      </c>
      <c r="M359" s="183">
        <v>13377644.279999999</v>
      </c>
      <c r="N359" s="183">
        <v>15614246.82</v>
      </c>
      <c r="O359" s="183">
        <v>17427785.77</v>
      </c>
      <c r="P359" s="183">
        <v>19722043.32</v>
      </c>
      <c r="Q359" s="183">
        <v>20387023.77</v>
      </c>
      <c r="R359" s="183">
        <v>20181963.84</v>
      </c>
      <c r="S359" s="184">
        <f t="shared" si="60"/>
        <v>14300368.196250001</v>
      </c>
      <c r="U359" s="65">
        <f t="shared" ref="U359:U367" si="75">+S359</f>
        <v>14300368.196250001</v>
      </c>
      <c r="V359" s="103"/>
      <c r="W359" s="103"/>
      <c r="X359" s="599"/>
      <c r="Y359" s="103"/>
      <c r="Z359" s="103"/>
      <c r="AA359" s="65"/>
      <c r="AB359" s="103"/>
      <c r="AD359" s="42">
        <f t="shared" si="74"/>
        <v>14300368.196250001</v>
      </c>
      <c r="AF359" s="6"/>
    </row>
    <row r="360" spans="1:32">
      <c r="A360" s="2">
        <f t="shared" si="71"/>
        <v>343</v>
      </c>
      <c r="B360" s="688" t="s">
        <v>2324</v>
      </c>
      <c r="C360" s="688" t="s">
        <v>2762</v>
      </c>
      <c r="D360" s="688" t="s">
        <v>2985</v>
      </c>
      <c r="E360" s="182" t="s">
        <v>2986</v>
      </c>
      <c r="F360" s="183">
        <v>0</v>
      </c>
      <c r="G360" s="183">
        <v>0</v>
      </c>
      <c r="H360" s="183">
        <v>0</v>
      </c>
      <c r="I360" s="183">
        <v>0</v>
      </c>
      <c r="J360" s="183">
        <v>0</v>
      </c>
      <c r="K360" s="183">
        <v>0</v>
      </c>
      <c r="L360" s="183">
        <v>0</v>
      </c>
      <c r="M360" s="183">
        <v>0</v>
      </c>
      <c r="N360" s="183">
        <v>0</v>
      </c>
      <c r="O360" s="183">
        <v>0</v>
      </c>
      <c r="P360" s="183">
        <v>0</v>
      </c>
      <c r="Q360" s="183">
        <v>0</v>
      </c>
      <c r="R360" s="183">
        <v>0</v>
      </c>
      <c r="S360" s="184">
        <f t="shared" si="60"/>
        <v>0</v>
      </c>
      <c r="U360" s="65">
        <f t="shared" si="75"/>
        <v>0</v>
      </c>
      <c r="V360" s="103"/>
      <c r="W360" s="103"/>
      <c r="X360" s="599"/>
      <c r="Y360" s="103"/>
      <c r="Z360" s="103"/>
      <c r="AA360" s="65"/>
      <c r="AB360" s="103"/>
      <c r="AD360" s="42">
        <f t="shared" si="74"/>
        <v>0</v>
      </c>
      <c r="AF360" s="6"/>
    </row>
    <row r="361" spans="1:32">
      <c r="A361" s="2">
        <f t="shared" si="71"/>
        <v>344</v>
      </c>
      <c r="B361" s="688" t="s">
        <v>2324</v>
      </c>
      <c r="C361" s="688" t="s">
        <v>2762</v>
      </c>
      <c r="D361" s="688" t="s">
        <v>2987</v>
      </c>
      <c r="E361" s="182" t="s">
        <v>2988</v>
      </c>
      <c r="F361" s="183">
        <v>0</v>
      </c>
      <c r="G361" s="183">
        <v>0</v>
      </c>
      <c r="H361" s="183">
        <v>0</v>
      </c>
      <c r="I361" s="183">
        <v>0</v>
      </c>
      <c r="J361" s="183">
        <v>0</v>
      </c>
      <c r="K361" s="183">
        <v>0</v>
      </c>
      <c r="L361" s="183">
        <v>0</v>
      </c>
      <c r="M361" s="183">
        <v>0</v>
      </c>
      <c r="N361" s="183">
        <v>0</v>
      </c>
      <c r="O361" s="183">
        <v>0</v>
      </c>
      <c r="P361" s="183">
        <v>0</v>
      </c>
      <c r="Q361" s="183">
        <v>0</v>
      </c>
      <c r="R361" s="183">
        <v>0</v>
      </c>
      <c r="S361" s="184">
        <f t="shared" si="60"/>
        <v>0</v>
      </c>
      <c r="U361" s="65">
        <f t="shared" si="75"/>
        <v>0</v>
      </c>
      <c r="V361" s="103"/>
      <c r="W361" s="103"/>
      <c r="X361" s="599"/>
      <c r="Y361" s="103"/>
      <c r="Z361" s="103"/>
      <c r="AA361" s="65"/>
      <c r="AB361" s="103"/>
      <c r="AD361" s="42">
        <f t="shared" si="74"/>
        <v>0</v>
      </c>
      <c r="AF361" s="6"/>
    </row>
    <row r="362" spans="1:32">
      <c r="A362" s="2">
        <f t="shared" si="71"/>
        <v>345</v>
      </c>
      <c r="B362" s="688" t="s">
        <v>2324</v>
      </c>
      <c r="C362" s="688" t="s">
        <v>2762</v>
      </c>
      <c r="D362" s="688" t="s">
        <v>2989</v>
      </c>
      <c r="E362" s="182" t="s">
        <v>2990</v>
      </c>
      <c r="F362" s="183">
        <v>3027851.42</v>
      </c>
      <c r="G362" s="183">
        <v>2982659.61</v>
      </c>
      <c r="H362" s="183">
        <v>2937467.8</v>
      </c>
      <c r="I362" s="183">
        <v>2892275.99</v>
      </c>
      <c r="J362" s="183">
        <v>2847084.18</v>
      </c>
      <c r="K362" s="183">
        <v>2801892.37</v>
      </c>
      <c r="L362" s="183">
        <v>2756700.56</v>
      </c>
      <c r="M362" s="183">
        <v>2711508.75</v>
      </c>
      <c r="N362" s="183">
        <v>2666316.94</v>
      </c>
      <c r="O362" s="183">
        <v>2621125.13</v>
      </c>
      <c r="P362" s="183">
        <v>2575933.3199999998</v>
      </c>
      <c r="Q362" s="183">
        <v>2530741.5099999998</v>
      </c>
      <c r="R362" s="183">
        <v>2485549.7000000002</v>
      </c>
      <c r="S362" s="184">
        <f t="shared" si="60"/>
        <v>2756700.5599999996</v>
      </c>
      <c r="U362" s="65">
        <f t="shared" si="75"/>
        <v>2756700.5599999996</v>
      </c>
      <c r="V362" s="103"/>
      <c r="W362" s="103"/>
      <c r="X362" s="599"/>
      <c r="Y362" s="103"/>
      <c r="Z362" s="103"/>
      <c r="AA362" s="65"/>
      <c r="AB362" s="103"/>
      <c r="AD362" s="42">
        <f t="shared" si="74"/>
        <v>2756700.5599999996</v>
      </c>
      <c r="AF362" s="6"/>
    </row>
    <row r="363" spans="1:32">
      <c r="A363" s="2">
        <f t="shared" si="71"/>
        <v>346</v>
      </c>
      <c r="B363" s="688" t="s">
        <v>2324</v>
      </c>
      <c r="C363" s="688" t="s">
        <v>2762</v>
      </c>
      <c r="D363" s="688" t="s">
        <v>2991</v>
      </c>
      <c r="E363" s="182" t="s">
        <v>2992</v>
      </c>
      <c r="F363" s="183">
        <v>3892990.54</v>
      </c>
      <c r="G363" s="183">
        <v>3847723.21</v>
      </c>
      <c r="H363" s="183">
        <v>3802455.88</v>
      </c>
      <c r="I363" s="183">
        <v>3757188.55</v>
      </c>
      <c r="J363" s="183">
        <v>3711921.22</v>
      </c>
      <c r="K363" s="183">
        <v>3666653.89</v>
      </c>
      <c r="L363" s="183">
        <v>3621386.56</v>
      </c>
      <c r="M363" s="183">
        <v>3576119.23</v>
      </c>
      <c r="N363" s="183">
        <v>3530851.9</v>
      </c>
      <c r="O363" s="183">
        <v>3485584.57</v>
      </c>
      <c r="P363" s="183">
        <v>3440317.24</v>
      </c>
      <c r="Q363" s="183">
        <v>3395049.91</v>
      </c>
      <c r="R363" s="183">
        <v>3349782.58</v>
      </c>
      <c r="S363" s="184">
        <f t="shared" si="60"/>
        <v>3621386.56</v>
      </c>
      <c r="U363" s="65">
        <f t="shared" si="75"/>
        <v>3621386.56</v>
      </c>
      <c r="V363" s="103"/>
      <c r="W363" s="103"/>
      <c r="X363" s="599"/>
      <c r="Y363" s="103"/>
      <c r="Z363" s="103"/>
      <c r="AA363" s="65"/>
      <c r="AB363" s="103"/>
      <c r="AD363" s="42">
        <f t="shared" si="74"/>
        <v>3621386.56</v>
      </c>
      <c r="AF363" s="6"/>
    </row>
    <row r="364" spans="1:32">
      <c r="A364" s="2">
        <f t="shared" si="71"/>
        <v>347</v>
      </c>
      <c r="B364" s="688" t="s">
        <v>2324</v>
      </c>
      <c r="C364" s="688" t="s">
        <v>2762</v>
      </c>
      <c r="D364" s="688" t="s">
        <v>2993</v>
      </c>
      <c r="E364" s="182" t="s">
        <v>2994</v>
      </c>
      <c r="F364" s="183">
        <v>2186170.2799999998</v>
      </c>
      <c r="G364" s="183">
        <v>2164737.2400000002</v>
      </c>
      <c r="H364" s="183">
        <v>2143304.2000000002</v>
      </c>
      <c r="I364" s="183">
        <v>2121871.16</v>
      </c>
      <c r="J364" s="183">
        <v>2100438.12</v>
      </c>
      <c r="K364" s="183">
        <v>2079005.08</v>
      </c>
      <c r="L364" s="183">
        <v>2057572.04</v>
      </c>
      <c r="M364" s="183">
        <v>2036139</v>
      </c>
      <c r="N364" s="183">
        <v>2014705.96</v>
      </c>
      <c r="O364" s="183">
        <v>1993272.92</v>
      </c>
      <c r="P364" s="183">
        <v>1971839.88</v>
      </c>
      <c r="Q364" s="183">
        <v>1950406.84</v>
      </c>
      <c r="R364" s="183">
        <v>1928973.8</v>
      </c>
      <c r="S364" s="184">
        <f t="shared" si="60"/>
        <v>2057572.0399999998</v>
      </c>
      <c r="U364" s="65">
        <f t="shared" si="75"/>
        <v>2057572.0399999998</v>
      </c>
      <c r="V364" s="103"/>
      <c r="W364" s="103"/>
      <c r="X364" s="599"/>
      <c r="Y364" s="103"/>
      <c r="Z364" s="103"/>
      <c r="AA364" s="65"/>
      <c r="AB364" s="103"/>
      <c r="AD364" s="42">
        <f t="shared" si="74"/>
        <v>2057572.0399999998</v>
      </c>
      <c r="AF364" s="6"/>
    </row>
    <row r="365" spans="1:32">
      <c r="A365" s="2">
        <f t="shared" si="71"/>
        <v>348</v>
      </c>
      <c r="B365" s="688" t="s">
        <v>2324</v>
      </c>
      <c r="C365" s="688" t="s">
        <v>2762</v>
      </c>
      <c r="D365" s="688" t="s">
        <v>2995</v>
      </c>
      <c r="E365" s="182" t="s">
        <v>2996</v>
      </c>
      <c r="F365" s="183">
        <v>0</v>
      </c>
      <c r="G365" s="183">
        <v>0</v>
      </c>
      <c r="H365" s="183">
        <v>0</v>
      </c>
      <c r="I365" s="183">
        <v>0</v>
      </c>
      <c r="J365" s="183">
        <v>0</v>
      </c>
      <c r="K365" s="183">
        <v>0</v>
      </c>
      <c r="L365" s="183">
        <v>0</v>
      </c>
      <c r="M365" s="183">
        <v>0</v>
      </c>
      <c r="N365" s="183">
        <v>0</v>
      </c>
      <c r="O365" s="183">
        <v>0</v>
      </c>
      <c r="P365" s="183">
        <v>0</v>
      </c>
      <c r="Q365" s="183">
        <v>0</v>
      </c>
      <c r="R365" s="183">
        <v>0</v>
      </c>
      <c r="S365" s="184">
        <f t="shared" si="60"/>
        <v>0</v>
      </c>
      <c r="U365" s="65">
        <f t="shared" si="75"/>
        <v>0</v>
      </c>
      <c r="V365" s="103"/>
      <c r="W365" s="103"/>
      <c r="X365" s="599"/>
      <c r="Y365" s="103"/>
      <c r="Z365" s="103"/>
      <c r="AA365" s="65"/>
      <c r="AB365" s="103"/>
      <c r="AD365" s="42">
        <f t="shared" si="74"/>
        <v>0</v>
      </c>
      <c r="AF365" s="6"/>
    </row>
    <row r="366" spans="1:32">
      <c r="A366" s="2">
        <f t="shared" si="71"/>
        <v>349</v>
      </c>
      <c r="B366" s="688" t="s">
        <v>2324</v>
      </c>
      <c r="C366" s="688" t="s">
        <v>2762</v>
      </c>
      <c r="D366" s="688" t="s">
        <v>2997</v>
      </c>
      <c r="E366" s="182" t="s">
        <v>2998</v>
      </c>
      <c r="F366" s="183">
        <v>3686198.22</v>
      </c>
      <c r="G366" s="183">
        <v>3686198.22</v>
      </c>
      <c r="H366" s="183">
        <v>3686198.22</v>
      </c>
      <c r="I366" s="183">
        <v>3686198.22</v>
      </c>
      <c r="J366" s="183">
        <v>3686198.22</v>
      </c>
      <c r="K366" s="183">
        <v>3686198.22</v>
      </c>
      <c r="L366" s="183">
        <v>3686198.22</v>
      </c>
      <c r="M366" s="183">
        <v>3686198.22</v>
      </c>
      <c r="N366" s="183">
        <v>3686198.22</v>
      </c>
      <c r="O366" s="183">
        <v>3686198.22</v>
      </c>
      <c r="P366" s="183">
        <v>3686198.22</v>
      </c>
      <c r="Q366" s="183">
        <v>3290265.78</v>
      </c>
      <c r="R366" s="183">
        <v>4.65661287307739E-10</v>
      </c>
      <c r="S366" s="184">
        <f t="shared" si="60"/>
        <v>3499612.2574999998</v>
      </c>
      <c r="V366" s="103"/>
      <c r="W366" s="103"/>
      <c r="X366" s="65">
        <f>+S366</f>
        <v>3499612.2574999998</v>
      </c>
      <c r="Y366" s="824"/>
      <c r="Z366" s="103"/>
      <c r="AA366" s="65"/>
      <c r="AB366" s="103">
        <f>+S366</f>
        <v>3499612.2574999998</v>
      </c>
      <c r="AD366" s="42"/>
      <c r="AF366" s="6"/>
    </row>
    <row r="367" spans="1:32">
      <c r="A367" s="2">
        <f t="shared" si="71"/>
        <v>350</v>
      </c>
      <c r="B367" s="688" t="s">
        <v>2324</v>
      </c>
      <c r="C367" s="688" t="s">
        <v>2762</v>
      </c>
      <c r="D367" s="688" t="s">
        <v>2999</v>
      </c>
      <c r="E367" s="182" t="s">
        <v>3000</v>
      </c>
      <c r="F367" s="183">
        <v>838404.14</v>
      </c>
      <c r="G367" s="183">
        <v>971670.76</v>
      </c>
      <c r="H367" s="183">
        <v>1046323.2</v>
      </c>
      <c r="I367" s="183">
        <v>1119629.6000000001</v>
      </c>
      <c r="J367" s="183">
        <v>1146964.6599999999</v>
      </c>
      <c r="K367" s="183">
        <v>1388448.45</v>
      </c>
      <c r="L367" s="183">
        <v>1513222.29</v>
      </c>
      <c r="M367" s="183">
        <v>1681431.36</v>
      </c>
      <c r="N367" s="183">
        <v>1922391.58</v>
      </c>
      <c r="O367" s="183">
        <v>2020540.86</v>
      </c>
      <c r="P367" s="183">
        <v>2086075.17</v>
      </c>
      <c r="Q367" s="183">
        <v>2380971.9500000002</v>
      </c>
      <c r="R367" s="183">
        <v>2746359.94</v>
      </c>
      <c r="S367" s="184">
        <f t="shared" si="60"/>
        <v>1589170.9933333332</v>
      </c>
      <c r="U367" s="65">
        <f t="shared" si="75"/>
        <v>1589170.9933333332</v>
      </c>
      <c r="V367" s="103"/>
      <c r="W367" s="103"/>
      <c r="X367" s="103"/>
      <c r="Y367" s="824"/>
      <c r="Z367" s="103"/>
      <c r="AA367" s="65"/>
      <c r="AB367" s="103"/>
      <c r="AD367" s="42">
        <f t="shared" si="74"/>
        <v>1589170.9933333332</v>
      </c>
      <c r="AF367" s="6"/>
    </row>
    <row r="368" spans="1:32">
      <c r="A368" s="2">
        <f t="shared" si="71"/>
        <v>351</v>
      </c>
      <c r="B368" s="688" t="s">
        <v>2324</v>
      </c>
      <c r="C368" s="688" t="s">
        <v>2762</v>
      </c>
      <c r="D368" s="688" t="s">
        <v>3001</v>
      </c>
      <c r="E368" s="182" t="s">
        <v>3002</v>
      </c>
      <c r="F368" s="183">
        <v>0</v>
      </c>
      <c r="G368" s="183">
        <v>57000</v>
      </c>
      <c r="H368" s="183">
        <v>114000</v>
      </c>
      <c r="I368" s="183">
        <v>171000</v>
      </c>
      <c r="J368" s="183">
        <v>228000</v>
      </c>
      <c r="K368" s="183">
        <v>287574.43</v>
      </c>
      <c r="L368" s="183">
        <v>346075.47</v>
      </c>
      <c r="M368" s="183">
        <v>404989.61</v>
      </c>
      <c r="N368" s="183">
        <v>464153.93</v>
      </c>
      <c r="O368" s="183">
        <v>523505.91</v>
      </c>
      <c r="P368" s="183">
        <v>583173.52</v>
      </c>
      <c r="Q368" s="183">
        <v>643014.62</v>
      </c>
      <c r="R368" s="183">
        <v>703189.75</v>
      </c>
      <c r="S368" s="184">
        <f t="shared" si="60"/>
        <v>347840.19708333333</v>
      </c>
      <c r="V368" s="103"/>
      <c r="W368" s="103"/>
      <c r="X368" s="65">
        <f>+S368</f>
        <v>347840.19708333333</v>
      </c>
      <c r="Y368" s="824"/>
      <c r="Z368" s="103"/>
      <c r="AA368" s="65"/>
      <c r="AB368" s="103">
        <f>+S368</f>
        <v>347840.19708333333</v>
      </c>
      <c r="AD368" s="42"/>
      <c r="AF368" s="6"/>
    </row>
    <row r="369" spans="1:32">
      <c r="A369" s="2">
        <f t="shared" si="71"/>
        <v>352</v>
      </c>
      <c r="B369" s="688" t="s">
        <v>2342</v>
      </c>
      <c r="C369" s="688" t="s">
        <v>3003</v>
      </c>
      <c r="D369" s="688" t="s">
        <v>3004</v>
      </c>
      <c r="E369" s="182" t="s">
        <v>3005</v>
      </c>
      <c r="F369" s="183">
        <v>0</v>
      </c>
      <c r="G369" s="183">
        <v>0</v>
      </c>
      <c r="H369" s="183">
        <v>0</v>
      </c>
      <c r="I369" s="183">
        <v>0</v>
      </c>
      <c r="J369" s="183">
        <v>0</v>
      </c>
      <c r="K369" s="183">
        <v>0</v>
      </c>
      <c r="L369" s="183">
        <v>0</v>
      </c>
      <c r="M369" s="183">
        <v>0</v>
      </c>
      <c r="N369" s="183">
        <v>0</v>
      </c>
      <c r="O369" s="183">
        <v>0</v>
      </c>
      <c r="P369" s="183">
        <v>0</v>
      </c>
      <c r="Q369" s="183">
        <v>0</v>
      </c>
      <c r="R369" s="183">
        <v>0</v>
      </c>
      <c r="S369" s="184">
        <f>((F369+R369)+((G369+H369+I369+J369+K369+L369+M369+N369+O369+P369+Q369)*2))/24</f>
        <v>0</v>
      </c>
      <c r="U369" s="65"/>
      <c r="V369" s="103"/>
      <c r="W369" s="103"/>
      <c r="X369" s="103">
        <f t="shared" ref="X369:X378" si="76">+S369</f>
        <v>0</v>
      </c>
      <c r="Y369" s="824"/>
      <c r="Z369" s="103"/>
      <c r="AA369" s="65"/>
      <c r="AB369" s="103">
        <f>+S369</f>
        <v>0</v>
      </c>
      <c r="AD369" s="42"/>
      <c r="AF369" s="6"/>
    </row>
    <row r="370" spans="1:32">
      <c r="A370" s="2">
        <f t="shared" si="71"/>
        <v>353</v>
      </c>
      <c r="B370" s="688" t="s">
        <v>2342</v>
      </c>
      <c r="C370" s="688" t="s">
        <v>3003</v>
      </c>
      <c r="D370" s="688" t="s">
        <v>3006</v>
      </c>
      <c r="E370" s="182" t="s">
        <v>3007</v>
      </c>
      <c r="F370" s="183">
        <v>0</v>
      </c>
      <c r="G370" s="183">
        <v>0</v>
      </c>
      <c r="H370" s="183">
        <v>0</v>
      </c>
      <c r="I370" s="183">
        <v>0</v>
      </c>
      <c r="J370" s="183">
        <v>0</v>
      </c>
      <c r="K370" s="183">
        <v>0</v>
      </c>
      <c r="L370" s="183">
        <v>0</v>
      </c>
      <c r="M370" s="183">
        <v>0</v>
      </c>
      <c r="N370" s="183">
        <v>0</v>
      </c>
      <c r="O370" s="183">
        <v>0</v>
      </c>
      <c r="P370" s="183">
        <v>0</v>
      </c>
      <c r="Q370" s="183">
        <v>0</v>
      </c>
      <c r="R370" s="183">
        <v>0</v>
      </c>
      <c r="S370" s="184">
        <f>((F370+R370)+((G370+H370+I370+J370+K370+L370+M370+N370+O370+P370+Q370)*2))/24</f>
        <v>0</v>
      </c>
      <c r="U370" s="65"/>
      <c r="V370" s="103"/>
      <c r="W370" s="103"/>
      <c r="X370" s="599">
        <f t="shared" si="76"/>
        <v>0</v>
      </c>
      <c r="Y370" s="103"/>
      <c r="Z370" s="103"/>
      <c r="AA370" s="65"/>
      <c r="AB370" s="103">
        <f t="shared" ref="AB370:AB386" si="77">+S370</f>
        <v>0</v>
      </c>
      <c r="AD370" s="42"/>
      <c r="AF370" s="6"/>
    </row>
    <row r="371" spans="1:32">
      <c r="A371" s="2">
        <f t="shared" si="71"/>
        <v>354</v>
      </c>
      <c r="B371" s="688" t="s">
        <v>2342</v>
      </c>
      <c r="C371" s="688" t="s">
        <v>3003</v>
      </c>
      <c r="D371" s="688" t="s">
        <v>3008</v>
      </c>
      <c r="E371" s="182" t="s">
        <v>3009</v>
      </c>
      <c r="F371" s="183">
        <v>-603589.13</v>
      </c>
      <c r="G371" s="183">
        <v>-463792.27</v>
      </c>
      <c r="H371" s="183">
        <v>-313510.08</v>
      </c>
      <c r="I371" s="183">
        <v>-192764.04</v>
      </c>
      <c r="J371" s="183">
        <v>-95335.93</v>
      </c>
      <c r="K371" s="183">
        <v>-67573.61</v>
      </c>
      <c r="L371" s="183">
        <v>-34181</v>
      </c>
      <c r="M371" s="183">
        <v>-20569.21</v>
      </c>
      <c r="N371" s="183">
        <v>1165.0699999999599</v>
      </c>
      <c r="O371" s="183">
        <v>35086</v>
      </c>
      <c r="P371" s="183">
        <v>112553.16</v>
      </c>
      <c r="Q371" s="183">
        <v>-2184806.41</v>
      </c>
      <c r="R371" s="183">
        <v>-1859450.33</v>
      </c>
      <c r="S371" s="184">
        <f t="shared" ref="S371:S386" si="78">((F371+R371)+((G371+H371+I371+J371+K371+L371+M371+N371+O371+P371+Q371)*2))/24</f>
        <v>-371270.6708333334</v>
      </c>
      <c r="U371" s="65"/>
      <c r="V371" s="103"/>
      <c r="W371" s="103"/>
      <c r="X371" s="599">
        <f t="shared" si="76"/>
        <v>-371270.6708333334</v>
      </c>
      <c r="Y371" s="103"/>
      <c r="Z371" s="103"/>
      <c r="AA371" s="65"/>
      <c r="AB371" s="103">
        <f t="shared" si="77"/>
        <v>-371270.6708333334</v>
      </c>
      <c r="AD371" s="42"/>
      <c r="AF371" s="6"/>
    </row>
    <row r="372" spans="1:32">
      <c r="A372" s="2">
        <f t="shared" si="71"/>
        <v>355</v>
      </c>
      <c r="B372" s="688" t="s">
        <v>2342</v>
      </c>
      <c r="C372" s="688" t="s">
        <v>3003</v>
      </c>
      <c r="D372" s="688" t="s">
        <v>2978</v>
      </c>
      <c r="E372" s="182" t="s">
        <v>3010</v>
      </c>
      <c r="F372" s="183">
        <v>-194070.03</v>
      </c>
      <c r="G372" s="183">
        <v>-263982.7</v>
      </c>
      <c r="H372" s="183">
        <v>-415595.63</v>
      </c>
      <c r="I372" s="183">
        <v>-870236.93</v>
      </c>
      <c r="J372" s="183">
        <v>-904519.27</v>
      </c>
      <c r="K372" s="183">
        <v>-607332.78</v>
      </c>
      <c r="L372" s="183">
        <v>-543435.24</v>
      </c>
      <c r="M372" s="183">
        <v>-544275.26</v>
      </c>
      <c r="N372" s="183">
        <v>-545116.57999999996</v>
      </c>
      <c r="O372" s="183">
        <v>-527739.64</v>
      </c>
      <c r="P372" s="183">
        <v>-400650.08</v>
      </c>
      <c r="Q372" s="183">
        <v>230956.73</v>
      </c>
      <c r="R372" s="183">
        <v>1108288.55</v>
      </c>
      <c r="S372" s="184">
        <f t="shared" si="78"/>
        <v>-411234.84333333332</v>
      </c>
      <c r="U372" s="65"/>
      <c r="V372" s="103"/>
      <c r="W372" s="103"/>
      <c r="X372" s="599">
        <f t="shared" si="76"/>
        <v>-411234.84333333332</v>
      </c>
      <c r="Y372" s="103"/>
      <c r="Z372" s="103"/>
      <c r="AA372" s="65"/>
      <c r="AB372" s="103">
        <f t="shared" si="77"/>
        <v>-411234.84333333332</v>
      </c>
      <c r="AD372" s="42"/>
      <c r="AF372" s="6"/>
    </row>
    <row r="373" spans="1:32">
      <c r="A373" s="2">
        <f t="shared" si="71"/>
        <v>356</v>
      </c>
      <c r="B373" s="688" t="s">
        <v>2342</v>
      </c>
      <c r="C373" s="688" t="s">
        <v>3003</v>
      </c>
      <c r="D373" s="688" t="s">
        <v>2987</v>
      </c>
      <c r="E373" s="182" t="s">
        <v>3011</v>
      </c>
      <c r="F373" s="183">
        <v>-315166.03000000003</v>
      </c>
      <c r="G373" s="183">
        <v>97595.93</v>
      </c>
      <c r="H373" s="183">
        <v>-265777.52</v>
      </c>
      <c r="I373" s="183">
        <v>-371192.15</v>
      </c>
      <c r="J373" s="183">
        <v>-934922.87</v>
      </c>
      <c r="K373" s="183">
        <v>-859458.17</v>
      </c>
      <c r="L373" s="183">
        <v>-943074.22</v>
      </c>
      <c r="M373" s="183">
        <v>-723431.36</v>
      </c>
      <c r="N373" s="183">
        <v>-648263.19999999995</v>
      </c>
      <c r="O373" s="183">
        <v>-579484.24</v>
      </c>
      <c r="P373" s="183">
        <v>-860346.4</v>
      </c>
      <c r="Q373" s="183">
        <v>50199.439999999799</v>
      </c>
      <c r="R373" s="183">
        <v>-45617.010000000198</v>
      </c>
      <c r="S373" s="184">
        <f t="shared" si="78"/>
        <v>-518212.19000000012</v>
      </c>
      <c r="U373" s="65"/>
      <c r="V373" s="103"/>
      <c r="W373" s="103"/>
      <c r="X373" s="599">
        <f t="shared" si="76"/>
        <v>-518212.19000000012</v>
      </c>
      <c r="Y373" s="103"/>
      <c r="Z373" s="103"/>
      <c r="AA373" s="65"/>
      <c r="AB373" s="103">
        <f t="shared" si="77"/>
        <v>-518212.19000000012</v>
      </c>
      <c r="AD373" s="42"/>
      <c r="AF373" s="6"/>
    </row>
    <row r="374" spans="1:32">
      <c r="A374" s="2">
        <f t="shared" si="71"/>
        <v>357</v>
      </c>
      <c r="B374" s="688" t="s">
        <v>2342</v>
      </c>
      <c r="C374" s="688" t="s">
        <v>3003</v>
      </c>
      <c r="D374" s="688" t="s">
        <v>2989</v>
      </c>
      <c r="E374" s="182" t="s">
        <v>3012</v>
      </c>
      <c r="F374" s="183">
        <v>-55668.35</v>
      </c>
      <c r="G374" s="183">
        <v>-77115.42</v>
      </c>
      <c r="H374" s="183">
        <v>-139709.19</v>
      </c>
      <c r="I374" s="183">
        <v>-310872.62</v>
      </c>
      <c r="J374" s="183">
        <v>-327058.71999999997</v>
      </c>
      <c r="K374" s="183">
        <v>-246166.23</v>
      </c>
      <c r="L374" s="183">
        <v>-230041.08</v>
      </c>
      <c r="M374" s="183">
        <v>-229714.42</v>
      </c>
      <c r="N374" s="183">
        <v>-230069.5</v>
      </c>
      <c r="O374" s="183">
        <v>-219337.8</v>
      </c>
      <c r="P374" s="183">
        <v>-174205.92</v>
      </c>
      <c r="Q374" s="183">
        <v>85759.6</v>
      </c>
      <c r="R374" s="183">
        <v>410040.14</v>
      </c>
      <c r="S374" s="184">
        <f t="shared" si="78"/>
        <v>-160112.11708333332</v>
      </c>
      <c r="U374" s="65"/>
      <c r="V374" s="103"/>
      <c r="W374" s="103"/>
      <c r="X374" s="599">
        <f t="shared" si="76"/>
        <v>-160112.11708333332</v>
      </c>
      <c r="Y374" s="103"/>
      <c r="Z374" s="103"/>
      <c r="AA374" s="65"/>
      <c r="AB374" s="103">
        <f t="shared" si="77"/>
        <v>-160112.11708333332</v>
      </c>
      <c r="AD374" s="42"/>
      <c r="AF374" s="6"/>
    </row>
    <row r="375" spans="1:32">
      <c r="A375" s="2">
        <f t="shared" si="71"/>
        <v>358</v>
      </c>
      <c r="B375" s="688" t="s">
        <v>2342</v>
      </c>
      <c r="C375" s="688" t="s">
        <v>3003</v>
      </c>
      <c r="D375" s="688" t="s">
        <v>2991</v>
      </c>
      <c r="E375" s="182" t="s">
        <v>3013</v>
      </c>
      <c r="F375" s="183">
        <v>-214830.42</v>
      </c>
      <c r="G375" s="183">
        <v>-183184.82</v>
      </c>
      <c r="H375" s="183">
        <v>-400067.67</v>
      </c>
      <c r="I375" s="183">
        <v>-551841.94999999995</v>
      </c>
      <c r="J375" s="183">
        <v>-869201.08</v>
      </c>
      <c r="K375" s="183">
        <v>-821789.47</v>
      </c>
      <c r="L375" s="183">
        <v>-875732.7</v>
      </c>
      <c r="M375" s="183">
        <v>-759084.44</v>
      </c>
      <c r="N375" s="183">
        <v>-719598.19</v>
      </c>
      <c r="O375" s="183">
        <v>-729085.21</v>
      </c>
      <c r="P375" s="183">
        <v>-870833.6</v>
      </c>
      <c r="Q375" s="183">
        <v>92608.33</v>
      </c>
      <c r="R375" s="183">
        <v>15041.37</v>
      </c>
      <c r="S375" s="184">
        <f t="shared" si="78"/>
        <v>-565642.11041666672</v>
      </c>
      <c r="U375" s="65"/>
      <c r="V375" s="103"/>
      <c r="W375" s="103"/>
      <c r="X375" s="599">
        <f t="shared" si="76"/>
        <v>-565642.11041666672</v>
      </c>
      <c r="Y375" s="103"/>
      <c r="Z375" s="103"/>
      <c r="AA375" s="65"/>
      <c r="AB375" s="103">
        <f t="shared" si="77"/>
        <v>-565642.11041666672</v>
      </c>
      <c r="AD375" s="42"/>
      <c r="AF375" s="6"/>
    </row>
    <row r="376" spans="1:32">
      <c r="A376" s="2">
        <f t="shared" si="71"/>
        <v>359</v>
      </c>
      <c r="B376" s="688" t="s">
        <v>2342</v>
      </c>
      <c r="C376" s="688" t="s">
        <v>3003</v>
      </c>
      <c r="D376" s="688" t="s">
        <v>3014</v>
      </c>
      <c r="E376" s="182" t="s">
        <v>3015</v>
      </c>
      <c r="F376" s="183">
        <v>9.0949470177292804E-13</v>
      </c>
      <c r="G376" s="183">
        <v>0</v>
      </c>
      <c r="H376" s="183">
        <v>0</v>
      </c>
      <c r="I376" s="183">
        <v>0</v>
      </c>
      <c r="J376" s="183">
        <v>0</v>
      </c>
      <c r="K376" s="183">
        <v>0</v>
      </c>
      <c r="L376" s="183">
        <v>0</v>
      </c>
      <c r="M376" s="183">
        <v>0</v>
      </c>
      <c r="N376" s="183">
        <v>0</v>
      </c>
      <c r="O376" s="183">
        <v>0</v>
      </c>
      <c r="P376" s="183">
        <v>0</v>
      </c>
      <c r="Q376" s="183">
        <v>0</v>
      </c>
      <c r="R376" s="183">
        <v>0</v>
      </c>
      <c r="S376" s="184">
        <f t="shared" si="78"/>
        <v>3.7895612573872001E-14</v>
      </c>
      <c r="U376" s="65"/>
      <c r="V376" s="103"/>
      <c r="W376" s="103"/>
      <c r="X376" s="599">
        <f t="shared" si="76"/>
        <v>3.7895612573872001E-14</v>
      </c>
      <c r="Y376" s="103"/>
      <c r="Z376" s="103"/>
      <c r="AA376" s="65"/>
      <c r="AB376" s="103">
        <f t="shared" si="77"/>
        <v>3.7895612573872001E-14</v>
      </c>
      <c r="AD376" s="42"/>
      <c r="AF376" s="6"/>
    </row>
    <row r="377" spans="1:32">
      <c r="A377" s="2">
        <f t="shared" si="71"/>
        <v>360</v>
      </c>
      <c r="B377" s="688" t="s">
        <v>2324</v>
      </c>
      <c r="C377" s="688" t="s">
        <v>3003</v>
      </c>
      <c r="D377" s="688" t="s">
        <v>3016</v>
      </c>
      <c r="E377" s="182" t="s">
        <v>2914</v>
      </c>
      <c r="F377" s="183">
        <v>0</v>
      </c>
      <c r="G377" s="183">
        <v>0</v>
      </c>
      <c r="H377" s="183">
        <v>0</v>
      </c>
      <c r="I377" s="183">
        <v>0</v>
      </c>
      <c r="J377" s="183">
        <v>0</v>
      </c>
      <c r="K377" s="183">
        <v>0</v>
      </c>
      <c r="L377" s="183">
        <v>0</v>
      </c>
      <c r="M377" s="183">
        <v>0</v>
      </c>
      <c r="N377" s="183">
        <v>0</v>
      </c>
      <c r="O377" s="183">
        <v>0</v>
      </c>
      <c r="P377" s="183">
        <v>0</v>
      </c>
      <c r="Q377" s="183">
        <v>0</v>
      </c>
      <c r="R377" s="183">
        <v>0</v>
      </c>
      <c r="S377" s="184">
        <f t="shared" si="78"/>
        <v>0</v>
      </c>
      <c r="U377" s="65"/>
      <c r="V377" s="103"/>
      <c r="W377" s="103"/>
      <c r="X377" s="599">
        <f t="shared" si="76"/>
        <v>0</v>
      </c>
      <c r="Y377" s="103"/>
      <c r="Z377" s="103"/>
      <c r="AA377" s="65"/>
      <c r="AB377" s="103">
        <f t="shared" si="77"/>
        <v>0</v>
      </c>
      <c r="AD377" s="42"/>
      <c r="AF377" s="6"/>
    </row>
    <row r="378" spans="1:32">
      <c r="A378" s="2">
        <f t="shared" si="71"/>
        <v>361</v>
      </c>
      <c r="B378" s="688" t="s">
        <v>2324</v>
      </c>
      <c r="C378" s="688" t="s">
        <v>3003</v>
      </c>
      <c r="D378" s="688" t="s">
        <v>3017</v>
      </c>
      <c r="E378" s="182" t="s">
        <v>2916</v>
      </c>
      <c r="F378" s="183">
        <v>0</v>
      </c>
      <c r="G378" s="183">
        <v>0</v>
      </c>
      <c r="H378" s="183">
        <v>0</v>
      </c>
      <c r="I378" s="183">
        <v>0</v>
      </c>
      <c r="J378" s="183">
        <v>0</v>
      </c>
      <c r="K378" s="183">
        <v>0</v>
      </c>
      <c r="L378" s="183">
        <v>0</v>
      </c>
      <c r="M378" s="183">
        <v>0</v>
      </c>
      <c r="N378" s="183">
        <v>0</v>
      </c>
      <c r="O378" s="183">
        <v>0</v>
      </c>
      <c r="P378" s="183">
        <v>0</v>
      </c>
      <c r="Q378" s="183">
        <v>0</v>
      </c>
      <c r="R378" s="183">
        <v>0</v>
      </c>
      <c r="S378" s="184">
        <f t="shared" si="78"/>
        <v>0</v>
      </c>
      <c r="U378" s="65"/>
      <c r="V378" s="103"/>
      <c r="W378" s="103"/>
      <c r="X378" s="599">
        <f t="shared" si="76"/>
        <v>0</v>
      </c>
      <c r="Y378" s="103"/>
      <c r="Z378" s="103"/>
      <c r="AA378" s="65"/>
      <c r="AB378" s="103">
        <f t="shared" si="77"/>
        <v>0</v>
      </c>
      <c r="AD378" s="42"/>
      <c r="AF378" s="6"/>
    </row>
    <row r="379" spans="1:32">
      <c r="A379" s="2">
        <f t="shared" si="71"/>
        <v>362</v>
      </c>
      <c r="B379" s="688" t="s">
        <v>2324</v>
      </c>
      <c r="C379" s="688" t="s">
        <v>3003</v>
      </c>
      <c r="D379" s="688" t="s">
        <v>2969</v>
      </c>
      <c r="E379" s="182" t="s">
        <v>2918</v>
      </c>
      <c r="F379" s="183">
        <v>0</v>
      </c>
      <c r="G379" s="183">
        <v>0</v>
      </c>
      <c r="H379" s="183">
        <v>0</v>
      </c>
      <c r="I379" s="183">
        <v>0</v>
      </c>
      <c r="J379" s="183">
        <v>0</v>
      </c>
      <c r="K379" s="183">
        <v>0</v>
      </c>
      <c r="L379" s="183">
        <v>0</v>
      </c>
      <c r="M379" s="183">
        <v>0</v>
      </c>
      <c r="N379" s="183">
        <v>0</v>
      </c>
      <c r="O379" s="183">
        <v>0</v>
      </c>
      <c r="P379" s="183">
        <v>0</v>
      </c>
      <c r="Q379" s="183">
        <v>0</v>
      </c>
      <c r="R379" s="183">
        <v>0</v>
      </c>
      <c r="S379" s="184">
        <f t="shared" si="78"/>
        <v>0</v>
      </c>
      <c r="U379" s="65"/>
      <c r="V379" s="103"/>
      <c r="W379" s="103"/>
      <c r="X379" s="599">
        <f t="shared" ref="X379:X385" si="79">+S379</f>
        <v>0</v>
      </c>
      <c r="Y379" s="103"/>
      <c r="Z379" s="103"/>
      <c r="AA379" s="65"/>
      <c r="AB379" s="103">
        <f t="shared" si="77"/>
        <v>0</v>
      </c>
      <c r="AD379" s="42"/>
      <c r="AF379" s="6"/>
    </row>
    <row r="380" spans="1:32">
      <c r="A380" s="2">
        <f t="shared" si="71"/>
        <v>363</v>
      </c>
      <c r="B380" s="688" t="s">
        <v>2324</v>
      </c>
      <c r="C380" s="688" t="s">
        <v>3003</v>
      </c>
      <c r="D380" s="688" t="s">
        <v>2973</v>
      </c>
      <c r="E380" s="182" t="s">
        <v>2920</v>
      </c>
      <c r="F380" s="183">
        <v>0</v>
      </c>
      <c r="G380" s="183">
        <v>0</v>
      </c>
      <c r="H380" s="183">
        <v>0</v>
      </c>
      <c r="I380" s="183">
        <v>0</v>
      </c>
      <c r="J380" s="183">
        <v>0</v>
      </c>
      <c r="K380" s="183">
        <v>0</v>
      </c>
      <c r="L380" s="183">
        <v>0</v>
      </c>
      <c r="M380" s="183">
        <v>0</v>
      </c>
      <c r="N380" s="183">
        <v>0</v>
      </c>
      <c r="O380" s="183">
        <v>0</v>
      </c>
      <c r="P380" s="183">
        <v>0</v>
      </c>
      <c r="Q380" s="183">
        <v>0</v>
      </c>
      <c r="R380" s="183">
        <v>0</v>
      </c>
      <c r="S380" s="184">
        <f t="shared" si="78"/>
        <v>0</v>
      </c>
      <c r="U380" s="65"/>
      <c r="V380" s="103"/>
      <c r="W380" s="103"/>
      <c r="X380" s="599">
        <f t="shared" si="79"/>
        <v>0</v>
      </c>
      <c r="Y380" s="103"/>
      <c r="Z380" s="103"/>
      <c r="AA380" s="65"/>
      <c r="AB380" s="103">
        <f t="shared" si="77"/>
        <v>0</v>
      </c>
      <c r="AD380" s="42"/>
      <c r="AF380" s="6"/>
    </row>
    <row r="381" spans="1:32">
      <c r="A381" s="2">
        <f t="shared" si="71"/>
        <v>364</v>
      </c>
      <c r="B381" s="688" t="s">
        <v>2324</v>
      </c>
      <c r="C381" s="688" t="s">
        <v>3003</v>
      </c>
      <c r="D381" s="688" t="s">
        <v>3018</v>
      </c>
      <c r="E381" s="182" t="s">
        <v>3019</v>
      </c>
      <c r="F381" s="183">
        <v>-3479179.76</v>
      </c>
      <c r="G381" s="183">
        <v>-3692990.21</v>
      </c>
      <c r="H381" s="183">
        <v>-4259444.2699999996</v>
      </c>
      <c r="I381" s="183">
        <v>-5401265.8499999996</v>
      </c>
      <c r="J381" s="183">
        <v>-5860893.5499999998</v>
      </c>
      <c r="K381" s="183">
        <v>-5344492.74</v>
      </c>
      <c r="L381" s="183">
        <v>-5360179.8600000003</v>
      </c>
      <c r="M381" s="183">
        <v>-4517716.3499999996</v>
      </c>
      <c r="N381" s="183">
        <v>-4201491.79</v>
      </c>
      <c r="O381" s="183">
        <v>-4206445.76</v>
      </c>
      <c r="P381" s="183">
        <v>-3901583.9</v>
      </c>
      <c r="Q381" s="183">
        <v>-174320.68000000101</v>
      </c>
      <c r="R381" s="183">
        <v>1653483.14</v>
      </c>
      <c r="S381" s="184">
        <f t="shared" si="78"/>
        <v>-3986139.4391666665</v>
      </c>
      <c r="U381" s="65"/>
      <c r="V381" s="103"/>
      <c r="W381" s="103"/>
      <c r="X381" s="599">
        <f t="shared" si="79"/>
        <v>-3986139.4391666665</v>
      </c>
      <c r="Y381" s="103"/>
      <c r="Z381" s="103"/>
      <c r="AA381" s="65"/>
      <c r="AB381" s="103">
        <f t="shared" si="77"/>
        <v>-3986139.4391666665</v>
      </c>
      <c r="AD381" s="42"/>
      <c r="AF381" s="6"/>
    </row>
    <row r="382" spans="1:32">
      <c r="A382" s="2">
        <f t="shared" si="71"/>
        <v>365</v>
      </c>
      <c r="B382" s="688" t="s">
        <v>2324</v>
      </c>
      <c r="C382" s="688" t="s">
        <v>3003</v>
      </c>
      <c r="D382" s="688" t="s">
        <v>3020</v>
      </c>
      <c r="E382" s="182" t="s">
        <v>2922</v>
      </c>
      <c r="F382" s="183">
        <v>0</v>
      </c>
      <c r="G382" s="183">
        <v>0</v>
      </c>
      <c r="H382" s="183">
        <v>0</v>
      </c>
      <c r="I382" s="183">
        <v>0</v>
      </c>
      <c r="J382" s="183">
        <v>0</v>
      </c>
      <c r="K382" s="183">
        <v>0</v>
      </c>
      <c r="L382" s="183">
        <v>0</v>
      </c>
      <c r="M382" s="183">
        <v>0</v>
      </c>
      <c r="N382" s="183">
        <v>0</v>
      </c>
      <c r="O382" s="183">
        <v>0</v>
      </c>
      <c r="P382" s="183">
        <v>0</v>
      </c>
      <c r="Q382" s="183">
        <v>0</v>
      </c>
      <c r="R382" s="183">
        <v>0</v>
      </c>
      <c r="S382" s="184">
        <f t="shared" si="78"/>
        <v>0</v>
      </c>
      <c r="U382" s="65"/>
      <c r="V382" s="103"/>
      <c r="W382" s="103"/>
      <c r="X382" s="599">
        <f t="shared" si="79"/>
        <v>0</v>
      </c>
      <c r="Y382" s="103"/>
      <c r="Z382" s="103"/>
      <c r="AA382" s="65"/>
      <c r="AB382" s="103">
        <f t="shared" si="77"/>
        <v>0</v>
      </c>
      <c r="AD382" s="42"/>
      <c r="AF382" s="6"/>
    </row>
    <row r="383" spans="1:32">
      <c r="A383" s="2">
        <f t="shared" si="71"/>
        <v>366</v>
      </c>
      <c r="B383" s="688" t="s">
        <v>2324</v>
      </c>
      <c r="C383" s="688" t="s">
        <v>3003</v>
      </c>
      <c r="D383" s="688" t="s">
        <v>2976</v>
      </c>
      <c r="E383" s="182" t="s">
        <v>3021</v>
      </c>
      <c r="F383" s="183">
        <v>4581545.82</v>
      </c>
      <c r="G383" s="183">
        <v>3686798.83</v>
      </c>
      <c r="H383" s="183">
        <v>2922865.72</v>
      </c>
      <c r="I383" s="183">
        <v>2303406.17</v>
      </c>
      <c r="J383" s="183">
        <v>1872748.15</v>
      </c>
      <c r="K383" s="183">
        <v>1666322.19</v>
      </c>
      <c r="L383" s="183">
        <v>1493397.87</v>
      </c>
      <c r="M383" s="183">
        <v>1421181.76</v>
      </c>
      <c r="N383" s="183">
        <v>1308578.52</v>
      </c>
      <c r="O383" s="183">
        <v>1112378.97</v>
      </c>
      <c r="P383" s="183">
        <v>743404.19</v>
      </c>
      <c r="Q383" s="183">
        <v>-2512551.2799999998</v>
      </c>
      <c r="R383" s="183">
        <v>-2056702.76</v>
      </c>
      <c r="S383" s="184">
        <f t="shared" si="78"/>
        <v>1440079.385</v>
      </c>
      <c r="U383" s="65"/>
      <c r="V383" s="103"/>
      <c r="W383" s="103"/>
      <c r="X383" s="599">
        <f t="shared" si="79"/>
        <v>1440079.385</v>
      </c>
      <c r="Y383" s="103"/>
      <c r="Z383" s="103"/>
      <c r="AA383" s="65"/>
      <c r="AB383" s="103">
        <f t="shared" si="77"/>
        <v>1440079.385</v>
      </c>
      <c r="AD383" s="42"/>
      <c r="AF383" s="6"/>
    </row>
    <row r="384" spans="1:32">
      <c r="A384" s="2">
        <f t="shared" si="71"/>
        <v>367</v>
      </c>
      <c r="B384" s="688" t="s">
        <v>2324</v>
      </c>
      <c r="C384" s="688" t="s">
        <v>3003</v>
      </c>
      <c r="D384" s="688" t="s">
        <v>3014</v>
      </c>
      <c r="E384" s="182" t="s">
        <v>3015</v>
      </c>
      <c r="F384" s="183">
        <v>0</v>
      </c>
      <c r="G384" s="183">
        <v>0</v>
      </c>
      <c r="H384" s="183">
        <v>0</v>
      </c>
      <c r="I384" s="183">
        <v>0</v>
      </c>
      <c r="J384" s="183">
        <v>0</v>
      </c>
      <c r="K384" s="183">
        <v>0</v>
      </c>
      <c r="L384" s="183">
        <v>0</v>
      </c>
      <c r="M384" s="183">
        <v>0</v>
      </c>
      <c r="N384" s="183">
        <v>0</v>
      </c>
      <c r="O384" s="183">
        <v>0</v>
      </c>
      <c r="P384" s="183">
        <v>0</v>
      </c>
      <c r="Q384" s="183">
        <v>0</v>
      </c>
      <c r="R384" s="183">
        <v>0</v>
      </c>
      <c r="S384" s="184">
        <f t="shared" si="78"/>
        <v>0</v>
      </c>
      <c r="U384" s="65"/>
      <c r="V384" s="103"/>
      <c r="W384" s="103"/>
      <c r="X384" s="599">
        <f t="shared" si="79"/>
        <v>0</v>
      </c>
      <c r="Y384" s="103"/>
      <c r="Z384" s="103"/>
      <c r="AA384" s="65"/>
      <c r="AB384" s="103">
        <f t="shared" si="77"/>
        <v>0</v>
      </c>
      <c r="AD384" s="42"/>
      <c r="AF384" s="6"/>
    </row>
    <row r="385" spans="1:32">
      <c r="A385" s="2">
        <f t="shared" si="71"/>
        <v>368</v>
      </c>
      <c r="B385" s="688" t="s">
        <v>2330</v>
      </c>
      <c r="C385" s="688" t="s">
        <v>3022</v>
      </c>
      <c r="D385" s="688" t="s">
        <v>2537</v>
      </c>
      <c r="E385" s="182" t="s">
        <v>3023</v>
      </c>
      <c r="F385" s="183">
        <v>5074861</v>
      </c>
      <c r="G385" s="183">
        <v>5074861</v>
      </c>
      <c r="H385" s="183">
        <v>5074861</v>
      </c>
      <c r="I385" s="183">
        <v>5074861</v>
      </c>
      <c r="J385" s="183">
        <v>5074861</v>
      </c>
      <c r="K385" s="183">
        <v>5074861</v>
      </c>
      <c r="L385" s="183">
        <v>5074861</v>
      </c>
      <c r="M385" s="183">
        <v>5074861</v>
      </c>
      <c r="N385" s="183">
        <v>5074861</v>
      </c>
      <c r="O385" s="183">
        <v>5074861</v>
      </c>
      <c r="P385" s="183">
        <v>5074861</v>
      </c>
      <c r="Q385" s="183">
        <v>5074861</v>
      </c>
      <c r="R385" s="183">
        <v>5074861</v>
      </c>
      <c r="S385" s="184">
        <f t="shared" si="78"/>
        <v>5074861</v>
      </c>
      <c r="U385" s="65"/>
      <c r="V385" s="103"/>
      <c r="W385" s="103"/>
      <c r="X385" s="599">
        <f t="shared" si="79"/>
        <v>5074861</v>
      </c>
      <c r="Y385" s="103"/>
      <c r="Z385" s="103"/>
      <c r="AA385" s="65"/>
      <c r="AB385" s="103">
        <f t="shared" si="77"/>
        <v>5074861</v>
      </c>
      <c r="AD385" s="42"/>
      <c r="AF385" s="6"/>
    </row>
    <row r="386" spans="1:32">
      <c r="A386" s="2">
        <f t="shared" si="71"/>
        <v>369</v>
      </c>
      <c r="B386" s="688" t="s">
        <v>2330</v>
      </c>
      <c r="C386" s="688" t="s">
        <v>3022</v>
      </c>
      <c r="D386" s="688" t="s">
        <v>2539</v>
      </c>
      <c r="E386" s="182" t="s">
        <v>3024</v>
      </c>
      <c r="F386" s="183">
        <v>-485125.02</v>
      </c>
      <c r="G386" s="183">
        <v>-296770.11</v>
      </c>
      <c r="H386" s="183">
        <v>-373760.18</v>
      </c>
      <c r="I386" s="183">
        <v>-273664.40999999997</v>
      </c>
      <c r="J386" s="183">
        <v>-258400.93</v>
      </c>
      <c r="K386" s="183">
        <v>-192263.4</v>
      </c>
      <c r="L386" s="183">
        <v>-162154.06</v>
      </c>
      <c r="M386" s="183">
        <v>-88707.58</v>
      </c>
      <c r="N386" s="183">
        <v>-129695.11</v>
      </c>
      <c r="O386" s="183">
        <v>-257370.43</v>
      </c>
      <c r="P386" s="183">
        <v>-313464.03999999998</v>
      </c>
      <c r="Q386" s="183">
        <v>-142304.88</v>
      </c>
      <c r="R386" s="183">
        <v>-37730.29</v>
      </c>
      <c r="S386" s="184">
        <f t="shared" si="78"/>
        <v>-229165.23208333331</v>
      </c>
      <c r="U386" s="65"/>
      <c r="W386" s="103"/>
      <c r="X386" s="103">
        <f>+S386</f>
        <v>-229165.23208333331</v>
      </c>
      <c r="Y386" s="103"/>
      <c r="Z386" s="103"/>
      <c r="AA386" s="65"/>
      <c r="AB386" s="103">
        <f t="shared" si="77"/>
        <v>-229165.23208333331</v>
      </c>
      <c r="AD386" s="42"/>
      <c r="AF386" s="6"/>
    </row>
    <row r="387" spans="1:32">
      <c r="A387" s="2">
        <f t="shared" si="71"/>
        <v>370</v>
      </c>
      <c r="E387" s="182" t="s">
        <v>3025</v>
      </c>
      <c r="F387" s="512">
        <f>SUM(F283:F386)</f>
        <v>109788834.60000001</v>
      </c>
      <c r="G387" s="512">
        <f t="shared" ref="G387:S387" si="80">SUM(G283:G386)</f>
        <v>109975552.62000003</v>
      </c>
      <c r="H387" s="512">
        <f t="shared" si="80"/>
        <v>107993599.81000002</v>
      </c>
      <c r="I387" s="512">
        <f t="shared" si="80"/>
        <v>128094792.93999995</v>
      </c>
      <c r="J387" s="512">
        <f t="shared" si="80"/>
        <v>127276258.40000002</v>
      </c>
      <c r="K387" s="512">
        <f t="shared" si="80"/>
        <v>129427747.58999999</v>
      </c>
      <c r="L387" s="512">
        <f t="shared" si="80"/>
        <v>129671783.31000002</v>
      </c>
      <c r="M387" s="512">
        <f t="shared" si="80"/>
        <v>133913712.98</v>
      </c>
      <c r="N387" s="512">
        <f t="shared" si="80"/>
        <v>150444310.25000003</v>
      </c>
      <c r="O387" s="512">
        <f t="shared" si="80"/>
        <v>155972372.74000001</v>
      </c>
      <c r="P387" s="512">
        <f t="shared" si="80"/>
        <v>166564366.30999997</v>
      </c>
      <c r="Q387" s="512">
        <f t="shared" si="80"/>
        <v>210251351.04999998</v>
      </c>
      <c r="R387" s="512">
        <f t="shared" si="80"/>
        <v>195014012.58000007</v>
      </c>
      <c r="S387" s="512">
        <f t="shared" si="80"/>
        <v>141832272.63249999</v>
      </c>
      <c r="U387" s="65"/>
      <c r="V387" s="103"/>
      <c r="W387" s="103"/>
      <c r="X387" s="599"/>
      <c r="Y387" s="103"/>
      <c r="Z387" s="103"/>
      <c r="AA387" s="65"/>
      <c r="AB387" s="103"/>
      <c r="AF387" s="6"/>
    </row>
    <row r="388" spans="1:32">
      <c r="A388" s="2">
        <f t="shared" si="71"/>
        <v>371</v>
      </c>
      <c r="E388" s="697"/>
      <c r="F388" s="183"/>
      <c r="G388" s="198"/>
      <c r="H388" s="188"/>
      <c r="I388" s="188"/>
      <c r="J388" s="189"/>
      <c r="K388" s="190"/>
      <c r="L388" s="191"/>
      <c r="M388" s="192"/>
      <c r="N388" s="193"/>
      <c r="O388" s="689"/>
      <c r="P388" s="194"/>
      <c r="Q388" s="199"/>
      <c r="R388" s="183"/>
      <c r="S388" s="47"/>
      <c r="U388" s="65"/>
      <c r="V388" s="103"/>
      <c r="W388" s="103"/>
      <c r="X388" s="599"/>
      <c r="Y388" s="103"/>
      <c r="Z388" s="103"/>
      <c r="AA388" s="65"/>
      <c r="AB388" s="103"/>
      <c r="AF388" s="6"/>
    </row>
    <row r="389" spans="1:32">
      <c r="A389" s="2">
        <f t="shared" si="71"/>
        <v>372</v>
      </c>
      <c r="B389" s="688" t="s">
        <v>31</v>
      </c>
      <c r="C389" s="688" t="s">
        <v>3026</v>
      </c>
      <c r="D389" s="688" t="s">
        <v>31</v>
      </c>
      <c r="E389" s="182" t="s">
        <v>3027</v>
      </c>
      <c r="F389" s="183">
        <v>247570446.44999999</v>
      </c>
      <c r="G389" s="183">
        <v>46741752.32</v>
      </c>
      <c r="H389" s="183">
        <v>87056621.010000005</v>
      </c>
      <c r="I389" s="183">
        <v>122373094.20999999</v>
      </c>
      <c r="J389" s="183">
        <v>146081896.12</v>
      </c>
      <c r="K389" s="183">
        <v>157204158.06</v>
      </c>
      <c r="L389" s="183">
        <v>166722492.69</v>
      </c>
      <c r="M389" s="183">
        <v>172058209.69999999</v>
      </c>
      <c r="N389" s="183">
        <v>179291333.93000001</v>
      </c>
      <c r="O389" s="183">
        <v>189281858.81</v>
      </c>
      <c r="P389" s="183">
        <v>209241293.30000001</v>
      </c>
      <c r="Q389" s="183">
        <v>243526586.83000001</v>
      </c>
      <c r="R389" s="183">
        <v>281496717.45999998</v>
      </c>
      <c r="S389" s="184">
        <f>((F389+R389)+((G389+H389+I389+J389+K389+L389+M389+N389+O389+P389+Q389)*2))/24</f>
        <v>165342739.91125</v>
      </c>
      <c r="U389" s="65"/>
      <c r="V389" s="103"/>
      <c r="W389" s="103">
        <f>+S389</f>
        <v>165342739.91125</v>
      </c>
      <c r="X389" s="599"/>
      <c r="Y389" s="103"/>
      <c r="Z389" s="103"/>
      <c r="AA389" s="65"/>
      <c r="AB389" s="103"/>
      <c r="AC389" s="42">
        <f>+S389</f>
        <v>165342739.91125</v>
      </c>
      <c r="AF389" s="6"/>
    </row>
    <row r="390" spans="1:32">
      <c r="A390" s="2">
        <f t="shared" si="71"/>
        <v>373</v>
      </c>
      <c r="B390" s="688" t="s">
        <v>31</v>
      </c>
      <c r="C390" s="688" t="s">
        <v>3028</v>
      </c>
      <c r="D390" s="688" t="s">
        <v>31</v>
      </c>
      <c r="E390" s="182" t="s">
        <v>3029</v>
      </c>
      <c r="F390" s="183">
        <v>64861129.479999997</v>
      </c>
      <c r="G390" s="183">
        <v>7253056.8899999997</v>
      </c>
      <c r="H390" s="183">
        <v>12841527.32</v>
      </c>
      <c r="I390" s="183">
        <v>18559163.710000001</v>
      </c>
      <c r="J390" s="183">
        <v>24008072.84</v>
      </c>
      <c r="K390" s="183">
        <v>28825824.809999999</v>
      </c>
      <c r="L390" s="183">
        <v>35271838.159999996</v>
      </c>
      <c r="M390" s="183">
        <v>40249486.719999999</v>
      </c>
      <c r="N390" s="183">
        <v>45490782.609999999</v>
      </c>
      <c r="O390" s="183">
        <v>51002233.219999999</v>
      </c>
      <c r="P390" s="183">
        <v>56365555.490000002</v>
      </c>
      <c r="Q390" s="183">
        <v>62691689.950000003</v>
      </c>
      <c r="R390" s="183">
        <v>70005981.579999998</v>
      </c>
      <c r="S390" s="184">
        <f>((F390+R390)+((G390+H390+I390+J390+K390+L390+M390+N390+O390+P390+Q390)*2))/24</f>
        <v>37499398.9375</v>
      </c>
      <c r="U390" s="65"/>
      <c r="V390" s="103"/>
      <c r="W390" s="103">
        <f>+S390</f>
        <v>37499398.9375</v>
      </c>
      <c r="X390" s="599"/>
      <c r="Y390" s="103"/>
      <c r="Z390" s="103"/>
      <c r="AA390" s="65"/>
      <c r="AB390" s="103"/>
      <c r="AC390" s="42">
        <f>+S390</f>
        <v>37499398.9375</v>
      </c>
      <c r="AF390" s="6"/>
    </row>
    <row r="391" spans="1:32">
      <c r="A391" s="2">
        <f t="shared" si="71"/>
        <v>374</v>
      </c>
      <c r="B391" s="688" t="s">
        <v>31</v>
      </c>
      <c r="C391" s="688" t="s">
        <v>3030</v>
      </c>
      <c r="D391" s="688" t="s">
        <v>3031</v>
      </c>
      <c r="E391" s="182" t="s">
        <v>3032</v>
      </c>
      <c r="F391" s="183">
        <v>0</v>
      </c>
      <c r="G391" s="183">
        <v>0</v>
      </c>
      <c r="H391" s="183">
        <v>0</v>
      </c>
      <c r="I391" s="183">
        <v>0</v>
      </c>
      <c r="J391" s="183">
        <v>0</v>
      </c>
      <c r="K391" s="183">
        <v>0</v>
      </c>
      <c r="L391" s="183">
        <v>0</v>
      </c>
      <c r="M391" s="183">
        <v>0</v>
      </c>
      <c r="N391" s="183">
        <v>0</v>
      </c>
      <c r="O391" s="183">
        <v>0</v>
      </c>
      <c r="P391" s="183">
        <v>0</v>
      </c>
      <c r="Q391" s="183">
        <v>0</v>
      </c>
      <c r="R391" s="183">
        <v>0</v>
      </c>
      <c r="S391" s="184">
        <f>((F391+R391)+((G391+H391+I391+J391+K391+L391+M391+N391+O391+P391+Q391)*2))/24</f>
        <v>0</v>
      </c>
      <c r="U391" s="65"/>
      <c r="V391" s="103"/>
      <c r="W391" s="103">
        <f>+S391</f>
        <v>0</v>
      </c>
      <c r="X391" s="599"/>
      <c r="Y391" s="103"/>
      <c r="Z391" s="103"/>
      <c r="AA391" s="65"/>
      <c r="AB391" s="103"/>
      <c r="AC391" s="42">
        <f>+S391</f>
        <v>0</v>
      </c>
      <c r="AF391" s="6"/>
    </row>
    <row r="392" spans="1:32">
      <c r="A392" s="2">
        <f t="shared" si="71"/>
        <v>375</v>
      </c>
      <c r="B392" s="688" t="s">
        <v>31</v>
      </c>
      <c r="C392" s="688" t="s">
        <v>3033</v>
      </c>
      <c r="D392" s="688" t="s">
        <v>31</v>
      </c>
      <c r="E392" s="182" t="s">
        <v>3034</v>
      </c>
      <c r="F392" s="313">
        <v>10070272.08</v>
      </c>
      <c r="G392" s="313">
        <v>817056.64</v>
      </c>
      <c r="H392" s="313">
        <v>1566609.53</v>
      </c>
      <c r="I392" s="313">
        <v>2752975.45</v>
      </c>
      <c r="J392" s="313">
        <v>3731805.98</v>
      </c>
      <c r="K392" s="313">
        <v>4813513.2699999996</v>
      </c>
      <c r="L392" s="313">
        <v>5926380.0099999998</v>
      </c>
      <c r="M392" s="313">
        <v>6562759.5499999998</v>
      </c>
      <c r="N392" s="313">
        <v>7699053.4800000004</v>
      </c>
      <c r="O392" s="313">
        <v>8812325.1199999992</v>
      </c>
      <c r="P392" s="313">
        <v>9460116.2899999991</v>
      </c>
      <c r="Q392" s="313">
        <v>10592901.539999999</v>
      </c>
      <c r="R392" s="313">
        <v>11174151.83</v>
      </c>
      <c r="S392" s="184">
        <f>((F392+R392)+((G392+H392+I392+J392+K392+L392+M392+N392+O392+P392+Q392)*2))/24</f>
        <v>6113142.4012500001</v>
      </c>
      <c r="U392" s="65"/>
      <c r="V392" s="103"/>
      <c r="W392" s="103">
        <f>+S392</f>
        <v>6113142.4012500001</v>
      </c>
      <c r="X392" s="599"/>
      <c r="Y392" s="103"/>
      <c r="Z392" s="103"/>
      <c r="AA392" s="65"/>
      <c r="AB392" s="103"/>
      <c r="AC392" s="42">
        <f>+S392</f>
        <v>6113142.4012500001</v>
      </c>
      <c r="AF392" s="6"/>
    </row>
    <row r="393" spans="1:32">
      <c r="A393" s="2">
        <f t="shared" si="71"/>
        <v>376</v>
      </c>
      <c r="B393" s="688"/>
      <c r="C393" s="688"/>
      <c r="D393" s="688"/>
      <c r="E393" s="182" t="s">
        <v>3035</v>
      </c>
      <c r="F393" s="511">
        <f>SUM(F389:F392)</f>
        <v>322501848.00999999</v>
      </c>
      <c r="G393" s="511">
        <f t="shared" ref="G393:S393" si="81">SUM(G389:G392)</f>
        <v>54811865.850000001</v>
      </c>
      <c r="H393" s="511">
        <f t="shared" si="81"/>
        <v>101464757.86000001</v>
      </c>
      <c r="I393" s="511">
        <f t="shared" si="81"/>
        <v>143685233.36999997</v>
      </c>
      <c r="J393" s="511">
        <f t="shared" si="81"/>
        <v>173821774.94</v>
      </c>
      <c r="K393" s="511">
        <f t="shared" si="81"/>
        <v>190843496.14000002</v>
      </c>
      <c r="L393" s="511">
        <f t="shared" si="81"/>
        <v>207920710.85999998</v>
      </c>
      <c r="M393" s="511">
        <f t="shared" si="81"/>
        <v>218870455.97</v>
      </c>
      <c r="N393" s="511">
        <f t="shared" si="81"/>
        <v>232481170.02000001</v>
      </c>
      <c r="O393" s="511">
        <f t="shared" si="81"/>
        <v>249096417.15000001</v>
      </c>
      <c r="P393" s="511">
        <f t="shared" si="81"/>
        <v>275066965.08000004</v>
      </c>
      <c r="Q393" s="511">
        <f t="shared" si="81"/>
        <v>316811178.32000005</v>
      </c>
      <c r="R393" s="511">
        <f t="shared" si="81"/>
        <v>362676850.86999995</v>
      </c>
      <c r="S393" s="512">
        <f t="shared" si="81"/>
        <v>208955281.25</v>
      </c>
      <c r="U393" s="65"/>
      <c r="V393" s="103"/>
      <c r="W393" s="103"/>
      <c r="X393" s="599"/>
      <c r="Y393" s="103"/>
      <c r="Z393" s="103"/>
      <c r="AA393" s="65"/>
      <c r="AB393" s="103"/>
      <c r="AF393" s="6"/>
    </row>
    <row r="394" spans="1:32">
      <c r="A394" s="2">
        <f t="shared" si="71"/>
        <v>377</v>
      </c>
      <c r="E394" s="697"/>
      <c r="F394" s="183"/>
      <c r="G394" s="198"/>
      <c r="H394" s="188"/>
      <c r="I394" s="188"/>
      <c r="J394" s="189"/>
      <c r="K394" s="190"/>
      <c r="L394" s="191"/>
      <c r="M394" s="192"/>
      <c r="N394" s="193"/>
      <c r="O394" s="689"/>
      <c r="P394" s="194"/>
      <c r="Q394" s="199"/>
      <c r="R394" s="183"/>
      <c r="S394" s="47"/>
      <c r="U394" s="65"/>
      <c r="V394" s="103"/>
      <c r="W394" s="103"/>
      <c r="X394" s="599"/>
      <c r="Y394" s="103"/>
      <c r="Z394" s="103"/>
      <c r="AA394" s="65"/>
      <c r="AB394" s="103"/>
      <c r="AF394" s="6"/>
    </row>
    <row r="395" spans="1:32">
      <c r="A395" s="2">
        <f t="shared" si="71"/>
        <v>378</v>
      </c>
      <c r="B395" s="688" t="s">
        <v>2342</v>
      </c>
      <c r="C395" s="688" t="s">
        <v>3036</v>
      </c>
      <c r="E395" s="182" t="s">
        <v>3037</v>
      </c>
      <c r="F395" s="183">
        <v>0</v>
      </c>
      <c r="G395" s="183">
        <v>0</v>
      </c>
      <c r="H395" s="183">
        <v>0</v>
      </c>
      <c r="I395" s="183">
        <v>0</v>
      </c>
      <c r="J395" s="183">
        <v>0</v>
      </c>
      <c r="K395" s="183">
        <v>0</v>
      </c>
      <c r="L395" s="183">
        <v>0</v>
      </c>
      <c r="M395" s="183">
        <v>26026.61</v>
      </c>
      <c r="N395" s="183">
        <v>53701.27</v>
      </c>
      <c r="O395" s="183">
        <v>94939.95</v>
      </c>
      <c r="P395" s="183">
        <v>196982.73</v>
      </c>
      <c r="Q395" s="183">
        <v>348059.11</v>
      </c>
      <c r="R395" s="183">
        <v>516778.34</v>
      </c>
      <c r="S395" s="47">
        <f>((F395+R395)+((G395+H395+I395+J395+K395+L395+M395+N395+O395+P395+Q395)*2))/24</f>
        <v>81508.236666666679</v>
      </c>
      <c r="U395" s="65"/>
      <c r="V395" s="103"/>
      <c r="W395" s="103">
        <f t="shared" ref="W395:W413" si="82">+S395</f>
        <v>81508.236666666679</v>
      </c>
      <c r="X395" s="599"/>
      <c r="Y395" s="103"/>
      <c r="Z395" s="103"/>
      <c r="AA395" s="65"/>
      <c r="AB395" s="103"/>
      <c r="AC395" s="42">
        <f t="shared" ref="AC395:AC413" si="83">+S395</f>
        <v>81508.236666666679</v>
      </c>
      <c r="AF395" s="6"/>
    </row>
    <row r="396" spans="1:32">
      <c r="A396" s="2">
        <f t="shared" si="71"/>
        <v>379</v>
      </c>
      <c r="B396" s="688" t="s">
        <v>2324</v>
      </c>
      <c r="C396" s="688" t="s">
        <v>3036</v>
      </c>
      <c r="E396" s="182" t="s">
        <v>3037</v>
      </c>
      <c r="F396" s="183">
        <v>0</v>
      </c>
      <c r="G396" s="183">
        <v>0</v>
      </c>
      <c r="H396" s="183">
        <v>0</v>
      </c>
      <c r="I396" s="183">
        <v>0</v>
      </c>
      <c r="J396" s="183">
        <v>0</v>
      </c>
      <c r="K396" s="183">
        <v>0</v>
      </c>
      <c r="L396" s="183">
        <v>0</v>
      </c>
      <c r="M396" s="183">
        <v>0</v>
      </c>
      <c r="N396" s="183">
        <v>0</v>
      </c>
      <c r="O396" s="183">
        <v>0</v>
      </c>
      <c r="P396" s="183">
        <v>0</v>
      </c>
      <c r="Q396" s="183">
        <v>0</v>
      </c>
      <c r="R396" s="183">
        <v>0</v>
      </c>
      <c r="S396" s="47">
        <f>((F396+R396)+((G396+H396+I396+J396+K396+L396+M396+N396+O396+P396+Q396)*2))/24</f>
        <v>0</v>
      </c>
      <c r="U396" s="65"/>
      <c r="V396" s="103"/>
      <c r="W396" s="103">
        <f t="shared" si="82"/>
        <v>0</v>
      </c>
      <c r="X396" s="599"/>
      <c r="Y396" s="103"/>
      <c r="Z396" s="103"/>
      <c r="AA396" s="65"/>
      <c r="AB396" s="103"/>
      <c r="AC396" s="42">
        <f t="shared" si="83"/>
        <v>0</v>
      </c>
      <c r="AF396" s="6"/>
    </row>
    <row r="397" spans="1:32">
      <c r="A397" s="2">
        <f t="shared" si="71"/>
        <v>380</v>
      </c>
      <c r="B397" s="688"/>
      <c r="C397" s="688"/>
      <c r="E397" s="182"/>
      <c r="F397" s="183"/>
      <c r="G397" s="183"/>
      <c r="H397" s="183"/>
      <c r="I397" s="183"/>
      <c r="J397" s="183"/>
      <c r="K397" s="183"/>
      <c r="L397" s="183"/>
      <c r="M397" s="183"/>
      <c r="N397" s="183"/>
      <c r="O397" s="183"/>
      <c r="P397" s="183"/>
      <c r="Q397" s="183"/>
      <c r="R397" s="183"/>
      <c r="S397" s="47"/>
      <c r="U397" s="65"/>
      <c r="V397" s="103"/>
      <c r="W397" s="103"/>
      <c r="X397" s="599"/>
      <c r="Y397" s="103"/>
      <c r="Z397" s="103"/>
      <c r="AA397" s="65"/>
      <c r="AB397" s="103"/>
      <c r="AC397" s="42"/>
      <c r="AF397" s="6"/>
    </row>
    <row r="398" spans="1:32">
      <c r="A398" s="2">
        <f t="shared" si="71"/>
        <v>381</v>
      </c>
      <c r="B398" s="1" t="s">
        <v>2330</v>
      </c>
      <c r="C398" s="1" t="s">
        <v>3038</v>
      </c>
      <c r="D398" s="1" t="s">
        <v>3039</v>
      </c>
      <c r="E398" s="697" t="s">
        <v>3040</v>
      </c>
      <c r="F398" s="183">
        <v>31207.64</v>
      </c>
      <c r="G398" s="198">
        <v>2500.0500000000002</v>
      </c>
      <c r="H398" s="188">
        <v>5000.1000000000004</v>
      </c>
      <c r="I398" s="188">
        <v>7500.15</v>
      </c>
      <c r="J398" s="189">
        <v>10000.200000000001</v>
      </c>
      <c r="K398" s="190">
        <v>12500.25</v>
      </c>
      <c r="L398" s="191">
        <v>15900.32</v>
      </c>
      <c r="M398" s="192">
        <v>19300.39</v>
      </c>
      <c r="N398" s="193">
        <v>22700.46</v>
      </c>
      <c r="O398" s="689">
        <v>26100.53</v>
      </c>
      <c r="P398" s="194">
        <v>29500.6</v>
      </c>
      <c r="Q398" s="199">
        <v>32900.67</v>
      </c>
      <c r="R398" s="183">
        <v>36310.120000000003</v>
      </c>
      <c r="S398" s="184">
        <f>((F398+R398)+((G398+H398+I398+J398+K398+L398+M398+N398+O398+P398+Q398)*2))/24</f>
        <v>18138.55</v>
      </c>
      <c r="U398" s="65"/>
      <c r="V398" s="103"/>
      <c r="W398" s="103">
        <f t="shared" si="82"/>
        <v>18138.55</v>
      </c>
      <c r="X398" s="599"/>
      <c r="Y398" s="103"/>
      <c r="Z398" s="103"/>
      <c r="AA398" s="65"/>
      <c r="AB398" s="103"/>
      <c r="AC398" s="42">
        <f t="shared" si="83"/>
        <v>18138.55</v>
      </c>
      <c r="AF398" s="6"/>
    </row>
    <row r="399" spans="1:32">
      <c r="A399" s="2">
        <f t="shared" si="71"/>
        <v>382</v>
      </c>
      <c r="B399" s="688" t="s">
        <v>2330</v>
      </c>
      <c r="C399" s="688" t="s">
        <v>3038</v>
      </c>
      <c r="D399" s="688" t="s">
        <v>3041</v>
      </c>
      <c r="E399" s="182" t="s">
        <v>3042</v>
      </c>
      <c r="F399" s="183">
        <v>-30058.68</v>
      </c>
      <c r="G399" s="183">
        <v>21155</v>
      </c>
      <c r="H399" s="183">
        <v>42310</v>
      </c>
      <c r="I399" s="183">
        <v>63465</v>
      </c>
      <c r="J399" s="183">
        <v>55821.919999999998</v>
      </c>
      <c r="K399" s="183">
        <v>76976.92</v>
      </c>
      <c r="L399" s="183">
        <v>98331.6</v>
      </c>
      <c r="M399" s="183">
        <v>119486.6</v>
      </c>
      <c r="N399" s="183">
        <v>106167.6</v>
      </c>
      <c r="O399" s="183">
        <v>123013.6</v>
      </c>
      <c r="P399" s="183">
        <v>139859.6</v>
      </c>
      <c r="Q399" s="183">
        <v>156705.60000000001</v>
      </c>
      <c r="R399" s="183">
        <v>173611.51999999999</v>
      </c>
      <c r="S399" s="184">
        <f>((F399+R399)+((G399+H399+I399+J399+K399+L399+M399+N399+O399+P399+Q399)*2))/24</f>
        <v>89589.154999999984</v>
      </c>
      <c r="U399" s="65"/>
      <c r="V399" s="103"/>
      <c r="W399" s="103">
        <f t="shared" si="82"/>
        <v>89589.154999999984</v>
      </c>
      <c r="X399" s="599"/>
      <c r="Y399" s="103"/>
      <c r="Z399" s="103"/>
      <c r="AA399" s="65"/>
      <c r="AB399" s="103"/>
      <c r="AC399" s="42">
        <f t="shared" si="83"/>
        <v>89589.154999999984</v>
      </c>
      <c r="AF399" s="6"/>
    </row>
    <row r="400" spans="1:32">
      <c r="A400" s="2">
        <f t="shared" si="71"/>
        <v>383</v>
      </c>
      <c r="B400" s="688" t="s">
        <v>2330</v>
      </c>
      <c r="C400" s="688" t="s">
        <v>3038</v>
      </c>
      <c r="D400" s="688" t="s">
        <v>3043</v>
      </c>
      <c r="E400" s="182" t="s">
        <v>3044</v>
      </c>
      <c r="F400" s="183">
        <v>1171.75</v>
      </c>
      <c r="G400" s="183">
        <v>0</v>
      </c>
      <c r="H400" s="183">
        <v>0</v>
      </c>
      <c r="I400" s="183">
        <v>0</v>
      </c>
      <c r="J400" s="183">
        <v>0</v>
      </c>
      <c r="K400" s="183">
        <v>0</v>
      </c>
      <c r="L400" s="183">
        <v>0</v>
      </c>
      <c r="M400" s="183">
        <v>0</v>
      </c>
      <c r="N400" s="183">
        <v>0</v>
      </c>
      <c r="O400" s="183">
        <v>0</v>
      </c>
      <c r="P400" s="183">
        <v>0</v>
      </c>
      <c r="Q400" s="183">
        <v>0</v>
      </c>
      <c r="R400" s="183">
        <v>0</v>
      </c>
      <c r="S400" s="184">
        <f t="shared" ref="S400:S412" si="84">((F400+R400)+((G400+H400+I400+J400+K400+L400+M400+N400+O400+P400+Q400)*2))/24</f>
        <v>48.822916666666664</v>
      </c>
      <c r="U400" s="65"/>
      <c r="V400" s="103"/>
      <c r="W400" s="103">
        <f t="shared" si="82"/>
        <v>48.822916666666664</v>
      </c>
      <c r="X400" s="599"/>
      <c r="Y400" s="103"/>
      <c r="Z400" s="103"/>
      <c r="AA400" s="65"/>
      <c r="AB400" s="103"/>
      <c r="AC400" s="42">
        <f t="shared" si="83"/>
        <v>48.822916666666664</v>
      </c>
      <c r="AF400" s="6"/>
    </row>
    <row r="401" spans="1:32">
      <c r="A401" s="2">
        <f t="shared" si="71"/>
        <v>384</v>
      </c>
      <c r="B401" s="688" t="s">
        <v>2342</v>
      </c>
      <c r="C401" s="688" t="s">
        <v>3038</v>
      </c>
      <c r="D401" s="688" t="s">
        <v>3045</v>
      </c>
      <c r="E401" s="182" t="s">
        <v>3046</v>
      </c>
      <c r="F401" s="183">
        <v>333521.51</v>
      </c>
      <c r="G401" s="183">
        <v>35000</v>
      </c>
      <c r="H401" s="183">
        <v>70000</v>
      </c>
      <c r="I401" s="183">
        <v>105000</v>
      </c>
      <c r="J401" s="183">
        <v>140000</v>
      </c>
      <c r="K401" s="183">
        <v>174954.28</v>
      </c>
      <c r="L401" s="183">
        <v>209908.56</v>
      </c>
      <c r="M401" s="183">
        <v>244862.84</v>
      </c>
      <c r="N401" s="183">
        <v>279817.12</v>
      </c>
      <c r="O401" s="183">
        <v>314771.40000000002</v>
      </c>
      <c r="P401" s="183">
        <v>349725.68</v>
      </c>
      <c r="Q401" s="183">
        <v>384679.96</v>
      </c>
      <c r="R401" s="183">
        <v>419634.04</v>
      </c>
      <c r="S401" s="184">
        <f t="shared" si="84"/>
        <v>223774.80125000002</v>
      </c>
      <c r="U401" s="65"/>
      <c r="V401" s="103"/>
      <c r="W401" s="103">
        <f t="shared" si="82"/>
        <v>223774.80125000002</v>
      </c>
      <c r="X401" s="599"/>
      <c r="Y401" s="103"/>
      <c r="Z401" s="103"/>
      <c r="AA401" s="65"/>
      <c r="AB401" s="103"/>
      <c r="AC401" s="42">
        <f t="shared" si="83"/>
        <v>223774.80125000002</v>
      </c>
      <c r="AF401" s="6"/>
    </row>
    <row r="402" spans="1:32">
      <c r="A402" s="2">
        <f t="shared" si="71"/>
        <v>385</v>
      </c>
      <c r="B402" s="688" t="s">
        <v>2342</v>
      </c>
      <c r="C402" s="688" t="s">
        <v>3038</v>
      </c>
      <c r="D402" s="688" t="s">
        <v>3047</v>
      </c>
      <c r="E402" s="182" t="s">
        <v>3048</v>
      </c>
      <c r="F402" s="183">
        <v>92273</v>
      </c>
      <c r="G402" s="183">
        <v>7500</v>
      </c>
      <c r="H402" s="183">
        <v>15000</v>
      </c>
      <c r="I402" s="183">
        <v>22500</v>
      </c>
      <c r="J402" s="183">
        <v>30000</v>
      </c>
      <c r="K402" s="183">
        <v>37500</v>
      </c>
      <c r="L402" s="183">
        <v>45000</v>
      </c>
      <c r="M402" s="183">
        <v>52500</v>
      </c>
      <c r="N402" s="183">
        <v>62462</v>
      </c>
      <c r="O402" s="183">
        <v>72424</v>
      </c>
      <c r="P402" s="183">
        <v>82386</v>
      </c>
      <c r="Q402" s="183">
        <v>92348</v>
      </c>
      <c r="R402" s="183">
        <v>102310</v>
      </c>
      <c r="S402" s="184">
        <f t="shared" si="84"/>
        <v>51409.291666666664</v>
      </c>
      <c r="U402" s="65"/>
      <c r="V402" s="103"/>
      <c r="W402" s="103">
        <f t="shared" si="82"/>
        <v>51409.291666666664</v>
      </c>
      <c r="X402" s="599"/>
      <c r="Y402" s="103"/>
      <c r="Z402" s="103"/>
      <c r="AA402" s="65"/>
      <c r="AB402" s="103"/>
      <c r="AC402" s="42">
        <f t="shared" si="83"/>
        <v>51409.291666666664</v>
      </c>
      <c r="AF402" s="6"/>
    </row>
    <row r="403" spans="1:32">
      <c r="A403" s="2">
        <f t="shared" si="71"/>
        <v>386</v>
      </c>
      <c r="B403" s="688" t="s">
        <v>2342</v>
      </c>
      <c r="C403" s="688" t="s">
        <v>3038</v>
      </c>
      <c r="D403" s="688" t="s">
        <v>3049</v>
      </c>
      <c r="E403" s="182" t="s">
        <v>3050</v>
      </c>
      <c r="F403" s="183">
        <v>2260478.2599999998</v>
      </c>
      <c r="G403" s="183">
        <v>399698.17</v>
      </c>
      <c r="H403" s="183">
        <v>791210.04</v>
      </c>
      <c r="I403" s="183">
        <v>1127519.78</v>
      </c>
      <c r="J403" s="183">
        <v>1388199.57</v>
      </c>
      <c r="K403" s="183">
        <v>1489454.39</v>
      </c>
      <c r="L403" s="183">
        <v>1593264.25</v>
      </c>
      <c r="M403" s="183">
        <v>1645206.79</v>
      </c>
      <c r="N403" s="183">
        <v>1713590.07</v>
      </c>
      <c r="O403" s="183">
        <v>1804742.3</v>
      </c>
      <c r="P403" s="183">
        <v>1997065.93</v>
      </c>
      <c r="Q403" s="183">
        <v>2285597.79</v>
      </c>
      <c r="R403" s="183">
        <v>2639297.14</v>
      </c>
      <c r="S403" s="184">
        <f t="shared" si="84"/>
        <v>1557119.7316666667</v>
      </c>
      <c r="U403" s="65"/>
      <c r="V403" s="103"/>
      <c r="W403" s="103">
        <f t="shared" si="82"/>
        <v>1557119.7316666667</v>
      </c>
      <c r="X403" s="599"/>
      <c r="Y403" s="103"/>
      <c r="Z403" s="103"/>
      <c r="AA403" s="65"/>
      <c r="AB403" s="103"/>
      <c r="AC403" s="42">
        <f t="shared" si="83"/>
        <v>1557119.7316666667</v>
      </c>
      <c r="AF403" s="6"/>
    </row>
    <row r="404" spans="1:32">
      <c r="A404" s="2">
        <f t="shared" ref="A404:A467" si="85">MAX(A403:A403)+1</f>
        <v>387</v>
      </c>
      <c r="B404" s="688" t="s">
        <v>2342</v>
      </c>
      <c r="C404" s="688" t="s">
        <v>3038</v>
      </c>
      <c r="D404" s="688" t="s">
        <v>3051</v>
      </c>
      <c r="E404" s="182" t="s">
        <v>3052</v>
      </c>
      <c r="F404" s="183">
        <v>2590163.35</v>
      </c>
      <c r="G404" s="183">
        <v>513250.11</v>
      </c>
      <c r="H404" s="183">
        <v>939000.2</v>
      </c>
      <c r="I404" s="183">
        <v>1430268.77</v>
      </c>
      <c r="J404" s="183">
        <v>1792784.76</v>
      </c>
      <c r="K404" s="183">
        <v>2020949.94</v>
      </c>
      <c r="L404" s="183">
        <v>2142937.89</v>
      </c>
      <c r="M404" s="183">
        <v>2234415.9500000002</v>
      </c>
      <c r="N404" s="183">
        <v>2318662.71</v>
      </c>
      <c r="O404" s="183">
        <v>2400255.85</v>
      </c>
      <c r="P404" s="183">
        <v>2538254.2799999998</v>
      </c>
      <c r="Q404" s="183">
        <v>2765295.8</v>
      </c>
      <c r="R404" s="183">
        <v>3166945.85</v>
      </c>
      <c r="S404" s="184">
        <f t="shared" si="84"/>
        <v>1997885.9050000003</v>
      </c>
      <c r="U404" s="65"/>
      <c r="V404" s="103"/>
      <c r="W404" s="103">
        <f t="shared" si="82"/>
        <v>1997885.9050000003</v>
      </c>
      <c r="X404" s="599"/>
      <c r="Y404" s="103"/>
      <c r="Z404" s="103"/>
      <c r="AA404" s="65"/>
      <c r="AB404" s="103"/>
      <c r="AC404" s="42">
        <f t="shared" si="83"/>
        <v>1997885.9050000003</v>
      </c>
      <c r="AF404" s="6"/>
    </row>
    <row r="405" spans="1:32">
      <c r="A405" s="2">
        <f t="shared" si="85"/>
        <v>388</v>
      </c>
      <c r="B405" s="688" t="s">
        <v>2342</v>
      </c>
      <c r="C405" s="688" t="s">
        <v>3038</v>
      </c>
      <c r="D405" s="688" t="s">
        <v>3041</v>
      </c>
      <c r="E405" s="182" t="s">
        <v>3042</v>
      </c>
      <c r="F405" s="183">
        <v>2257282</v>
      </c>
      <c r="G405" s="183">
        <v>194474</v>
      </c>
      <c r="H405" s="183">
        <v>388948</v>
      </c>
      <c r="I405" s="183">
        <v>583422</v>
      </c>
      <c r="J405" s="183">
        <v>777896</v>
      </c>
      <c r="K405" s="183">
        <v>972370</v>
      </c>
      <c r="L405" s="183">
        <v>1166847.52</v>
      </c>
      <c r="M405" s="183">
        <v>1351540.52</v>
      </c>
      <c r="N405" s="183">
        <v>1536233.52</v>
      </c>
      <c r="O405" s="183">
        <v>1720926.52</v>
      </c>
      <c r="P405" s="183">
        <v>1905619.52</v>
      </c>
      <c r="Q405" s="183">
        <v>2092095.52</v>
      </c>
      <c r="R405" s="183">
        <v>2278571.52</v>
      </c>
      <c r="S405" s="184">
        <f t="shared" si="84"/>
        <v>1246524.99</v>
      </c>
      <c r="U405" s="65"/>
      <c r="V405" s="103"/>
      <c r="W405" s="103">
        <f t="shared" si="82"/>
        <v>1246524.99</v>
      </c>
      <c r="X405" s="599"/>
      <c r="Y405" s="103"/>
      <c r="Z405" s="103"/>
      <c r="AA405" s="65"/>
      <c r="AB405" s="103"/>
      <c r="AC405" s="42">
        <f t="shared" si="83"/>
        <v>1246524.99</v>
      </c>
      <c r="AF405" s="6"/>
    </row>
    <row r="406" spans="1:32">
      <c r="A406" s="2">
        <f t="shared" si="85"/>
        <v>389</v>
      </c>
      <c r="B406" s="688" t="s">
        <v>2342</v>
      </c>
      <c r="C406" s="688" t="s">
        <v>3038</v>
      </c>
      <c r="D406" s="688" t="s">
        <v>3043</v>
      </c>
      <c r="E406" s="182" t="s">
        <v>3044</v>
      </c>
      <c r="F406" s="183">
        <v>23905.51</v>
      </c>
      <c r="G406" s="183">
        <v>0</v>
      </c>
      <c r="H406" s="183">
        <v>0</v>
      </c>
      <c r="I406" s="183">
        <v>0</v>
      </c>
      <c r="J406" s="183">
        <v>0</v>
      </c>
      <c r="K406" s="183">
        <v>0</v>
      </c>
      <c r="L406" s="183">
        <v>0</v>
      </c>
      <c r="M406" s="183">
        <v>0</v>
      </c>
      <c r="N406" s="183">
        <v>0</v>
      </c>
      <c r="O406" s="183">
        <v>0</v>
      </c>
      <c r="P406" s="183">
        <v>0</v>
      </c>
      <c r="Q406" s="183">
        <v>0</v>
      </c>
      <c r="R406" s="183">
        <v>29280</v>
      </c>
      <c r="S406" s="184">
        <f t="shared" si="84"/>
        <v>2216.0629166666663</v>
      </c>
      <c r="U406" s="65"/>
      <c r="V406" s="103"/>
      <c r="W406" s="103">
        <f t="shared" si="82"/>
        <v>2216.0629166666663</v>
      </c>
      <c r="X406" s="599"/>
      <c r="Y406" s="103"/>
      <c r="Z406" s="103"/>
      <c r="AA406" s="65"/>
      <c r="AB406" s="103"/>
      <c r="AC406" s="42">
        <f t="shared" si="83"/>
        <v>2216.0629166666663</v>
      </c>
      <c r="AF406" s="6"/>
    </row>
    <row r="407" spans="1:32">
      <c r="A407" s="2">
        <f t="shared" si="85"/>
        <v>390</v>
      </c>
      <c r="B407" s="688" t="s">
        <v>2324</v>
      </c>
      <c r="C407" s="688" t="s">
        <v>3038</v>
      </c>
      <c r="D407" s="688" t="s">
        <v>3045</v>
      </c>
      <c r="E407" s="182" t="s">
        <v>3046</v>
      </c>
      <c r="F407" s="183">
        <v>573691.41</v>
      </c>
      <c r="G407" s="183">
        <v>57000</v>
      </c>
      <c r="H407" s="183">
        <v>114000</v>
      </c>
      <c r="I407" s="183">
        <v>171000</v>
      </c>
      <c r="J407" s="183">
        <v>228000</v>
      </c>
      <c r="K407" s="183">
        <v>285444.5</v>
      </c>
      <c r="L407" s="183">
        <v>342889</v>
      </c>
      <c r="M407" s="183">
        <v>400333.5</v>
      </c>
      <c r="N407" s="183">
        <v>457778</v>
      </c>
      <c r="O407" s="183">
        <v>515222.5</v>
      </c>
      <c r="P407" s="183">
        <v>572667</v>
      </c>
      <c r="Q407" s="183">
        <v>630111.5</v>
      </c>
      <c r="R407" s="183">
        <v>687556.01</v>
      </c>
      <c r="S407" s="184">
        <f t="shared" si="84"/>
        <v>367089.14250000002</v>
      </c>
      <c r="U407" s="65"/>
      <c r="V407" s="103"/>
      <c r="W407" s="103">
        <f t="shared" si="82"/>
        <v>367089.14250000002</v>
      </c>
      <c r="X407" s="599"/>
      <c r="Y407" s="103"/>
      <c r="Z407" s="103"/>
      <c r="AA407" s="65"/>
      <c r="AB407" s="103"/>
      <c r="AC407" s="42">
        <f t="shared" si="83"/>
        <v>367089.14250000002</v>
      </c>
      <c r="AF407" s="6"/>
    </row>
    <row r="408" spans="1:32">
      <c r="A408" s="2">
        <f t="shared" si="85"/>
        <v>391</v>
      </c>
      <c r="B408" s="688" t="s">
        <v>2324</v>
      </c>
      <c r="C408" s="688" t="s">
        <v>3038</v>
      </c>
      <c r="D408" s="688" t="s">
        <v>2643</v>
      </c>
      <c r="E408" s="182" t="s">
        <v>3053</v>
      </c>
      <c r="F408" s="183">
        <v>15513144.630000001</v>
      </c>
      <c r="G408" s="183">
        <v>3112420.72</v>
      </c>
      <c r="H408" s="183">
        <v>5443951.7800000003</v>
      </c>
      <c r="I408" s="183">
        <v>8104975</v>
      </c>
      <c r="J408" s="183">
        <v>9851726.8499999996</v>
      </c>
      <c r="K408" s="183">
        <v>11050228.529999999</v>
      </c>
      <c r="L408" s="183">
        <v>11718558.9</v>
      </c>
      <c r="M408" s="183">
        <v>12259572.300000001</v>
      </c>
      <c r="N408" s="183">
        <v>12782800.949999999</v>
      </c>
      <c r="O408" s="183">
        <v>13288015.550000001</v>
      </c>
      <c r="P408" s="183">
        <v>13977447.98</v>
      </c>
      <c r="Q408" s="183">
        <v>15219156.26</v>
      </c>
      <c r="R408" s="183">
        <v>17411492.91</v>
      </c>
      <c r="S408" s="184">
        <f>((F408+R408)+((G408+H408+I408+J408+K408+L408+M408+N408+O408+P408+Q408)*2))/24</f>
        <v>11105931.1325</v>
      </c>
      <c r="U408" s="65"/>
      <c r="V408" s="103"/>
      <c r="W408" s="103">
        <f t="shared" si="82"/>
        <v>11105931.1325</v>
      </c>
      <c r="X408" s="599"/>
      <c r="Y408" s="103"/>
      <c r="Z408" s="103"/>
      <c r="AA408" s="65"/>
      <c r="AB408" s="103"/>
      <c r="AC408" s="42">
        <f t="shared" si="83"/>
        <v>11105931.1325</v>
      </c>
      <c r="AF408" s="6"/>
    </row>
    <row r="409" spans="1:32">
      <c r="A409" s="2">
        <f t="shared" si="85"/>
        <v>392</v>
      </c>
      <c r="B409" s="688" t="s">
        <v>2324</v>
      </c>
      <c r="C409" s="688" t="s">
        <v>3038</v>
      </c>
      <c r="D409" s="688" t="s">
        <v>2648</v>
      </c>
      <c r="E409" s="182" t="s">
        <v>3054</v>
      </c>
      <c r="F409" s="183">
        <v>13469529.470000001</v>
      </c>
      <c r="G409" s="183">
        <v>2238243.35</v>
      </c>
      <c r="H409" s="183">
        <v>4161724.95</v>
      </c>
      <c r="I409" s="183">
        <v>5944654.0199999996</v>
      </c>
      <c r="J409" s="183">
        <v>7139657.3600000003</v>
      </c>
      <c r="K409" s="183">
        <v>7815155.3099999996</v>
      </c>
      <c r="L409" s="183">
        <v>8399764.4100000001</v>
      </c>
      <c r="M409" s="183">
        <v>8798832.0999999996</v>
      </c>
      <c r="N409" s="183">
        <v>9279738.8399999999</v>
      </c>
      <c r="O409" s="183">
        <v>9892909.7599999998</v>
      </c>
      <c r="P409" s="183">
        <v>10898333.65</v>
      </c>
      <c r="Q409" s="183">
        <v>12558667.52</v>
      </c>
      <c r="R409" s="183">
        <v>14419848.68</v>
      </c>
      <c r="S409" s="184">
        <f t="shared" si="84"/>
        <v>8422697.5287500005</v>
      </c>
      <c r="U409" s="65"/>
      <c r="V409" s="103"/>
      <c r="W409" s="103">
        <f t="shared" si="82"/>
        <v>8422697.5287500005</v>
      </c>
      <c r="X409" s="599"/>
      <c r="Y409" s="103"/>
      <c r="Z409" s="103"/>
      <c r="AA409" s="65"/>
      <c r="AB409" s="103"/>
      <c r="AC409" s="42">
        <f t="shared" si="83"/>
        <v>8422697.5287500005</v>
      </c>
      <c r="AF409" s="6"/>
    </row>
    <row r="410" spans="1:32">
      <c r="A410" s="2">
        <f t="shared" si="85"/>
        <v>393</v>
      </c>
      <c r="B410" s="688" t="s">
        <v>2324</v>
      </c>
      <c r="C410" s="688" t="s">
        <v>3038</v>
      </c>
      <c r="D410" s="688" t="s">
        <v>3049</v>
      </c>
      <c r="E410" s="182" t="s">
        <v>3050</v>
      </c>
      <c r="F410" s="183">
        <v>329415.71999999997</v>
      </c>
      <c r="G410" s="183">
        <v>57217.43</v>
      </c>
      <c r="H410" s="183">
        <v>102875.65</v>
      </c>
      <c r="I410" s="183">
        <v>161219.13</v>
      </c>
      <c r="J410" s="183">
        <v>203274.92</v>
      </c>
      <c r="K410" s="183">
        <v>237843.4</v>
      </c>
      <c r="L410" s="183">
        <v>254806.87</v>
      </c>
      <c r="M410" s="183">
        <v>268007.44</v>
      </c>
      <c r="N410" s="183">
        <v>279564.33</v>
      </c>
      <c r="O410" s="183">
        <v>315052.84000000003</v>
      </c>
      <c r="P410" s="183">
        <v>330074.3</v>
      </c>
      <c r="Q410" s="183">
        <v>354080.13</v>
      </c>
      <c r="R410" s="183">
        <v>399718.01</v>
      </c>
      <c r="S410" s="184">
        <f t="shared" si="84"/>
        <v>244048.60874999998</v>
      </c>
      <c r="U410" s="65"/>
      <c r="V410" s="103"/>
      <c r="W410" s="103">
        <f t="shared" si="82"/>
        <v>244048.60874999998</v>
      </c>
      <c r="X410" s="599"/>
      <c r="Y410" s="103"/>
      <c r="Z410" s="103"/>
      <c r="AA410" s="65"/>
      <c r="AB410" s="103"/>
      <c r="AC410" s="42">
        <f t="shared" si="83"/>
        <v>244048.60874999998</v>
      </c>
      <c r="AF410" s="6"/>
    </row>
    <row r="411" spans="1:32">
      <c r="A411" s="2">
        <f t="shared" si="85"/>
        <v>394</v>
      </c>
      <c r="B411" s="688" t="s">
        <v>2324</v>
      </c>
      <c r="C411" s="688" t="s">
        <v>3038</v>
      </c>
      <c r="D411" s="688" t="s">
        <v>3041</v>
      </c>
      <c r="E411" s="182" t="s">
        <v>3042</v>
      </c>
      <c r="F411" s="183">
        <v>3387827</v>
      </c>
      <c r="G411" s="183">
        <v>252911</v>
      </c>
      <c r="H411" s="183">
        <v>505822</v>
      </c>
      <c r="I411" s="183">
        <v>758733</v>
      </c>
      <c r="J411" s="183">
        <v>561511.84</v>
      </c>
      <c r="K411" s="183">
        <v>814422.84</v>
      </c>
      <c r="L411" s="183">
        <v>1067333.8400000001</v>
      </c>
      <c r="M411" s="183">
        <v>1320244.8400000001</v>
      </c>
      <c r="N411" s="183">
        <v>1161067.1299999999</v>
      </c>
      <c r="O411" s="183">
        <v>1362460.13</v>
      </c>
      <c r="P411" s="183">
        <v>1563743.84</v>
      </c>
      <c r="Q411" s="183">
        <v>1765136.84</v>
      </c>
      <c r="R411" s="183">
        <v>1966529.84</v>
      </c>
      <c r="S411" s="184">
        <f t="shared" si="84"/>
        <v>1150880.4766666666</v>
      </c>
      <c r="U411" s="65"/>
      <c r="V411" s="103"/>
      <c r="W411" s="103">
        <f t="shared" si="82"/>
        <v>1150880.4766666666</v>
      </c>
      <c r="X411" s="599"/>
      <c r="Y411" s="103"/>
      <c r="Z411" s="103"/>
      <c r="AA411" s="65"/>
      <c r="AB411" s="103"/>
      <c r="AC411" s="42">
        <f t="shared" si="83"/>
        <v>1150880.4766666666</v>
      </c>
      <c r="AF411" s="6"/>
    </row>
    <row r="412" spans="1:32">
      <c r="A412" s="2">
        <f t="shared" si="85"/>
        <v>395</v>
      </c>
      <c r="B412" s="688" t="s">
        <v>2324</v>
      </c>
      <c r="C412" s="688" t="s">
        <v>3038</v>
      </c>
      <c r="D412" s="688" t="s">
        <v>3043</v>
      </c>
      <c r="E412" s="182" t="s">
        <v>3044</v>
      </c>
      <c r="F412" s="183">
        <v>262174.26</v>
      </c>
      <c r="G412" s="183">
        <v>663.57</v>
      </c>
      <c r="H412" s="183">
        <v>1193.06</v>
      </c>
      <c r="I412" s="183">
        <v>13503.84</v>
      </c>
      <c r="J412" s="183">
        <v>14582.88</v>
      </c>
      <c r="K412" s="183">
        <v>17509.98</v>
      </c>
      <c r="L412" s="183">
        <v>19375.189999999999</v>
      </c>
      <c r="M412" s="183">
        <v>23395.95</v>
      </c>
      <c r="N412" s="183">
        <v>24985.91</v>
      </c>
      <c r="O412" s="183">
        <v>26230.22</v>
      </c>
      <c r="P412" s="183">
        <v>28424.57</v>
      </c>
      <c r="Q412" s="183">
        <v>29143.53</v>
      </c>
      <c r="R412" s="183">
        <v>31212.06</v>
      </c>
      <c r="S412" s="184">
        <f t="shared" si="84"/>
        <v>28808.488333333331</v>
      </c>
      <c r="U412" s="65"/>
      <c r="V412" s="103"/>
      <c r="W412" s="103">
        <f t="shared" si="82"/>
        <v>28808.488333333331</v>
      </c>
      <c r="X412" s="599"/>
      <c r="Y412" s="103"/>
      <c r="Z412" s="103"/>
      <c r="AA412" s="65"/>
      <c r="AB412" s="103"/>
      <c r="AC412" s="42">
        <f t="shared" si="83"/>
        <v>28808.488333333331</v>
      </c>
      <c r="AF412" s="6"/>
    </row>
    <row r="413" spans="1:32">
      <c r="A413" s="2">
        <f t="shared" si="85"/>
        <v>396</v>
      </c>
      <c r="B413" s="1" t="s">
        <v>31</v>
      </c>
      <c r="C413" s="1" t="s">
        <v>3055</v>
      </c>
      <c r="D413" s="1" t="s">
        <v>31</v>
      </c>
      <c r="E413" s="182" t="s">
        <v>3056</v>
      </c>
      <c r="F413" s="313">
        <v>2597127.61</v>
      </c>
      <c r="G413" s="313">
        <v>281961.62</v>
      </c>
      <c r="H413" s="313">
        <v>535264.07999999996</v>
      </c>
      <c r="I413" s="313">
        <v>782859.85</v>
      </c>
      <c r="J413" s="313">
        <v>1001975.79</v>
      </c>
      <c r="K413" s="313">
        <v>1261155.1599999999</v>
      </c>
      <c r="L413" s="313">
        <v>1526700.93</v>
      </c>
      <c r="M413" s="313">
        <v>1749835.07</v>
      </c>
      <c r="N413" s="313">
        <v>1975746.17</v>
      </c>
      <c r="O413" s="313">
        <v>2185039.81</v>
      </c>
      <c r="P413" s="313">
        <v>2383431.5099999998</v>
      </c>
      <c r="Q413" s="313">
        <v>2598608.92</v>
      </c>
      <c r="R413" s="313">
        <v>2836010.46</v>
      </c>
      <c r="S413" s="184">
        <f>((F413+R413)+((G413+H413+I413+J413+K413+L413+M413+N413+O413+P413+Q413)*2))/24</f>
        <v>1583262.3287500001</v>
      </c>
      <c r="U413" s="65"/>
      <c r="V413" s="103"/>
      <c r="W413" s="103">
        <f t="shared" si="82"/>
        <v>1583262.3287500001</v>
      </c>
      <c r="X413" s="599"/>
      <c r="Y413" s="103"/>
      <c r="Z413" s="103"/>
      <c r="AA413" s="65"/>
      <c r="AB413" s="103"/>
      <c r="AC413" s="42">
        <f t="shared" si="83"/>
        <v>1583262.3287500001</v>
      </c>
      <c r="AF413" s="6"/>
    </row>
    <row r="414" spans="1:32">
      <c r="A414" s="2">
        <f t="shared" si="85"/>
        <v>397</v>
      </c>
      <c r="E414" s="697" t="s">
        <v>3057</v>
      </c>
      <c r="F414" s="511">
        <f>SUM(F398:F413)</f>
        <v>43692854.439999998</v>
      </c>
      <c r="G414" s="511">
        <f t="shared" ref="G414:S414" si="86">SUM(G398:G413)</f>
        <v>7173995.0200000005</v>
      </c>
      <c r="H414" s="511">
        <f t="shared" si="86"/>
        <v>13116299.860000001</v>
      </c>
      <c r="I414" s="511">
        <f t="shared" si="86"/>
        <v>19276620.539999999</v>
      </c>
      <c r="J414" s="511">
        <f t="shared" si="86"/>
        <v>23195432.09</v>
      </c>
      <c r="K414" s="511">
        <f t="shared" si="86"/>
        <v>26266465.499999996</v>
      </c>
      <c r="L414" s="511">
        <f t="shared" si="86"/>
        <v>28601619.280000001</v>
      </c>
      <c r="M414" s="511">
        <f t="shared" si="86"/>
        <v>30487534.290000003</v>
      </c>
      <c r="N414" s="511">
        <f t="shared" si="86"/>
        <v>32001314.809999995</v>
      </c>
      <c r="O414" s="511">
        <f t="shared" si="86"/>
        <v>34047165.009999998</v>
      </c>
      <c r="P414" s="511">
        <f t="shared" si="86"/>
        <v>36796534.460000001</v>
      </c>
      <c r="Q414" s="511">
        <f t="shared" si="86"/>
        <v>40964528.040000014</v>
      </c>
      <c r="R414" s="511">
        <f t="shared" si="86"/>
        <v>46598328.160000004</v>
      </c>
      <c r="S414" s="511">
        <f t="shared" si="86"/>
        <v>28089425.016666669</v>
      </c>
      <c r="U414" s="65"/>
      <c r="V414" s="103"/>
      <c r="W414" s="103"/>
      <c r="X414" s="599"/>
      <c r="Y414" s="103"/>
      <c r="Z414" s="103"/>
      <c r="AA414" s="65"/>
      <c r="AB414" s="103"/>
      <c r="AF414" s="6"/>
    </row>
    <row r="415" spans="1:32">
      <c r="A415" s="2">
        <f t="shared" si="85"/>
        <v>398</v>
      </c>
      <c r="E415" s="697"/>
      <c r="F415" s="183"/>
      <c r="G415" s="198"/>
      <c r="H415" s="188"/>
      <c r="I415" s="188"/>
      <c r="J415" s="189"/>
      <c r="K415" s="190"/>
      <c r="L415" s="191"/>
      <c r="M415" s="192"/>
      <c r="N415" s="193"/>
      <c r="O415" s="689"/>
      <c r="P415" s="194"/>
      <c r="Q415" s="199"/>
      <c r="R415" s="183"/>
      <c r="S415" s="47"/>
      <c r="U415" s="65"/>
      <c r="V415" s="103"/>
      <c r="W415" s="103"/>
      <c r="X415" s="599"/>
      <c r="Y415" s="103"/>
      <c r="Z415" s="103"/>
      <c r="AA415" s="65"/>
      <c r="AB415" s="103"/>
      <c r="AF415" s="6"/>
    </row>
    <row r="416" spans="1:32">
      <c r="A416" s="2">
        <f t="shared" si="85"/>
        <v>399</v>
      </c>
      <c r="B416" s="688" t="s">
        <v>2330</v>
      </c>
      <c r="C416" s="688" t="s">
        <v>3058</v>
      </c>
      <c r="E416" s="182" t="s">
        <v>3059</v>
      </c>
      <c r="F416" s="183">
        <v>34205706</v>
      </c>
      <c r="G416" s="183">
        <v>2955956.55</v>
      </c>
      <c r="H416" s="183">
        <v>5920743.8700000001</v>
      </c>
      <c r="I416" s="183">
        <v>8894047.5999999996</v>
      </c>
      <c r="J416" s="183">
        <v>11884161.609999999</v>
      </c>
      <c r="K416" s="183">
        <v>14879689.369999999</v>
      </c>
      <c r="L416" s="183">
        <v>17886917.149999999</v>
      </c>
      <c r="M416" s="183">
        <v>20903605.75</v>
      </c>
      <c r="N416" s="183">
        <v>23942980.23</v>
      </c>
      <c r="O416" s="183">
        <v>26998441.34</v>
      </c>
      <c r="P416" s="183">
        <v>30092204.420000002</v>
      </c>
      <c r="Q416" s="183">
        <v>33201337.91</v>
      </c>
      <c r="R416" s="183">
        <v>36318812.759999998</v>
      </c>
      <c r="S416" s="47">
        <f>((F416+R416)+((G416+H416+I416+J416+K416+L416+M416+N416+O416+P416+Q416)*2))/24</f>
        <v>19401862.098333333</v>
      </c>
      <c r="U416" s="65"/>
      <c r="V416" s="103"/>
      <c r="W416" s="103">
        <f>+S416</f>
        <v>19401862.098333333</v>
      </c>
      <c r="X416" s="599"/>
      <c r="Y416" s="103"/>
      <c r="Z416" s="103"/>
      <c r="AA416" s="65"/>
      <c r="AB416" s="103"/>
      <c r="AC416" s="42">
        <f>+S416</f>
        <v>19401862.098333333</v>
      </c>
      <c r="AF416" s="6"/>
    </row>
    <row r="417" spans="1:32">
      <c r="A417" s="2">
        <f t="shared" si="85"/>
        <v>400</v>
      </c>
      <c r="B417" s="688" t="s">
        <v>2330</v>
      </c>
      <c r="C417" s="688" t="s">
        <v>3060</v>
      </c>
      <c r="E417" s="182" t="s">
        <v>3061</v>
      </c>
      <c r="F417" s="183">
        <v>4206277.29</v>
      </c>
      <c r="G417" s="183">
        <v>359340.54</v>
      </c>
      <c r="H417" s="183">
        <v>718782.05</v>
      </c>
      <c r="I417" s="183">
        <v>1078213.95</v>
      </c>
      <c r="J417" s="183">
        <v>1441247.78</v>
      </c>
      <c r="K417" s="183">
        <v>1804279.46</v>
      </c>
      <c r="L417" s="183">
        <v>2167311.14</v>
      </c>
      <c r="M417" s="183">
        <v>2530342.8199999998</v>
      </c>
      <c r="N417" s="183">
        <v>2893374.5</v>
      </c>
      <c r="O417" s="183">
        <v>3256413.53</v>
      </c>
      <c r="P417" s="183">
        <v>3619452.56</v>
      </c>
      <c r="Q417" s="183">
        <v>3983809.04</v>
      </c>
      <c r="R417" s="183">
        <v>4353876.0199999996</v>
      </c>
      <c r="S417" s="47">
        <f>((F417+R417)+((G417+H417+I417+J417+K417+L417+M417+N417+O417+P417+Q417)*2))/24</f>
        <v>2344387.0020833332</v>
      </c>
      <c r="U417" s="65"/>
      <c r="V417" s="103"/>
      <c r="W417" s="103">
        <f>+S417</f>
        <v>2344387.0020833332</v>
      </c>
      <c r="X417" s="599"/>
      <c r="Y417" s="103"/>
      <c r="Z417" s="103"/>
      <c r="AA417" s="65"/>
      <c r="AB417" s="103"/>
      <c r="AC417" s="42">
        <f>+S417</f>
        <v>2344387.0020833332</v>
      </c>
      <c r="AF417" s="6"/>
    </row>
    <row r="418" spans="1:32">
      <c r="A418" s="2">
        <f t="shared" si="85"/>
        <v>401</v>
      </c>
      <c r="B418" s="688" t="s">
        <v>2330</v>
      </c>
      <c r="C418" s="688" t="s">
        <v>3062</v>
      </c>
      <c r="E418" s="182" t="s">
        <v>3063</v>
      </c>
      <c r="F418" s="313">
        <v>0</v>
      </c>
      <c r="G418" s="313">
        <v>0</v>
      </c>
      <c r="H418" s="313">
        <v>0</v>
      </c>
      <c r="I418" s="313">
        <v>0</v>
      </c>
      <c r="J418" s="313">
        <v>0</v>
      </c>
      <c r="K418" s="313">
        <v>0</v>
      </c>
      <c r="L418" s="313">
        <v>0</v>
      </c>
      <c r="M418" s="313">
        <v>0</v>
      </c>
      <c r="N418" s="313">
        <v>0</v>
      </c>
      <c r="O418" s="313">
        <v>0</v>
      </c>
      <c r="P418" s="313">
        <v>0</v>
      </c>
      <c r="Q418" s="313">
        <v>0</v>
      </c>
      <c r="R418" s="313">
        <v>0</v>
      </c>
      <c r="S418" s="47">
        <f>((F418+R418)+((G418+H418+I418+J418+K418+L418+M418+N418+O418+P418+Q418)*2))/24</f>
        <v>0</v>
      </c>
      <c r="U418" s="65"/>
      <c r="V418" s="103"/>
      <c r="W418" s="103">
        <f>+S418</f>
        <v>0</v>
      </c>
      <c r="X418" s="599"/>
      <c r="Y418" s="103"/>
      <c r="Z418" s="103"/>
      <c r="AA418" s="65"/>
      <c r="AB418" s="103"/>
      <c r="AC418" s="42">
        <f>+S418</f>
        <v>0</v>
      </c>
      <c r="AF418" s="6"/>
    </row>
    <row r="419" spans="1:32">
      <c r="A419" s="2">
        <f t="shared" si="85"/>
        <v>402</v>
      </c>
      <c r="E419" s="182" t="s">
        <v>3064</v>
      </c>
      <c r="F419" s="511">
        <f>SUM(F416:F418)</f>
        <v>38411983.289999999</v>
      </c>
      <c r="G419" s="511">
        <f t="shared" ref="G419:S419" si="87">SUM(G416:G418)</f>
        <v>3315297.09</v>
      </c>
      <c r="H419" s="511">
        <f t="shared" si="87"/>
        <v>6639525.9199999999</v>
      </c>
      <c r="I419" s="511">
        <f t="shared" si="87"/>
        <v>9972261.5499999989</v>
      </c>
      <c r="J419" s="511">
        <f t="shared" si="87"/>
        <v>13325409.389999999</v>
      </c>
      <c r="K419" s="511">
        <f t="shared" si="87"/>
        <v>16683968.829999998</v>
      </c>
      <c r="L419" s="511">
        <f t="shared" si="87"/>
        <v>20054228.289999999</v>
      </c>
      <c r="M419" s="511">
        <f t="shared" si="87"/>
        <v>23433948.57</v>
      </c>
      <c r="N419" s="511">
        <f t="shared" si="87"/>
        <v>26836354.73</v>
      </c>
      <c r="O419" s="511">
        <f t="shared" si="87"/>
        <v>30254854.870000001</v>
      </c>
      <c r="P419" s="511">
        <f t="shared" si="87"/>
        <v>33711656.980000004</v>
      </c>
      <c r="Q419" s="511">
        <f t="shared" si="87"/>
        <v>37185146.950000003</v>
      </c>
      <c r="R419" s="511">
        <f t="shared" si="87"/>
        <v>40672688.780000001</v>
      </c>
      <c r="S419" s="512">
        <f t="shared" si="87"/>
        <v>21746249.100416668</v>
      </c>
      <c r="U419" s="65"/>
      <c r="V419" s="103"/>
      <c r="W419" s="103"/>
      <c r="X419" s="599"/>
      <c r="Y419" s="103"/>
      <c r="Z419" s="103"/>
      <c r="AA419" s="65"/>
      <c r="AB419" s="103"/>
      <c r="AF419" s="6"/>
    </row>
    <row r="420" spans="1:32">
      <c r="A420" s="2">
        <f t="shared" si="85"/>
        <v>403</v>
      </c>
      <c r="E420" s="697"/>
      <c r="F420" s="183"/>
      <c r="G420" s="198"/>
      <c r="H420" s="188"/>
      <c r="I420" s="188"/>
      <c r="J420" s="189"/>
      <c r="K420" s="190"/>
      <c r="L420" s="191"/>
      <c r="M420" s="192"/>
      <c r="N420" s="193"/>
      <c r="O420" s="689"/>
      <c r="P420" s="194"/>
      <c r="Q420" s="199"/>
      <c r="R420" s="183"/>
      <c r="S420" s="47"/>
      <c r="U420" s="65"/>
      <c r="V420" s="103"/>
      <c r="W420" s="103"/>
      <c r="X420" s="599"/>
      <c r="Y420" s="103"/>
      <c r="Z420" s="103"/>
      <c r="AA420" s="65"/>
      <c r="AB420" s="103"/>
      <c r="AF420" s="6"/>
    </row>
    <row r="421" spans="1:32">
      <c r="A421" s="2">
        <f t="shared" si="85"/>
        <v>404</v>
      </c>
      <c r="B421" s="688" t="s">
        <v>2330</v>
      </c>
      <c r="C421" s="688" t="s">
        <v>3065</v>
      </c>
      <c r="E421" s="182" t="s">
        <v>3066</v>
      </c>
      <c r="F421" s="183">
        <v>0</v>
      </c>
      <c r="G421" s="183">
        <v>0</v>
      </c>
      <c r="H421" s="183">
        <v>0</v>
      </c>
      <c r="I421" s="183">
        <v>0</v>
      </c>
      <c r="J421" s="183">
        <v>0</v>
      </c>
      <c r="K421" s="183">
        <v>0</v>
      </c>
      <c r="L421" s="183">
        <v>0</v>
      </c>
      <c r="M421" s="183">
        <v>0</v>
      </c>
      <c r="N421" s="183">
        <v>0</v>
      </c>
      <c r="O421" s="183">
        <v>0</v>
      </c>
      <c r="P421" s="183">
        <v>0</v>
      </c>
      <c r="Q421" s="183">
        <v>0</v>
      </c>
      <c r="R421" s="183">
        <v>0</v>
      </c>
      <c r="S421" s="184">
        <f t="shared" ref="S421:S429" si="88">((F421+R421)+((G421+H421+I421+J421+K421+L421+M421+N421+O421+P421+Q421)*2))/24</f>
        <v>0</v>
      </c>
      <c r="U421" s="65"/>
      <c r="V421" s="103"/>
      <c r="W421" s="103">
        <f t="shared" ref="W421:W437" si="89">+S421</f>
        <v>0</v>
      </c>
      <c r="X421" s="599"/>
      <c r="Y421" s="103"/>
      <c r="Z421" s="103"/>
      <c r="AA421" s="65"/>
      <c r="AB421" s="103"/>
      <c r="AC421" s="42">
        <f>+S421</f>
        <v>0</v>
      </c>
      <c r="AF421" s="6"/>
    </row>
    <row r="422" spans="1:32">
      <c r="A422" s="2">
        <f t="shared" si="85"/>
        <v>405</v>
      </c>
      <c r="B422" s="688" t="s">
        <v>2330</v>
      </c>
      <c r="C422" s="688" t="s">
        <v>3067</v>
      </c>
      <c r="D422" s="1" t="s">
        <v>2303</v>
      </c>
      <c r="E422" s="182" t="s">
        <v>3068</v>
      </c>
      <c r="F422" s="183">
        <v>1727859.87</v>
      </c>
      <c r="G422" s="183">
        <v>120358.81</v>
      </c>
      <c r="H422" s="183">
        <v>120698.53</v>
      </c>
      <c r="I422" s="183">
        <v>131526.53</v>
      </c>
      <c r="J422" s="183">
        <v>141301.26999999999</v>
      </c>
      <c r="K422" s="183">
        <v>141301.26999999999</v>
      </c>
      <c r="L422" s="183">
        <v>141301.26999999999</v>
      </c>
      <c r="M422" s="183">
        <v>141860.17000000001</v>
      </c>
      <c r="N422" s="183">
        <v>173671.13</v>
      </c>
      <c r="O422" s="183">
        <v>349601.4</v>
      </c>
      <c r="P422" s="183">
        <v>436961.55</v>
      </c>
      <c r="Q422" s="183">
        <v>458549.22</v>
      </c>
      <c r="R422" s="183">
        <v>649787.56999999995</v>
      </c>
      <c r="S422" s="184">
        <f t="shared" si="88"/>
        <v>295496.2391666667</v>
      </c>
      <c r="U422" s="65"/>
      <c r="V422" s="103"/>
      <c r="W422" s="103">
        <f t="shared" si="89"/>
        <v>295496.2391666667</v>
      </c>
      <c r="X422" s="599"/>
      <c r="Y422" s="103"/>
      <c r="Z422" s="103"/>
      <c r="AA422" s="65"/>
      <c r="AB422" s="103"/>
      <c r="AC422" s="42">
        <f t="shared" ref="AC422:AC437" si="90">+S422</f>
        <v>295496.2391666667</v>
      </c>
      <c r="AF422" s="6"/>
    </row>
    <row r="423" spans="1:32">
      <c r="A423" s="2">
        <f t="shared" si="85"/>
        <v>406</v>
      </c>
      <c r="B423" s="688" t="s">
        <v>2330</v>
      </c>
      <c r="C423" s="688" t="s">
        <v>3067</v>
      </c>
      <c r="D423" s="688" t="s">
        <v>2304</v>
      </c>
      <c r="E423" s="689" t="s">
        <v>3069</v>
      </c>
      <c r="F423" s="183">
        <v>126388.88</v>
      </c>
      <c r="G423" s="183">
        <v>10763.89</v>
      </c>
      <c r="H423" s="183">
        <v>20486.11</v>
      </c>
      <c r="I423" s="183">
        <v>31597.22</v>
      </c>
      <c r="J423" s="183">
        <v>42013.89</v>
      </c>
      <c r="K423" s="183">
        <v>52777.78</v>
      </c>
      <c r="L423" s="183">
        <v>63194.44</v>
      </c>
      <c r="M423" s="183">
        <v>73958.33</v>
      </c>
      <c r="N423" s="183">
        <v>84722.22</v>
      </c>
      <c r="O423" s="183">
        <v>95138.89</v>
      </c>
      <c r="P423" s="183">
        <v>105902.78</v>
      </c>
      <c r="Q423" s="183">
        <v>116319.45</v>
      </c>
      <c r="R423" s="183">
        <v>133472.22</v>
      </c>
      <c r="S423" s="184">
        <f t="shared" si="88"/>
        <v>68900.462500000009</v>
      </c>
      <c r="U423" s="65"/>
      <c r="V423" s="103"/>
      <c r="W423" s="103">
        <f t="shared" si="89"/>
        <v>68900.462500000009</v>
      </c>
      <c r="X423" s="599"/>
      <c r="Y423" s="103"/>
      <c r="Z423" s="103"/>
      <c r="AA423" s="65"/>
      <c r="AB423" s="103"/>
      <c r="AC423" s="42">
        <f t="shared" si="90"/>
        <v>68900.462500000009</v>
      </c>
      <c r="AF423" s="6"/>
    </row>
    <row r="424" spans="1:32">
      <c r="A424" s="2">
        <f t="shared" si="85"/>
        <v>407</v>
      </c>
      <c r="B424" s="688" t="s">
        <v>2330</v>
      </c>
      <c r="C424" s="688" t="s">
        <v>3067</v>
      </c>
      <c r="D424" s="688"/>
      <c r="E424" s="689" t="s">
        <v>3070</v>
      </c>
      <c r="F424" s="183">
        <v>16000616.67</v>
      </c>
      <c r="G424" s="183">
        <v>1411475.01</v>
      </c>
      <c r="H424" s="183">
        <v>2822949.99</v>
      </c>
      <c r="I424" s="183">
        <v>4234425</v>
      </c>
      <c r="J424" s="183">
        <v>5645900.0099999998</v>
      </c>
      <c r="K424" s="183">
        <v>7057374.9900000002</v>
      </c>
      <c r="L424" s="183">
        <v>8468850</v>
      </c>
      <c r="M424" s="183">
        <v>9880325.0099999998</v>
      </c>
      <c r="N424" s="183">
        <v>11291799.98</v>
      </c>
      <c r="O424" s="183">
        <v>12703274.99</v>
      </c>
      <c r="P424" s="183">
        <v>14114749.99</v>
      </c>
      <c r="Q424" s="183">
        <v>15526224.970000001</v>
      </c>
      <c r="R424" s="183">
        <v>17470200</v>
      </c>
      <c r="S424" s="184">
        <f t="shared" si="88"/>
        <v>9157729.8562500011</v>
      </c>
      <c r="U424" s="65"/>
      <c r="V424" s="103"/>
      <c r="W424" s="103">
        <f t="shared" si="89"/>
        <v>9157729.8562500011</v>
      </c>
      <c r="X424" s="599"/>
      <c r="Y424" s="103"/>
      <c r="Z424" s="103"/>
      <c r="AA424" s="65"/>
      <c r="AB424" s="103"/>
      <c r="AC424" s="42">
        <f t="shared" si="90"/>
        <v>9157729.8562500011</v>
      </c>
      <c r="AF424" s="6"/>
    </row>
    <row r="425" spans="1:32">
      <c r="A425" s="2">
        <f t="shared" si="85"/>
        <v>408</v>
      </c>
      <c r="B425" s="688" t="s">
        <v>2330</v>
      </c>
      <c r="C425" s="688" t="s">
        <v>3071</v>
      </c>
      <c r="D425" s="688"/>
      <c r="E425" s="689" t="s">
        <v>3072</v>
      </c>
      <c r="F425" s="183">
        <v>176532.17</v>
      </c>
      <c r="G425" s="183">
        <v>22149.43</v>
      </c>
      <c r="H425" s="183">
        <v>26402.74</v>
      </c>
      <c r="I425" s="183">
        <v>42481.33</v>
      </c>
      <c r="J425" s="183">
        <v>58559.92</v>
      </c>
      <c r="K425" s="183">
        <v>74638.509999999995</v>
      </c>
      <c r="L425" s="183">
        <v>90717.1</v>
      </c>
      <c r="M425" s="183">
        <v>106795.69</v>
      </c>
      <c r="N425" s="183">
        <v>122874.28</v>
      </c>
      <c r="O425" s="183">
        <v>138952.87</v>
      </c>
      <c r="P425" s="183">
        <v>155031.46</v>
      </c>
      <c r="Q425" s="183">
        <v>171110.05</v>
      </c>
      <c r="R425" s="183">
        <v>191101.62</v>
      </c>
      <c r="S425" s="184">
        <f t="shared" si="88"/>
        <v>99460.856249999997</v>
      </c>
      <c r="U425" s="65"/>
      <c r="V425" s="103"/>
      <c r="W425" s="103">
        <f t="shared" si="89"/>
        <v>99460.856249999997</v>
      </c>
      <c r="X425" s="599"/>
      <c r="Y425" s="103"/>
      <c r="Z425" s="103"/>
      <c r="AA425" s="65"/>
      <c r="AB425" s="103"/>
      <c r="AC425" s="42">
        <f t="shared" si="90"/>
        <v>99460.856249999997</v>
      </c>
      <c r="AF425" s="6"/>
    </row>
    <row r="426" spans="1:32">
      <c r="A426" s="2">
        <f t="shared" si="85"/>
        <v>409</v>
      </c>
      <c r="B426" s="688" t="s">
        <v>2330</v>
      </c>
      <c r="C426" s="688" t="s">
        <v>3073</v>
      </c>
      <c r="D426" s="688"/>
      <c r="E426" s="689" t="s">
        <v>3074</v>
      </c>
      <c r="F426" s="183">
        <v>59859.360000000001</v>
      </c>
      <c r="G426" s="183">
        <v>4988.28</v>
      </c>
      <c r="H426" s="183">
        <v>9976.56</v>
      </c>
      <c r="I426" s="183">
        <v>14964.84</v>
      </c>
      <c r="J426" s="183">
        <v>19953.12</v>
      </c>
      <c r="K426" s="183">
        <v>24941.4</v>
      </c>
      <c r="L426" s="183">
        <v>29929.68</v>
      </c>
      <c r="M426" s="183">
        <v>34917.96</v>
      </c>
      <c r="N426" s="183">
        <v>39906.239999999998</v>
      </c>
      <c r="O426" s="183">
        <v>44894.52</v>
      </c>
      <c r="P426" s="183">
        <v>49882.8</v>
      </c>
      <c r="Q426" s="183">
        <v>54871.08</v>
      </c>
      <c r="R426" s="183">
        <v>59859.360000000001</v>
      </c>
      <c r="S426" s="184">
        <f t="shared" si="88"/>
        <v>32423.819999999996</v>
      </c>
      <c r="U426" s="65"/>
      <c r="V426" s="103"/>
      <c r="W426" s="103">
        <f t="shared" si="89"/>
        <v>32423.819999999996</v>
      </c>
      <c r="X426" s="599"/>
      <c r="Y426" s="103"/>
      <c r="Z426" s="103"/>
      <c r="AA426" s="65"/>
      <c r="AB426" s="103"/>
      <c r="AC426" s="42">
        <f t="shared" si="90"/>
        <v>32423.819999999996</v>
      </c>
      <c r="AF426" s="6"/>
    </row>
    <row r="427" spans="1:32">
      <c r="A427" s="2">
        <f t="shared" si="85"/>
        <v>410</v>
      </c>
      <c r="B427" s="688" t="s">
        <v>2330</v>
      </c>
      <c r="C427" s="688" t="s">
        <v>3075</v>
      </c>
      <c r="D427" s="688" t="s">
        <v>3076</v>
      </c>
      <c r="E427" s="182" t="s">
        <v>3077</v>
      </c>
      <c r="F427" s="183">
        <v>-2673</v>
      </c>
      <c r="G427" s="183">
        <v>0</v>
      </c>
      <c r="H427" s="183">
        <v>0</v>
      </c>
      <c r="I427" s="183">
        <v>593</v>
      </c>
      <c r="J427" s="183">
        <v>593</v>
      </c>
      <c r="K427" s="183">
        <v>593</v>
      </c>
      <c r="L427" s="183">
        <v>1198</v>
      </c>
      <c r="M427" s="183">
        <v>1198</v>
      </c>
      <c r="N427" s="183">
        <v>1198</v>
      </c>
      <c r="O427" s="183">
        <v>1812</v>
      </c>
      <c r="P427" s="183">
        <v>1812</v>
      </c>
      <c r="Q427" s="183">
        <v>1812</v>
      </c>
      <c r="R427" s="183">
        <v>1852</v>
      </c>
      <c r="S427" s="184">
        <f t="shared" si="88"/>
        <v>866.54166666666663</v>
      </c>
      <c r="U427" s="65"/>
      <c r="V427" s="103"/>
      <c r="W427" s="103">
        <f t="shared" si="89"/>
        <v>866.54166666666663</v>
      </c>
      <c r="X427" s="599"/>
      <c r="Y427" s="103"/>
      <c r="Z427" s="103"/>
      <c r="AA427" s="65"/>
      <c r="AB427" s="103"/>
      <c r="AC427" s="42">
        <f t="shared" si="90"/>
        <v>866.54166666666663</v>
      </c>
      <c r="AF427" s="6"/>
    </row>
    <row r="428" spans="1:32">
      <c r="A428" s="2">
        <f t="shared" si="85"/>
        <v>411</v>
      </c>
      <c r="B428" s="688" t="s">
        <v>2330</v>
      </c>
      <c r="C428" s="688" t="s">
        <v>3075</v>
      </c>
      <c r="D428" s="688" t="s">
        <v>3078</v>
      </c>
      <c r="E428" s="182" t="s">
        <v>3079</v>
      </c>
      <c r="F428" s="183">
        <v>0</v>
      </c>
      <c r="G428" s="183">
        <v>708513.5</v>
      </c>
      <c r="H428" s="183">
        <v>1438811.66</v>
      </c>
      <c r="I428" s="183">
        <v>2294204.83</v>
      </c>
      <c r="J428" s="183">
        <v>3119677.33</v>
      </c>
      <c r="K428" s="183">
        <v>3972665.58</v>
      </c>
      <c r="L428" s="183">
        <v>4807409.33</v>
      </c>
      <c r="M428" s="183">
        <v>5697722.1200000001</v>
      </c>
      <c r="N428" s="183">
        <v>6605952.04</v>
      </c>
      <c r="O428" s="183">
        <v>7489370.79</v>
      </c>
      <c r="P428" s="183">
        <v>8403653.7899999991</v>
      </c>
      <c r="Q428" s="183">
        <v>9289798.4199999999</v>
      </c>
      <c r="R428" s="183">
        <v>9674009.2100000009</v>
      </c>
      <c r="S428" s="184">
        <f t="shared" si="88"/>
        <v>4888731.9995833337</v>
      </c>
      <c r="U428" s="65"/>
      <c r="V428" s="103"/>
      <c r="W428" s="103">
        <f t="shared" si="89"/>
        <v>4888731.9995833337</v>
      </c>
      <c r="X428" s="599"/>
      <c r="Y428" s="103"/>
      <c r="Z428" s="103"/>
      <c r="AA428" s="65"/>
      <c r="AB428" s="103"/>
      <c r="AC428" s="42">
        <f t="shared" si="90"/>
        <v>4888731.9995833337</v>
      </c>
      <c r="AF428" s="6"/>
    </row>
    <row r="429" spans="1:32">
      <c r="A429" s="2">
        <f t="shared" si="85"/>
        <v>412</v>
      </c>
      <c r="B429" s="688" t="s">
        <v>2330</v>
      </c>
      <c r="C429" s="688" t="s">
        <v>3075</v>
      </c>
      <c r="D429" s="688" t="s">
        <v>2514</v>
      </c>
      <c r="E429" s="182" t="s">
        <v>3080</v>
      </c>
      <c r="F429" s="183">
        <v>0</v>
      </c>
      <c r="G429" s="183">
        <v>0</v>
      </c>
      <c r="H429" s="183">
        <v>0</v>
      </c>
      <c r="I429" s="183">
        <v>0</v>
      </c>
      <c r="J429" s="183">
        <v>0</v>
      </c>
      <c r="K429" s="183">
        <v>0</v>
      </c>
      <c r="L429" s="183">
        <v>0</v>
      </c>
      <c r="M429" s="183">
        <v>0</v>
      </c>
      <c r="N429" s="183">
        <v>0</v>
      </c>
      <c r="O429" s="183">
        <v>0</v>
      </c>
      <c r="P429" s="183">
        <v>0</v>
      </c>
      <c r="Q429" s="183">
        <v>0</v>
      </c>
      <c r="R429" s="183">
        <v>0</v>
      </c>
      <c r="S429" s="184">
        <f t="shared" si="88"/>
        <v>0</v>
      </c>
      <c r="U429" s="65"/>
      <c r="V429" s="103"/>
      <c r="W429" s="103">
        <f t="shared" si="89"/>
        <v>0</v>
      </c>
      <c r="X429" s="599"/>
      <c r="Y429" s="103"/>
      <c r="Z429" s="103"/>
      <c r="AA429" s="65"/>
      <c r="AB429" s="103"/>
      <c r="AC429" s="42">
        <f t="shared" si="90"/>
        <v>0</v>
      </c>
      <c r="AF429" s="6"/>
    </row>
    <row r="430" spans="1:32">
      <c r="A430" s="2">
        <f t="shared" si="85"/>
        <v>413</v>
      </c>
      <c r="B430" s="688" t="s">
        <v>2330</v>
      </c>
      <c r="C430" s="688" t="s">
        <v>3075</v>
      </c>
      <c r="D430" s="688" t="s">
        <v>3081</v>
      </c>
      <c r="E430" s="182" t="s">
        <v>3082</v>
      </c>
      <c r="F430" s="183">
        <v>30714.28</v>
      </c>
      <c r="G430" s="183">
        <v>0</v>
      </c>
      <c r="H430" s="183">
        <v>0</v>
      </c>
      <c r="I430" s="183">
        <v>9369.7099999999991</v>
      </c>
      <c r="J430" s="183">
        <v>9369.7099999999991</v>
      </c>
      <c r="K430" s="183">
        <v>9369.7099999999991</v>
      </c>
      <c r="L430" s="183">
        <v>22144.18</v>
      </c>
      <c r="M430" s="183">
        <v>22144.18</v>
      </c>
      <c r="N430" s="183">
        <v>22144.18</v>
      </c>
      <c r="O430" s="183">
        <v>34948.449999999997</v>
      </c>
      <c r="P430" s="183">
        <v>34948.449999999997</v>
      </c>
      <c r="Q430" s="183">
        <v>34948.449999999997</v>
      </c>
      <c r="R430" s="183">
        <v>47641.77</v>
      </c>
      <c r="S430" s="184">
        <f t="shared" ref="S430:S435" si="91">((F430+R430)+((G430+H430+I430+J430+K430+L430+M430+N430+O430+P430+Q430)*2))/24</f>
        <v>19880.420416666664</v>
      </c>
      <c r="U430" s="65"/>
      <c r="V430" s="103"/>
      <c r="W430" s="103">
        <f t="shared" si="89"/>
        <v>19880.420416666664</v>
      </c>
      <c r="X430" s="599"/>
      <c r="Y430" s="103"/>
      <c r="Z430" s="103"/>
      <c r="AA430" s="65"/>
      <c r="AB430" s="103"/>
      <c r="AC430" s="42">
        <f t="shared" si="90"/>
        <v>19880.420416666664</v>
      </c>
      <c r="AF430" s="6"/>
    </row>
    <row r="431" spans="1:32">
      <c r="A431" s="2">
        <f t="shared" si="85"/>
        <v>414</v>
      </c>
      <c r="B431" s="688" t="s">
        <v>2342</v>
      </c>
      <c r="C431" s="688" t="s">
        <v>3075</v>
      </c>
      <c r="D431" s="688" t="s">
        <v>3083</v>
      </c>
      <c r="E431" s="182" t="s">
        <v>3084</v>
      </c>
      <c r="F431" s="183">
        <v>80.739999999999995</v>
      </c>
      <c r="G431" s="183">
        <v>37.54</v>
      </c>
      <c r="H431" s="183">
        <v>135.56</v>
      </c>
      <c r="I431" s="183">
        <v>192.43</v>
      </c>
      <c r="J431" s="183">
        <v>358.8</v>
      </c>
      <c r="K431" s="183">
        <v>485.1</v>
      </c>
      <c r="L431" s="183">
        <v>565.24</v>
      </c>
      <c r="M431" s="183">
        <v>684.19</v>
      </c>
      <c r="N431" s="183">
        <v>913.32</v>
      </c>
      <c r="O431" s="183">
        <v>1153.5999999999999</v>
      </c>
      <c r="P431" s="183">
        <v>1519.53</v>
      </c>
      <c r="Q431" s="183">
        <v>1795.47</v>
      </c>
      <c r="R431" s="183">
        <v>3951</v>
      </c>
      <c r="S431" s="184">
        <f t="shared" si="91"/>
        <v>821.38749999999993</v>
      </c>
      <c r="U431" s="65"/>
      <c r="V431" s="103"/>
      <c r="W431" s="103">
        <f t="shared" si="89"/>
        <v>821.38749999999993</v>
      </c>
      <c r="X431" s="599"/>
      <c r="Y431" s="103"/>
      <c r="Z431" s="103"/>
      <c r="AA431" s="65"/>
      <c r="AB431" s="103"/>
      <c r="AC431" s="42">
        <f t="shared" si="90"/>
        <v>821.38749999999993</v>
      </c>
      <c r="AF431" s="6"/>
    </row>
    <row r="432" spans="1:32">
      <c r="A432" s="2">
        <f t="shared" si="85"/>
        <v>415</v>
      </c>
      <c r="B432" s="688" t="s">
        <v>2342</v>
      </c>
      <c r="C432" s="688" t="s">
        <v>3075</v>
      </c>
      <c r="D432" s="688" t="s">
        <v>3085</v>
      </c>
      <c r="E432" s="182" t="s">
        <v>3086</v>
      </c>
      <c r="F432" s="183">
        <v>0</v>
      </c>
      <c r="G432" s="183">
        <v>0</v>
      </c>
      <c r="H432" s="183">
        <v>0</v>
      </c>
      <c r="I432" s="183">
        <v>0</v>
      </c>
      <c r="J432" s="183">
        <v>0</v>
      </c>
      <c r="K432" s="183">
        <v>0</v>
      </c>
      <c r="L432" s="183">
        <v>0</v>
      </c>
      <c r="M432" s="183">
        <v>0</v>
      </c>
      <c r="N432" s="183">
        <v>0</v>
      </c>
      <c r="O432" s="183">
        <v>0</v>
      </c>
      <c r="P432" s="183">
        <v>0</v>
      </c>
      <c r="Q432" s="183">
        <v>0</v>
      </c>
      <c r="R432" s="183">
        <v>0</v>
      </c>
      <c r="S432" s="184">
        <f t="shared" si="91"/>
        <v>0</v>
      </c>
      <c r="U432" s="65"/>
      <c r="V432" s="103"/>
      <c r="W432" s="103">
        <f t="shared" si="89"/>
        <v>0</v>
      </c>
      <c r="X432" s="599"/>
      <c r="Y432" s="103"/>
      <c r="Z432" s="103"/>
      <c r="AA432" s="65"/>
      <c r="AB432" s="103"/>
      <c r="AC432" s="42">
        <f t="shared" si="90"/>
        <v>0</v>
      </c>
      <c r="AF432" s="6"/>
    </row>
    <row r="433" spans="1:32">
      <c r="A433" s="2">
        <f t="shared" si="85"/>
        <v>416</v>
      </c>
      <c r="B433" s="688" t="s">
        <v>2342</v>
      </c>
      <c r="C433" s="688" t="s">
        <v>3075</v>
      </c>
      <c r="D433" s="688" t="s">
        <v>3087</v>
      </c>
      <c r="E433" s="182" t="s">
        <v>3088</v>
      </c>
      <c r="F433" s="183">
        <v>0</v>
      </c>
      <c r="G433" s="183">
        <v>0</v>
      </c>
      <c r="H433" s="183">
        <v>0</v>
      </c>
      <c r="I433" s="183">
        <v>0</v>
      </c>
      <c r="J433" s="183">
        <v>0</v>
      </c>
      <c r="K433" s="183">
        <v>0</v>
      </c>
      <c r="L433" s="183">
        <v>0</v>
      </c>
      <c r="M433" s="183">
        <v>0</v>
      </c>
      <c r="N433" s="183">
        <v>0</v>
      </c>
      <c r="O433" s="183">
        <v>0</v>
      </c>
      <c r="P433" s="183">
        <v>0</v>
      </c>
      <c r="Q433" s="183">
        <v>0</v>
      </c>
      <c r="R433" s="183">
        <v>0</v>
      </c>
      <c r="S433" s="184">
        <f t="shared" si="91"/>
        <v>0</v>
      </c>
      <c r="U433" s="65"/>
      <c r="V433" s="103"/>
      <c r="W433" s="103">
        <f t="shared" si="89"/>
        <v>0</v>
      </c>
      <c r="X433" s="599"/>
      <c r="Y433" s="103"/>
      <c r="Z433" s="103"/>
      <c r="AA433" s="65"/>
      <c r="AB433" s="103"/>
      <c r="AC433" s="42">
        <f t="shared" si="90"/>
        <v>0</v>
      </c>
      <c r="AF433" s="6"/>
    </row>
    <row r="434" spans="1:32">
      <c r="A434" s="2">
        <f t="shared" si="85"/>
        <v>417</v>
      </c>
      <c r="B434" s="688" t="s">
        <v>2324</v>
      </c>
      <c r="C434" s="688" t="s">
        <v>3075</v>
      </c>
      <c r="D434" s="688" t="s">
        <v>3083</v>
      </c>
      <c r="E434" s="182" t="s">
        <v>3084</v>
      </c>
      <c r="F434" s="183">
        <v>293.2</v>
      </c>
      <c r="G434" s="183">
        <v>28.12</v>
      </c>
      <c r="H434" s="183">
        <v>35.42</v>
      </c>
      <c r="I434" s="183">
        <v>106.06</v>
      </c>
      <c r="J434" s="183">
        <v>144.58000000000001</v>
      </c>
      <c r="K434" s="183">
        <v>200.47</v>
      </c>
      <c r="L434" s="183">
        <v>260.86</v>
      </c>
      <c r="M434" s="183">
        <v>587.4</v>
      </c>
      <c r="N434" s="183">
        <v>1047.5899999999999</v>
      </c>
      <c r="O434" s="183">
        <v>1771.19</v>
      </c>
      <c r="P434" s="183">
        <v>2639.01</v>
      </c>
      <c r="Q434" s="183">
        <v>3482.77</v>
      </c>
      <c r="R434" s="183">
        <v>9666.49</v>
      </c>
      <c r="S434" s="184">
        <f t="shared" si="91"/>
        <v>1273.6095833333336</v>
      </c>
      <c r="U434" s="65"/>
      <c r="V434" s="103"/>
      <c r="W434" s="103">
        <f t="shared" si="89"/>
        <v>1273.6095833333336</v>
      </c>
      <c r="X434" s="599"/>
      <c r="Y434" s="103"/>
      <c r="Z434" s="103"/>
      <c r="AA434" s="65"/>
      <c r="AB434" s="103"/>
      <c r="AC434" s="42">
        <f t="shared" si="90"/>
        <v>1273.6095833333336</v>
      </c>
      <c r="AF434" s="6"/>
    </row>
    <row r="435" spans="1:32">
      <c r="A435" s="2">
        <f t="shared" si="85"/>
        <v>418</v>
      </c>
      <c r="B435" s="688" t="s">
        <v>2324</v>
      </c>
      <c r="C435" s="688" t="s">
        <v>3075</v>
      </c>
      <c r="D435" s="688" t="s">
        <v>3085</v>
      </c>
      <c r="E435" s="182" t="s">
        <v>3086</v>
      </c>
      <c r="F435" s="183">
        <v>0</v>
      </c>
      <c r="G435" s="183">
        <v>0</v>
      </c>
      <c r="H435" s="183">
        <v>0</v>
      </c>
      <c r="I435" s="183">
        <v>0</v>
      </c>
      <c r="J435" s="183">
        <v>0</v>
      </c>
      <c r="K435" s="183">
        <v>0</v>
      </c>
      <c r="L435" s="183">
        <v>0</v>
      </c>
      <c r="M435" s="183">
        <v>0</v>
      </c>
      <c r="N435" s="183">
        <v>0</v>
      </c>
      <c r="O435" s="183">
        <v>0</v>
      </c>
      <c r="P435" s="183">
        <v>0</v>
      </c>
      <c r="Q435" s="183">
        <v>0</v>
      </c>
      <c r="R435" s="183">
        <v>0</v>
      </c>
      <c r="S435" s="184">
        <f t="shared" si="91"/>
        <v>0</v>
      </c>
      <c r="U435" s="65"/>
      <c r="V435" s="103"/>
      <c r="W435" s="103">
        <f t="shared" si="89"/>
        <v>0</v>
      </c>
      <c r="X435" s="599"/>
      <c r="Y435" s="103"/>
      <c r="Z435" s="103"/>
      <c r="AA435" s="65"/>
      <c r="AB435" s="103"/>
      <c r="AC435" s="42">
        <f t="shared" si="90"/>
        <v>0</v>
      </c>
      <c r="AF435" s="6"/>
    </row>
    <row r="436" spans="1:32">
      <c r="A436" s="2">
        <f t="shared" si="85"/>
        <v>419</v>
      </c>
      <c r="B436" s="688" t="s">
        <v>2324</v>
      </c>
      <c r="C436" s="688" t="s">
        <v>3075</v>
      </c>
      <c r="D436" s="1" t="s">
        <v>3087</v>
      </c>
      <c r="E436" s="182" t="s">
        <v>3088</v>
      </c>
      <c r="F436" s="183">
        <v>0</v>
      </c>
      <c r="G436" s="183">
        <v>0</v>
      </c>
      <c r="H436" s="183">
        <v>0</v>
      </c>
      <c r="I436" s="183">
        <v>0</v>
      </c>
      <c r="J436" s="183">
        <v>0</v>
      </c>
      <c r="K436" s="183">
        <v>0</v>
      </c>
      <c r="L436" s="183">
        <v>0</v>
      </c>
      <c r="M436" s="183">
        <v>0</v>
      </c>
      <c r="N436" s="183">
        <v>0</v>
      </c>
      <c r="O436" s="183">
        <v>0</v>
      </c>
      <c r="P436" s="183">
        <v>0</v>
      </c>
      <c r="Q436" s="183">
        <v>0</v>
      </c>
      <c r="R436" s="183">
        <v>0</v>
      </c>
      <c r="S436" s="184">
        <f>((F436+R436)+((G436+H436+I436+J436+K436+L436+M436+N436+O436+P436+Q436)*2))/24</f>
        <v>0</v>
      </c>
      <c r="U436" s="65"/>
      <c r="V436" s="103"/>
      <c r="W436" s="103">
        <f t="shared" si="89"/>
        <v>0</v>
      </c>
      <c r="X436" s="599"/>
      <c r="Y436" s="103"/>
      <c r="Z436" s="103"/>
      <c r="AA436" s="65"/>
      <c r="AB436" s="103"/>
      <c r="AC436" s="42">
        <f t="shared" si="90"/>
        <v>0</v>
      </c>
      <c r="AF436" s="6"/>
    </row>
    <row r="437" spans="1:32">
      <c r="A437" s="2">
        <f t="shared" si="85"/>
        <v>420</v>
      </c>
      <c r="B437" s="688" t="s">
        <v>2324</v>
      </c>
      <c r="C437" s="688" t="s">
        <v>3075</v>
      </c>
      <c r="D437" s="1" t="s">
        <v>3081</v>
      </c>
      <c r="E437" s="182" t="s">
        <v>3089</v>
      </c>
      <c r="F437" s="313">
        <v>7882.46</v>
      </c>
      <c r="G437" s="313">
        <v>0</v>
      </c>
      <c r="H437" s="313">
        <v>0</v>
      </c>
      <c r="I437" s="313">
        <v>0</v>
      </c>
      <c r="J437" s="313">
        <v>0</v>
      </c>
      <c r="K437" s="313">
        <v>0</v>
      </c>
      <c r="L437" s="313">
        <v>0</v>
      </c>
      <c r="M437" s="313">
        <v>0</v>
      </c>
      <c r="N437" s="313">
        <v>0</v>
      </c>
      <c r="O437" s="313">
        <v>0</v>
      </c>
      <c r="P437" s="313">
        <v>0</v>
      </c>
      <c r="Q437" s="313">
        <v>0</v>
      </c>
      <c r="R437" s="313">
        <v>0</v>
      </c>
      <c r="S437" s="184">
        <f>((F437+R437)+((G437+H437+I437+J437+K437+L437+M437+N437+O437+P437+Q437)*2))/24</f>
        <v>328.43583333333333</v>
      </c>
      <c r="U437" s="65"/>
      <c r="V437" s="103"/>
      <c r="W437" s="103">
        <f t="shared" si="89"/>
        <v>328.43583333333333</v>
      </c>
      <c r="X437" s="599"/>
      <c r="Y437" s="103"/>
      <c r="Z437" s="103"/>
      <c r="AA437" s="65"/>
      <c r="AB437" s="103"/>
      <c r="AC437" s="42">
        <f t="shared" si="90"/>
        <v>328.43583333333333</v>
      </c>
      <c r="AF437" s="6"/>
    </row>
    <row r="438" spans="1:32">
      <c r="A438" s="2">
        <f t="shared" si="85"/>
        <v>421</v>
      </c>
      <c r="E438" s="182" t="s">
        <v>3090</v>
      </c>
      <c r="F438" s="511">
        <f t="shared" ref="F438:S438" si="92">SUM(F421:F437)</f>
        <v>18127554.630000003</v>
      </c>
      <c r="G438" s="511">
        <f t="shared" si="92"/>
        <v>2278314.58</v>
      </c>
      <c r="H438" s="511">
        <f t="shared" si="92"/>
        <v>4439496.57</v>
      </c>
      <c r="I438" s="511">
        <f t="shared" si="92"/>
        <v>6759460.9499999993</v>
      </c>
      <c r="J438" s="511">
        <f t="shared" si="92"/>
        <v>9037871.6300000008</v>
      </c>
      <c r="K438" s="511">
        <f t="shared" si="92"/>
        <v>11334347.810000002</v>
      </c>
      <c r="L438" s="511">
        <f t="shared" si="92"/>
        <v>13625570.1</v>
      </c>
      <c r="M438" s="511">
        <f t="shared" si="92"/>
        <v>15960193.050000001</v>
      </c>
      <c r="N438" s="511">
        <f t="shared" si="92"/>
        <v>18344228.98</v>
      </c>
      <c r="O438" s="511">
        <f t="shared" si="92"/>
        <v>20860918.700000003</v>
      </c>
      <c r="P438" s="511">
        <f t="shared" si="92"/>
        <v>23307101.360000003</v>
      </c>
      <c r="Q438" s="511">
        <f t="shared" si="92"/>
        <v>25658911.879999999</v>
      </c>
      <c r="R438" s="511">
        <f t="shared" si="92"/>
        <v>28241541.239999998</v>
      </c>
      <c r="S438" s="512">
        <f t="shared" si="92"/>
        <v>14565913.628749998</v>
      </c>
      <c r="U438" s="65"/>
      <c r="V438" s="103"/>
      <c r="W438" s="103"/>
      <c r="X438" s="599"/>
      <c r="Y438" s="103"/>
      <c r="Z438" s="103"/>
      <c r="AA438" s="65"/>
      <c r="AB438" s="103"/>
      <c r="AF438" s="6"/>
    </row>
    <row r="439" spans="1:32">
      <c r="A439" s="2">
        <f t="shared" si="85"/>
        <v>422</v>
      </c>
      <c r="E439" s="182"/>
      <c r="F439" s="183"/>
      <c r="G439" s="198"/>
      <c r="H439" s="188"/>
      <c r="I439" s="188"/>
      <c r="J439" s="189"/>
      <c r="K439" s="190"/>
      <c r="L439" s="191"/>
      <c r="M439" s="192"/>
      <c r="N439" s="193"/>
      <c r="O439" s="689"/>
      <c r="P439" s="194"/>
      <c r="Q439" s="199"/>
      <c r="R439" s="183"/>
      <c r="S439" s="47"/>
      <c r="U439" s="65"/>
      <c r="V439" s="103"/>
      <c r="W439" s="103"/>
      <c r="X439" s="599"/>
      <c r="Y439" s="103"/>
      <c r="Z439" s="103"/>
      <c r="AA439" s="65"/>
      <c r="AB439" s="103"/>
      <c r="AF439" s="6"/>
    </row>
    <row r="440" spans="1:32">
      <c r="A440" s="2">
        <f t="shared" si="85"/>
        <v>423</v>
      </c>
      <c r="B440" s="688" t="s">
        <v>2330</v>
      </c>
      <c r="C440" s="688" t="s">
        <v>3091</v>
      </c>
      <c r="D440" s="688" t="s">
        <v>3092</v>
      </c>
      <c r="E440" s="182" t="s">
        <v>3093</v>
      </c>
      <c r="F440" s="183">
        <v>0</v>
      </c>
      <c r="G440" s="183">
        <v>0</v>
      </c>
      <c r="H440" s="183">
        <v>0</v>
      </c>
      <c r="I440" s="183">
        <v>0</v>
      </c>
      <c r="J440" s="183">
        <v>0</v>
      </c>
      <c r="K440" s="183">
        <v>0</v>
      </c>
      <c r="L440" s="183">
        <v>0</v>
      </c>
      <c r="M440" s="183">
        <v>0</v>
      </c>
      <c r="N440" s="183">
        <v>0</v>
      </c>
      <c r="O440" s="183">
        <v>0</v>
      </c>
      <c r="P440" s="183">
        <v>0</v>
      </c>
      <c r="Q440" s="183">
        <v>0</v>
      </c>
      <c r="R440" s="183">
        <v>0</v>
      </c>
      <c r="S440" s="184">
        <f t="shared" ref="S440:S460" si="93">((F440+R440)+((G440+H440+I440+J440+K440+L440+M440+N440+O440+P440+Q440)*2))/24</f>
        <v>0</v>
      </c>
      <c r="U440" s="65"/>
      <c r="V440" s="103"/>
      <c r="W440" s="103">
        <f t="shared" ref="W440:W460" si="94">+S440</f>
        <v>0</v>
      </c>
      <c r="X440" s="599"/>
      <c r="Y440" s="103"/>
      <c r="Z440" s="103"/>
      <c r="AA440" s="65"/>
      <c r="AB440" s="103"/>
      <c r="AC440" s="42">
        <f t="shared" ref="AC440:AC460" si="95">+S440</f>
        <v>0</v>
      </c>
      <c r="AF440" s="6"/>
    </row>
    <row r="441" spans="1:32">
      <c r="A441" s="2">
        <f t="shared" si="85"/>
        <v>424</v>
      </c>
      <c r="B441" s="688" t="s">
        <v>2330</v>
      </c>
      <c r="C441" s="688" t="s">
        <v>3094</v>
      </c>
      <c r="D441" s="688" t="s">
        <v>3092</v>
      </c>
      <c r="E441" s="182" t="s">
        <v>3095</v>
      </c>
      <c r="F441" s="183">
        <v>0</v>
      </c>
      <c r="G441" s="183">
        <v>0</v>
      </c>
      <c r="H441" s="183">
        <v>0</v>
      </c>
      <c r="I441" s="183">
        <v>0</v>
      </c>
      <c r="J441" s="183">
        <v>0</v>
      </c>
      <c r="K441" s="183">
        <v>0</v>
      </c>
      <c r="L441" s="183">
        <v>0</v>
      </c>
      <c r="M441" s="183">
        <v>0</v>
      </c>
      <c r="N441" s="183">
        <v>0</v>
      </c>
      <c r="O441" s="183">
        <v>0</v>
      </c>
      <c r="P441" s="183">
        <v>0</v>
      </c>
      <c r="Q441" s="183">
        <v>0</v>
      </c>
      <c r="R441" s="183">
        <v>0</v>
      </c>
      <c r="S441" s="184">
        <f t="shared" si="93"/>
        <v>0</v>
      </c>
      <c r="U441" s="65"/>
      <c r="V441" s="103"/>
      <c r="W441" s="103">
        <f t="shared" si="94"/>
        <v>0</v>
      </c>
      <c r="X441" s="599"/>
      <c r="Y441" s="103"/>
      <c r="Z441" s="103"/>
      <c r="AA441" s="65"/>
      <c r="AB441" s="103"/>
      <c r="AC441" s="42">
        <f t="shared" si="95"/>
        <v>0</v>
      </c>
      <c r="AF441" s="6"/>
    </row>
    <row r="442" spans="1:32">
      <c r="A442" s="2">
        <f t="shared" si="85"/>
        <v>425</v>
      </c>
      <c r="B442" s="688" t="s">
        <v>2330</v>
      </c>
      <c r="C442" s="688" t="s">
        <v>3096</v>
      </c>
      <c r="D442" s="688"/>
      <c r="E442" s="182" t="s">
        <v>3097</v>
      </c>
      <c r="F442" s="183">
        <v>-42018.96</v>
      </c>
      <c r="G442" s="183">
        <v>-3501.58</v>
      </c>
      <c r="H442" s="183">
        <v>-7003.16</v>
      </c>
      <c r="I442" s="183">
        <v>-10504.74</v>
      </c>
      <c r="J442" s="183">
        <v>-14006.32</v>
      </c>
      <c r="K442" s="183">
        <v>-17507.900000000001</v>
      </c>
      <c r="L442" s="183">
        <v>-21009.48</v>
      </c>
      <c r="M442" s="183">
        <v>-24511.06</v>
      </c>
      <c r="N442" s="183">
        <v>-28012.639999999999</v>
      </c>
      <c r="O442" s="183">
        <v>-31514.22</v>
      </c>
      <c r="P442" s="183">
        <v>-35015.800000000003</v>
      </c>
      <c r="Q442" s="183">
        <v>-38517.379999999997</v>
      </c>
      <c r="R442" s="183">
        <v>-42018.96</v>
      </c>
      <c r="S442" s="184">
        <f t="shared" si="93"/>
        <v>-22760.270000000004</v>
      </c>
      <c r="U442" s="65"/>
      <c r="V442" s="103"/>
      <c r="W442" s="103">
        <f t="shared" si="94"/>
        <v>-22760.270000000004</v>
      </c>
      <c r="X442" s="599"/>
      <c r="Y442" s="103"/>
      <c r="Z442" s="103"/>
      <c r="AA442" s="65"/>
      <c r="AB442" s="103"/>
      <c r="AC442" s="42">
        <f t="shared" si="95"/>
        <v>-22760.270000000004</v>
      </c>
      <c r="AF442" s="6"/>
    </row>
    <row r="443" spans="1:32">
      <c r="A443" s="2">
        <f t="shared" si="85"/>
        <v>426</v>
      </c>
      <c r="B443" s="688" t="s">
        <v>2342</v>
      </c>
      <c r="C443" s="688" t="s">
        <v>3098</v>
      </c>
      <c r="D443" s="688" t="s">
        <v>3092</v>
      </c>
      <c r="E443" s="182" t="s">
        <v>3099</v>
      </c>
      <c r="F443" s="183">
        <v>608985.23</v>
      </c>
      <c r="G443" s="183">
        <v>-2755829.09</v>
      </c>
      <c r="H443" s="183">
        <v>-2524160.9900000002</v>
      </c>
      <c r="I443" s="183">
        <v>-2143717.1</v>
      </c>
      <c r="J443" s="183">
        <v>-1715256.36</v>
      </c>
      <c r="K443" s="183">
        <v>-1761236</v>
      </c>
      <c r="L443" s="183">
        <v>-2211314.17</v>
      </c>
      <c r="M443" s="183">
        <v>-2586771.2999999998</v>
      </c>
      <c r="N443" s="183">
        <v>-3026219.97</v>
      </c>
      <c r="O443" s="183">
        <v>-2954479.32</v>
      </c>
      <c r="P443" s="183">
        <v>-2477841.2400000002</v>
      </c>
      <c r="Q443" s="183">
        <v>-1990332.87</v>
      </c>
      <c r="R443" s="183">
        <v>-797318.52999999898</v>
      </c>
      <c r="S443" s="184">
        <f t="shared" si="93"/>
        <v>-2186777.0883333334</v>
      </c>
      <c r="U443" s="65"/>
      <c r="V443" s="103"/>
      <c r="W443" s="103">
        <f t="shared" si="94"/>
        <v>-2186777.0883333334</v>
      </c>
      <c r="X443" s="599"/>
      <c r="Y443" s="103"/>
      <c r="Z443" s="103"/>
      <c r="AA443" s="65"/>
      <c r="AB443" s="103"/>
      <c r="AC443" s="42">
        <f t="shared" si="95"/>
        <v>-2186777.0883333334</v>
      </c>
      <c r="AF443" s="6"/>
    </row>
    <row r="444" spans="1:32">
      <c r="A444" s="2">
        <f t="shared" si="85"/>
        <v>427</v>
      </c>
      <c r="B444" s="688" t="s">
        <v>2342</v>
      </c>
      <c r="C444" s="688" t="s">
        <v>3098</v>
      </c>
      <c r="D444" s="688" t="s">
        <v>3100</v>
      </c>
      <c r="E444" s="182" t="s">
        <v>3101</v>
      </c>
      <c r="F444" s="183">
        <v>143885.37</v>
      </c>
      <c r="G444" s="183">
        <v>-1650173.73</v>
      </c>
      <c r="H444" s="183">
        <v>-1603123.28</v>
      </c>
      <c r="I444" s="183">
        <v>-1411937.57</v>
      </c>
      <c r="J444" s="183">
        <v>-1248442.54</v>
      </c>
      <c r="K444" s="183">
        <v>-1266670.7</v>
      </c>
      <c r="L444" s="183">
        <v>-1366689.63</v>
      </c>
      <c r="M444" s="183">
        <v>-1477755.08</v>
      </c>
      <c r="N444" s="183">
        <v>-972294.56</v>
      </c>
      <c r="O444" s="183">
        <v>-1048047.21</v>
      </c>
      <c r="P444" s="183">
        <v>-971790.3</v>
      </c>
      <c r="Q444" s="183">
        <v>-724628.15</v>
      </c>
      <c r="R444" s="183">
        <v>-66466.389999999796</v>
      </c>
      <c r="S444" s="184">
        <f t="shared" si="93"/>
        <v>-1141903.6050000002</v>
      </c>
      <c r="U444" s="65"/>
      <c r="V444" s="103"/>
      <c r="W444" s="103">
        <f t="shared" si="94"/>
        <v>-1141903.6050000002</v>
      </c>
      <c r="X444" s="599"/>
      <c r="Y444" s="103"/>
      <c r="Z444" s="103"/>
      <c r="AA444" s="65"/>
      <c r="AB444" s="103"/>
      <c r="AC444" s="42">
        <f t="shared" si="95"/>
        <v>-1141903.6050000002</v>
      </c>
      <c r="AF444" s="6"/>
    </row>
    <row r="445" spans="1:32">
      <c r="A445" s="2">
        <f t="shared" si="85"/>
        <v>428</v>
      </c>
      <c r="B445" s="688" t="s">
        <v>2342</v>
      </c>
      <c r="C445" s="688" t="s">
        <v>3091</v>
      </c>
      <c r="D445" s="688" t="s">
        <v>3092</v>
      </c>
      <c r="E445" s="182" t="s">
        <v>3093</v>
      </c>
      <c r="F445" s="183">
        <v>203511.88</v>
      </c>
      <c r="G445" s="183">
        <v>30394.97</v>
      </c>
      <c r="H445" s="183">
        <v>77506.080000000002</v>
      </c>
      <c r="I445" s="183">
        <v>107449.72</v>
      </c>
      <c r="J445" s="183">
        <v>141133.17000000001</v>
      </c>
      <c r="K445" s="183">
        <v>180243.58</v>
      </c>
      <c r="L445" s="183">
        <v>224411.31</v>
      </c>
      <c r="M445" s="183">
        <v>260418.32</v>
      </c>
      <c r="N445" s="183">
        <v>292874.88</v>
      </c>
      <c r="O445" s="183">
        <v>323916.76</v>
      </c>
      <c r="P445" s="183">
        <v>365390.68</v>
      </c>
      <c r="Q445" s="183">
        <v>414551.43</v>
      </c>
      <c r="R445" s="183">
        <v>418234.36</v>
      </c>
      <c r="S445" s="184">
        <f t="shared" si="93"/>
        <v>227430.33500000005</v>
      </c>
      <c r="U445" s="65"/>
      <c r="V445" s="103"/>
      <c r="W445" s="103">
        <f t="shared" si="94"/>
        <v>227430.33500000005</v>
      </c>
      <c r="X445" s="599"/>
      <c r="Y445" s="103"/>
      <c r="Z445" s="103"/>
      <c r="AA445" s="65"/>
      <c r="AB445" s="103"/>
      <c r="AC445" s="42">
        <f t="shared" si="95"/>
        <v>227430.33500000005</v>
      </c>
      <c r="AF445" s="6"/>
    </row>
    <row r="446" spans="1:32">
      <c r="A446" s="2">
        <f t="shared" si="85"/>
        <v>429</v>
      </c>
      <c r="B446" s="688" t="s">
        <v>2342</v>
      </c>
      <c r="C446" s="688" t="s">
        <v>3091</v>
      </c>
      <c r="D446" s="688" t="s">
        <v>3100</v>
      </c>
      <c r="E446" s="182" t="s">
        <v>3102</v>
      </c>
      <c r="F446" s="183">
        <v>39782.18</v>
      </c>
      <c r="G446" s="183">
        <v>14526.75</v>
      </c>
      <c r="H446" s="183">
        <v>37602.6</v>
      </c>
      <c r="I446" s="183">
        <v>55399.72</v>
      </c>
      <c r="J446" s="183">
        <v>76803.009999999995</v>
      </c>
      <c r="K446" s="183">
        <v>100567.85</v>
      </c>
      <c r="L446" s="183">
        <v>124297.63</v>
      </c>
      <c r="M446" s="183">
        <v>148733.69</v>
      </c>
      <c r="N446" s="183">
        <v>171691.48</v>
      </c>
      <c r="O446" s="183">
        <v>192375.96</v>
      </c>
      <c r="P446" s="183">
        <v>217862.9</v>
      </c>
      <c r="Q446" s="183">
        <v>272399.42</v>
      </c>
      <c r="R446" s="183">
        <v>287708.19</v>
      </c>
      <c r="S446" s="184">
        <f t="shared" si="93"/>
        <v>131333.84958333333</v>
      </c>
      <c r="U446" s="65"/>
      <c r="V446" s="103"/>
      <c r="W446" s="103">
        <f t="shared" si="94"/>
        <v>131333.84958333333</v>
      </c>
      <c r="X446" s="599"/>
      <c r="Y446" s="103"/>
      <c r="Z446" s="103"/>
      <c r="AA446" s="65"/>
      <c r="AB446" s="103"/>
      <c r="AC446" s="42">
        <f t="shared" si="95"/>
        <v>131333.84958333333</v>
      </c>
      <c r="AF446" s="6"/>
    </row>
    <row r="447" spans="1:32">
      <c r="A447" s="2">
        <f t="shared" si="85"/>
        <v>430</v>
      </c>
      <c r="B447" s="688" t="s">
        <v>2342</v>
      </c>
      <c r="C447" s="688" t="s">
        <v>3103</v>
      </c>
      <c r="D447" s="688" t="s">
        <v>3092</v>
      </c>
      <c r="E447" s="182" t="s">
        <v>3104</v>
      </c>
      <c r="F447" s="183">
        <v>3551141.61</v>
      </c>
      <c r="G447" s="183">
        <v>3206343.5</v>
      </c>
      <c r="H447" s="183">
        <v>3331131.28</v>
      </c>
      <c r="I447" s="183">
        <v>3464643.99</v>
      </c>
      <c r="J447" s="183">
        <v>3662894.72</v>
      </c>
      <c r="K447" s="183">
        <v>3755895.39</v>
      </c>
      <c r="L447" s="183">
        <v>4481239.7</v>
      </c>
      <c r="M447" s="183">
        <v>4671973.87</v>
      </c>
      <c r="N447" s="183">
        <v>4775585.34</v>
      </c>
      <c r="O447" s="183">
        <v>5143406.0599999996</v>
      </c>
      <c r="P447" s="183">
        <v>5193998.78</v>
      </c>
      <c r="Q447" s="183">
        <v>9418441.4499999993</v>
      </c>
      <c r="R447" s="183">
        <v>16631031.289999999</v>
      </c>
      <c r="S447" s="184">
        <f t="shared" si="93"/>
        <v>5099720.0441666665</v>
      </c>
      <c r="U447" s="65"/>
      <c r="V447" s="103"/>
      <c r="W447" s="103">
        <f t="shared" si="94"/>
        <v>5099720.0441666665</v>
      </c>
      <c r="X447" s="599"/>
      <c r="Y447" s="103"/>
      <c r="Z447" s="103"/>
      <c r="AA447" s="65"/>
      <c r="AB447" s="103"/>
      <c r="AC447" s="42">
        <f t="shared" si="95"/>
        <v>5099720.0441666665</v>
      </c>
      <c r="AF447" s="6"/>
    </row>
    <row r="448" spans="1:32">
      <c r="A448" s="2">
        <f t="shared" si="85"/>
        <v>431</v>
      </c>
      <c r="B448" s="688" t="s">
        <v>2342</v>
      </c>
      <c r="C448" s="688" t="s">
        <v>3103</v>
      </c>
      <c r="D448" s="1" t="s">
        <v>3100</v>
      </c>
      <c r="E448" s="182" t="s">
        <v>3105</v>
      </c>
      <c r="F448" s="183">
        <v>1673686.77</v>
      </c>
      <c r="G448" s="183">
        <v>1832751.6</v>
      </c>
      <c r="H448" s="183">
        <v>1940332.39</v>
      </c>
      <c r="I448" s="183">
        <v>2393358.2400000002</v>
      </c>
      <c r="J448" s="183">
        <v>2442904.0699999998</v>
      </c>
      <c r="K448" s="183">
        <v>2508646.56</v>
      </c>
      <c r="L448" s="183">
        <v>2663067.0499999998</v>
      </c>
      <c r="M448" s="183">
        <v>2801261.76</v>
      </c>
      <c r="N448" s="183">
        <v>3144270.68</v>
      </c>
      <c r="O448" s="183">
        <v>3352114.9</v>
      </c>
      <c r="P448" s="183">
        <v>3572775.32</v>
      </c>
      <c r="Q448" s="183">
        <v>4448466.32</v>
      </c>
      <c r="R448" s="183">
        <v>5229441.3499999996</v>
      </c>
      <c r="S448" s="184">
        <f t="shared" si="93"/>
        <v>2879292.7458333336</v>
      </c>
      <c r="U448" s="65"/>
      <c r="V448" s="103"/>
      <c r="W448" s="103">
        <f t="shared" si="94"/>
        <v>2879292.7458333336</v>
      </c>
      <c r="X448" s="599"/>
      <c r="Y448" s="103"/>
      <c r="Z448" s="103"/>
      <c r="AA448" s="65"/>
      <c r="AB448" s="103"/>
      <c r="AC448" s="42">
        <f t="shared" si="95"/>
        <v>2879292.7458333336</v>
      </c>
      <c r="AF448" s="6"/>
    </row>
    <row r="449" spans="1:32">
      <c r="A449" s="2">
        <f t="shared" si="85"/>
        <v>432</v>
      </c>
      <c r="B449" s="688" t="s">
        <v>2342</v>
      </c>
      <c r="C449" s="688" t="s">
        <v>3094</v>
      </c>
      <c r="D449" s="1" t="s">
        <v>3092</v>
      </c>
      <c r="E449" s="182" t="s">
        <v>3095</v>
      </c>
      <c r="F449" s="183">
        <v>10044.67</v>
      </c>
      <c r="G449" s="183">
        <v>1192.9100000000001</v>
      </c>
      <c r="H449" s="183">
        <v>2112.4899999999998</v>
      </c>
      <c r="I449" s="183">
        <v>2971.03</v>
      </c>
      <c r="J449" s="183">
        <v>3809.78</v>
      </c>
      <c r="K449" s="183">
        <v>4664.16</v>
      </c>
      <c r="L449" s="183">
        <v>5805.14</v>
      </c>
      <c r="M449" s="183">
        <v>6645.52</v>
      </c>
      <c r="N449" s="183">
        <v>7550.78</v>
      </c>
      <c r="O449" s="183">
        <v>8580.39</v>
      </c>
      <c r="P449" s="183">
        <v>9556.39</v>
      </c>
      <c r="Q449" s="183">
        <v>10401.34</v>
      </c>
      <c r="R449" s="183">
        <v>12444.88</v>
      </c>
      <c r="S449" s="184">
        <f t="shared" si="93"/>
        <v>6211.2254166666671</v>
      </c>
      <c r="U449" s="65"/>
      <c r="V449" s="103"/>
      <c r="W449" s="103">
        <f t="shared" si="94"/>
        <v>6211.2254166666671</v>
      </c>
      <c r="X449" s="599"/>
      <c r="Y449" s="103"/>
      <c r="Z449" s="103"/>
      <c r="AA449" s="65"/>
      <c r="AB449" s="103"/>
      <c r="AC449" s="42">
        <f t="shared" si="95"/>
        <v>6211.2254166666671</v>
      </c>
      <c r="AF449" s="6"/>
    </row>
    <row r="450" spans="1:32">
      <c r="A450" s="2">
        <f t="shared" si="85"/>
        <v>433</v>
      </c>
      <c r="B450" s="688" t="s">
        <v>2342</v>
      </c>
      <c r="C450" s="688" t="s">
        <v>3094</v>
      </c>
      <c r="D450" s="1" t="s">
        <v>3100</v>
      </c>
      <c r="E450" s="182" t="s">
        <v>3106</v>
      </c>
      <c r="F450" s="183">
        <v>3473.98</v>
      </c>
      <c r="G450" s="183">
        <v>427.54</v>
      </c>
      <c r="H450" s="183">
        <v>748.35</v>
      </c>
      <c r="I450" s="183">
        <v>1036.83</v>
      </c>
      <c r="J450" s="183">
        <v>1325.31</v>
      </c>
      <c r="K450" s="183">
        <v>1620.67</v>
      </c>
      <c r="L450" s="183">
        <v>2027.94</v>
      </c>
      <c r="M450" s="183">
        <v>2316.42</v>
      </c>
      <c r="N450" s="183">
        <v>2631.64</v>
      </c>
      <c r="O450" s="183">
        <v>2995.41</v>
      </c>
      <c r="P450" s="183">
        <v>3338.26</v>
      </c>
      <c r="Q450" s="183">
        <v>3626.74</v>
      </c>
      <c r="R450" s="183">
        <v>4386.45</v>
      </c>
      <c r="S450" s="184">
        <f t="shared" si="93"/>
        <v>2168.7770833333334</v>
      </c>
      <c r="U450" s="65"/>
      <c r="V450" s="103"/>
      <c r="W450" s="103">
        <f t="shared" si="94"/>
        <v>2168.7770833333334</v>
      </c>
      <c r="X450" s="599"/>
      <c r="Y450" s="103"/>
      <c r="Z450" s="103"/>
      <c r="AA450" s="65"/>
      <c r="AB450" s="103"/>
      <c r="AC450" s="42">
        <f t="shared" si="95"/>
        <v>2168.7770833333334</v>
      </c>
      <c r="AF450" s="6"/>
    </row>
    <row r="451" spans="1:32">
      <c r="A451" s="2">
        <f t="shared" si="85"/>
        <v>434</v>
      </c>
      <c r="B451" s="688" t="s">
        <v>2342</v>
      </c>
      <c r="C451" s="688" t="s">
        <v>3081</v>
      </c>
      <c r="D451" s="1" t="s">
        <v>3092</v>
      </c>
      <c r="E451" s="182" t="s">
        <v>3107</v>
      </c>
      <c r="F451" s="183">
        <v>-1894153.84</v>
      </c>
      <c r="G451" s="183">
        <v>-137057.25</v>
      </c>
      <c r="H451" s="183">
        <v>-181347.52</v>
      </c>
      <c r="I451" s="183">
        <v>-580431.68000000005</v>
      </c>
      <c r="J451" s="183">
        <v>-1194000.47</v>
      </c>
      <c r="K451" s="183">
        <v>-1390735.02</v>
      </c>
      <c r="L451" s="183">
        <v>-1853592.78</v>
      </c>
      <c r="M451" s="183">
        <v>-1948917.53</v>
      </c>
      <c r="N451" s="183">
        <v>-2039356.75</v>
      </c>
      <c r="O451" s="183">
        <v>-2726238.79</v>
      </c>
      <c r="P451" s="183">
        <v>-3242770.31</v>
      </c>
      <c r="Q451" s="183">
        <v>-7741391.9100000001</v>
      </c>
      <c r="R451" s="183">
        <v>-15718694.560000001</v>
      </c>
      <c r="S451" s="184">
        <f t="shared" si="93"/>
        <v>-2653522.0175000001</v>
      </c>
      <c r="U451" s="65"/>
      <c r="V451" s="103"/>
      <c r="W451" s="103">
        <f t="shared" si="94"/>
        <v>-2653522.0175000001</v>
      </c>
      <c r="X451" s="599"/>
      <c r="Y451" s="103"/>
      <c r="Z451" s="103"/>
      <c r="AA451" s="65"/>
      <c r="AB451" s="103"/>
      <c r="AC451" s="42">
        <f t="shared" si="95"/>
        <v>-2653522.0175000001</v>
      </c>
      <c r="AF451" s="6"/>
    </row>
    <row r="452" spans="1:32">
      <c r="A452" s="2">
        <f t="shared" si="85"/>
        <v>435</v>
      </c>
      <c r="B452" s="688" t="s">
        <v>2342</v>
      </c>
      <c r="C452" s="688" t="s">
        <v>3081</v>
      </c>
      <c r="D452" s="1" t="s">
        <v>3100</v>
      </c>
      <c r="E452" s="182" t="s">
        <v>3108</v>
      </c>
      <c r="F452" s="183">
        <v>-971660.72</v>
      </c>
      <c r="G452" s="183">
        <v>-43125.07</v>
      </c>
      <c r="H452" s="183">
        <v>-53529.01</v>
      </c>
      <c r="I452" s="183">
        <v>-582547.96</v>
      </c>
      <c r="J452" s="183">
        <v>-748560.26</v>
      </c>
      <c r="K452" s="183">
        <v>-819335.27</v>
      </c>
      <c r="L452" s="183">
        <v>-924530.64</v>
      </c>
      <c r="M452" s="183">
        <v>-938946.23</v>
      </c>
      <c r="N452" s="183">
        <v>-1830560.8</v>
      </c>
      <c r="O452" s="183">
        <v>-2002704.32</v>
      </c>
      <c r="P452" s="183">
        <v>-2256796.1</v>
      </c>
      <c r="Q452" s="183">
        <v>-3193505.87</v>
      </c>
      <c r="R452" s="183">
        <v>-4438826.72</v>
      </c>
      <c r="S452" s="184">
        <f t="shared" si="93"/>
        <v>-1341615.4375</v>
      </c>
      <c r="U452" s="65"/>
      <c r="V452" s="103"/>
      <c r="W452" s="103">
        <f t="shared" si="94"/>
        <v>-1341615.4375</v>
      </c>
      <c r="X452" s="599"/>
      <c r="Y452" s="103"/>
      <c r="Z452" s="103"/>
      <c r="AA452" s="65"/>
      <c r="AB452" s="103"/>
      <c r="AC452" s="42">
        <f t="shared" si="95"/>
        <v>-1341615.4375</v>
      </c>
      <c r="AF452" s="6"/>
    </row>
    <row r="453" spans="1:32">
      <c r="A453" s="2">
        <f t="shared" si="85"/>
        <v>436</v>
      </c>
      <c r="B453" s="688" t="s">
        <v>2342</v>
      </c>
      <c r="C453" s="688" t="s">
        <v>3109</v>
      </c>
      <c r="D453" s="1" t="s">
        <v>3092</v>
      </c>
      <c r="E453" s="182" t="s">
        <v>3110</v>
      </c>
      <c r="F453" s="183">
        <v>-2088.77</v>
      </c>
      <c r="G453" s="183">
        <v>-21.52</v>
      </c>
      <c r="H453" s="183">
        <v>-38.130000000000003</v>
      </c>
      <c r="I453" s="183">
        <v>-1259.27</v>
      </c>
      <c r="J453" s="183">
        <v>-1384.03</v>
      </c>
      <c r="K453" s="183">
        <v>-1399.46</v>
      </c>
      <c r="L453" s="183">
        <v>-1420.05</v>
      </c>
      <c r="M453" s="183">
        <v>-1634.62</v>
      </c>
      <c r="N453" s="183">
        <v>-1650.96</v>
      </c>
      <c r="O453" s="183">
        <v>-1669.55</v>
      </c>
      <c r="P453" s="183">
        <v>-1687.16</v>
      </c>
      <c r="Q453" s="183">
        <v>-2154.44</v>
      </c>
      <c r="R453" s="183">
        <v>-2191.3200000000002</v>
      </c>
      <c r="S453" s="184">
        <f t="shared" si="93"/>
        <v>-1371.6029166666667</v>
      </c>
      <c r="U453" s="65"/>
      <c r="V453" s="103"/>
      <c r="W453" s="103">
        <f t="shared" si="94"/>
        <v>-1371.6029166666667</v>
      </c>
      <c r="X453" s="599"/>
      <c r="Y453" s="103"/>
      <c r="Z453" s="103"/>
      <c r="AA453" s="65"/>
      <c r="AB453" s="103"/>
      <c r="AC453" s="42">
        <f t="shared" si="95"/>
        <v>-1371.6029166666667</v>
      </c>
      <c r="AF453" s="6"/>
    </row>
    <row r="454" spans="1:32">
      <c r="A454" s="2">
        <f t="shared" si="85"/>
        <v>437</v>
      </c>
      <c r="B454" s="688" t="s">
        <v>2342</v>
      </c>
      <c r="C454" s="688" t="s">
        <v>3109</v>
      </c>
      <c r="D454" s="1" t="s">
        <v>3100</v>
      </c>
      <c r="E454" s="182" t="s">
        <v>3111</v>
      </c>
      <c r="F454" s="183">
        <v>-740.73</v>
      </c>
      <c r="G454" s="183">
        <v>0</v>
      </c>
      <c r="H454" s="183">
        <v>0</v>
      </c>
      <c r="I454" s="183">
        <v>-470.94</v>
      </c>
      <c r="J454" s="183">
        <v>-513.77</v>
      </c>
      <c r="K454" s="183">
        <v>-513.77</v>
      </c>
      <c r="L454" s="183">
        <v>-513.77</v>
      </c>
      <c r="M454" s="183">
        <v>-591.65</v>
      </c>
      <c r="N454" s="183">
        <v>-591.65</v>
      </c>
      <c r="O454" s="183">
        <v>-591.65</v>
      </c>
      <c r="P454" s="183">
        <v>-591.65</v>
      </c>
      <c r="Q454" s="183">
        <v>-768.22</v>
      </c>
      <c r="R454" s="183">
        <v>-768.22</v>
      </c>
      <c r="S454" s="184">
        <f t="shared" si="93"/>
        <v>-491.79541666666677</v>
      </c>
      <c r="U454" s="65"/>
      <c r="V454" s="103"/>
      <c r="W454" s="103">
        <f t="shared" si="94"/>
        <v>-491.79541666666677</v>
      </c>
      <c r="X454" s="599"/>
      <c r="Y454" s="103"/>
      <c r="Z454" s="103"/>
      <c r="AA454" s="65"/>
      <c r="AB454" s="103"/>
      <c r="AC454" s="42">
        <f t="shared" si="95"/>
        <v>-491.79541666666677</v>
      </c>
      <c r="AF454" s="6"/>
    </row>
    <row r="455" spans="1:32">
      <c r="A455" s="2">
        <f t="shared" si="85"/>
        <v>438</v>
      </c>
      <c r="B455" s="688" t="s">
        <v>2324</v>
      </c>
      <c r="C455" s="688" t="s">
        <v>3098</v>
      </c>
      <c r="D455" s="1" t="s">
        <v>3092</v>
      </c>
      <c r="E455" s="182" t="s">
        <v>3099</v>
      </c>
      <c r="F455" s="183">
        <v>-4460651.25</v>
      </c>
      <c r="G455" s="183">
        <v>-16344808.189999999</v>
      </c>
      <c r="H455" s="183">
        <v>-16286018.539999999</v>
      </c>
      <c r="I455" s="183">
        <v>-14727633.18</v>
      </c>
      <c r="J455" s="183">
        <v>-13535235.91</v>
      </c>
      <c r="K455" s="183">
        <v>-13944618.369999999</v>
      </c>
      <c r="L455" s="183">
        <v>-14882777.07</v>
      </c>
      <c r="M455" s="183">
        <v>-16702084.02</v>
      </c>
      <c r="N455" s="183">
        <v>-10831719.119999999</v>
      </c>
      <c r="O455" s="183">
        <v>-12122209.689999999</v>
      </c>
      <c r="P455" s="183">
        <v>-12073160.720000001</v>
      </c>
      <c r="Q455" s="183">
        <v>-10745986.24</v>
      </c>
      <c r="R455" s="183">
        <v>-4656864.1900000004</v>
      </c>
      <c r="S455" s="184">
        <f t="shared" si="93"/>
        <v>-13062917.397500001</v>
      </c>
      <c r="U455" s="65"/>
      <c r="V455" s="103"/>
      <c r="W455" s="103">
        <f t="shared" si="94"/>
        <v>-13062917.397500001</v>
      </c>
      <c r="X455" s="599"/>
      <c r="Y455" s="103"/>
      <c r="Z455" s="103"/>
      <c r="AA455" s="65"/>
      <c r="AB455" s="103"/>
      <c r="AC455" s="42">
        <f t="shared" si="95"/>
        <v>-13062917.397500001</v>
      </c>
      <c r="AF455" s="6"/>
    </row>
    <row r="456" spans="1:32">
      <c r="A456" s="2">
        <f t="shared" si="85"/>
        <v>439</v>
      </c>
      <c r="B456" s="688" t="s">
        <v>2324</v>
      </c>
      <c r="C456" s="688" t="s">
        <v>3091</v>
      </c>
      <c r="D456" s="1" t="s">
        <v>3092</v>
      </c>
      <c r="E456" s="182" t="s">
        <v>3093</v>
      </c>
      <c r="F456" s="183">
        <v>695691.13</v>
      </c>
      <c r="G456" s="183">
        <v>135575.79</v>
      </c>
      <c r="H456" s="183">
        <v>352110.56</v>
      </c>
      <c r="I456" s="183">
        <v>525502.17000000004</v>
      </c>
      <c r="J456" s="183">
        <v>736355.22</v>
      </c>
      <c r="K456" s="183">
        <v>968762.37</v>
      </c>
      <c r="L456" s="183">
        <v>1195711.71</v>
      </c>
      <c r="M456" s="183">
        <v>1438891.23</v>
      </c>
      <c r="N456" s="183">
        <v>1668731.47</v>
      </c>
      <c r="O456" s="183">
        <v>1874013.58</v>
      </c>
      <c r="P456" s="183">
        <v>2123732.63</v>
      </c>
      <c r="Q456" s="183">
        <v>2341077</v>
      </c>
      <c r="R456" s="183">
        <v>2512299.4300000002</v>
      </c>
      <c r="S456" s="184">
        <f t="shared" si="93"/>
        <v>1247038.2508333332</v>
      </c>
      <c r="U456" s="65"/>
      <c r="V456" s="103"/>
      <c r="W456" s="103">
        <f t="shared" si="94"/>
        <v>1247038.2508333332</v>
      </c>
      <c r="X456" s="599"/>
      <c r="Y456" s="103"/>
      <c r="Z456" s="103"/>
      <c r="AA456" s="65"/>
      <c r="AB456" s="103"/>
      <c r="AC456" s="42">
        <f t="shared" si="95"/>
        <v>1247038.2508333332</v>
      </c>
      <c r="AF456" s="6"/>
    </row>
    <row r="457" spans="1:32">
      <c r="A457" s="2">
        <f t="shared" si="85"/>
        <v>440</v>
      </c>
      <c r="B457" s="688" t="s">
        <v>2324</v>
      </c>
      <c r="C457" s="688" t="s">
        <v>3103</v>
      </c>
      <c r="D457" s="1" t="s">
        <v>3092</v>
      </c>
      <c r="E457" s="182" t="s">
        <v>3104</v>
      </c>
      <c r="F457" s="183">
        <v>13093765.199999999</v>
      </c>
      <c r="G457" s="183">
        <v>17964514.190000001</v>
      </c>
      <c r="H457" s="183">
        <v>18931038.93</v>
      </c>
      <c r="I457" s="183">
        <v>24017063.120000001</v>
      </c>
      <c r="J457" s="183">
        <v>24267555.190000001</v>
      </c>
      <c r="K457" s="183">
        <v>24791748.699999999</v>
      </c>
      <c r="L457" s="183">
        <v>25722611.300000001</v>
      </c>
      <c r="M457" s="183">
        <v>26980230.489999998</v>
      </c>
      <c r="N457" s="183">
        <v>30892234.600000001</v>
      </c>
      <c r="O457" s="183">
        <v>32816274.859999999</v>
      </c>
      <c r="P457" s="183">
        <v>35223870.950000003</v>
      </c>
      <c r="Q457" s="183">
        <v>41211157.130000003</v>
      </c>
      <c r="R457" s="183">
        <v>43294488.670000002</v>
      </c>
      <c r="S457" s="184">
        <f t="shared" si="93"/>
        <v>27584368.866249997</v>
      </c>
      <c r="U457" s="65"/>
      <c r="V457" s="103"/>
      <c r="W457" s="103">
        <f t="shared" si="94"/>
        <v>27584368.866249997</v>
      </c>
      <c r="X457" s="599"/>
      <c r="Y457" s="103"/>
      <c r="Z457" s="103"/>
      <c r="AA457" s="65"/>
      <c r="AB457" s="103"/>
      <c r="AC457" s="42">
        <f t="shared" si="95"/>
        <v>27584368.866249997</v>
      </c>
      <c r="AF457" s="6"/>
    </row>
    <row r="458" spans="1:32">
      <c r="A458" s="2">
        <f t="shared" si="85"/>
        <v>441</v>
      </c>
      <c r="B458" s="688" t="s">
        <v>2324</v>
      </c>
      <c r="C458" s="688" t="s">
        <v>3094</v>
      </c>
      <c r="D458" s="1" t="s">
        <v>3092</v>
      </c>
      <c r="E458" s="182" t="s">
        <v>3095</v>
      </c>
      <c r="F458" s="183">
        <v>30531.14</v>
      </c>
      <c r="G458" s="183">
        <v>3781.66</v>
      </c>
      <c r="H458" s="183">
        <v>6594.79</v>
      </c>
      <c r="I458" s="183">
        <v>9191.64</v>
      </c>
      <c r="J458" s="183">
        <v>11718.36</v>
      </c>
      <c r="K458" s="183">
        <v>14300.5</v>
      </c>
      <c r="L458" s="183">
        <v>17898.14</v>
      </c>
      <c r="M458" s="183">
        <v>20430.61</v>
      </c>
      <c r="N458" s="183">
        <v>23192.99</v>
      </c>
      <c r="O458" s="183">
        <v>26396.04</v>
      </c>
      <c r="P458" s="183">
        <v>29409.1</v>
      </c>
      <c r="Q458" s="183">
        <v>31957.74</v>
      </c>
      <c r="R458" s="183">
        <v>38753.5</v>
      </c>
      <c r="S458" s="184">
        <f t="shared" si="93"/>
        <v>19126.157500000001</v>
      </c>
      <c r="U458" s="65"/>
      <c r="V458" s="103"/>
      <c r="W458" s="103">
        <f t="shared" si="94"/>
        <v>19126.157500000001</v>
      </c>
      <c r="X458" s="599"/>
      <c r="Y458" s="103"/>
      <c r="Z458" s="103"/>
      <c r="AA458" s="65"/>
      <c r="AB458" s="103"/>
      <c r="AC458" s="42">
        <f t="shared" si="95"/>
        <v>19126.157500000001</v>
      </c>
      <c r="AF458" s="6"/>
    </row>
    <row r="459" spans="1:32">
      <c r="A459" s="2">
        <f t="shared" si="85"/>
        <v>442</v>
      </c>
      <c r="B459" s="688" t="s">
        <v>2324</v>
      </c>
      <c r="C459" s="688" t="s">
        <v>3081</v>
      </c>
      <c r="D459" s="1" t="s">
        <v>3092</v>
      </c>
      <c r="E459" s="182" t="s">
        <v>3107</v>
      </c>
      <c r="F459" s="183">
        <v>-10304536.09</v>
      </c>
      <c r="G459" s="183">
        <v>-896856.81</v>
      </c>
      <c r="H459" s="183">
        <v>-1143478.93</v>
      </c>
      <c r="I459" s="183">
        <v>-7142029.7800000003</v>
      </c>
      <c r="J459" s="183">
        <v>-8617717.1500000004</v>
      </c>
      <c r="K459" s="183">
        <v>-9405537.2200000007</v>
      </c>
      <c r="L459" s="183">
        <v>-10346343.380000001</v>
      </c>
      <c r="M459" s="183">
        <v>-10595036</v>
      </c>
      <c r="N459" s="183">
        <v>-21097993.57</v>
      </c>
      <c r="O459" s="183">
        <v>-22604948</v>
      </c>
      <c r="P459" s="183">
        <v>-25238427.27</v>
      </c>
      <c r="Q459" s="183">
        <v>-31969047.629999999</v>
      </c>
      <c r="R459" s="183">
        <v>-38804558.600000001</v>
      </c>
      <c r="S459" s="184">
        <f t="shared" si="93"/>
        <v>-14467663.590416668</v>
      </c>
      <c r="U459" s="65"/>
      <c r="V459" s="103"/>
      <c r="W459" s="103">
        <f t="shared" si="94"/>
        <v>-14467663.590416668</v>
      </c>
      <c r="X459" s="599"/>
      <c r="Y459" s="103"/>
      <c r="Z459" s="103"/>
      <c r="AA459" s="65"/>
      <c r="AB459" s="103"/>
      <c r="AC459" s="42">
        <f t="shared" si="95"/>
        <v>-14467663.590416668</v>
      </c>
      <c r="AF459" s="6"/>
    </row>
    <row r="460" spans="1:32">
      <c r="A460" s="2">
        <f t="shared" si="85"/>
        <v>443</v>
      </c>
      <c r="B460" s="688" t="s">
        <v>2324</v>
      </c>
      <c r="C460" s="688" t="s">
        <v>3109</v>
      </c>
      <c r="D460" s="1" t="s">
        <v>3092</v>
      </c>
      <c r="E460" s="182" t="s">
        <v>3110</v>
      </c>
      <c r="F460" s="183">
        <v>-7259.09</v>
      </c>
      <c r="G460" s="183">
        <v>-68.25</v>
      </c>
      <c r="H460" s="183">
        <v>-119.02</v>
      </c>
      <c r="I460" s="183">
        <v>-4437.96</v>
      </c>
      <c r="J460" s="183">
        <v>-4872.04</v>
      </c>
      <c r="K460" s="183">
        <v>-4918.6499999999996</v>
      </c>
      <c r="L460" s="183">
        <v>-4983.57</v>
      </c>
      <c r="M460" s="183">
        <v>-5735.83</v>
      </c>
      <c r="N460" s="183">
        <v>-5785.68</v>
      </c>
      <c r="O460" s="183">
        <v>-5843.5</v>
      </c>
      <c r="P460" s="183">
        <v>-5897.87</v>
      </c>
      <c r="Q460" s="183">
        <v>-7545.57</v>
      </c>
      <c r="R460" s="183">
        <v>-7668.23</v>
      </c>
      <c r="S460" s="184">
        <f t="shared" si="93"/>
        <v>-4805.9666666666672</v>
      </c>
      <c r="U460" s="65"/>
      <c r="V460" s="103"/>
      <c r="W460" s="103">
        <f t="shared" si="94"/>
        <v>-4805.9666666666672</v>
      </c>
      <c r="X460" s="599"/>
      <c r="Y460" s="103"/>
      <c r="Z460" s="103"/>
      <c r="AA460" s="65"/>
      <c r="AB460" s="103"/>
      <c r="AC460" s="42">
        <f t="shared" si="95"/>
        <v>-4805.9666666666672</v>
      </c>
      <c r="AF460" s="6"/>
    </row>
    <row r="461" spans="1:32">
      <c r="A461" s="2">
        <f t="shared" si="85"/>
        <v>444</v>
      </c>
      <c r="E461" s="182" t="s">
        <v>3112</v>
      </c>
      <c r="F461" s="511">
        <f t="shared" ref="F461:S461" si="96">SUM(F440:F460)</f>
        <v>2371389.7100000009</v>
      </c>
      <c r="G461" s="511">
        <f t="shared" si="96"/>
        <v>1358067.4200000004</v>
      </c>
      <c r="H461" s="511">
        <f t="shared" si="96"/>
        <v>2880358.8900000011</v>
      </c>
      <c r="I461" s="511">
        <f t="shared" si="96"/>
        <v>3971646.2800000012</v>
      </c>
      <c r="J461" s="511">
        <f t="shared" si="96"/>
        <v>4264509.9799999995</v>
      </c>
      <c r="K461" s="511">
        <f t="shared" si="96"/>
        <v>3713977.4200000004</v>
      </c>
      <c r="L461" s="511">
        <f t="shared" si="96"/>
        <v>2823895.3800000013</v>
      </c>
      <c r="M461" s="511">
        <f t="shared" si="96"/>
        <v>2048918.589999998</v>
      </c>
      <c r="N461" s="511">
        <f t="shared" si="96"/>
        <v>1144578.1599999999</v>
      </c>
      <c r="O461" s="511">
        <f t="shared" si="96"/>
        <v>241827.71000000089</v>
      </c>
      <c r="P461" s="511">
        <f t="shared" si="96"/>
        <v>435956.59000000462</v>
      </c>
      <c r="Q461" s="511">
        <f t="shared" si="96"/>
        <v>1738200.2900000031</v>
      </c>
      <c r="R461" s="511">
        <f t="shared" si="96"/>
        <v>3893412.4000000027</v>
      </c>
      <c r="S461" s="512">
        <f t="shared" si="96"/>
        <v>2312861.4804166593</v>
      </c>
      <c r="U461" s="65"/>
      <c r="V461" s="103"/>
      <c r="W461" s="103"/>
      <c r="X461" s="599"/>
      <c r="Y461" s="103"/>
      <c r="Z461" s="103"/>
      <c r="AA461" s="65"/>
      <c r="AB461" s="103"/>
      <c r="AF461" s="6"/>
    </row>
    <row r="462" spans="1:32">
      <c r="A462" s="2">
        <f t="shared" si="85"/>
        <v>445</v>
      </c>
      <c r="E462" s="182"/>
      <c r="F462" s="183"/>
      <c r="G462" s="198"/>
      <c r="H462" s="188"/>
      <c r="I462" s="188"/>
      <c r="J462" s="189"/>
      <c r="K462" s="190"/>
      <c r="L462" s="191"/>
      <c r="M462" s="192"/>
      <c r="N462" s="193"/>
      <c r="O462" s="689"/>
      <c r="P462" s="194"/>
      <c r="Q462" s="199"/>
      <c r="R462" s="183"/>
      <c r="S462" s="47"/>
      <c r="U462" s="65"/>
      <c r="V462" s="103"/>
      <c r="W462" s="103"/>
      <c r="X462" s="599"/>
      <c r="Y462" s="103"/>
      <c r="Z462" s="103"/>
      <c r="AA462" s="65"/>
      <c r="AB462" s="103"/>
      <c r="AF462" s="6"/>
    </row>
    <row r="463" spans="1:32">
      <c r="A463" s="2">
        <f t="shared" si="85"/>
        <v>446</v>
      </c>
      <c r="E463" s="182"/>
      <c r="F463" s="183"/>
      <c r="G463" s="198"/>
      <c r="H463" s="188"/>
      <c r="I463" s="188"/>
      <c r="J463" s="189"/>
      <c r="K463" s="190"/>
      <c r="L463" s="191"/>
      <c r="M463" s="192"/>
      <c r="N463" s="193"/>
      <c r="O463" s="689"/>
      <c r="P463" s="194"/>
      <c r="Q463" s="199"/>
      <c r="R463" s="183"/>
      <c r="S463" s="47"/>
      <c r="U463" s="65"/>
      <c r="V463" s="103"/>
      <c r="W463" s="103"/>
      <c r="X463" s="599"/>
      <c r="Y463" s="103"/>
      <c r="Z463" s="103"/>
      <c r="AA463" s="65"/>
      <c r="AB463" s="103"/>
      <c r="AF463" s="6"/>
    </row>
    <row r="464" spans="1:32">
      <c r="A464" s="2">
        <f t="shared" si="85"/>
        <v>447</v>
      </c>
      <c r="B464" s="688" t="s">
        <v>2330</v>
      </c>
      <c r="C464" s="688" t="s">
        <v>3113</v>
      </c>
      <c r="E464" s="182" t="s">
        <v>995</v>
      </c>
      <c r="F464" s="183">
        <v>0</v>
      </c>
      <c r="G464" s="183">
        <v>0</v>
      </c>
      <c r="H464" s="183">
        <v>0</v>
      </c>
      <c r="I464" s="183">
        <v>0</v>
      </c>
      <c r="J464" s="183">
        <v>0</v>
      </c>
      <c r="K464" s="183">
        <v>0</v>
      </c>
      <c r="L464" s="183">
        <v>0</v>
      </c>
      <c r="M464" s="183">
        <v>0</v>
      </c>
      <c r="N464" s="183">
        <v>0</v>
      </c>
      <c r="O464" s="183">
        <v>0</v>
      </c>
      <c r="P464" s="183">
        <v>0</v>
      </c>
      <c r="Q464" s="183">
        <v>0</v>
      </c>
      <c r="R464" s="183">
        <v>0</v>
      </c>
      <c r="S464" s="184">
        <f t="shared" ref="S464:S473" si="97">((F464+R464)+((G464+H464+I464+J464+K464+L464+M464+N464+O464+P464+Q464)*2))/24</f>
        <v>0</v>
      </c>
      <c r="U464" s="65"/>
      <c r="V464" s="103"/>
      <c r="W464" s="103">
        <f t="shared" ref="W464:W472" si="98">+S464</f>
        <v>0</v>
      </c>
      <c r="X464" s="599"/>
      <c r="Y464" s="103"/>
      <c r="Z464" s="103"/>
      <c r="AA464" s="65"/>
      <c r="AB464" s="103"/>
      <c r="AC464" s="42">
        <f t="shared" ref="AC464:AC473" si="99">+S464</f>
        <v>0</v>
      </c>
      <c r="AF464" s="6"/>
    </row>
    <row r="465" spans="1:32">
      <c r="A465" s="2">
        <f t="shared" si="85"/>
        <v>448</v>
      </c>
      <c r="B465" s="688" t="s">
        <v>2330</v>
      </c>
      <c r="C465" s="688" t="s">
        <v>3114</v>
      </c>
      <c r="E465" s="182" t="s">
        <v>1006</v>
      </c>
      <c r="F465" s="183">
        <v>0</v>
      </c>
      <c r="G465" s="183">
        <v>0</v>
      </c>
      <c r="H465" s="183">
        <v>0</v>
      </c>
      <c r="I465" s="183">
        <v>0</v>
      </c>
      <c r="J465" s="183">
        <v>0</v>
      </c>
      <c r="K465" s="183">
        <v>0</v>
      </c>
      <c r="L465" s="183">
        <v>0</v>
      </c>
      <c r="M465" s="183">
        <v>0</v>
      </c>
      <c r="N465" s="183">
        <v>0</v>
      </c>
      <c r="O465" s="183">
        <v>0</v>
      </c>
      <c r="P465" s="183">
        <v>0</v>
      </c>
      <c r="Q465" s="183">
        <v>0</v>
      </c>
      <c r="R465" s="183">
        <v>0</v>
      </c>
      <c r="S465" s="184">
        <f t="shared" si="97"/>
        <v>0</v>
      </c>
      <c r="U465" s="65"/>
      <c r="V465" s="103"/>
      <c r="W465" s="103">
        <f t="shared" si="98"/>
        <v>0</v>
      </c>
      <c r="X465" s="599"/>
      <c r="Y465" s="103"/>
      <c r="Z465" s="103"/>
      <c r="AA465" s="65"/>
      <c r="AB465" s="103"/>
      <c r="AC465" s="42">
        <f t="shared" si="99"/>
        <v>0</v>
      </c>
      <c r="AF465" s="6"/>
    </row>
    <row r="466" spans="1:32">
      <c r="A466" s="2">
        <f t="shared" si="85"/>
        <v>449</v>
      </c>
      <c r="B466" s="692" t="s">
        <v>31</v>
      </c>
      <c r="C466" s="692" t="s">
        <v>31</v>
      </c>
      <c r="D466" s="688" t="s">
        <v>3115</v>
      </c>
      <c r="E466" s="182" t="s">
        <v>1008</v>
      </c>
      <c r="F466" s="183">
        <v>153707.88</v>
      </c>
      <c r="G466" s="183">
        <v>12790</v>
      </c>
      <c r="H466" s="183">
        <v>22940</v>
      </c>
      <c r="I466" s="183">
        <v>50338.720000000001</v>
      </c>
      <c r="J466" s="183">
        <v>57378.720000000001</v>
      </c>
      <c r="K466" s="183">
        <v>58778.720000000001</v>
      </c>
      <c r="L466" s="183">
        <v>71392.84</v>
      </c>
      <c r="M466" s="183">
        <v>84083.45</v>
      </c>
      <c r="N466" s="183">
        <v>100816.51</v>
      </c>
      <c r="O466" s="183">
        <v>115525.54</v>
      </c>
      <c r="P466" s="183">
        <v>120183.54</v>
      </c>
      <c r="Q466" s="183">
        <v>125293.54</v>
      </c>
      <c r="R466" s="183">
        <v>209636.69</v>
      </c>
      <c r="S466" s="184">
        <f t="shared" si="97"/>
        <v>83432.822083333347</v>
      </c>
      <c r="U466" s="65"/>
      <c r="V466" s="103"/>
      <c r="W466" s="103">
        <f t="shared" si="98"/>
        <v>83432.822083333347</v>
      </c>
      <c r="X466" s="599"/>
      <c r="Y466" s="103"/>
      <c r="Z466" s="103"/>
      <c r="AA466" s="65"/>
      <c r="AB466" s="103"/>
      <c r="AC466" s="42">
        <f t="shared" si="99"/>
        <v>83432.822083333347</v>
      </c>
      <c r="AF466" s="6"/>
    </row>
    <row r="467" spans="1:32">
      <c r="A467" s="2">
        <f t="shared" si="85"/>
        <v>450</v>
      </c>
      <c r="B467" s="692" t="s">
        <v>31</v>
      </c>
      <c r="C467" s="692" t="s">
        <v>31</v>
      </c>
      <c r="D467" s="688" t="s">
        <v>3116</v>
      </c>
      <c r="E467" s="182" t="s">
        <v>3117</v>
      </c>
      <c r="F467" s="183">
        <v>1753643.99</v>
      </c>
      <c r="G467" s="183">
        <v>-295584.03000000003</v>
      </c>
      <c r="H467" s="183">
        <v>-124142.38</v>
      </c>
      <c r="I467" s="183">
        <v>-283847.95</v>
      </c>
      <c r="J467" s="183">
        <v>-275162.43</v>
      </c>
      <c r="K467" s="183">
        <v>-292964.18</v>
      </c>
      <c r="L467" s="183">
        <v>-378023.45</v>
      </c>
      <c r="M467" s="183">
        <v>-457002.73</v>
      </c>
      <c r="N467" s="183">
        <v>-337186.31</v>
      </c>
      <c r="O467" s="183">
        <v>-159910.45000000001</v>
      </c>
      <c r="P467" s="183">
        <v>-24333.250000000098</v>
      </c>
      <c r="Q467" s="183">
        <v>-246266.59</v>
      </c>
      <c r="R467" s="183">
        <v>-423112.14</v>
      </c>
      <c r="S467" s="184">
        <f t="shared" si="97"/>
        <v>-184096.48541666669</v>
      </c>
      <c r="U467" s="65"/>
      <c r="V467" s="103"/>
      <c r="W467" s="103">
        <f t="shared" si="98"/>
        <v>-184096.48541666669</v>
      </c>
      <c r="X467" s="599"/>
      <c r="Y467" s="103"/>
      <c r="Z467" s="103"/>
      <c r="AA467" s="65"/>
      <c r="AB467" s="103"/>
      <c r="AC467" s="42">
        <f t="shared" si="99"/>
        <v>-184096.48541666669</v>
      </c>
      <c r="AF467" s="6"/>
    </row>
    <row r="468" spans="1:32">
      <c r="A468" s="2">
        <f t="shared" ref="A468:A531" si="100">MAX(A467:A467)+1</f>
        <v>451</v>
      </c>
      <c r="B468" s="692" t="s">
        <v>31</v>
      </c>
      <c r="C468" s="692" t="s">
        <v>31</v>
      </c>
      <c r="D468" s="688" t="s">
        <v>3118</v>
      </c>
      <c r="E468" s="182" t="s">
        <v>1012</v>
      </c>
      <c r="F468" s="183">
        <v>26404.91</v>
      </c>
      <c r="G468" s="183">
        <v>0</v>
      </c>
      <c r="H468" s="183">
        <v>0</v>
      </c>
      <c r="I468" s="183">
        <v>2.62</v>
      </c>
      <c r="J468" s="183">
        <v>2.62</v>
      </c>
      <c r="K468" s="183">
        <v>2.62</v>
      </c>
      <c r="L468" s="183">
        <v>2.62</v>
      </c>
      <c r="M468" s="183">
        <v>3.43</v>
      </c>
      <c r="N468" s="183">
        <v>3.43</v>
      </c>
      <c r="O468" s="183">
        <v>12.75</v>
      </c>
      <c r="P468" s="183">
        <v>12.75</v>
      </c>
      <c r="Q468" s="183">
        <v>12.75</v>
      </c>
      <c r="R468" s="183">
        <v>12.75</v>
      </c>
      <c r="S468" s="184">
        <f t="shared" si="97"/>
        <v>1105.3683333333333</v>
      </c>
      <c r="U468" s="65"/>
      <c r="V468" s="103"/>
      <c r="W468" s="103">
        <f t="shared" si="98"/>
        <v>1105.3683333333333</v>
      </c>
      <c r="X468" s="599"/>
      <c r="Y468" s="103"/>
      <c r="Z468" s="103"/>
      <c r="AA468" s="65"/>
      <c r="AB468" s="103"/>
      <c r="AC468" s="42">
        <f t="shared" si="99"/>
        <v>1105.3683333333333</v>
      </c>
      <c r="AF468" s="6"/>
    </row>
    <row r="469" spans="1:32">
      <c r="A469" s="2">
        <f t="shared" si="100"/>
        <v>452</v>
      </c>
      <c r="B469" s="692" t="s">
        <v>31</v>
      </c>
      <c r="C469" s="692" t="s">
        <v>31</v>
      </c>
      <c r="D469" s="688" t="s">
        <v>3119</v>
      </c>
      <c r="E469" s="182" t="s">
        <v>3120</v>
      </c>
      <c r="F469" s="183">
        <v>619224.56999999995</v>
      </c>
      <c r="G469" s="183">
        <v>61354</v>
      </c>
      <c r="H469" s="183">
        <v>240162.54</v>
      </c>
      <c r="I469" s="183">
        <v>255717.72</v>
      </c>
      <c r="J469" s="183">
        <v>321751.33</v>
      </c>
      <c r="K469" s="183">
        <v>343723.7</v>
      </c>
      <c r="L469" s="183">
        <v>363713.12</v>
      </c>
      <c r="M469" s="183">
        <v>388571.12</v>
      </c>
      <c r="N469" s="183">
        <v>406545.12</v>
      </c>
      <c r="O469" s="183">
        <v>576260.75</v>
      </c>
      <c r="P469" s="183">
        <v>600807.89</v>
      </c>
      <c r="Q469" s="183">
        <v>617584.6</v>
      </c>
      <c r="R469" s="183">
        <v>640650.56000000006</v>
      </c>
      <c r="S469" s="184">
        <f t="shared" si="97"/>
        <v>400510.78791666665</v>
      </c>
      <c r="U469" s="65"/>
      <c r="V469" s="103"/>
      <c r="W469" s="103">
        <f t="shared" si="98"/>
        <v>400510.78791666665</v>
      </c>
      <c r="X469" s="599"/>
      <c r="Y469" s="103"/>
      <c r="Z469" s="103"/>
      <c r="AA469" s="65"/>
      <c r="AB469" s="103"/>
      <c r="AC469" s="42">
        <f t="shared" si="99"/>
        <v>400510.78791666665</v>
      </c>
      <c r="AF469" s="6"/>
    </row>
    <row r="470" spans="1:32">
      <c r="A470" s="2">
        <f t="shared" si="100"/>
        <v>453</v>
      </c>
      <c r="B470" s="693" t="s">
        <v>31</v>
      </c>
      <c r="C470" s="693" t="s">
        <v>31</v>
      </c>
      <c r="D470" s="688" t="s">
        <v>3121</v>
      </c>
      <c r="E470" s="182" t="s">
        <v>3122</v>
      </c>
      <c r="F470" s="183">
        <v>0</v>
      </c>
      <c r="G470" s="183">
        <v>0</v>
      </c>
      <c r="H470" s="183">
        <v>0</v>
      </c>
      <c r="I470" s="183">
        <v>0</v>
      </c>
      <c r="J470" s="183">
        <v>0</v>
      </c>
      <c r="K470" s="183">
        <v>0</v>
      </c>
      <c r="L470" s="183">
        <v>0</v>
      </c>
      <c r="M470" s="183">
        <v>0</v>
      </c>
      <c r="N470" s="183">
        <v>0</v>
      </c>
      <c r="O470" s="183">
        <v>0</v>
      </c>
      <c r="P470" s="183">
        <v>0</v>
      </c>
      <c r="Q470" s="183">
        <v>0</v>
      </c>
      <c r="R470" s="183">
        <v>0</v>
      </c>
      <c r="S470" s="184">
        <f t="shared" si="97"/>
        <v>0</v>
      </c>
      <c r="U470" s="65"/>
      <c r="V470" s="103"/>
      <c r="W470" s="103">
        <f t="shared" si="98"/>
        <v>0</v>
      </c>
      <c r="X470" s="599"/>
      <c r="Y470" s="103"/>
      <c r="Z470" s="103"/>
      <c r="AA470" s="65"/>
      <c r="AB470" s="103"/>
      <c r="AC470" s="42">
        <f t="shared" si="99"/>
        <v>0</v>
      </c>
      <c r="AF470" s="6"/>
    </row>
    <row r="471" spans="1:32">
      <c r="A471" s="2">
        <f t="shared" si="100"/>
        <v>454</v>
      </c>
      <c r="B471" s="693" t="s">
        <v>31</v>
      </c>
      <c r="C471" s="693" t="s">
        <v>31</v>
      </c>
      <c r="D471" s="688" t="s">
        <v>3123</v>
      </c>
      <c r="E471" s="182" t="s">
        <v>3124</v>
      </c>
      <c r="F471" s="183">
        <v>0</v>
      </c>
      <c r="G471" s="183">
        <v>0</v>
      </c>
      <c r="H471" s="183">
        <v>0</v>
      </c>
      <c r="I471" s="183">
        <v>0</v>
      </c>
      <c r="J471" s="183">
        <v>0</v>
      </c>
      <c r="K471" s="183">
        <v>0</v>
      </c>
      <c r="L471" s="183">
        <v>0</v>
      </c>
      <c r="M471" s="183">
        <v>0</v>
      </c>
      <c r="N471" s="183">
        <v>0</v>
      </c>
      <c r="O471" s="183">
        <v>0</v>
      </c>
      <c r="P471" s="183">
        <v>0</v>
      </c>
      <c r="Q471" s="183">
        <v>0</v>
      </c>
      <c r="R471" s="183">
        <v>0</v>
      </c>
      <c r="S471" s="184">
        <f t="shared" si="97"/>
        <v>0</v>
      </c>
      <c r="U471" s="65"/>
      <c r="V471" s="103"/>
      <c r="W471" s="103">
        <f t="shared" si="98"/>
        <v>0</v>
      </c>
      <c r="X471" s="599"/>
      <c r="Y471" s="103"/>
      <c r="Z471" s="103"/>
      <c r="AA471" s="65"/>
      <c r="AB471" s="103"/>
      <c r="AC471" s="42">
        <f t="shared" si="99"/>
        <v>0</v>
      </c>
      <c r="AF471" s="6"/>
    </row>
    <row r="472" spans="1:32">
      <c r="A472" s="2">
        <f t="shared" si="100"/>
        <v>455</v>
      </c>
      <c r="B472" s="688" t="s">
        <v>31</v>
      </c>
      <c r="C472" s="688" t="s">
        <v>3125</v>
      </c>
      <c r="D472" s="688" t="s">
        <v>3123</v>
      </c>
      <c r="E472" s="200" t="s">
        <v>3126</v>
      </c>
      <c r="F472" s="183">
        <v>0</v>
      </c>
      <c r="G472" s="183">
        <v>0</v>
      </c>
      <c r="H472" s="183">
        <v>0</v>
      </c>
      <c r="I472" s="183">
        <v>0</v>
      </c>
      <c r="J472" s="183">
        <v>0</v>
      </c>
      <c r="K472" s="183">
        <v>0</v>
      </c>
      <c r="L472" s="183">
        <v>0</v>
      </c>
      <c r="M472" s="183">
        <v>0</v>
      </c>
      <c r="N472" s="183">
        <v>0</v>
      </c>
      <c r="O472" s="183">
        <v>0</v>
      </c>
      <c r="P472" s="183">
        <v>0</v>
      </c>
      <c r="Q472" s="183">
        <v>0</v>
      </c>
      <c r="R472" s="183">
        <v>0</v>
      </c>
      <c r="S472" s="184">
        <f t="shared" si="97"/>
        <v>0</v>
      </c>
      <c r="U472" s="65"/>
      <c r="V472" s="103"/>
      <c r="W472" s="103">
        <f t="shared" si="98"/>
        <v>0</v>
      </c>
      <c r="X472" s="599"/>
      <c r="Y472" s="103"/>
      <c r="Z472" s="103"/>
      <c r="AA472" s="65"/>
      <c r="AB472" s="103"/>
      <c r="AC472" s="42">
        <f t="shared" si="99"/>
        <v>0</v>
      </c>
      <c r="AF472" s="6"/>
    </row>
    <row r="473" spans="1:32">
      <c r="A473" s="2">
        <f t="shared" si="100"/>
        <v>456</v>
      </c>
      <c r="B473" s="688" t="s">
        <v>2324</v>
      </c>
      <c r="C473" s="688" t="s">
        <v>3127</v>
      </c>
      <c r="D473" s="688" t="s">
        <v>3041</v>
      </c>
      <c r="E473" s="182" t="s">
        <v>3128</v>
      </c>
      <c r="F473" s="313">
        <v>1062.3</v>
      </c>
      <c r="G473" s="313">
        <v>0</v>
      </c>
      <c r="H473" s="313">
        <v>0</v>
      </c>
      <c r="I473" s="313">
        <v>0</v>
      </c>
      <c r="J473" s="313">
        <v>1901.01</v>
      </c>
      <c r="K473" s="313">
        <v>1901.01</v>
      </c>
      <c r="L473" s="313">
        <v>1901.01</v>
      </c>
      <c r="M473" s="313">
        <v>1901.01</v>
      </c>
      <c r="N473" s="313">
        <v>1901.01</v>
      </c>
      <c r="O473" s="313">
        <v>3802.02</v>
      </c>
      <c r="P473" s="313">
        <v>3802.02</v>
      </c>
      <c r="Q473" s="313">
        <v>3802.02</v>
      </c>
      <c r="R473" s="313">
        <v>3802.02</v>
      </c>
      <c r="S473" s="184">
        <f t="shared" si="97"/>
        <v>1945.2725</v>
      </c>
      <c r="U473" s="65"/>
      <c r="V473" s="103"/>
      <c r="W473" s="103">
        <f>+S473</f>
        <v>1945.2725</v>
      </c>
      <c r="X473" s="599"/>
      <c r="Y473" s="103"/>
      <c r="Z473" s="103"/>
      <c r="AA473" s="65"/>
      <c r="AB473" s="103"/>
      <c r="AC473" s="42">
        <f t="shared" si="99"/>
        <v>1945.2725</v>
      </c>
      <c r="AF473" s="6"/>
    </row>
    <row r="474" spans="1:32">
      <c r="A474" s="2">
        <f t="shared" si="100"/>
        <v>457</v>
      </c>
      <c r="E474" s="182" t="s">
        <v>3129</v>
      </c>
      <c r="F474" s="511">
        <f>SUM(F464:F473)</f>
        <v>2554043.65</v>
      </c>
      <c r="G474" s="511">
        <f t="shared" ref="G474:S474" si="101">SUM(G464:G473)</f>
        <v>-221440.03000000003</v>
      </c>
      <c r="H474" s="511">
        <f t="shared" si="101"/>
        <v>138960.16</v>
      </c>
      <c r="I474" s="511">
        <f t="shared" si="101"/>
        <v>22211.109999999986</v>
      </c>
      <c r="J474" s="511">
        <f t="shared" si="101"/>
        <v>105871.25000000001</v>
      </c>
      <c r="K474" s="511">
        <f t="shared" si="101"/>
        <v>111441.87000000001</v>
      </c>
      <c r="L474" s="511">
        <f t="shared" si="101"/>
        <v>58986.140000000007</v>
      </c>
      <c r="M474" s="511">
        <f t="shared" si="101"/>
        <v>17556.280000000017</v>
      </c>
      <c r="N474" s="511">
        <f t="shared" si="101"/>
        <v>172079.76</v>
      </c>
      <c r="O474" s="511">
        <f t="shared" si="101"/>
        <v>535690.61</v>
      </c>
      <c r="P474" s="511">
        <f t="shared" si="101"/>
        <v>700472.95</v>
      </c>
      <c r="Q474" s="511">
        <f t="shared" si="101"/>
        <v>500426.32</v>
      </c>
      <c r="R474" s="511">
        <f t="shared" si="101"/>
        <v>430989.88000000006</v>
      </c>
      <c r="S474" s="512">
        <f t="shared" si="101"/>
        <v>302897.76541666669</v>
      </c>
      <c r="U474" s="65"/>
      <c r="V474" s="103"/>
      <c r="W474" s="103"/>
      <c r="X474" s="599"/>
      <c r="Y474" s="103"/>
      <c r="Z474" s="103"/>
      <c r="AA474" s="65"/>
      <c r="AB474" s="103"/>
      <c r="AF474" s="6"/>
    </row>
    <row r="475" spans="1:32">
      <c r="A475" s="2">
        <f t="shared" si="100"/>
        <v>458</v>
      </c>
      <c r="E475" s="182"/>
      <c r="F475" s="183"/>
      <c r="G475" s="198"/>
      <c r="H475" s="188"/>
      <c r="I475" s="188"/>
      <c r="J475" s="189"/>
      <c r="K475" s="190"/>
      <c r="L475" s="191"/>
      <c r="M475" s="192"/>
      <c r="N475" s="193"/>
      <c r="O475" s="689"/>
      <c r="P475" s="194"/>
      <c r="Q475" s="199"/>
      <c r="R475" s="183"/>
      <c r="S475" s="47"/>
      <c r="U475" s="65"/>
      <c r="V475" s="103"/>
      <c r="W475" s="103"/>
      <c r="X475" s="599"/>
      <c r="Y475" s="103"/>
      <c r="Z475" s="103"/>
      <c r="AA475" s="65"/>
      <c r="AB475" s="103"/>
      <c r="AF475" s="6"/>
    </row>
    <row r="476" spans="1:32">
      <c r="A476" s="2">
        <f t="shared" si="100"/>
        <v>459</v>
      </c>
      <c r="B476" s="688" t="s">
        <v>2330</v>
      </c>
      <c r="C476" s="688" t="s">
        <v>3130</v>
      </c>
      <c r="D476" s="688" t="s">
        <v>2303</v>
      </c>
      <c r="E476" s="182" t="s">
        <v>3131</v>
      </c>
      <c r="F476" s="313">
        <v>16100000</v>
      </c>
      <c r="G476" s="313">
        <v>0</v>
      </c>
      <c r="H476" s="313">
        <v>2855000</v>
      </c>
      <c r="I476" s="313">
        <v>2855000</v>
      </c>
      <c r="J476" s="313">
        <v>2855000</v>
      </c>
      <c r="K476" s="313">
        <v>6432000</v>
      </c>
      <c r="L476" s="313">
        <v>6432000</v>
      </c>
      <c r="M476" s="313">
        <v>6432000</v>
      </c>
      <c r="N476" s="313">
        <v>9687000</v>
      </c>
      <c r="O476" s="313">
        <v>9687000</v>
      </c>
      <c r="P476" s="313">
        <v>9687000</v>
      </c>
      <c r="Q476" s="313">
        <v>12942000</v>
      </c>
      <c r="R476" s="313">
        <v>12942000</v>
      </c>
      <c r="S476" s="184">
        <f>((F476+R476)+((G476+H476+I476+J476+K476+L476+M476+N476+O476+P476+Q476)*2))/24</f>
        <v>7032083.333333333</v>
      </c>
      <c r="U476" s="65"/>
      <c r="V476" s="103"/>
      <c r="W476" s="103">
        <f>+S476</f>
        <v>7032083.333333333</v>
      </c>
      <c r="X476" s="599"/>
      <c r="Y476" s="103"/>
      <c r="Z476" s="103"/>
      <c r="AA476" s="65"/>
      <c r="AB476" s="103"/>
      <c r="AC476" s="42">
        <f>+S476</f>
        <v>7032083.333333333</v>
      </c>
      <c r="AF476" s="6"/>
    </row>
    <row r="477" spans="1:32">
      <c r="A477" s="2">
        <f t="shared" si="100"/>
        <v>460</v>
      </c>
      <c r="E477" s="182" t="s">
        <v>3132</v>
      </c>
      <c r="F477" s="511">
        <f>+F476</f>
        <v>16100000</v>
      </c>
      <c r="G477" s="511">
        <f t="shared" ref="G477:S477" si="102">+G476</f>
        <v>0</v>
      </c>
      <c r="H477" s="511">
        <f t="shared" si="102"/>
        <v>2855000</v>
      </c>
      <c r="I477" s="511">
        <f t="shared" si="102"/>
        <v>2855000</v>
      </c>
      <c r="J477" s="511">
        <f t="shared" si="102"/>
        <v>2855000</v>
      </c>
      <c r="K477" s="511">
        <f t="shared" si="102"/>
        <v>6432000</v>
      </c>
      <c r="L477" s="511">
        <f t="shared" si="102"/>
        <v>6432000</v>
      </c>
      <c r="M477" s="511">
        <f t="shared" si="102"/>
        <v>6432000</v>
      </c>
      <c r="N477" s="511">
        <f t="shared" si="102"/>
        <v>9687000</v>
      </c>
      <c r="O477" s="511">
        <f t="shared" si="102"/>
        <v>9687000</v>
      </c>
      <c r="P477" s="511">
        <f t="shared" si="102"/>
        <v>9687000</v>
      </c>
      <c r="Q477" s="511">
        <f t="shared" si="102"/>
        <v>12942000</v>
      </c>
      <c r="R477" s="511">
        <f t="shared" si="102"/>
        <v>12942000</v>
      </c>
      <c r="S477" s="512">
        <f t="shared" si="102"/>
        <v>7032083.333333333</v>
      </c>
      <c r="U477" s="65"/>
      <c r="V477" s="103"/>
      <c r="W477" s="103"/>
      <c r="X477" s="599"/>
      <c r="Y477" s="103"/>
      <c r="Z477" s="103"/>
      <c r="AA477" s="65"/>
      <c r="AB477" s="103"/>
      <c r="AF477" s="6"/>
    </row>
    <row r="478" spans="1:32">
      <c r="A478" s="2">
        <f t="shared" si="100"/>
        <v>461</v>
      </c>
      <c r="E478" s="182"/>
      <c r="F478" s="663"/>
      <c r="G478" s="825"/>
      <c r="H478" s="814"/>
      <c r="I478" s="814"/>
      <c r="J478" s="667"/>
      <c r="K478" s="815"/>
      <c r="L478" s="816"/>
      <c r="M478" s="668"/>
      <c r="N478" s="669"/>
      <c r="O478" s="817"/>
      <c r="P478" s="670"/>
      <c r="Q478" s="826"/>
      <c r="R478" s="663"/>
      <c r="S478" s="47"/>
      <c r="U478" s="65"/>
      <c r="V478" s="103"/>
      <c r="W478" s="103"/>
      <c r="X478" s="599"/>
      <c r="Y478" s="103"/>
      <c r="Z478" s="103"/>
      <c r="AA478" s="65"/>
      <c r="AB478" s="103"/>
      <c r="AF478" s="6"/>
    </row>
    <row r="479" spans="1:32" ht="15.75" thickBot="1">
      <c r="A479" s="2">
        <f t="shared" si="100"/>
        <v>462</v>
      </c>
      <c r="B479" s="10"/>
      <c r="C479" s="10"/>
      <c r="D479" s="10"/>
      <c r="E479" s="201" t="s">
        <v>3133</v>
      </c>
      <c r="F479" s="694">
        <f>+F477+F474+F461+F438+F419+F414+F396+F395+F393+F387+F281+F277+F244+F242+F223+F211+F192+F140+F78+F61+F52+F49+F74+F225+F226+F227+F228+F229+F230+F231+F232+F233+F234+F235+F237+F236+F240+F241+F243+F250+F251+F252+F238+F239+F245+F246+F247+F248+F249+F254</f>
        <v>1598981862.5399995</v>
      </c>
      <c r="G479" s="694">
        <f t="shared" ref="G479:P479" si="103">+G477+G474+G461+G438+G419+G414+G396+G395+G393+G387+G281+G277+G244+G242+G223+G211+G192+G140+G78+G61+G52+G49+G74+G225+G226+G227+G228+G229+G230+G231+G232+G233+G234+G235+G237+G236+G240+G241+G243+G250+G251+G252+G238+G239+G245+G246+G247+G248+G249+G254</f>
        <v>1455475630.5700002</v>
      </c>
      <c r="H479" s="694">
        <f t="shared" si="103"/>
        <v>1399887155.3099997</v>
      </c>
      <c r="I479" s="694">
        <f t="shared" si="103"/>
        <v>1476062573.5499997</v>
      </c>
      <c r="J479" s="694">
        <f t="shared" si="103"/>
        <v>1486708023.5600002</v>
      </c>
      <c r="K479" s="694">
        <f t="shared" si="103"/>
        <v>1486861551.95</v>
      </c>
      <c r="L479" s="694">
        <f t="shared" si="103"/>
        <v>1503981229.9100003</v>
      </c>
      <c r="M479" s="694">
        <f t="shared" si="103"/>
        <v>1519520814.3899999</v>
      </c>
      <c r="N479" s="694">
        <f t="shared" si="103"/>
        <v>1617879493.0699997</v>
      </c>
      <c r="O479" s="694">
        <f t="shared" si="103"/>
        <v>1621168070.54</v>
      </c>
      <c r="P479" s="694">
        <f t="shared" si="103"/>
        <v>1683928311.9699998</v>
      </c>
      <c r="Q479" s="694">
        <f>+Q477+Q474+Q461+Q438+Q419+Q414+Q396+Q395+Q393+Q387+Q281+Q277+Q244+Q242+Q223+Q211+Q192+Q140+Q78+Q61+Q52+Q49+Q74+Q225+Q226+Q227+Q228+Q229+Q230+Q231+Q232+Q233+Q234+Q235+Q237+Q236+Q240+Q241+Q243+Q250+Q251+Q252+Q238+Q239+Q245+Q246+Q247+Q248+Q249+Q254+Q253</f>
        <v>1865842889.2499995</v>
      </c>
      <c r="R479" s="694">
        <f>+R477+R474+R461+R438+R419+R414+R396+R395+R393+R387+R281+R277+R244+R242+R223+R211+R192+R140+R78+R61+R52+R49+R74+R225+R226+R227+R228+R229+R230+R231+R232+R233+R234+R235+R237+R236+R240+R241+R243+R250+R251+R252+R238+R239+R245+R246+R247+R248+R249+R254+R253</f>
        <v>1899214861.3499997</v>
      </c>
      <c r="S479" s="694">
        <f>+S477+S474+S461+S438+S419+S414+S396+S395+S393+S387+S281+S277+S244+S242+S223+S211+S192+S140+S78+S61+S52+S49+S74+S225+S226+S227+S228+S229+S230+S231+S232+S233+S234+S235+S237+S236+S240+S241+S243+S250+S251+S252+S238+S239+S245+S246+S247+S248+S249+S254+S253</f>
        <v>1572201175.5012505</v>
      </c>
      <c r="T479" s="10"/>
      <c r="U479" s="338"/>
      <c r="V479" s="827"/>
      <c r="W479" s="827"/>
      <c r="X479" s="828"/>
      <c r="Y479" s="827"/>
      <c r="Z479" s="827"/>
      <c r="AA479" s="338"/>
      <c r="AB479" s="827"/>
      <c r="AC479" s="10"/>
      <c r="AD479" s="10"/>
      <c r="AE479" s="10"/>
      <c r="AF479" s="6"/>
    </row>
    <row r="480" spans="1:32" ht="15.75" thickTop="1">
      <c r="A480" s="2">
        <f t="shared" si="100"/>
        <v>463</v>
      </c>
      <c r="E480" s="182"/>
      <c r="F480" s="183"/>
      <c r="G480" s="198"/>
      <c r="H480" s="188"/>
      <c r="I480" s="188"/>
      <c r="J480" s="189"/>
      <c r="K480" s="190"/>
      <c r="L480" s="191"/>
      <c r="M480" s="192"/>
      <c r="N480" s="193"/>
      <c r="O480" s="689"/>
      <c r="P480" s="194"/>
      <c r="Q480" s="199"/>
      <c r="R480" s="183"/>
      <c r="S480" s="47"/>
      <c r="U480" s="65"/>
      <c r="V480" s="103"/>
      <c r="W480" s="103"/>
      <c r="X480" s="599"/>
      <c r="Y480" s="103"/>
      <c r="Z480" s="103"/>
      <c r="AA480" s="65"/>
      <c r="AB480" s="103"/>
      <c r="AF480" s="6"/>
    </row>
    <row r="481" spans="1:32">
      <c r="A481" s="2">
        <f t="shared" si="100"/>
        <v>464</v>
      </c>
      <c r="E481" s="182"/>
      <c r="F481" s="183"/>
      <c r="G481" s="198"/>
      <c r="H481" s="188"/>
      <c r="I481" s="188"/>
      <c r="J481" s="189"/>
      <c r="K481" s="190"/>
      <c r="L481" s="191"/>
      <c r="M481" s="192"/>
      <c r="N481" s="193"/>
      <c r="O481" s="689"/>
      <c r="P481" s="194"/>
      <c r="Q481" s="199"/>
      <c r="R481" s="183"/>
      <c r="S481" s="47"/>
      <c r="U481" s="65"/>
      <c r="V481" s="103"/>
      <c r="W481" s="103"/>
      <c r="X481" s="599"/>
      <c r="Y481" s="103"/>
      <c r="Z481" s="103"/>
      <c r="AA481" s="65"/>
      <c r="AB481" s="103"/>
      <c r="AF481" s="6"/>
    </row>
    <row r="482" spans="1:32">
      <c r="A482" s="2">
        <f t="shared" si="100"/>
        <v>465</v>
      </c>
      <c r="B482" s="688" t="s">
        <v>2330</v>
      </c>
      <c r="C482" s="688" t="s">
        <v>3134</v>
      </c>
      <c r="D482" s="688" t="s">
        <v>3135</v>
      </c>
      <c r="E482" s="697" t="s">
        <v>3136</v>
      </c>
      <c r="F482" s="183">
        <v>-1000</v>
      </c>
      <c r="G482" s="183">
        <v>-1000</v>
      </c>
      <c r="H482" s="183">
        <v>-1000</v>
      </c>
      <c r="I482" s="183">
        <v>-1000</v>
      </c>
      <c r="J482" s="183">
        <v>-1000</v>
      </c>
      <c r="K482" s="183">
        <v>-1000</v>
      </c>
      <c r="L482" s="183">
        <v>-1000</v>
      </c>
      <c r="M482" s="183">
        <v>-1000</v>
      </c>
      <c r="N482" s="183">
        <v>-1000</v>
      </c>
      <c r="O482" s="183">
        <v>-1000</v>
      </c>
      <c r="P482" s="183">
        <v>-1000</v>
      </c>
      <c r="Q482" s="183">
        <v>-1000</v>
      </c>
      <c r="R482" s="183">
        <v>-1000</v>
      </c>
      <c r="S482" s="184">
        <f>((F482+R482)+((G482+H482+I482+J482+K482+L482+M482+N482+O482+P482+Q482)*2))/24</f>
        <v>-1000</v>
      </c>
      <c r="U482" s="65"/>
      <c r="V482" s="103"/>
      <c r="W482" s="103">
        <f t="shared" ref="W482:W489" si="104">+S482</f>
        <v>-1000</v>
      </c>
      <c r="X482" s="599"/>
      <c r="Y482" s="103"/>
      <c r="Z482" s="103"/>
      <c r="AA482" s="65"/>
      <c r="AB482" s="103"/>
      <c r="AC482" s="42">
        <f>+S482</f>
        <v>-1000</v>
      </c>
      <c r="AF482" s="6"/>
    </row>
    <row r="483" spans="1:32">
      <c r="A483" s="2">
        <f t="shared" si="100"/>
        <v>466</v>
      </c>
      <c r="B483" s="688" t="s">
        <v>2330</v>
      </c>
      <c r="C483" s="688" t="s">
        <v>3137</v>
      </c>
      <c r="D483" s="688" t="s">
        <v>2303</v>
      </c>
      <c r="E483" s="697" t="s">
        <v>3138</v>
      </c>
      <c r="F483" s="183">
        <v>-62921654.170000002</v>
      </c>
      <c r="G483" s="183">
        <v>-64009787.859999999</v>
      </c>
      <c r="H483" s="183">
        <v>-64009787.859999999</v>
      </c>
      <c r="I483" s="183">
        <v>-64009787.859999999</v>
      </c>
      <c r="J483" s="183">
        <v>-64009787.859999999</v>
      </c>
      <c r="K483" s="183">
        <v>-64009787.859999999</v>
      </c>
      <c r="L483" s="183">
        <v>-64009787.859999999</v>
      </c>
      <c r="M483" s="183">
        <v>-64009787.859999999</v>
      </c>
      <c r="N483" s="183">
        <v>-64009787.859999999</v>
      </c>
      <c r="O483" s="183">
        <v>-64009787.859999999</v>
      </c>
      <c r="P483" s="183">
        <v>-64009787.859999999</v>
      </c>
      <c r="Q483" s="183">
        <v>-64009787.859999999</v>
      </c>
      <c r="R483" s="183">
        <v>-64009787.859999999</v>
      </c>
      <c r="S483" s="184">
        <f>((F483+R483)+((G483+H483+I483+J483+K483+L483+M483+N483+O483+P483+Q483)*2))/24</f>
        <v>-63964448.956250004</v>
      </c>
      <c r="U483" s="65"/>
      <c r="V483" s="103"/>
      <c r="W483" s="103">
        <f t="shared" si="104"/>
        <v>-63964448.956250004</v>
      </c>
      <c r="X483" s="599"/>
      <c r="Y483" s="103"/>
      <c r="Z483" s="103"/>
      <c r="AA483" s="65"/>
      <c r="AB483" s="103"/>
      <c r="AC483" s="42">
        <f t="shared" ref="AC483:AC489" si="105">+S483</f>
        <v>-63964448.956250004</v>
      </c>
      <c r="AF483" s="6"/>
    </row>
    <row r="484" spans="1:32">
      <c r="A484" s="2">
        <f t="shared" si="100"/>
        <v>467</v>
      </c>
      <c r="B484" s="688" t="s">
        <v>2330</v>
      </c>
      <c r="C484" s="688" t="s">
        <v>3137</v>
      </c>
      <c r="D484" s="688" t="s">
        <v>2305</v>
      </c>
      <c r="E484" s="697" t="s">
        <v>3139</v>
      </c>
      <c r="F484" s="183">
        <v>44242</v>
      </c>
      <c r="G484" s="183">
        <v>3773</v>
      </c>
      <c r="H484" s="183">
        <v>7580</v>
      </c>
      <c r="I484" s="183">
        <v>11387</v>
      </c>
      <c r="J484" s="183">
        <v>15194</v>
      </c>
      <c r="K484" s="183">
        <v>890829.96</v>
      </c>
      <c r="L484" s="183">
        <v>892551.96</v>
      </c>
      <c r="M484" s="183">
        <v>894273.96</v>
      </c>
      <c r="N484" s="183">
        <v>895995.96</v>
      </c>
      <c r="O484" s="183">
        <v>897717.96</v>
      </c>
      <c r="P484" s="183">
        <v>899439.96</v>
      </c>
      <c r="Q484" s="183">
        <v>901161.96</v>
      </c>
      <c r="R484" s="183">
        <v>903206.96</v>
      </c>
      <c r="S484" s="184">
        <f t="shared" ref="S484:S554" si="106">((F484+R484)+((G484+H484+I484+J484+K484+L484+M484+N484+O484+P484+Q484)*2))/24</f>
        <v>565302.5166666666</v>
      </c>
      <c r="U484" s="65"/>
      <c r="V484" s="103"/>
      <c r="W484" s="103">
        <f t="shared" si="104"/>
        <v>565302.5166666666</v>
      </c>
      <c r="X484" s="599"/>
      <c r="Y484" s="103"/>
      <c r="Z484" s="103"/>
      <c r="AA484" s="65"/>
      <c r="AB484" s="103"/>
      <c r="AC484" s="42">
        <f t="shared" si="105"/>
        <v>565302.5166666666</v>
      </c>
      <c r="AF484" s="6"/>
    </row>
    <row r="485" spans="1:32">
      <c r="A485" s="2">
        <f t="shared" si="100"/>
        <v>468</v>
      </c>
      <c r="B485" s="688" t="s">
        <v>2330</v>
      </c>
      <c r="C485" s="688" t="s">
        <v>3140</v>
      </c>
      <c r="D485" s="688" t="s">
        <v>2303</v>
      </c>
      <c r="E485" s="697" t="s">
        <v>3141</v>
      </c>
      <c r="F485" s="183">
        <v>-358117553.20999998</v>
      </c>
      <c r="G485" s="183">
        <v>-358117553.20999998</v>
      </c>
      <c r="H485" s="183">
        <v>-358117553.20999998</v>
      </c>
      <c r="I485" s="183">
        <v>-358117553.20999998</v>
      </c>
      <c r="J485" s="183">
        <v>-358117553.20999998</v>
      </c>
      <c r="K485" s="183">
        <v>-358117553.20999998</v>
      </c>
      <c r="L485" s="183">
        <v>-358117553.20999998</v>
      </c>
      <c r="M485" s="183">
        <v>-358117553.20999998</v>
      </c>
      <c r="N485" s="183">
        <v>-358117553.20999998</v>
      </c>
      <c r="O485" s="183">
        <v>-358117553.20999998</v>
      </c>
      <c r="P485" s="183">
        <v>-383117553.20999998</v>
      </c>
      <c r="Q485" s="183">
        <v>-383117553.20999998</v>
      </c>
      <c r="R485" s="183">
        <v>-403117553.20999998</v>
      </c>
      <c r="S485" s="184">
        <f t="shared" si="106"/>
        <v>-364159219.87666661</v>
      </c>
      <c r="U485" s="65"/>
      <c r="V485" s="103"/>
      <c r="W485" s="103">
        <f t="shared" si="104"/>
        <v>-364159219.87666661</v>
      </c>
      <c r="X485" s="599"/>
      <c r="Y485" s="103"/>
      <c r="Z485" s="103"/>
      <c r="AA485" s="65"/>
      <c r="AB485" s="103"/>
      <c r="AC485" s="42">
        <f t="shared" si="105"/>
        <v>-364159219.87666661</v>
      </c>
      <c r="AF485" s="6"/>
    </row>
    <row r="486" spans="1:32">
      <c r="A486" s="2">
        <f t="shared" si="100"/>
        <v>469</v>
      </c>
      <c r="B486" s="688" t="s">
        <v>2330</v>
      </c>
      <c r="C486" s="688" t="s">
        <v>3142</v>
      </c>
      <c r="D486" s="688"/>
      <c r="E486" s="697" t="s">
        <v>3143</v>
      </c>
      <c r="F486" s="183">
        <v>0</v>
      </c>
      <c r="G486" s="183">
        <v>0</v>
      </c>
      <c r="H486" s="183">
        <v>0</v>
      </c>
      <c r="I486" s="183">
        <v>0</v>
      </c>
      <c r="J486" s="183">
        <v>0</v>
      </c>
      <c r="K486" s="183">
        <v>0</v>
      </c>
      <c r="L486" s="183">
        <v>0</v>
      </c>
      <c r="M486" s="183">
        <v>0</v>
      </c>
      <c r="N486" s="183">
        <v>0</v>
      </c>
      <c r="O486" s="183">
        <v>0</v>
      </c>
      <c r="P486" s="183">
        <v>0</v>
      </c>
      <c r="Q486" s="183">
        <v>0</v>
      </c>
      <c r="R486" s="183">
        <v>0</v>
      </c>
      <c r="S486" s="184">
        <f>((F486+R486)+((G486+H486+I486+J486+K486+L486+M486+N486+O486+P486+Q486)*2))/24</f>
        <v>0</v>
      </c>
      <c r="U486" s="65"/>
      <c r="V486" s="103"/>
      <c r="W486" s="103">
        <f t="shared" si="104"/>
        <v>0</v>
      </c>
      <c r="X486" s="599"/>
      <c r="Y486" s="103"/>
      <c r="Z486" s="103"/>
      <c r="AA486" s="65"/>
      <c r="AB486" s="103"/>
      <c r="AC486" s="42">
        <f t="shared" si="105"/>
        <v>0</v>
      </c>
      <c r="AF486" s="6"/>
    </row>
    <row r="487" spans="1:32">
      <c r="A487" s="2">
        <f t="shared" si="100"/>
        <v>470</v>
      </c>
      <c r="B487" s="688" t="s">
        <v>2330</v>
      </c>
      <c r="C487" s="688" t="s">
        <v>3144</v>
      </c>
      <c r="D487" s="688" t="s">
        <v>2304</v>
      </c>
      <c r="E487" s="697" t="s">
        <v>3145</v>
      </c>
      <c r="F487" s="183">
        <v>644036.68000000005</v>
      </c>
      <c r="G487" s="183">
        <v>644036.68000000005</v>
      </c>
      <c r="H487" s="183">
        <v>644036.68000000005</v>
      </c>
      <c r="I487" s="183">
        <v>644036.68000000005</v>
      </c>
      <c r="J487" s="183">
        <v>644036.68000000005</v>
      </c>
      <c r="K487" s="183">
        <v>644036.68000000005</v>
      </c>
      <c r="L487" s="183">
        <v>644036.68000000005</v>
      </c>
      <c r="M487" s="183">
        <v>830221</v>
      </c>
      <c r="N487" s="183">
        <v>830221</v>
      </c>
      <c r="O487" s="183">
        <v>830221</v>
      </c>
      <c r="P487" s="183">
        <v>830221</v>
      </c>
      <c r="Q487" s="183">
        <v>830221</v>
      </c>
      <c r="R487" s="183">
        <v>973290</v>
      </c>
      <c r="S487" s="184">
        <f t="shared" si="106"/>
        <v>735332.36833333329</v>
      </c>
      <c r="U487" s="65"/>
      <c r="V487" s="103"/>
      <c r="W487" s="103">
        <f t="shared" si="104"/>
        <v>735332.36833333329</v>
      </c>
      <c r="X487" s="599"/>
      <c r="Y487" s="103"/>
      <c r="Z487" s="103"/>
      <c r="AA487" s="65"/>
      <c r="AB487" s="103"/>
      <c r="AC487" s="42">
        <f t="shared" si="105"/>
        <v>735332.36833333329</v>
      </c>
      <c r="AF487" s="6"/>
    </row>
    <row r="488" spans="1:32">
      <c r="A488" s="2">
        <f t="shared" si="100"/>
        <v>471</v>
      </c>
      <c r="B488" s="688" t="s">
        <v>2330</v>
      </c>
      <c r="C488" s="688" t="s">
        <v>3144</v>
      </c>
      <c r="D488" s="1" t="s">
        <v>2816</v>
      </c>
      <c r="E488" s="697" t="s">
        <v>3146</v>
      </c>
      <c r="F488" s="183">
        <v>0</v>
      </c>
      <c r="G488" s="183">
        <v>0</v>
      </c>
      <c r="H488" s="183">
        <v>0</v>
      </c>
      <c r="I488" s="183">
        <v>0</v>
      </c>
      <c r="J488" s="183">
        <v>0</v>
      </c>
      <c r="K488" s="183">
        <v>0</v>
      </c>
      <c r="L488" s="183">
        <v>0</v>
      </c>
      <c r="M488" s="183">
        <v>-186184.32000000001</v>
      </c>
      <c r="N488" s="183">
        <v>-186184.32000000001</v>
      </c>
      <c r="O488" s="183">
        <v>-186184.32000000001</v>
      </c>
      <c r="P488" s="183">
        <v>-186184.32000000001</v>
      </c>
      <c r="Q488" s="183">
        <v>-186184.32000000001</v>
      </c>
      <c r="R488" s="183">
        <v>-218268.74</v>
      </c>
      <c r="S488" s="184">
        <f t="shared" si="106"/>
        <v>-86671.330833333341</v>
      </c>
      <c r="U488" s="65"/>
      <c r="V488" s="103"/>
      <c r="W488" s="103">
        <f t="shared" si="104"/>
        <v>-86671.330833333341</v>
      </c>
      <c r="X488" s="599"/>
      <c r="Y488" s="103"/>
      <c r="Z488" s="103"/>
      <c r="AA488" s="65"/>
      <c r="AB488" s="103"/>
      <c r="AC488" s="42">
        <f t="shared" si="105"/>
        <v>-86671.330833333341</v>
      </c>
      <c r="AF488" s="6"/>
    </row>
    <row r="489" spans="1:32">
      <c r="A489" s="2">
        <f t="shared" si="100"/>
        <v>472</v>
      </c>
      <c r="B489" s="688" t="s">
        <v>2330</v>
      </c>
      <c r="C489" s="688" t="s">
        <v>3144</v>
      </c>
      <c r="D489" s="688" t="s">
        <v>2306</v>
      </c>
      <c r="E489" s="697" t="s">
        <v>3147</v>
      </c>
      <c r="F489" s="313">
        <v>0</v>
      </c>
      <c r="G489" s="313">
        <v>0</v>
      </c>
      <c r="H489" s="313">
        <v>0</v>
      </c>
      <c r="I489" s="313">
        <v>0</v>
      </c>
      <c r="J489" s="313">
        <v>0</v>
      </c>
      <c r="K489" s="313">
        <v>0</v>
      </c>
      <c r="L489" s="313">
        <v>0</v>
      </c>
      <c r="M489" s="313">
        <v>0</v>
      </c>
      <c r="N489" s="313">
        <v>0</v>
      </c>
      <c r="O489" s="313">
        <v>0</v>
      </c>
      <c r="P489" s="313">
        <v>0</v>
      </c>
      <c r="Q489" s="313">
        <v>0</v>
      </c>
      <c r="R489" s="313">
        <v>0</v>
      </c>
      <c r="S489" s="314">
        <f t="shared" si="106"/>
        <v>0</v>
      </c>
      <c r="U489" s="65"/>
      <c r="V489" s="103"/>
      <c r="W489" s="103">
        <f t="shared" si="104"/>
        <v>0</v>
      </c>
      <c r="X489" s="599"/>
      <c r="Y489" s="103"/>
      <c r="Z489" s="103"/>
      <c r="AA489" s="65"/>
      <c r="AB489" s="103"/>
      <c r="AC489" s="42">
        <f t="shared" si="105"/>
        <v>0</v>
      </c>
      <c r="AF489" s="6"/>
    </row>
    <row r="490" spans="1:32">
      <c r="A490" s="2">
        <f t="shared" si="100"/>
        <v>473</v>
      </c>
      <c r="E490" s="697" t="s">
        <v>3148</v>
      </c>
      <c r="F490" s="511">
        <f t="shared" ref="F490:S490" si="107">SUM(F482:F489)</f>
        <v>-420351928.69999999</v>
      </c>
      <c r="G490" s="511">
        <f t="shared" si="107"/>
        <v>-421480531.38999999</v>
      </c>
      <c r="H490" s="511">
        <f t="shared" si="107"/>
        <v>-421476724.38999999</v>
      </c>
      <c r="I490" s="511">
        <f t="shared" si="107"/>
        <v>-421472917.38999999</v>
      </c>
      <c r="J490" s="511">
        <f t="shared" si="107"/>
        <v>-421469110.38999999</v>
      </c>
      <c r="K490" s="511">
        <f t="shared" si="107"/>
        <v>-420593474.42999995</v>
      </c>
      <c r="L490" s="511">
        <f t="shared" si="107"/>
        <v>-420591752.42999995</v>
      </c>
      <c r="M490" s="511">
        <f t="shared" si="107"/>
        <v>-420590030.42999995</v>
      </c>
      <c r="N490" s="511">
        <f t="shared" si="107"/>
        <v>-420588308.42999995</v>
      </c>
      <c r="O490" s="511">
        <f t="shared" si="107"/>
        <v>-420586586.42999995</v>
      </c>
      <c r="P490" s="511">
        <f t="shared" si="107"/>
        <v>-445584864.42999995</v>
      </c>
      <c r="Q490" s="511">
        <f t="shared" si="107"/>
        <v>-445583142.42999995</v>
      </c>
      <c r="R490" s="511">
        <f t="shared" si="107"/>
        <v>-465470112.84999996</v>
      </c>
      <c r="S490" s="512">
        <f t="shared" si="107"/>
        <v>-426910705.27874994</v>
      </c>
      <c r="U490" s="65"/>
      <c r="V490" s="103"/>
      <c r="W490" s="103"/>
      <c r="X490" s="599"/>
      <c r="Y490" s="103"/>
      <c r="Z490" s="103"/>
      <c r="AA490" s="65"/>
      <c r="AB490" s="103"/>
      <c r="AF490" s="6"/>
    </row>
    <row r="491" spans="1:32">
      <c r="A491" s="2">
        <f t="shared" si="100"/>
        <v>474</v>
      </c>
      <c r="E491" s="697"/>
      <c r="F491" s="196"/>
      <c r="G491" s="203"/>
      <c r="H491" s="204"/>
      <c r="I491" s="204"/>
      <c r="J491" s="205"/>
      <c r="K491" s="206"/>
      <c r="L491" s="207"/>
      <c r="M491" s="208"/>
      <c r="N491" s="209"/>
      <c r="O491" s="823"/>
      <c r="P491" s="210"/>
      <c r="Q491" s="211"/>
      <c r="R491" s="196"/>
      <c r="S491" s="47"/>
      <c r="U491" s="65"/>
      <c r="V491" s="103"/>
      <c r="W491" s="103"/>
      <c r="X491" s="599"/>
      <c r="Y491" s="103"/>
      <c r="Z491" s="103"/>
      <c r="AA491" s="65"/>
      <c r="AB491" s="103"/>
      <c r="AF491" s="6"/>
    </row>
    <row r="492" spans="1:32">
      <c r="A492" s="2">
        <f t="shared" si="100"/>
        <v>475</v>
      </c>
      <c r="B492" s="688" t="s">
        <v>2330</v>
      </c>
      <c r="C492" s="688" t="s">
        <v>3149</v>
      </c>
      <c r="D492" s="688" t="s">
        <v>2302</v>
      </c>
      <c r="E492" s="829" t="s">
        <v>3150</v>
      </c>
      <c r="F492" s="183">
        <v>-20000000</v>
      </c>
      <c r="G492" s="183">
        <v>-20000000</v>
      </c>
      <c r="H492" s="183">
        <v>-20000000</v>
      </c>
      <c r="I492" s="183">
        <v>-20000000</v>
      </c>
      <c r="J492" s="183">
        <v>-20000000</v>
      </c>
      <c r="K492" s="183">
        <v>-20000000</v>
      </c>
      <c r="L492" s="183">
        <v>-20000000</v>
      </c>
      <c r="M492" s="183">
        <v>-20000000</v>
      </c>
      <c r="N492" s="183">
        <v>-20000000</v>
      </c>
      <c r="O492" s="183">
        <v>-20000000</v>
      </c>
      <c r="P492" s="183">
        <v>-20000000</v>
      </c>
      <c r="Q492" s="183">
        <v>-20000000</v>
      </c>
      <c r="R492" s="183">
        <v>-20000000</v>
      </c>
      <c r="S492" s="184">
        <f t="shared" si="106"/>
        <v>-20000000</v>
      </c>
      <c r="U492" s="65"/>
      <c r="V492" s="103"/>
      <c r="W492" s="103">
        <f t="shared" ref="W492:W513" si="108">+S492</f>
        <v>-20000000</v>
      </c>
      <c r="X492" s="599"/>
      <c r="Y492" s="103"/>
      <c r="Z492" s="103"/>
      <c r="AA492" s="65"/>
      <c r="AB492" s="103"/>
      <c r="AC492" s="42">
        <f t="shared" ref="AC492:AC513" si="109">+S492</f>
        <v>-20000000</v>
      </c>
      <c r="AF492" s="6"/>
    </row>
    <row r="493" spans="1:32">
      <c r="A493" s="2">
        <f t="shared" si="100"/>
        <v>476</v>
      </c>
      <c r="B493" s="688" t="s">
        <v>2330</v>
      </c>
      <c r="C493" s="688" t="s">
        <v>3149</v>
      </c>
      <c r="D493" s="688" t="s">
        <v>2809</v>
      </c>
      <c r="E493" s="829" t="s">
        <v>3151</v>
      </c>
      <c r="F493" s="183">
        <v>-15000000</v>
      </c>
      <c r="G493" s="183">
        <v>-15000000</v>
      </c>
      <c r="H493" s="183">
        <v>-15000000</v>
      </c>
      <c r="I493" s="183">
        <v>-15000000</v>
      </c>
      <c r="J493" s="183">
        <v>-15000000</v>
      </c>
      <c r="K493" s="183">
        <v>-15000000</v>
      </c>
      <c r="L493" s="183">
        <v>-15000000</v>
      </c>
      <c r="M493" s="183">
        <v>-15000000</v>
      </c>
      <c r="N493" s="183">
        <v>-15000000</v>
      </c>
      <c r="O493" s="183">
        <v>-15000000</v>
      </c>
      <c r="P493" s="183">
        <v>-15000000</v>
      </c>
      <c r="Q493" s="183">
        <v>-15000000</v>
      </c>
      <c r="R493" s="183">
        <v>-15000000</v>
      </c>
      <c r="S493" s="184">
        <f t="shared" si="106"/>
        <v>-15000000</v>
      </c>
      <c r="U493" s="65"/>
      <c r="V493" s="103"/>
      <c r="W493" s="103">
        <f t="shared" si="108"/>
        <v>-15000000</v>
      </c>
      <c r="X493" s="599"/>
      <c r="Y493" s="103"/>
      <c r="Z493" s="103"/>
      <c r="AA493" s="65"/>
      <c r="AB493" s="103"/>
      <c r="AC493" s="42">
        <f t="shared" si="109"/>
        <v>-15000000</v>
      </c>
      <c r="AF493" s="6"/>
    </row>
    <row r="494" spans="1:32">
      <c r="A494" s="2">
        <f t="shared" si="100"/>
        <v>477</v>
      </c>
      <c r="B494" s="688" t="s">
        <v>2330</v>
      </c>
      <c r="C494" s="688" t="s">
        <v>3149</v>
      </c>
      <c r="D494" s="688" t="s">
        <v>2811</v>
      </c>
      <c r="E494" s="829" t="s">
        <v>3152</v>
      </c>
      <c r="F494" s="183">
        <v>0</v>
      </c>
      <c r="G494" s="183">
        <v>0</v>
      </c>
      <c r="H494" s="183">
        <v>0</v>
      </c>
      <c r="I494" s="183">
        <v>0</v>
      </c>
      <c r="J494" s="183">
        <v>0</v>
      </c>
      <c r="K494" s="183">
        <v>0</v>
      </c>
      <c r="L494" s="183">
        <v>0</v>
      </c>
      <c r="M494" s="183">
        <v>0</v>
      </c>
      <c r="N494" s="183">
        <v>0</v>
      </c>
      <c r="O494" s="183">
        <v>0</v>
      </c>
      <c r="P494" s="183">
        <v>0</v>
      </c>
      <c r="Q494" s="183">
        <v>0</v>
      </c>
      <c r="R494" s="183">
        <v>0</v>
      </c>
      <c r="S494" s="184">
        <f t="shared" si="106"/>
        <v>0</v>
      </c>
      <c r="U494" s="65"/>
      <c r="V494" s="103"/>
      <c r="W494" s="103">
        <f t="shared" si="108"/>
        <v>0</v>
      </c>
      <c r="X494" s="599"/>
      <c r="Y494" s="103"/>
      <c r="Z494" s="103"/>
      <c r="AA494" s="65"/>
      <c r="AB494" s="103"/>
      <c r="AC494" s="42">
        <f t="shared" si="109"/>
        <v>0</v>
      </c>
      <c r="AF494" s="6"/>
    </row>
    <row r="495" spans="1:32">
      <c r="A495" s="2">
        <f t="shared" si="100"/>
        <v>478</v>
      </c>
      <c r="B495" s="688" t="s">
        <v>2330</v>
      </c>
      <c r="C495" s="688" t="s">
        <v>3149</v>
      </c>
      <c r="D495" s="688" t="s">
        <v>2745</v>
      </c>
      <c r="E495" s="829" t="s">
        <v>3153</v>
      </c>
      <c r="F495" s="183">
        <v>0</v>
      </c>
      <c r="G495" s="183">
        <v>0</v>
      </c>
      <c r="H495" s="183">
        <v>0</v>
      </c>
      <c r="I495" s="183">
        <v>0</v>
      </c>
      <c r="J495" s="183">
        <v>0</v>
      </c>
      <c r="K495" s="183">
        <v>0</v>
      </c>
      <c r="L495" s="183">
        <v>0</v>
      </c>
      <c r="M495" s="183">
        <v>0</v>
      </c>
      <c r="N495" s="183">
        <v>0</v>
      </c>
      <c r="O495" s="183">
        <v>0</v>
      </c>
      <c r="P495" s="183">
        <v>0</v>
      </c>
      <c r="Q495" s="183">
        <v>0</v>
      </c>
      <c r="R495" s="183">
        <v>0</v>
      </c>
      <c r="S495" s="184">
        <f t="shared" si="106"/>
        <v>0</v>
      </c>
      <c r="U495" s="65"/>
      <c r="V495" s="103"/>
      <c r="W495" s="103">
        <f t="shared" si="108"/>
        <v>0</v>
      </c>
      <c r="X495" s="599"/>
      <c r="Y495" s="103"/>
      <c r="Z495" s="103"/>
      <c r="AA495" s="65"/>
      <c r="AB495" s="103"/>
      <c r="AC495" s="42">
        <f t="shared" si="109"/>
        <v>0</v>
      </c>
      <c r="AF495" s="6"/>
    </row>
    <row r="496" spans="1:32">
      <c r="A496" s="2">
        <f t="shared" si="100"/>
        <v>479</v>
      </c>
      <c r="B496" s="688" t="s">
        <v>2330</v>
      </c>
      <c r="C496" s="688" t="s">
        <v>3149</v>
      </c>
      <c r="D496" s="688" t="s">
        <v>2760</v>
      </c>
      <c r="E496" s="829" t="s">
        <v>3154</v>
      </c>
      <c r="F496" s="183">
        <v>-40000000</v>
      </c>
      <c r="G496" s="183">
        <v>-40000000</v>
      </c>
      <c r="H496" s="183">
        <v>-40000000</v>
      </c>
      <c r="I496" s="183">
        <v>-40000000</v>
      </c>
      <c r="J496" s="183">
        <v>-40000000</v>
      </c>
      <c r="K496" s="183">
        <v>-40000000</v>
      </c>
      <c r="L496" s="183">
        <v>-40000000</v>
      </c>
      <c r="M496" s="183">
        <v>-40000000</v>
      </c>
      <c r="N496" s="183">
        <v>-40000000</v>
      </c>
      <c r="O496" s="183">
        <v>-40000000</v>
      </c>
      <c r="P496" s="183">
        <v>-40000000</v>
      </c>
      <c r="Q496" s="183">
        <v>-40000000</v>
      </c>
      <c r="R496" s="183">
        <v>-40000000</v>
      </c>
      <c r="S496" s="184">
        <f t="shared" si="106"/>
        <v>-40000000</v>
      </c>
      <c r="U496" s="65"/>
      <c r="V496" s="103"/>
      <c r="W496" s="103">
        <f t="shared" si="108"/>
        <v>-40000000</v>
      </c>
      <c r="X496" s="599"/>
      <c r="Y496" s="103"/>
      <c r="Z496" s="103"/>
      <c r="AA496" s="65"/>
      <c r="AB496" s="103"/>
      <c r="AC496" s="42">
        <f t="shared" si="109"/>
        <v>-40000000</v>
      </c>
      <c r="AF496" s="6"/>
    </row>
    <row r="497" spans="1:32">
      <c r="A497" s="2">
        <f t="shared" si="100"/>
        <v>480</v>
      </c>
      <c r="B497" s="688" t="s">
        <v>2330</v>
      </c>
      <c r="C497" s="688" t="s">
        <v>3149</v>
      </c>
      <c r="D497" s="688" t="s">
        <v>2593</v>
      </c>
      <c r="E497" s="695" t="s">
        <v>3155</v>
      </c>
      <c r="F497" s="183">
        <v>-25000000</v>
      </c>
      <c r="G497" s="183">
        <v>-25000000</v>
      </c>
      <c r="H497" s="183">
        <v>-25000000</v>
      </c>
      <c r="I497" s="183">
        <v>-25000000</v>
      </c>
      <c r="J497" s="183">
        <v>-25000000</v>
      </c>
      <c r="K497" s="183">
        <v>-25000000</v>
      </c>
      <c r="L497" s="183">
        <v>-25000000</v>
      </c>
      <c r="M497" s="183">
        <v>-25000000</v>
      </c>
      <c r="N497" s="183">
        <v>-25000000</v>
      </c>
      <c r="O497" s="183">
        <v>-25000000</v>
      </c>
      <c r="P497" s="183">
        <v>-25000000</v>
      </c>
      <c r="Q497" s="183">
        <v>-25000000</v>
      </c>
      <c r="R497" s="183">
        <v>-25000000</v>
      </c>
      <c r="S497" s="184">
        <f t="shared" si="106"/>
        <v>-25000000</v>
      </c>
      <c r="U497" s="65"/>
      <c r="V497" s="103"/>
      <c r="W497" s="103">
        <f t="shared" si="108"/>
        <v>-25000000</v>
      </c>
      <c r="X497" s="599"/>
      <c r="Y497" s="103"/>
      <c r="Z497" s="103"/>
      <c r="AA497" s="65"/>
      <c r="AB497" s="103"/>
      <c r="AC497" s="42">
        <f t="shared" si="109"/>
        <v>-25000000</v>
      </c>
      <c r="AF497" s="6"/>
    </row>
    <row r="498" spans="1:32">
      <c r="A498" s="2">
        <f t="shared" si="100"/>
        <v>481</v>
      </c>
      <c r="B498" s="688" t="s">
        <v>2330</v>
      </c>
      <c r="C498" s="688" t="s">
        <v>3149</v>
      </c>
      <c r="D498" s="688" t="s">
        <v>2816</v>
      </c>
      <c r="E498" s="695" t="s">
        <v>3156</v>
      </c>
      <c r="F498" s="183">
        <v>-25000000</v>
      </c>
      <c r="G498" s="183">
        <v>-25000000</v>
      </c>
      <c r="H498" s="183">
        <v>-25000000</v>
      </c>
      <c r="I498" s="183">
        <v>-25000000</v>
      </c>
      <c r="J498" s="183">
        <v>-25000000</v>
      </c>
      <c r="K498" s="183">
        <v>-25000000</v>
      </c>
      <c r="L498" s="183">
        <v>-25000000</v>
      </c>
      <c r="M498" s="183">
        <v>-25000000</v>
      </c>
      <c r="N498" s="183">
        <v>-25000000</v>
      </c>
      <c r="O498" s="183">
        <v>-25000000</v>
      </c>
      <c r="P498" s="183">
        <v>-25000000</v>
      </c>
      <c r="Q498" s="183">
        <v>-25000000</v>
      </c>
      <c r="R498" s="183">
        <v>-25000000</v>
      </c>
      <c r="S498" s="184">
        <f t="shared" si="106"/>
        <v>-25000000</v>
      </c>
      <c r="U498" s="65"/>
      <c r="V498" s="103"/>
      <c r="W498" s="103">
        <f t="shared" si="108"/>
        <v>-25000000</v>
      </c>
      <c r="X498" s="599"/>
      <c r="Y498" s="103"/>
      <c r="Z498" s="103"/>
      <c r="AA498" s="65"/>
      <c r="AB498" s="103"/>
      <c r="AC498" s="42">
        <f t="shared" si="109"/>
        <v>-25000000</v>
      </c>
      <c r="AF498" s="6"/>
    </row>
    <row r="499" spans="1:32">
      <c r="A499" s="2">
        <f t="shared" si="100"/>
        <v>482</v>
      </c>
      <c r="B499" s="688" t="s">
        <v>2330</v>
      </c>
      <c r="C499" s="688" t="s">
        <v>3149</v>
      </c>
      <c r="D499" s="688" t="s">
        <v>2749</v>
      </c>
      <c r="E499" s="695" t="s">
        <v>3157</v>
      </c>
      <c r="F499" s="183">
        <v>-12500000</v>
      </c>
      <c r="G499" s="183">
        <v>-12500000</v>
      </c>
      <c r="H499" s="183">
        <v>-12500000</v>
      </c>
      <c r="I499" s="183">
        <v>-12500000</v>
      </c>
      <c r="J499" s="183">
        <v>-12500000</v>
      </c>
      <c r="K499" s="183">
        <v>-12500000</v>
      </c>
      <c r="L499" s="183">
        <v>-12500000</v>
      </c>
      <c r="M499" s="183">
        <v>-12500000</v>
      </c>
      <c r="N499" s="183">
        <v>-12500000</v>
      </c>
      <c r="O499" s="183">
        <v>-12500000</v>
      </c>
      <c r="P499" s="183">
        <v>-12500000</v>
      </c>
      <c r="Q499" s="183">
        <v>-12500000</v>
      </c>
      <c r="R499" s="183">
        <v>-12500000</v>
      </c>
      <c r="S499" s="184">
        <f t="shared" si="106"/>
        <v>-12500000</v>
      </c>
      <c r="U499" s="65"/>
      <c r="V499" s="103"/>
      <c r="W499" s="103">
        <f t="shared" si="108"/>
        <v>-12500000</v>
      </c>
      <c r="X499" s="599"/>
      <c r="Y499" s="103"/>
      <c r="Z499" s="103"/>
      <c r="AA499" s="65"/>
      <c r="AB499" s="103"/>
      <c r="AC499" s="42">
        <f t="shared" si="109"/>
        <v>-12500000</v>
      </c>
      <c r="AF499" s="6"/>
    </row>
    <row r="500" spans="1:32">
      <c r="A500" s="2">
        <f t="shared" si="100"/>
        <v>483</v>
      </c>
      <c r="B500" s="688" t="s">
        <v>2330</v>
      </c>
      <c r="C500" s="688" t="s">
        <v>3149</v>
      </c>
      <c r="D500" s="688" t="s">
        <v>2751</v>
      </c>
      <c r="E500" s="695" t="s">
        <v>3158</v>
      </c>
      <c r="F500" s="183">
        <v>-12500000</v>
      </c>
      <c r="G500" s="183">
        <v>-12500000</v>
      </c>
      <c r="H500" s="183">
        <v>-12500000</v>
      </c>
      <c r="I500" s="183">
        <v>-12500000</v>
      </c>
      <c r="J500" s="183">
        <v>-12500000</v>
      </c>
      <c r="K500" s="183">
        <v>-12500000</v>
      </c>
      <c r="L500" s="183">
        <v>-12500000</v>
      </c>
      <c r="M500" s="183">
        <v>-12500000</v>
      </c>
      <c r="N500" s="183">
        <v>-12500000</v>
      </c>
      <c r="O500" s="183">
        <v>-12500000</v>
      </c>
      <c r="P500" s="183">
        <v>-12500000</v>
      </c>
      <c r="Q500" s="183">
        <v>-12500000</v>
      </c>
      <c r="R500" s="183">
        <v>-12500000</v>
      </c>
      <c r="S500" s="184">
        <f t="shared" si="106"/>
        <v>-12500000</v>
      </c>
      <c r="U500" s="65"/>
      <c r="V500" s="103"/>
      <c r="W500" s="103">
        <f t="shared" si="108"/>
        <v>-12500000</v>
      </c>
      <c r="X500" s="599"/>
      <c r="Y500" s="103"/>
      <c r="Z500" s="103"/>
      <c r="AA500" s="65"/>
      <c r="AB500" s="103"/>
      <c r="AC500" s="42">
        <f t="shared" si="109"/>
        <v>-12500000</v>
      </c>
      <c r="AF500" s="6"/>
    </row>
    <row r="501" spans="1:32">
      <c r="A501" s="2">
        <f t="shared" si="100"/>
        <v>484</v>
      </c>
      <c r="B501" s="688" t="s">
        <v>2330</v>
      </c>
      <c r="C501" s="688" t="s">
        <v>3149</v>
      </c>
      <c r="D501" s="688" t="s">
        <v>2821</v>
      </c>
      <c r="E501" s="695" t="s">
        <v>3159</v>
      </c>
      <c r="F501" s="183">
        <v>-12500000</v>
      </c>
      <c r="G501" s="183">
        <v>-12500000</v>
      </c>
      <c r="H501" s="183">
        <v>-12500000</v>
      </c>
      <c r="I501" s="183">
        <v>-12500000</v>
      </c>
      <c r="J501" s="183">
        <v>-12500000</v>
      </c>
      <c r="K501" s="183">
        <v>-12500000</v>
      </c>
      <c r="L501" s="183">
        <v>-12500000</v>
      </c>
      <c r="M501" s="183">
        <v>-12500000</v>
      </c>
      <c r="N501" s="183">
        <v>-12500000</v>
      </c>
      <c r="O501" s="183">
        <v>-12500000</v>
      </c>
      <c r="P501" s="183">
        <v>-12500000</v>
      </c>
      <c r="Q501" s="183">
        <v>-12500000</v>
      </c>
      <c r="R501" s="183">
        <v>-12500000</v>
      </c>
      <c r="S501" s="184">
        <f t="shared" si="106"/>
        <v>-12500000</v>
      </c>
      <c r="U501" s="65"/>
      <c r="V501" s="103"/>
      <c r="W501" s="103">
        <f t="shared" si="108"/>
        <v>-12500000</v>
      </c>
      <c r="X501" s="599"/>
      <c r="Y501" s="103"/>
      <c r="Z501" s="103"/>
      <c r="AA501" s="65"/>
      <c r="AB501" s="103"/>
      <c r="AC501" s="42">
        <f t="shared" si="109"/>
        <v>-12500000</v>
      </c>
      <c r="AF501" s="6"/>
    </row>
    <row r="502" spans="1:32">
      <c r="A502" s="2">
        <f t="shared" si="100"/>
        <v>485</v>
      </c>
      <c r="B502" s="688" t="s">
        <v>2330</v>
      </c>
      <c r="C502" s="688" t="s">
        <v>3149</v>
      </c>
      <c r="D502" s="688" t="s">
        <v>2823</v>
      </c>
      <c r="E502" s="695" t="s">
        <v>3160</v>
      </c>
      <c r="F502" s="183">
        <v>-12500000</v>
      </c>
      <c r="G502" s="183">
        <v>-12500000</v>
      </c>
      <c r="H502" s="183">
        <v>-12500000</v>
      </c>
      <c r="I502" s="183">
        <v>-12500000</v>
      </c>
      <c r="J502" s="183">
        <v>-12500000</v>
      </c>
      <c r="K502" s="183">
        <v>-12500000</v>
      </c>
      <c r="L502" s="183">
        <v>-12500000</v>
      </c>
      <c r="M502" s="183">
        <v>-12500000</v>
      </c>
      <c r="N502" s="183">
        <v>-12500000</v>
      </c>
      <c r="O502" s="183">
        <v>-12500000</v>
      </c>
      <c r="P502" s="183">
        <v>-12500000</v>
      </c>
      <c r="Q502" s="183">
        <v>-12500000</v>
      </c>
      <c r="R502" s="183">
        <v>-12500000</v>
      </c>
      <c r="S502" s="184">
        <f t="shared" si="106"/>
        <v>-12500000</v>
      </c>
      <c r="U502" s="65"/>
      <c r="V502" s="103"/>
      <c r="W502" s="103">
        <f t="shared" si="108"/>
        <v>-12500000</v>
      </c>
      <c r="X502" s="599"/>
      <c r="Y502" s="103"/>
      <c r="Z502" s="103"/>
      <c r="AA502" s="65"/>
      <c r="AB502" s="103"/>
      <c r="AC502" s="42">
        <f t="shared" si="109"/>
        <v>-12500000</v>
      </c>
      <c r="AF502" s="6"/>
    </row>
    <row r="503" spans="1:32">
      <c r="A503" s="2">
        <f t="shared" si="100"/>
        <v>486</v>
      </c>
      <c r="B503" s="688" t="s">
        <v>2330</v>
      </c>
      <c r="C503" s="688" t="s">
        <v>3149</v>
      </c>
      <c r="D503" s="688" t="s">
        <v>2825</v>
      </c>
      <c r="E503" s="695" t="s">
        <v>3161</v>
      </c>
      <c r="F503" s="183">
        <v>-25000000</v>
      </c>
      <c r="G503" s="183">
        <v>-25000000</v>
      </c>
      <c r="H503" s="183">
        <v>-25000000</v>
      </c>
      <c r="I503" s="183">
        <v>-25000000</v>
      </c>
      <c r="J503" s="183">
        <v>-25000000</v>
      </c>
      <c r="K503" s="183">
        <v>-25000000</v>
      </c>
      <c r="L503" s="183">
        <v>-25000000</v>
      </c>
      <c r="M503" s="183">
        <v>-25000000</v>
      </c>
      <c r="N503" s="183">
        <v>-25000000</v>
      </c>
      <c r="O503" s="183">
        <v>-25000000</v>
      </c>
      <c r="P503" s="183">
        <v>-25000000</v>
      </c>
      <c r="Q503" s="183">
        <v>-25000000</v>
      </c>
      <c r="R503" s="183">
        <v>-25000000</v>
      </c>
      <c r="S503" s="184">
        <f t="shared" si="106"/>
        <v>-25000000</v>
      </c>
      <c r="U503" s="65"/>
      <c r="V503" s="103"/>
      <c r="W503" s="103">
        <f t="shared" si="108"/>
        <v>-25000000</v>
      </c>
      <c r="X503" s="599"/>
      <c r="Y503" s="103"/>
      <c r="Z503" s="103"/>
      <c r="AA503" s="65"/>
      <c r="AB503" s="103"/>
      <c r="AC503" s="42">
        <f t="shared" si="109"/>
        <v>-25000000</v>
      </c>
      <c r="AF503" s="6"/>
    </row>
    <row r="504" spans="1:32">
      <c r="A504" s="2">
        <f t="shared" si="100"/>
        <v>487</v>
      </c>
      <c r="B504" s="688" t="s">
        <v>2330</v>
      </c>
      <c r="C504" s="688" t="s">
        <v>3149</v>
      </c>
      <c r="D504" s="688" t="s">
        <v>2827</v>
      </c>
      <c r="E504" s="695" t="s">
        <v>3162</v>
      </c>
      <c r="F504" s="183">
        <v>-20000000</v>
      </c>
      <c r="G504" s="183">
        <v>-20000000</v>
      </c>
      <c r="H504" s="183">
        <v>-20000000</v>
      </c>
      <c r="I504" s="183">
        <v>-20000000</v>
      </c>
      <c r="J504" s="183">
        <v>-20000000</v>
      </c>
      <c r="K504" s="183">
        <v>-20000000</v>
      </c>
      <c r="L504" s="183">
        <v>-20000000</v>
      </c>
      <c r="M504" s="183">
        <v>-20000000</v>
      </c>
      <c r="N504" s="183">
        <v>-20000000</v>
      </c>
      <c r="O504" s="183">
        <v>-20000000</v>
      </c>
      <c r="P504" s="183">
        <v>-20000000</v>
      </c>
      <c r="Q504" s="183">
        <v>-20000000</v>
      </c>
      <c r="R504" s="183">
        <v>-20000000</v>
      </c>
      <c r="S504" s="184">
        <f t="shared" si="106"/>
        <v>-20000000</v>
      </c>
      <c r="U504" s="65"/>
      <c r="V504" s="103"/>
      <c r="W504" s="103">
        <f t="shared" si="108"/>
        <v>-20000000</v>
      </c>
      <c r="X504" s="599"/>
      <c r="Y504" s="103"/>
      <c r="Z504" s="103"/>
      <c r="AA504" s="65"/>
      <c r="AB504" s="103"/>
      <c r="AC504" s="42">
        <f t="shared" si="109"/>
        <v>-20000000</v>
      </c>
      <c r="AF504" s="6"/>
    </row>
    <row r="505" spans="1:32">
      <c r="A505" s="2">
        <f t="shared" si="100"/>
        <v>488</v>
      </c>
      <c r="B505" s="688" t="s">
        <v>2330</v>
      </c>
      <c r="C505" s="688" t="s">
        <v>3149</v>
      </c>
      <c r="D505" s="688" t="s">
        <v>2829</v>
      </c>
      <c r="E505" s="695" t="s">
        <v>3163</v>
      </c>
      <c r="F505" s="183">
        <v>-30000000</v>
      </c>
      <c r="G505" s="183">
        <v>-30000000</v>
      </c>
      <c r="H505" s="183">
        <v>-30000000</v>
      </c>
      <c r="I505" s="183">
        <v>-30000000</v>
      </c>
      <c r="J505" s="183">
        <v>-30000000</v>
      </c>
      <c r="K505" s="183">
        <v>-30000000</v>
      </c>
      <c r="L505" s="183">
        <v>-30000000</v>
      </c>
      <c r="M505" s="183">
        <v>-30000000</v>
      </c>
      <c r="N505" s="183">
        <v>-30000000</v>
      </c>
      <c r="O505" s="183">
        <v>-30000000</v>
      </c>
      <c r="P505" s="183">
        <v>-30000000</v>
      </c>
      <c r="Q505" s="183">
        <v>-30000000</v>
      </c>
      <c r="R505" s="183">
        <v>-30000000</v>
      </c>
      <c r="S505" s="184">
        <f t="shared" si="106"/>
        <v>-30000000</v>
      </c>
      <c r="U505" s="65"/>
      <c r="V505" s="103"/>
      <c r="W505" s="103">
        <f t="shared" si="108"/>
        <v>-30000000</v>
      </c>
      <c r="X505" s="599"/>
      <c r="Y505" s="103"/>
      <c r="Z505" s="103"/>
      <c r="AA505" s="65"/>
      <c r="AB505" s="103"/>
      <c r="AC505" s="42">
        <f t="shared" si="109"/>
        <v>-30000000</v>
      </c>
      <c r="AF505" s="6"/>
    </row>
    <row r="506" spans="1:32">
      <c r="A506" s="2">
        <f t="shared" si="100"/>
        <v>489</v>
      </c>
      <c r="B506" s="688" t="s">
        <v>2330</v>
      </c>
      <c r="C506" s="688" t="s">
        <v>3149</v>
      </c>
      <c r="D506" s="688" t="s">
        <v>2831</v>
      </c>
      <c r="E506" s="695" t="s">
        <v>3164</v>
      </c>
      <c r="F506" s="183">
        <v>-30000000</v>
      </c>
      <c r="G506" s="183">
        <v>-30000000</v>
      </c>
      <c r="H506" s="183">
        <v>-30000000</v>
      </c>
      <c r="I506" s="183">
        <v>-30000000</v>
      </c>
      <c r="J506" s="183">
        <v>-30000000</v>
      </c>
      <c r="K506" s="183">
        <v>-30000000</v>
      </c>
      <c r="L506" s="183">
        <v>-30000000</v>
      </c>
      <c r="M506" s="183">
        <v>-30000000</v>
      </c>
      <c r="N506" s="183">
        <v>-30000000</v>
      </c>
      <c r="O506" s="183">
        <v>-30000000</v>
      </c>
      <c r="P506" s="183">
        <v>-30000000</v>
      </c>
      <c r="Q506" s="183">
        <v>-30000000</v>
      </c>
      <c r="R506" s="183">
        <v>-30000000</v>
      </c>
      <c r="S506" s="184">
        <f t="shared" si="106"/>
        <v>-30000000</v>
      </c>
      <c r="U506" s="65"/>
      <c r="V506" s="103"/>
      <c r="W506" s="103">
        <f t="shared" si="108"/>
        <v>-30000000</v>
      </c>
      <c r="X506" s="599"/>
      <c r="Y506" s="103"/>
      <c r="Z506" s="103"/>
      <c r="AA506" s="65"/>
      <c r="AB506" s="103"/>
      <c r="AC506" s="42">
        <f t="shared" si="109"/>
        <v>-30000000</v>
      </c>
      <c r="AD506" s="42"/>
      <c r="AF506" s="6"/>
    </row>
    <row r="507" spans="1:32">
      <c r="A507" s="2">
        <f t="shared" si="100"/>
        <v>490</v>
      </c>
      <c r="B507" s="688" t="s">
        <v>2330</v>
      </c>
      <c r="C507" s="688" t="s">
        <v>3149</v>
      </c>
      <c r="D507" s="688" t="s">
        <v>2833</v>
      </c>
      <c r="E507" s="695" t="s">
        <v>3165</v>
      </c>
      <c r="F507" s="183">
        <v>-20000000</v>
      </c>
      <c r="G507" s="183">
        <v>-20000000</v>
      </c>
      <c r="H507" s="183">
        <v>-20000000</v>
      </c>
      <c r="I507" s="183">
        <v>-20000000</v>
      </c>
      <c r="J507" s="183">
        <v>-20000000</v>
      </c>
      <c r="K507" s="183">
        <v>-20000000</v>
      </c>
      <c r="L507" s="183">
        <v>-20000000</v>
      </c>
      <c r="M507" s="183">
        <v>-20000000</v>
      </c>
      <c r="N507" s="183">
        <v>-20000000</v>
      </c>
      <c r="O507" s="183">
        <v>-20000000</v>
      </c>
      <c r="P507" s="183">
        <v>-20000000</v>
      </c>
      <c r="Q507" s="183">
        <v>-20000000</v>
      </c>
      <c r="R507" s="183">
        <v>-20000000</v>
      </c>
      <c r="S507" s="184">
        <f t="shared" si="106"/>
        <v>-20000000</v>
      </c>
      <c r="U507" s="65"/>
      <c r="V507" s="103"/>
      <c r="W507" s="103">
        <f t="shared" si="108"/>
        <v>-20000000</v>
      </c>
      <c r="X507" s="599"/>
      <c r="Y507" s="103"/>
      <c r="Z507" s="103"/>
      <c r="AA507" s="65"/>
      <c r="AB507" s="103"/>
      <c r="AC507" s="42">
        <f t="shared" si="109"/>
        <v>-20000000</v>
      </c>
      <c r="AD507" s="42"/>
      <c r="AF507" s="6"/>
    </row>
    <row r="508" spans="1:32">
      <c r="A508" s="2">
        <f t="shared" si="100"/>
        <v>491</v>
      </c>
      <c r="B508" s="688" t="s">
        <v>2330</v>
      </c>
      <c r="C508" s="688" t="s">
        <v>3149</v>
      </c>
      <c r="D508" s="688" t="s">
        <v>2720</v>
      </c>
      <c r="E508" s="695" t="s">
        <v>3166</v>
      </c>
      <c r="F508" s="183">
        <v>-25000000</v>
      </c>
      <c r="G508" s="183">
        <v>-25000000</v>
      </c>
      <c r="H508" s="183">
        <v>-25000000</v>
      </c>
      <c r="I508" s="183">
        <v>-25000000</v>
      </c>
      <c r="J508" s="183">
        <v>-25000000</v>
      </c>
      <c r="K508" s="183">
        <v>-25000000</v>
      </c>
      <c r="L508" s="183">
        <v>-25000000</v>
      </c>
      <c r="M508" s="183">
        <v>-25000000</v>
      </c>
      <c r="N508" s="183">
        <v>-25000000</v>
      </c>
      <c r="O508" s="183">
        <v>-25000000</v>
      </c>
      <c r="P508" s="183">
        <v>-25000000</v>
      </c>
      <c r="Q508" s="183">
        <v>-25000000</v>
      </c>
      <c r="R508" s="183">
        <v>-25000000</v>
      </c>
      <c r="S508" s="184">
        <f t="shared" si="106"/>
        <v>-25000000</v>
      </c>
      <c r="U508" s="65"/>
      <c r="V508" s="103"/>
      <c r="W508" s="103">
        <f t="shared" si="108"/>
        <v>-25000000</v>
      </c>
      <c r="X508" s="599"/>
      <c r="Y508" s="103"/>
      <c r="Z508" s="103"/>
      <c r="AA508" s="65"/>
      <c r="AB508" s="103"/>
      <c r="AC508" s="42">
        <f t="shared" si="109"/>
        <v>-25000000</v>
      </c>
      <c r="AD508" s="42"/>
      <c r="AF508" s="6"/>
    </row>
    <row r="509" spans="1:32">
      <c r="A509" s="2">
        <f t="shared" si="100"/>
        <v>492</v>
      </c>
      <c r="B509" s="688" t="s">
        <v>2330</v>
      </c>
      <c r="C509" s="688" t="s">
        <v>3149</v>
      </c>
      <c r="D509" s="688" t="s">
        <v>2836</v>
      </c>
      <c r="E509" s="695" t="s">
        <v>3167</v>
      </c>
      <c r="F509" s="183">
        <v>-15000000</v>
      </c>
      <c r="G509" s="183">
        <v>-15000000</v>
      </c>
      <c r="H509" s="183">
        <v>-15000000</v>
      </c>
      <c r="I509" s="183">
        <v>-15000000</v>
      </c>
      <c r="J509" s="183">
        <v>-15000000</v>
      </c>
      <c r="K509" s="183">
        <v>-15000000</v>
      </c>
      <c r="L509" s="183">
        <v>-15000000</v>
      </c>
      <c r="M509" s="183">
        <v>-15000000</v>
      </c>
      <c r="N509" s="183">
        <v>-15000000</v>
      </c>
      <c r="O509" s="183">
        <v>-15000000</v>
      </c>
      <c r="P509" s="183">
        <v>-15000000</v>
      </c>
      <c r="Q509" s="183">
        <v>-15000000</v>
      </c>
      <c r="R509" s="183">
        <v>-15000000</v>
      </c>
      <c r="S509" s="184">
        <f t="shared" si="106"/>
        <v>-15000000</v>
      </c>
      <c r="U509" s="65"/>
      <c r="V509" s="103"/>
      <c r="W509" s="103">
        <f t="shared" si="108"/>
        <v>-15000000</v>
      </c>
      <c r="X509" s="599"/>
      <c r="Y509" s="103"/>
      <c r="Z509" s="103"/>
      <c r="AA509" s="65"/>
      <c r="AB509" s="103"/>
      <c r="AC509" s="42">
        <f t="shared" si="109"/>
        <v>-15000000</v>
      </c>
      <c r="AF509" s="6"/>
    </row>
    <row r="510" spans="1:32">
      <c r="A510" s="2">
        <f t="shared" si="100"/>
        <v>493</v>
      </c>
      <c r="B510" s="688" t="s">
        <v>2330</v>
      </c>
      <c r="C510" s="688" t="s">
        <v>3149</v>
      </c>
      <c r="D510" s="688" t="s">
        <v>2838</v>
      </c>
      <c r="E510" s="695" t="s">
        <v>3168</v>
      </c>
      <c r="F510" s="183">
        <v>-35000000</v>
      </c>
      <c r="G510" s="183">
        <v>-35000000</v>
      </c>
      <c r="H510" s="183">
        <v>-35000000</v>
      </c>
      <c r="I510" s="183">
        <v>-35000000</v>
      </c>
      <c r="J510" s="183">
        <v>-35000000</v>
      </c>
      <c r="K510" s="183">
        <v>-35000000</v>
      </c>
      <c r="L510" s="183">
        <v>-35000000</v>
      </c>
      <c r="M510" s="183">
        <v>-35000000</v>
      </c>
      <c r="N510" s="183">
        <v>-35000000</v>
      </c>
      <c r="O510" s="183">
        <v>-35000000</v>
      </c>
      <c r="P510" s="183">
        <v>-35000000</v>
      </c>
      <c r="Q510" s="183">
        <v>-35000000</v>
      </c>
      <c r="R510" s="183">
        <v>-35000000</v>
      </c>
      <c r="S510" s="184">
        <f t="shared" si="106"/>
        <v>-35000000</v>
      </c>
      <c r="U510" s="65"/>
      <c r="V510" s="103"/>
      <c r="W510" s="103">
        <f t="shared" si="108"/>
        <v>-35000000</v>
      </c>
      <c r="X510" s="599"/>
      <c r="Y510" s="103"/>
      <c r="Z510" s="103"/>
      <c r="AA510" s="65"/>
      <c r="AB510" s="103"/>
      <c r="AC510" s="42">
        <f t="shared" si="109"/>
        <v>-35000000</v>
      </c>
      <c r="AD510" s="42"/>
      <c r="AF510" s="6"/>
    </row>
    <row r="511" spans="1:32">
      <c r="A511" s="2">
        <f t="shared" si="100"/>
        <v>494</v>
      </c>
      <c r="B511" s="688" t="s">
        <v>2330</v>
      </c>
      <c r="C511" s="688" t="s">
        <v>3149</v>
      </c>
      <c r="D511" s="688" t="s">
        <v>2840</v>
      </c>
      <c r="E511" s="695" t="s">
        <v>3169</v>
      </c>
      <c r="F511" s="183"/>
      <c r="G511" s="183"/>
      <c r="H511" s="183"/>
      <c r="I511" s="183"/>
      <c r="J511" s="183"/>
      <c r="K511" s="183"/>
      <c r="L511" s="183"/>
      <c r="M511" s="183"/>
      <c r="N511" s="183"/>
      <c r="O511" s="183"/>
      <c r="P511" s="183"/>
      <c r="Q511" s="183">
        <v>-100000000</v>
      </c>
      <c r="R511" s="183">
        <v>-100000000</v>
      </c>
      <c r="S511" s="184">
        <f t="shared" si="106"/>
        <v>-12500000</v>
      </c>
      <c r="U511" s="65"/>
      <c r="V511" s="103"/>
      <c r="W511" s="103">
        <f>+S511</f>
        <v>-12500000</v>
      </c>
      <c r="X511" s="599"/>
      <c r="Y511" s="103"/>
      <c r="Z511" s="103"/>
      <c r="AA511" s="65"/>
      <c r="AB511" s="103"/>
      <c r="AC511" s="42">
        <f>+S511</f>
        <v>-12500000</v>
      </c>
      <c r="AD511" s="42"/>
      <c r="AF511" s="6"/>
    </row>
    <row r="512" spans="1:32">
      <c r="A512" s="2">
        <f t="shared" si="100"/>
        <v>495</v>
      </c>
      <c r="B512" s="688" t="s">
        <v>2330</v>
      </c>
      <c r="C512" s="688" t="s">
        <v>3170</v>
      </c>
      <c r="D512" s="688" t="s">
        <v>2745</v>
      </c>
      <c r="E512" s="696" t="s">
        <v>3171</v>
      </c>
      <c r="F512" s="196">
        <v>0</v>
      </c>
      <c r="G512" s="196">
        <v>0</v>
      </c>
      <c r="H512" s="196">
        <v>0</v>
      </c>
      <c r="I512" s="196">
        <v>0</v>
      </c>
      <c r="J512" s="196">
        <v>0</v>
      </c>
      <c r="K512" s="196">
        <v>0</v>
      </c>
      <c r="L512" s="196">
        <v>0</v>
      </c>
      <c r="M512" s="196">
        <v>0</v>
      </c>
      <c r="N512" s="196">
        <v>0</v>
      </c>
      <c r="O512" s="196">
        <v>0</v>
      </c>
      <c r="P512" s="196">
        <v>0</v>
      </c>
      <c r="Q512" s="196">
        <v>0</v>
      </c>
      <c r="R512" s="196">
        <v>0</v>
      </c>
      <c r="S512" s="103">
        <f t="shared" si="106"/>
        <v>0</v>
      </c>
      <c r="U512" s="65"/>
      <c r="V512" s="103"/>
      <c r="W512" s="103">
        <f t="shared" si="108"/>
        <v>0</v>
      </c>
      <c r="X512" s="599"/>
      <c r="Y512" s="103"/>
      <c r="Z512" s="103"/>
      <c r="AA512" s="65"/>
      <c r="AB512" s="103"/>
      <c r="AC512" s="42">
        <f t="shared" si="109"/>
        <v>0</v>
      </c>
      <c r="AF512" s="6"/>
    </row>
    <row r="513" spans="1:32">
      <c r="A513" s="2">
        <f t="shared" si="100"/>
        <v>496</v>
      </c>
      <c r="B513" s="688" t="s">
        <v>2330</v>
      </c>
      <c r="C513" s="688" t="s">
        <v>3172</v>
      </c>
      <c r="D513" s="688" t="s">
        <v>2537</v>
      </c>
      <c r="E513" s="696" t="s">
        <v>3173</v>
      </c>
      <c r="F513" s="313">
        <v>-44400000</v>
      </c>
      <c r="G513" s="313">
        <v>0</v>
      </c>
      <c r="H513" s="313">
        <v>-800000</v>
      </c>
      <c r="I513" s="313">
        <v>-10700000</v>
      </c>
      <c r="J513" s="313">
        <v>0</v>
      </c>
      <c r="K513" s="313">
        <v>0</v>
      </c>
      <c r="L513" s="313">
        <v>0</v>
      </c>
      <c r="M513" s="313">
        <v>0</v>
      </c>
      <c r="N513" s="313">
        <v>-13900000</v>
      </c>
      <c r="O513" s="313">
        <v>-9700000</v>
      </c>
      <c r="P513" s="313">
        <v>0</v>
      </c>
      <c r="Q513" s="313">
        <v>0</v>
      </c>
      <c r="R513" s="313">
        <v>-15400000</v>
      </c>
      <c r="S513" s="314">
        <f t="shared" si="106"/>
        <v>-5416666.666666667</v>
      </c>
      <c r="U513" s="65"/>
      <c r="V513" s="103"/>
      <c r="W513" s="103">
        <f t="shared" si="108"/>
        <v>-5416666.666666667</v>
      </c>
      <c r="X513" s="599"/>
      <c r="Y513" s="103"/>
      <c r="Z513" s="103"/>
      <c r="AA513" s="65"/>
      <c r="AB513" s="103"/>
      <c r="AC513" s="42">
        <f t="shared" si="109"/>
        <v>-5416666.666666667</v>
      </c>
      <c r="AF513" s="6"/>
    </row>
    <row r="514" spans="1:32">
      <c r="A514" s="2">
        <f t="shared" si="100"/>
        <v>497</v>
      </c>
      <c r="E514" s="697" t="s">
        <v>3174</v>
      </c>
      <c r="F514" s="196">
        <f>SUM(F492:F513)</f>
        <v>-419400000</v>
      </c>
      <c r="G514" s="196">
        <f t="shared" ref="G514:S514" si="110">SUM(G492:G513)</f>
        <v>-375000000</v>
      </c>
      <c r="H514" s="196">
        <f t="shared" si="110"/>
        <v>-375800000</v>
      </c>
      <c r="I514" s="196">
        <f t="shared" si="110"/>
        <v>-385700000</v>
      </c>
      <c r="J514" s="196">
        <f t="shared" si="110"/>
        <v>-375000000</v>
      </c>
      <c r="K514" s="196">
        <f t="shared" si="110"/>
        <v>-375000000</v>
      </c>
      <c r="L514" s="196">
        <f t="shared" si="110"/>
        <v>-375000000</v>
      </c>
      <c r="M514" s="196">
        <f t="shared" si="110"/>
        <v>-375000000</v>
      </c>
      <c r="N514" s="196">
        <f t="shared" si="110"/>
        <v>-388900000</v>
      </c>
      <c r="O514" s="196">
        <f t="shared" si="110"/>
        <v>-384700000</v>
      </c>
      <c r="P514" s="196">
        <f t="shared" si="110"/>
        <v>-375000000</v>
      </c>
      <c r="Q514" s="196">
        <f t="shared" si="110"/>
        <v>-475000000</v>
      </c>
      <c r="R514" s="196">
        <f t="shared" si="110"/>
        <v>-490400000</v>
      </c>
      <c r="S514" s="196">
        <f t="shared" si="110"/>
        <v>-392916666.66666669</v>
      </c>
      <c r="U514" s="65"/>
      <c r="V514" s="103"/>
      <c r="W514" s="103"/>
      <c r="X514" s="599"/>
      <c r="Y514" s="103"/>
      <c r="Z514" s="103"/>
      <c r="AA514" s="65"/>
      <c r="AB514" s="103"/>
      <c r="AF514" s="6"/>
    </row>
    <row r="515" spans="1:32">
      <c r="A515" s="2">
        <f t="shared" si="100"/>
        <v>498</v>
      </c>
      <c r="E515" s="697"/>
      <c r="F515" s="183"/>
      <c r="G515" s="198"/>
      <c r="H515" s="188"/>
      <c r="I515" s="188"/>
      <c r="J515" s="189"/>
      <c r="K515" s="190"/>
      <c r="L515" s="191"/>
      <c r="M515" s="192"/>
      <c r="N515" s="193"/>
      <c r="O515" s="689"/>
      <c r="P515" s="194"/>
      <c r="Q515" s="199"/>
      <c r="R515" s="183"/>
      <c r="S515" s="103">
        <f>((F515+R515)+((G515+H515+I515+J515+K515+L515+M515+N515+O515+P515+Q515)*2))/24</f>
        <v>0</v>
      </c>
      <c r="U515" s="65"/>
      <c r="V515" s="103"/>
      <c r="W515" s="103"/>
      <c r="X515" s="599"/>
      <c r="Y515" s="103"/>
      <c r="Z515" s="103"/>
      <c r="AA515" s="65"/>
      <c r="AB515" s="103"/>
      <c r="AF515" s="6"/>
    </row>
    <row r="516" spans="1:32">
      <c r="A516" s="2">
        <f t="shared" si="100"/>
        <v>499</v>
      </c>
      <c r="E516" s="697"/>
      <c r="F516" s="183"/>
      <c r="G516" s="198"/>
      <c r="H516" s="188"/>
      <c r="I516" s="188"/>
      <c r="J516" s="189"/>
      <c r="K516" s="190"/>
      <c r="L516" s="191"/>
      <c r="M516" s="192"/>
      <c r="N516" s="193"/>
      <c r="O516" s="689"/>
      <c r="P516" s="194"/>
      <c r="Q516" s="199"/>
      <c r="R516" s="183"/>
      <c r="S516" s="47"/>
      <c r="U516" s="65"/>
      <c r="V516" s="103"/>
      <c r="W516" s="103"/>
      <c r="X516" s="599"/>
      <c r="Y516" s="103"/>
      <c r="Z516" s="103"/>
      <c r="AA516" s="65"/>
      <c r="AB516" s="103"/>
      <c r="AF516" s="6"/>
    </row>
    <row r="517" spans="1:32">
      <c r="A517" s="2">
        <f t="shared" si="100"/>
        <v>500</v>
      </c>
      <c r="B517" s="688" t="s">
        <v>2330</v>
      </c>
      <c r="C517" s="688" t="s">
        <v>3175</v>
      </c>
      <c r="D517" s="1" t="s">
        <v>31</v>
      </c>
      <c r="E517" s="697" t="s">
        <v>3176</v>
      </c>
      <c r="F517" s="183">
        <v>0</v>
      </c>
      <c r="G517" s="183">
        <v>-150000000</v>
      </c>
      <c r="H517" s="183">
        <v>-150000000</v>
      </c>
      <c r="I517" s="183">
        <v>-150000000</v>
      </c>
      <c r="J517" s="183">
        <v>-150000000</v>
      </c>
      <c r="K517" s="183">
        <v>-150000000</v>
      </c>
      <c r="L517" s="183">
        <v>-150000000</v>
      </c>
      <c r="M517" s="183">
        <v>-150000000</v>
      </c>
      <c r="N517" s="183">
        <v>-150000000</v>
      </c>
      <c r="O517" s="183">
        <v>-150000000</v>
      </c>
      <c r="P517" s="183">
        <v>-150000000</v>
      </c>
      <c r="Q517" s="183">
        <v>-150000000</v>
      </c>
      <c r="R517" s="183">
        <v>-50000000</v>
      </c>
      <c r="S517" s="47">
        <f t="shared" si="106"/>
        <v>-139583333.33333334</v>
      </c>
      <c r="U517" s="65"/>
      <c r="V517" s="103"/>
      <c r="W517" s="103">
        <f>+S517</f>
        <v>-139583333.33333334</v>
      </c>
      <c r="X517" s="599"/>
      <c r="Y517" s="103"/>
      <c r="Z517" s="103"/>
      <c r="AA517" s="65"/>
      <c r="AB517" s="103"/>
      <c r="AC517" s="42">
        <f>+S517</f>
        <v>-139583333.33333334</v>
      </c>
      <c r="AF517" s="6"/>
    </row>
    <row r="518" spans="1:32">
      <c r="A518" s="2">
        <f t="shared" si="100"/>
        <v>501</v>
      </c>
      <c r="B518" s="688" t="s">
        <v>2330</v>
      </c>
      <c r="C518" s="688" t="s">
        <v>3177</v>
      </c>
      <c r="D518" s="688" t="s">
        <v>3178</v>
      </c>
      <c r="E518" s="696" t="s">
        <v>3179</v>
      </c>
      <c r="F518" s="183">
        <v>0</v>
      </c>
      <c r="G518" s="183">
        <v>0</v>
      </c>
      <c r="H518" s="183">
        <v>0</v>
      </c>
      <c r="I518" s="183">
        <v>0</v>
      </c>
      <c r="J518" s="183">
        <v>0</v>
      </c>
      <c r="K518" s="183">
        <v>0</v>
      </c>
      <c r="L518" s="183">
        <v>0</v>
      </c>
      <c r="M518" s="183">
        <v>0</v>
      </c>
      <c r="N518" s="183">
        <v>0</v>
      </c>
      <c r="O518" s="183">
        <v>0</v>
      </c>
      <c r="P518" s="183">
        <v>0</v>
      </c>
      <c r="Q518" s="183">
        <v>0</v>
      </c>
      <c r="R518" s="183">
        <v>0</v>
      </c>
      <c r="S518" s="47">
        <f t="shared" si="106"/>
        <v>0</v>
      </c>
      <c r="U518" s="65"/>
      <c r="V518" s="103"/>
      <c r="W518" s="103">
        <f>+S518</f>
        <v>0</v>
      </c>
      <c r="X518" s="599"/>
      <c r="Y518" s="103"/>
      <c r="Z518" s="103"/>
      <c r="AA518" s="65"/>
      <c r="AB518" s="103"/>
      <c r="AC518" s="42">
        <f>+S518</f>
        <v>0</v>
      </c>
      <c r="AF518" s="6"/>
    </row>
    <row r="519" spans="1:32">
      <c r="A519" s="2">
        <f t="shared" si="100"/>
        <v>502</v>
      </c>
      <c r="E519" s="697"/>
      <c r="F519" s="183"/>
      <c r="G519" s="198"/>
      <c r="H519" s="188"/>
      <c r="I519" s="188"/>
      <c r="J519" s="189"/>
      <c r="K519" s="190"/>
      <c r="L519" s="191"/>
      <c r="M519" s="192"/>
      <c r="N519" s="193"/>
      <c r="O519" s="689"/>
      <c r="P519" s="194"/>
      <c r="Q519" s="199"/>
      <c r="R519" s="183"/>
      <c r="S519" s="47"/>
      <c r="U519" s="65"/>
      <c r="V519" s="103"/>
      <c r="W519" s="103"/>
      <c r="X519" s="599"/>
      <c r="Y519" s="103"/>
      <c r="Z519" s="103"/>
      <c r="AA519" s="65"/>
      <c r="AB519" s="103"/>
      <c r="AF519" s="6"/>
    </row>
    <row r="520" spans="1:32">
      <c r="A520" s="2">
        <f t="shared" si="100"/>
        <v>503</v>
      </c>
      <c r="B520" s="688" t="s">
        <v>2330</v>
      </c>
      <c r="C520" s="688" t="s">
        <v>3180</v>
      </c>
      <c r="D520" s="688" t="s">
        <v>2303</v>
      </c>
      <c r="E520" s="697" t="s">
        <v>3181</v>
      </c>
      <c r="F520" s="183">
        <v>-2425983.7000000002</v>
      </c>
      <c r="G520" s="183">
        <v>-4494923.97</v>
      </c>
      <c r="H520" s="183">
        <v>-3584483.85</v>
      </c>
      <c r="I520" s="183">
        <v>-5997178.96</v>
      </c>
      <c r="J520" s="183">
        <v>-2004966.89</v>
      </c>
      <c r="K520" s="183">
        <v>-3027978.14</v>
      </c>
      <c r="L520" s="183">
        <v>-809806.34000000102</v>
      </c>
      <c r="M520" s="183">
        <v>-3771599.45</v>
      </c>
      <c r="N520" s="183">
        <v>-6647290.6100000003</v>
      </c>
      <c r="O520" s="183">
        <v>-3773554.21</v>
      </c>
      <c r="P520" s="183">
        <v>-6526154.1600000001</v>
      </c>
      <c r="Q520" s="183">
        <v>-5985461.3899999997</v>
      </c>
      <c r="R520" s="183">
        <v>-3462053.94</v>
      </c>
      <c r="S520" s="184">
        <f t="shared" si="106"/>
        <v>-4130618.0658333334</v>
      </c>
      <c r="U520" s="65"/>
      <c r="V520" s="103">
        <f t="shared" ref="V520:V535" si="111">+S520</f>
        <v>-4130618.0658333334</v>
      </c>
      <c r="W520" s="103"/>
      <c r="X520" s="599"/>
      <c r="Y520" s="103"/>
      <c r="Z520" s="103"/>
      <c r="AA520" s="65"/>
      <c r="AB520" s="103"/>
      <c r="AD520" s="42">
        <f>+S520</f>
        <v>-4130618.0658333334</v>
      </c>
      <c r="AF520" s="6"/>
    </row>
    <row r="521" spans="1:32">
      <c r="A521" s="2">
        <f t="shared" si="100"/>
        <v>504</v>
      </c>
      <c r="B521" s="688" t="s">
        <v>2330</v>
      </c>
      <c r="C521" s="688" t="s">
        <v>3182</v>
      </c>
      <c r="D521" s="688" t="s">
        <v>2636</v>
      </c>
      <c r="E521" s="815" t="s">
        <v>3183</v>
      </c>
      <c r="F521" s="183">
        <v>-204021.85</v>
      </c>
      <c r="G521" s="183">
        <v>-202652.98</v>
      </c>
      <c r="H521" s="183">
        <v>-136776.24</v>
      </c>
      <c r="I521" s="183">
        <v>-163446.25</v>
      </c>
      <c r="J521" s="183">
        <v>-211884.66</v>
      </c>
      <c r="K521" s="183">
        <v>-157384.73000000001</v>
      </c>
      <c r="L521" s="183">
        <v>-187028.76</v>
      </c>
      <c r="M521" s="183">
        <v>-105039.66</v>
      </c>
      <c r="N521" s="183">
        <v>-120208.32000000001</v>
      </c>
      <c r="O521" s="183">
        <v>-259030.45</v>
      </c>
      <c r="P521" s="183">
        <v>-272732.12</v>
      </c>
      <c r="Q521" s="183">
        <v>-186584.27</v>
      </c>
      <c r="R521" s="183">
        <v>-229501.03</v>
      </c>
      <c r="S521" s="184">
        <f t="shared" si="106"/>
        <v>-184960.82333333333</v>
      </c>
      <c r="U521" s="65"/>
      <c r="V521" s="103">
        <f t="shared" si="111"/>
        <v>-184960.82333333333</v>
      </c>
      <c r="W521" s="103"/>
      <c r="X521" s="599"/>
      <c r="Y521" s="103"/>
      <c r="Z521" s="103"/>
      <c r="AA521" s="65"/>
      <c r="AB521" s="103"/>
      <c r="AD521" s="42">
        <f t="shared" ref="AD521:AD535" si="112">+S521</f>
        <v>-184960.82333333333</v>
      </c>
      <c r="AF521" s="6"/>
    </row>
    <row r="522" spans="1:32">
      <c r="A522" s="2">
        <f t="shared" si="100"/>
        <v>505</v>
      </c>
      <c r="B522" s="688" t="s">
        <v>2330</v>
      </c>
      <c r="C522" s="688" t="s">
        <v>3182</v>
      </c>
      <c r="D522" s="688" t="s">
        <v>3184</v>
      </c>
      <c r="E522" s="697" t="s">
        <v>3185</v>
      </c>
      <c r="F522" s="183">
        <v>0</v>
      </c>
      <c r="G522" s="183">
        <v>0</v>
      </c>
      <c r="H522" s="183">
        <v>0</v>
      </c>
      <c r="I522" s="183">
        <v>0</v>
      </c>
      <c r="J522" s="183">
        <v>0</v>
      </c>
      <c r="K522" s="183">
        <v>0</v>
      </c>
      <c r="L522" s="183">
        <v>0</v>
      </c>
      <c r="M522" s="183">
        <v>0</v>
      </c>
      <c r="N522" s="183">
        <v>0</v>
      </c>
      <c r="O522" s="183">
        <v>0</v>
      </c>
      <c r="P522" s="183">
        <v>0</v>
      </c>
      <c r="Q522" s="183">
        <v>0</v>
      </c>
      <c r="R522" s="183">
        <v>0</v>
      </c>
      <c r="S522" s="184">
        <f t="shared" si="106"/>
        <v>0</v>
      </c>
      <c r="U522" s="65"/>
      <c r="V522" s="103">
        <f t="shared" si="111"/>
        <v>0</v>
      </c>
      <c r="W522" s="103"/>
      <c r="X522" s="599"/>
      <c r="Y522" s="103"/>
      <c r="Z522" s="103"/>
      <c r="AA522" s="65"/>
      <c r="AB522" s="103"/>
      <c r="AD522" s="42">
        <f t="shared" si="112"/>
        <v>0</v>
      </c>
      <c r="AF522" s="6"/>
    </row>
    <row r="523" spans="1:32">
      <c r="A523" s="2">
        <f t="shared" si="100"/>
        <v>506</v>
      </c>
      <c r="B523" s="688" t="s">
        <v>2330</v>
      </c>
      <c r="C523" s="688" t="s">
        <v>3182</v>
      </c>
      <c r="D523" s="688" t="s">
        <v>3186</v>
      </c>
      <c r="E523" s="697" t="s">
        <v>3187</v>
      </c>
      <c r="F523" s="183">
        <v>-618104.76</v>
      </c>
      <c r="G523" s="183">
        <v>-597563.69999999995</v>
      </c>
      <c r="H523" s="183">
        <v>-572654.22</v>
      </c>
      <c r="I523" s="183">
        <v>-1057691.92</v>
      </c>
      <c r="J523" s="183">
        <v>-1086307.46</v>
      </c>
      <c r="K523" s="183">
        <v>-632493.03</v>
      </c>
      <c r="L523" s="183">
        <v>-1373331.01</v>
      </c>
      <c r="M523" s="183">
        <v>-1089620.3600000001</v>
      </c>
      <c r="N523" s="183">
        <v>-21761951.489999998</v>
      </c>
      <c r="O523" s="183">
        <v>-3168814.11</v>
      </c>
      <c r="P523" s="183">
        <v>-4633724.71</v>
      </c>
      <c r="Q523" s="183">
        <v>-4360191.63</v>
      </c>
      <c r="R523" s="183">
        <v>-915573.51999999897</v>
      </c>
      <c r="S523" s="184">
        <f t="shared" si="106"/>
        <v>-3425098.5649999999</v>
      </c>
      <c r="U523" s="65"/>
      <c r="V523" s="103">
        <f t="shared" si="111"/>
        <v>-3425098.5649999999</v>
      </c>
      <c r="W523" s="103"/>
      <c r="X523" s="599"/>
      <c r="Y523" s="103"/>
      <c r="Z523" s="103"/>
      <c r="AA523" s="65"/>
      <c r="AB523" s="103"/>
      <c r="AD523" s="42">
        <f t="shared" si="112"/>
        <v>-3425098.5649999999</v>
      </c>
      <c r="AF523" s="6"/>
    </row>
    <row r="524" spans="1:32">
      <c r="A524" s="2">
        <f t="shared" si="100"/>
        <v>507</v>
      </c>
      <c r="B524" s="688" t="s">
        <v>2330</v>
      </c>
      <c r="C524" s="688" t="s">
        <v>3182</v>
      </c>
      <c r="D524" s="688" t="s">
        <v>3188</v>
      </c>
      <c r="E524" s="697" t="s">
        <v>3189</v>
      </c>
      <c r="F524" s="183">
        <v>-4244111.05</v>
      </c>
      <c r="G524" s="183">
        <v>-4177295.14</v>
      </c>
      <c r="H524" s="183">
        <v>-3875933.06</v>
      </c>
      <c r="I524" s="183">
        <v>-3369820.8</v>
      </c>
      <c r="J524" s="183">
        <v>-3478266.69</v>
      </c>
      <c r="K524" s="183">
        <v>-1939815.2</v>
      </c>
      <c r="L524" s="183">
        <v>-4927876.5599999996</v>
      </c>
      <c r="M524" s="183">
        <v>-5680400.0099999998</v>
      </c>
      <c r="N524" s="183">
        <v>-4809345.2</v>
      </c>
      <c r="O524" s="183">
        <v>-7620357.79</v>
      </c>
      <c r="P524" s="183">
        <v>-11296482.25</v>
      </c>
      <c r="Q524" s="183">
        <v>-7099017.2999999998</v>
      </c>
      <c r="R524" s="183">
        <v>-4865051.6900000004</v>
      </c>
      <c r="S524" s="184">
        <f t="shared" si="106"/>
        <v>-5235765.9474999998</v>
      </c>
      <c r="U524" s="65"/>
      <c r="V524" s="103">
        <f t="shared" si="111"/>
        <v>-5235765.9474999998</v>
      </c>
      <c r="W524" s="103"/>
      <c r="X524" s="599"/>
      <c r="Y524" s="103"/>
      <c r="Z524" s="103"/>
      <c r="AA524" s="65"/>
      <c r="AB524" s="103"/>
      <c r="AD524" s="42">
        <f t="shared" si="112"/>
        <v>-5235765.9474999998</v>
      </c>
      <c r="AF524" s="6"/>
    </row>
    <row r="525" spans="1:32">
      <c r="A525" s="2">
        <f t="shared" si="100"/>
        <v>508</v>
      </c>
      <c r="B525" s="688" t="s">
        <v>2330</v>
      </c>
      <c r="C525" s="688" t="s">
        <v>3182</v>
      </c>
      <c r="D525" s="688" t="s">
        <v>3190</v>
      </c>
      <c r="E525" s="696" t="s">
        <v>3191</v>
      </c>
      <c r="F525" s="183">
        <v>-59686062.93</v>
      </c>
      <c r="G525" s="183">
        <v>-158163945.31</v>
      </c>
      <c r="H525" s="183">
        <v>-40740875.25</v>
      </c>
      <c r="I525" s="183">
        <v>-26417169.199999999</v>
      </c>
      <c r="J525" s="183">
        <v>-15238316.82</v>
      </c>
      <c r="K525" s="183">
        <v>-11688456.23</v>
      </c>
      <c r="L525" s="183">
        <v>-7976233.9100000001</v>
      </c>
      <c r="M525" s="183">
        <v>-8961859.6199999992</v>
      </c>
      <c r="N525" s="183">
        <v>-10386610.189999999</v>
      </c>
      <c r="O525" s="183">
        <v>-9235930.2899999991</v>
      </c>
      <c r="P525" s="183">
        <v>-14111918.060000001</v>
      </c>
      <c r="Q525" s="183">
        <v>-24246624.02</v>
      </c>
      <c r="R525" s="183">
        <v>-36895998.640000001</v>
      </c>
      <c r="S525" s="184">
        <f t="shared" si="106"/>
        <v>-31288247.473749995</v>
      </c>
      <c r="U525" s="65"/>
      <c r="V525" s="103">
        <f t="shared" si="111"/>
        <v>-31288247.473749995</v>
      </c>
      <c r="W525" s="103"/>
      <c r="X525" s="599"/>
      <c r="Y525" s="103"/>
      <c r="Z525" s="103"/>
      <c r="AA525" s="65"/>
      <c r="AB525" s="103"/>
      <c r="AD525" s="42">
        <f t="shared" si="112"/>
        <v>-31288247.473749995</v>
      </c>
      <c r="AF525" s="6"/>
    </row>
    <row r="526" spans="1:32">
      <c r="A526" s="2">
        <f t="shared" si="100"/>
        <v>509</v>
      </c>
      <c r="B526" s="688" t="s">
        <v>2330</v>
      </c>
      <c r="C526" s="688" t="s">
        <v>3182</v>
      </c>
      <c r="D526" s="688" t="s">
        <v>2610</v>
      </c>
      <c r="E526" s="696" t="s">
        <v>3192</v>
      </c>
      <c r="F526" s="183">
        <v>-265198.21999999997</v>
      </c>
      <c r="G526" s="183">
        <v>0</v>
      </c>
      <c r="H526" s="183">
        <v>-27244.37</v>
      </c>
      <c r="I526" s="183">
        <v>-55099.16</v>
      </c>
      <c r="J526" s="183">
        <v>-83954.6</v>
      </c>
      <c r="K526" s="183">
        <v>-112039.81</v>
      </c>
      <c r="L526" s="183">
        <v>-141460.85</v>
      </c>
      <c r="M526" s="183">
        <v>-168293.27</v>
      </c>
      <c r="N526" s="183">
        <v>-195003.94</v>
      </c>
      <c r="O526" s="183">
        <v>-222020.82</v>
      </c>
      <c r="P526" s="183">
        <v>-248137.93</v>
      </c>
      <c r="Q526" s="183">
        <v>-275777.58</v>
      </c>
      <c r="R526" s="183">
        <v>-305015.48</v>
      </c>
      <c r="S526" s="184">
        <f t="shared" si="106"/>
        <v>-151178.26500000001</v>
      </c>
      <c r="U526" s="65"/>
      <c r="V526" s="103">
        <f t="shared" si="111"/>
        <v>-151178.26500000001</v>
      </c>
      <c r="W526" s="103"/>
      <c r="X526" s="599"/>
      <c r="Y526" s="103"/>
      <c r="Z526" s="103"/>
      <c r="AA526" s="65"/>
      <c r="AB526" s="103"/>
      <c r="AD526" s="42">
        <f t="shared" si="112"/>
        <v>-151178.26500000001</v>
      </c>
      <c r="AF526" s="6"/>
    </row>
    <row r="527" spans="1:32">
      <c r="A527" s="2">
        <f t="shared" si="100"/>
        <v>510</v>
      </c>
      <c r="B527" s="688" t="s">
        <v>2330</v>
      </c>
      <c r="C527" s="688" t="s">
        <v>3182</v>
      </c>
      <c r="D527" s="688" t="s">
        <v>3193</v>
      </c>
      <c r="E527" s="697" t="s">
        <v>3194</v>
      </c>
      <c r="F527" s="183">
        <v>0</v>
      </c>
      <c r="G527" s="183">
        <v>-100</v>
      </c>
      <c r="H527" s="183">
        <v>0</v>
      </c>
      <c r="I527" s="183">
        <v>0</v>
      </c>
      <c r="J527" s="183">
        <v>-150.6</v>
      </c>
      <c r="K527" s="183">
        <v>0</v>
      </c>
      <c r="L527" s="183">
        <v>0</v>
      </c>
      <c r="M527" s="183">
        <v>0</v>
      </c>
      <c r="N527" s="183">
        <v>0</v>
      </c>
      <c r="O527" s="183">
        <v>0</v>
      </c>
      <c r="P527" s="183">
        <v>0</v>
      </c>
      <c r="Q527" s="183">
        <v>0</v>
      </c>
      <c r="R527" s="183">
        <v>0</v>
      </c>
      <c r="S527" s="184">
        <f t="shared" si="106"/>
        <v>-20.883333333333333</v>
      </c>
      <c r="U527" s="65"/>
      <c r="V527" s="103">
        <f t="shared" si="111"/>
        <v>-20.883333333333333</v>
      </c>
      <c r="W527" s="103"/>
      <c r="X527" s="599"/>
      <c r="Y527" s="103"/>
      <c r="Z527" s="103"/>
      <c r="AA527" s="65"/>
      <c r="AB527" s="103"/>
      <c r="AD527" s="42">
        <f t="shared" si="112"/>
        <v>-20.883333333333333</v>
      </c>
      <c r="AF527" s="6"/>
    </row>
    <row r="528" spans="1:32">
      <c r="A528" s="2">
        <f t="shared" si="100"/>
        <v>511</v>
      </c>
      <c r="B528" s="688" t="s">
        <v>2330</v>
      </c>
      <c r="C528" s="688" t="s">
        <v>3182</v>
      </c>
      <c r="D528" s="688" t="s">
        <v>3195</v>
      </c>
      <c r="E528" s="697" t="s">
        <v>3196</v>
      </c>
      <c r="F528" s="183">
        <v>0</v>
      </c>
      <c r="G528" s="183">
        <v>0</v>
      </c>
      <c r="H528" s="183">
        <v>1098.95</v>
      </c>
      <c r="I528" s="183">
        <v>0</v>
      </c>
      <c r="J528" s="183">
        <v>-1710.99</v>
      </c>
      <c r="K528" s="183">
        <v>-1710.99</v>
      </c>
      <c r="L528" s="183">
        <v>0</v>
      </c>
      <c r="M528" s="183">
        <v>0</v>
      </c>
      <c r="N528" s="183">
        <v>0</v>
      </c>
      <c r="O528" s="183">
        <v>0</v>
      </c>
      <c r="P528" s="183">
        <v>0</v>
      </c>
      <c r="Q528" s="183">
        <v>0</v>
      </c>
      <c r="R528" s="183">
        <v>0</v>
      </c>
      <c r="S528" s="184">
        <f t="shared" si="106"/>
        <v>-193.58583333333331</v>
      </c>
      <c r="U528" s="65"/>
      <c r="V528" s="103">
        <f t="shared" si="111"/>
        <v>-193.58583333333331</v>
      </c>
      <c r="W528" s="103"/>
      <c r="X528" s="599"/>
      <c r="Y528" s="103"/>
      <c r="Z528" s="103"/>
      <c r="AA528" s="65"/>
      <c r="AB528" s="103"/>
      <c r="AD528" s="42">
        <f t="shared" si="112"/>
        <v>-193.58583333333331</v>
      </c>
      <c r="AF528" s="6"/>
    </row>
    <row r="529" spans="1:32">
      <c r="A529" s="2">
        <f t="shared" si="100"/>
        <v>512</v>
      </c>
      <c r="B529" s="688" t="s">
        <v>2330</v>
      </c>
      <c r="C529" s="688" t="s">
        <v>3182</v>
      </c>
      <c r="D529" s="688" t="s">
        <v>3197</v>
      </c>
      <c r="E529" s="697" t="s">
        <v>3198</v>
      </c>
      <c r="F529" s="183">
        <v>-121431.42</v>
      </c>
      <c r="G529" s="183">
        <v>-151025.56</v>
      </c>
      <c r="H529" s="183">
        <v>-151184.46</v>
      </c>
      <c r="I529" s="183">
        <v>0</v>
      </c>
      <c r="J529" s="183">
        <v>-3471.1</v>
      </c>
      <c r="K529" s="183">
        <v>0</v>
      </c>
      <c r="L529" s="183">
        <v>-153562.51</v>
      </c>
      <c r="M529" s="183">
        <v>-144823.29999999999</v>
      </c>
      <c r="N529" s="183">
        <v>-2.91038304567337E-11</v>
      </c>
      <c r="O529" s="183">
        <v>-2.91038304567337E-11</v>
      </c>
      <c r="P529" s="183">
        <v>-2.91038304567337E-11</v>
      </c>
      <c r="Q529" s="183">
        <v>-2.91038304567337E-11</v>
      </c>
      <c r="R529" s="183">
        <v>-121434.95</v>
      </c>
      <c r="S529" s="184">
        <f t="shared" si="106"/>
        <v>-60458.342916666668</v>
      </c>
      <c r="U529" s="65"/>
      <c r="V529" s="103">
        <f t="shared" si="111"/>
        <v>-60458.342916666668</v>
      </c>
      <c r="W529" s="103"/>
      <c r="X529" s="599"/>
      <c r="Y529" s="103"/>
      <c r="Z529" s="103"/>
      <c r="AA529" s="65"/>
      <c r="AB529" s="103"/>
      <c r="AD529" s="42">
        <f t="shared" si="112"/>
        <v>-60458.342916666668</v>
      </c>
      <c r="AF529" s="6"/>
    </row>
    <row r="530" spans="1:32">
      <c r="A530" s="2">
        <f t="shared" si="100"/>
        <v>513</v>
      </c>
      <c r="B530" s="688" t="s">
        <v>2330</v>
      </c>
      <c r="C530" s="688" t="s">
        <v>3182</v>
      </c>
      <c r="D530" s="688" t="s">
        <v>3199</v>
      </c>
      <c r="E530" s="697" t="s">
        <v>3200</v>
      </c>
      <c r="F530" s="183">
        <v>-23231.16</v>
      </c>
      <c r="G530" s="183">
        <v>-18932.439999999999</v>
      </c>
      <c r="H530" s="183">
        <v>-20378.080000000002</v>
      </c>
      <c r="I530" s="183">
        <v>-18640.52</v>
      </c>
      <c r="J530" s="183">
        <v>-21058.47</v>
      </c>
      <c r="K530" s="183">
        <v>-21943.73</v>
      </c>
      <c r="L530" s="183">
        <v>-22899.48</v>
      </c>
      <c r="M530" s="183">
        <v>-24543.29</v>
      </c>
      <c r="N530" s="183">
        <v>-25383.84</v>
      </c>
      <c r="O530" s="183">
        <v>-19431.37</v>
      </c>
      <c r="P530" s="183">
        <v>-19988.11</v>
      </c>
      <c r="Q530" s="183">
        <v>-20143.75</v>
      </c>
      <c r="R530" s="183">
        <v>-21401.73</v>
      </c>
      <c r="S530" s="184">
        <f t="shared" si="106"/>
        <v>-21304.960416666669</v>
      </c>
      <c r="U530" s="65"/>
      <c r="V530" s="103">
        <f t="shared" si="111"/>
        <v>-21304.960416666669</v>
      </c>
      <c r="W530" s="103"/>
      <c r="X530" s="599"/>
      <c r="Y530" s="103"/>
      <c r="Z530" s="103"/>
      <c r="AA530" s="65"/>
      <c r="AB530" s="103"/>
      <c r="AD530" s="42">
        <f t="shared" si="112"/>
        <v>-21304.960416666669</v>
      </c>
      <c r="AF530" s="6"/>
    </row>
    <row r="531" spans="1:32">
      <c r="A531" s="2">
        <f t="shared" si="100"/>
        <v>514</v>
      </c>
      <c r="B531" s="688" t="s">
        <v>2330</v>
      </c>
      <c r="C531" s="688" t="s">
        <v>3182</v>
      </c>
      <c r="D531" s="688" t="s">
        <v>3201</v>
      </c>
      <c r="E531" s="697" t="s">
        <v>3202</v>
      </c>
      <c r="F531" s="183">
        <v>-220.5</v>
      </c>
      <c r="G531" s="183">
        <v>-220.5</v>
      </c>
      <c r="H531" s="183">
        <v>-344</v>
      </c>
      <c r="I531" s="183">
        <v>0</v>
      </c>
      <c r="J531" s="183">
        <v>0</v>
      </c>
      <c r="K531" s="183">
        <v>0</v>
      </c>
      <c r="L531" s="183">
        <v>-456.51</v>
      </c>
      <c r="M531" s="183">
        <v>-456.51</v>
      </c>
      <c r="N531" s="183">
        <v>0</v>
      </c>
      <c r="O531" s="183">
        <v>0</v>
      </c>
      <c r="P531" s="183">
        <v>0</v>
      </c>
      <c r="Q531" s="183">
        <v>0</v>
      </c>
      <c r="R531" s="183">
        <v>-456.51</v>
      </c>
      <c r="S531" s="184">
        <f t="shared" si="106"/>
        <v>-151.33541666666667</v>
      </c>
      <c r="U531" s="65"/>
      <c r="V531" s="103">
        <f t="shared" si="111"/>
        <v>-151.33541666666667</v>
      </c>
      <c r="W531" s="103"/>
      <c r="X531" s="599"/>
      <c r="Y531" s="103"/>
      <c r="Z531" s="103"/>
      <c r="AA531" s="65"/>
      <c r="AB531" s="103"/>
      <c r="AD531" s="42">
        <f t="shared" si="112"/>
        <v>-151.33541666666667</v>
      </c>
      <c r="AF531" s="6"/>
    </row>
    <row r="532" spans="1:32">
      <c r="A532" s="2">
        <f t="shared" ref="A532:A595" si="113">MAX(A531:A531)+1</f>
        <v>515</v>
      </c>
      <c r="B532" s="688" t="s">
        <v>2330</v>
      </c>
      <c r="C532" s="688" t="s">
        <v>3182</v>
      </c>
      <c r="D532" s="688" t="s">
        <v>3203</v>
      </c>
      <c r="E532" s="697" t="s">
        <v>3204</v>
      </c>
      <c r="F532" s="183">
        <v>0</v>
      </c>
      <c r="G532" s="183">
        <v>0</v>
      </c>
      <c r="H532" s="183">
        <v>0</v>
      </c>
      <c r="I532" s="183">
        <v>0</v>
      </c>
      <c r="J532" s="183">
        <v>-550</v>
      </c>
      <c r="K532" s="183">
        <v>0</v>
      </c>
      <c r="L532" s="183">
        <v>0</v>
      </c>
      <c r="M532" s="183">
        <v>0</v>
      </c>
      <c r="N532" s="183">
        <v>0</v>
      </c>
      <c r="O532" s="183">
        <v>0</v>
      </c>
      <c r="P532" s="183">
        <v>0</v>
      </c>
      <c r="Q532" s="183">
        <v>30703.7</v>
      </c>
      <c r="R532" s="183">
        <v>0</v>
      </c>
      <c r="S532" s="184">
        <f t="shared" si="106"/>
        <v>2512.8083333333334</v>
      </c>
      <c r="U532" s="65"/>
      <c r="V532" s="103">
        <f t="shared" si="111"/>
        <v>2512.8083333333334</v>
      </c>
      <c r="W532" s="103"/>
      <c r="X532" s="599"/>
      <c r="Y532" s="103"/>
      <c r="Z532" s="103"/>
      <c r="AA532" s="65"/>
      <c r="AB532" s="103"/>
      <c r="AD532" s="42">
        <f t="shared" si="112"/>
        <v>2512.8083333333334</v>
      </c>
      <c r="AF532" s="6"/>
    </row>
    <row r="533" spans="1:32">
      <c r="A533" s="2">
        <f t="shared" si="113"/>
        <v>516</v>
      </c>
      <c r="B533" s="688" t="s">
        <v>2330</v>
      </c>
      <c r="C533" s="688" t="s">
        <v>3182</v>
      </c>
      <c r="D533" s="688" t="s">
        <v>3205</v>
      </c>
      <c r="E533" s="697" t="s">
        <v>3206</v>
      </c>
      <c r="F533" s="183">
        <v>-20372.18</v>
      </c>
      <c r="G533" s="183">
        <v>-20731.66</v>
      </c>
      <c r="H533" s="183">
        <v>-21151.07</v>
      </c>
      <c r="I533" s="183">
        <v>0</v>
      </c>
      <c r="J533" s="183">
        <v>0</v>
      </c>
      <c r="K533" s="183">
        <v>0</v>
      </c>
      <c r="L533" s="183">
        <v>-21341.97</v>
      </c>
      <c r="M533" s="183">
        <v>-21933.69</v>
      </c>
      <c r="N533" s="183">
        <v>-3.6379788070917101E-12</v>
      </c>
      <c r="O533" s="183">
        <v>-3.6379788070917101E-12</v>
      </c>
      <c r="P533" s="183">
        <v>-3.6379788070917101E-12</v>
      </c>
      <c r="Q533" s="183">
        <v>-3.6379788070917101E-12</v>
      </c>
      <c r="R533" s="183">
        <v>-23972.82</v>
      </c>
      <c r="S533" s="184">
        <f t="shared" si="106"/>
        <v>-8944.2408333333333</v>
      </c>
      <c r="U533" s="65"/>
      <c r="V533" s="103">
        <f t="shared" si="111"/>
        <v>-8944.2408333333333</v>
      </c>
      <c r="W533" s="103"/>
      <c r="X533" s="599"/>
      <c r="Y533" s="103"/>
      <c r="Z533" s="103"/>
      <c r="AA533" s="65"/>
      <c r="AB533" s="103"/>
      <c r="AD533" s="42">
        <f t="shared" si="112"/>
        <v>-8944.2408333333333</v>
      </c>
      <c r="AF533" s="6"/>
    </row>
    <row r="534" spans="1:32">
      <c r="A534" s="2">
        <f t="shared" si="113"/>
        <v>517</v>
      </c>
      <c r="B534" s="688" t="s">
        <v>2330</v>
      </c>
      <c r="C534" s="688" t="s">
        <v>3182</v>
      </c>
      <c r="D534" s="688" t="s">
        <v>3207</v>
      </c>
      <c r="E534" s="697" t="s">
        <v>3208</v>
      </c>
      <c r="F534" s="183">
        <v>-15404.43</v>
      </c>
      <c r="G534" s="183">
        <v>-2633.45</v>
      </c>
      <c r="H534" s="183">
        <v>-5906.86</v>
      </c>
      <c r="I534" s="183">
        <v>-6367.95</v>
      </c>
      <c r="J534" s="183">
        <v>-12.760000000001099</v>
      </c>
      <c r="K534" s="183">
        <v>-4026.53</v>
      </c>
      <c r="L534" s="183">
        <v>-2854.49</v>
      </c>
      <c r="M534" s="183">
        <v>-655.25000000000102</v>
      </c>
      <c r="N534" s="183">
        <v>-23257.38</v>
      </c>
      <c r="O534" s="183">
        <v>-3132.14</v>
      </c>
      <c r="P534" s="183">
        <v>-6218.64</v>
      </c>
      <c r="Q534" s="183">
        <v>-19125.509999999998</v>
      </c>
      <c r="R534" s="183">
        <v>-383.81000000000103</v>
      </c>
      <c r="S534" s="184">
        <f t="shared" si="106"/>
        <v>-6840.4233333333323</v>
      </c>
      <c r="U534" s="65"/>
      <c r="V534" s="103">
        <f>+S534</f>
        <v>-6840.4233333333323</v>
      </c>
      <c r="W534" s="103"/>
      <c r="X534" s="599"/>
      <c r="Y534" s="103"/>
      <c r="Z534" s="103"/>
      <c r="AA534" s="65"/>
      <c r="AB534" s="103"/>
      <c r="AD534" s="42">
        <f t="shared" si="112"/>
        <v>-6840.4233333333323</v>
      </c>
      <c r="AF534" s="6"/>
    </row>
    <row r="535" spans="1:32">
      <c r="A535" s="2">
        <f t="shared" si="113"/>
        <v>518</v>
      </c>
      <c r="B535" s="688" t="s">
        <v>2330</v>
      </c>
      <c r="C535" s="688" t="s">
        <v>3209</v>
      </c>
      <c r="D535" s="688" t="s">
        <v>2303</v>
      </c>
      <c r="E535" s="697" t="s">
        <v>3210</v>
      </c>
      <c r="F535" s="183">
        <v>-5943368.2000000002</v>
      </c>
      <c r="G535" s="183">
        <v>-1698622.3</v>
      </c>
      <c r="H535" s="183">
        <v>-2717623.73</v>
      </c>
      <c r="I535" s="183">
        <v>-1720892.82</v>
      </c>
      <c r="J535" s="183">
        <v>-3461134.38</v>
      </c>
      <c r="K535" s="183">
        <v>-3395807.08</v>
      </c>
      <c r="L535" s="183">
        <v>-3997793.97</v>
      </c>
      <c r="M535" s="183">
        <v>-3354362.66</v>
      </c>
      <c r="N535" s="183">
        <v>-2208796.69</v>
      </c>
      <c r="O535" s="183">
        <v>-2874741.73</v>
      </c>
      <c r="P535" s="183">
        <v>-2067786.5</v>
      </c>
      <c r="Q535" s="183">
        <v>-1262023.1599999999</v>
      </c>
      <c r="R535" s="183">
        <v>-10090288.59</v>
      </c>
      <c r="S535" s="184">
        <f t="shared" si="106"/>
        <v>-3064701.1179166674</v>
      </c>
      <c r="U535" s="65"/>
      <c r="V535" s="103">
        <f t="shared" si="111"/>
        <v>-3064701.1179166674</v>
      </c>
      <c r="W535" s="103"/>
      <c r="X535" s="599"/>
      <c r="Y535" s="103"/>
      <c r="Z535" s="103"/>
      <c r="AA535" s="65"/>
      <c r="AB535" s="103"/>
      <c r="AD535" s="42">
        <f t="shared" si="112"/>
        <v>-3064701.1179166674</v>
      </c>
      <c r="AF535" s="6"/>
    </row>
    <row r="536" spans="1:32">
      <c r="A536" s="2">
        <f t="shared" si="113"/>
        <v>519</v>
      </c>
      <c r="E536" s="697"/>
      <c r="F536" s="183"/>
      <c r="G536" s="198"/>
      <c r="H536" s="188"/>
      <c r="I536" s="188"/>
      <c r="J536" s="189"/>
      <c r="K536" s="190"/>
      <c r="L536" s="191"/>
      <c r="M536" s="192"/>
      <c r="N536" s="193"/>
      <c r="O536" s="689"/>
      <c r="P536" s="194"/>
      <c r="Q536" s="199"/>
      <c r="R536" s="183"/>
      <c r="S536" s="184"/>
      <c r="U536" s="65"/>
      <c r="V536" s="103"/>
      <c r="W536" s="103"/>
      <c r="X536" s="599"/>
      <c r="Y536" s="103"/>
      <c r="Z536" s="103"/>
      <c r="AA536" s="65"/>
      <c r="AB536" s="103"/>
      <c r="AD536" s="42"/>
      <c r="AF536" s="6"/>
    </row>
    <row r="537" spans="1:32">
      <c r="A537" s="2">
        <f t="shared" si="113"/>
        <v>520</v>
      </c>
      <c r="B537" s="688" t="s">
        <v>2330</v>
      </c>
      <c r="C537" s="688" t="s">
        <v>3211</v>
      </c>
      <c r="D537" s="688" t="s">
        <v>2613</v>
      </c>
      <c r="E537" s="697" t="s">
        <v>3212</v>
      </c>
      <c r="F537" s="183">
        <v>-2792286.19</v>
      </c>
      <c r="G537" s="183">
        <v>-1974972.01</v>
      </c>
      <c r="H537" s="183">
        <v>-1299743.8400000001</v>
      </c>
      <c r="I537" s="183">
        <v>-1372095.25</v>
      </c>
      <c r="J537" s="183">
        <v>-1486563.28</v>
      </c>
      <c r="K537" s="183">
        <v>-1670109.62</v>
      </c>
      <c r="L537" s="183">
        <v>-3250509.7</v>
      </c>
      <c r="M537" s="183">
        <v>-1324852.3600000001</v>
      </c>
      <c r="N537" s="183">
        <v>-1575978.01</v>
      </c>
      <c r="O537" s="183">
        <v>-1446208.21</v>
      </c>
      <c r="P537" s="183">
        <v>-1312287.8</v>
      </c>
      <c r="Q537" s="183">
        <v>-1620833.9</v>
      </c>
      <c r="R537" s="183">
        <v>-1883769.45</v>
      </c>
      <c r="S537" s="184">
        <f t="shared" si="106"/>
        <v>-1722681.8166666664</v>
      </c>
      <c r="U537" s="65"/>
      <c r="V537" s="103"/>
      <c r="W537" s="103"/>
      <c r="X537" s="599">
        <f>+S537</f>
        <v>-1722681.8166666664</v>
      </c>
      <c r="Y537" s="103"/>
      <c r="Z537" s="103"/>
      <c r="AA537" s="65"/>
      <c r="AB537" s="103">
        <f t="shared" ref="AB537:AB546" si="114">+S537</f>
        <v>-1722681.8166666664</v>
      </c>
      <c r="AD537" s="42"/>
      <c r="AF537" s="6"/>
    </row>
    <row r="538" spans="1:32">
      <c r="A538" s="2">
        <f t="shared" si="113"/>
        <v>521</v>
      </c>
      <c r="B538" s="688" t="s">
        <v>2330</v>
      </c>
      <c r="C538" s="688" t="s">
        <v>3211</v>
      </c>
      <c r="D538" s="688" t="s">
        <v>2615</v>
      </c>
      <c r="E538" s="697" t="s">
        <v>3213</v>
      </c>
      <c r="F538" s="183">
        <v>-1714720.39</v>
      </c>
      <c r="G538" s="183">
        <v>-1985070.87</v>
      </c>
      <c r="H538" s="183">
        <v>-1661410.69</v>
      </c>
      <c r="I538" s="183">
        <v>-859072.64</v>
      </c>
      <c r="J538" s="183">
        <v>-1853451.18</v>
      </c>
      <c r="K538" s="183">
        <v>-1331529.32</v>
      </c>
      <c r="L538" s="183">
        <v>-1656230.07</v>
      </c>
      <c r="M538" s="183">
        <v>-2356737.4</v>
      </c>
      <c r="N538" s="183">
        <v>-1748695.72</v>
      </c>
      <c r="O538" s="183">
        <v>-556930.12</v>
      </c>
      <c r="P538" s="183">
        <v>-833880.05</v>
      </c>
      <c r="Q538" s="183">
        <v>-728875.39</v>
      </c>
      <c r="R538" s="183">
        <v>-729775.35</v>
      </c>
      <c r="S538" s="184">
        <f t="shared" si="106"/>
        <v>-1399510.9433333334</v>
      </c>
      <c r="U538" s="65"/>
      <c r="V538" s="103"/>
      <c r="W538" s="103"/>
      <c r="X538" s="599">
        <f t="shared" ref="X538:X546" si="115">+S538</f>
        <v>-1399510.9433333334</v>
      </c>
      <c r="Y538" s="103"/>
      <c r="Z538" s="103"/>
      <c r="AA538" s="65"/>
      <c r="AB538" s="103">
        <f t="shared" si="114"/>
        <v>-1399510.9433333334</v>
      </c>
      <c r="AD538" s="42"/>
      <c r="AF538" s="6"/>
    </row>
    <row r="539" spans="1:32">
      <c r="A539" s="2">
        <f t="shared" si="113"/>
        <v>522</v>
      </c>
      <c r="B539" s="688" t="s">
        <v>2330</v>
      </c>
      <c r="C539" s="688" t="s">
        <v>3211</v>
      </c>
      <c r="D539" s="688" t="s">
        <v>3214</v>
      </c>
      <c r="E539" s="697" t="s">
        <v>3215</v>
      </c>
      <c r="F539" s="183">
        <v>0</v>
      </c>
      <c r="G539" s="183">
        <v>0</v>
      </c>
      <c r="H539" s="183">
        <v>0</v>
      </c>
      <c r="I539" s="183">
        <v>0</v>
      </c>
      <c r="J539" s="183">
        <v>0</v>
      </c>
      <c r="K539" s="183">
        <v>0</v>
      </c>
      <c r="L539" s="183">
        <v>0</v>
      </c>
      <c r="M539" s="183">
        <v>0</v>
      </c>
      <c r="N539" s="183">
        <v>0</v>
      </c>
      <c r="O539" s="183">
        <v>0</v>
      </c>
      <c r="P539" s="183">
        <v>0</v>
      </c>
      <c r="Q539" s="183">
        <v>0</v>
      </c>
      <c r="R539" s="183">
        <v>0</v>
      </c>
      <c r="S539" s="184">
        <f t="shared" si="106"/>
        <v>0</v>
      </c>
      <c r="U539" s="65"/>
      <c r="V539" s="103"/>
      <c r="W539" s="103"/>
      <c r="X539" s="599">
        <f t="shared" si="115"/>
        <v>0</v>
      </c>
      <c r="Y539" s="103"/>
      <c r="Z539" s="103"/>
      <c r="AA539" s="65"/>
      <c r="AB539" s="103">
        <f t="shared" si="114"/>
        <v>0</v>
      </c>
      <c r="AD539" s="42"/>
      <c r="AF539" s="6"/>
    </row>
    <row r="540" spans="1:32">
      <c r="A540" s="2">
        <f t="shared" si="113"/>
        <v>523</v>
      </c>
      <c r="B540" s="688" t="s">
        <v>2330</v>
      </c>
      <c r="C540" s="688" t="s">
        <v>3211</v>
      </c>
      <c r="D540" s="688" t="s">
        <v>2617</v>
      </c>
      <c r="E540" s="697" t="s">
        <v>3216</v>
      </c>
      <c r="F540" s="183">
        <v>-250176.38</v>
      </c>
      <c r="G540" s="183">
        <v>-1610239.93</v>
      </c>
      <c r="H540" s="183">
        <v>-1673183.56</v>
      </c>
      <c r="I540" s="183">
        <v>-98976.110000000102</v>
      </c>
      <c r="J540" s="183">
        <v>-113346.56</v>
      </c>
      <c r="K540" s="183">
        <v>-14370.450000000101</v>
      </c>
      <c r="L540" s="183">
        <v>-285.31000000009999</v>
      </c>
      <c r="M540" s="183">
        <v>-455.31000000009999</v>
      </c>
      <c r="N540" s="183">
        <v>-7277.6700000001001</v>
      </c>
      <c r="O540" s="183">
        <v>-212871.76</v>
      </c>
      <c r="P540" s="183">
        <v>-8.7311491370201098E-11</v>
      </c>
      <c r="Q540" s="183">
        <v>-312269.63</v>
      </c>
      <c r="R540" s="183">
        <v>-64447.530000000101</v>
      </c>
      <c r="S540" s="184">
        <f t="shared" si="106"/>
        <v>-350049.02041666675</v>
      </c>
      <c r="U540" s="65"/>
      <c r="V540" s="103"/>
      <c r="W540" s="103"/>
      <c r="X540" s="599">
        <f t="shared" si="115"/>
        <v>-350049.02041666675</v>
      </c>
      <c r="Y540" s="103"/>
      <c r="Z540" s="103"/>
      <c r="AA540" s="65"/>
      <c r="AB540" s="103">
        <f t="shared" si="114"/>
        <v>-350049.02041666675</v>
      </c>
      <c r="AD540" s="42"/>
      <c r="AF540" s="6"/>
    </row>
    <row r="541" spans="1:32">
      <c r="A541" s="2">
        <f t="shared" si="113"/>
        <v>524</v>
      </c>
      <c r="B541" s="688" t="s">
        <v>2330</v>
      </c>
      <c r="C541" s="688" t="s">
        <v>3211</v>
      </c>
      <c r="D541" s="688" t="s">
        <v>2619</v>
      </c>
      <c r="E541" s="697" t="s">
        <v>3217</v>
      </c>
      <c r="F541" s="183">
        <v>0</v>
      </c>
      <c r="G541" s="183">
        <v>0</v>
      </c>
      <c r="H541" s="183">
        <v>0</v>
      </c>
      <c r="I541" s="183">
        <v>0</v>
      </c>
      <c r="J541" s="183">
        <v>0</v>
      </c>
      <c r="K541" s="183">
        <v>0</v>
      </c>
      <c r="L541" s="183">
        <v>0</v>
      </c>
      <c r="M541" s="183">
        <v>0</v>
      </c>
      <c r="N541" s="183">
        <v>0</v>
      </c>
      <c r="O541" s="183">
        <v>0</v>
      </c>
      <c r="P541" s="183">
        <v>0</v>
      </c>
      <c r="Q541" s="183">
        <v>-1408.01</v>
      </c>
      <c r="R541" s="183">
        <v>0</v>
      </c>
      <c r="S541" s="184">
        <f t="shared" si="106"/>
        <v>-117.33416666666666</v>
      </c>
      <c r="U541" s="65"/>
      <c r="V541" s="103"/>
      <c r="W541" s="103"/>
      <c r="X541" s="599">
        <f t="shared" si="115"/>
        <v>-117.33416666666666</v>
      </c>
      <c r="Y541" s="103"/>
      <c r="Z541" s="103"/>
      <c r="AA541" s="65"/>
      <c r="AB541" s="103">
        <f t="shared" si="114"/>
        <v>-117.33416666666666</v>
      </c>
      <c r="AD541" s="42"/>
      <c r="AF541" s="6"/>
    </row>
    <row r="542" spans="1:32">
      <c r="A542" s="2">
        <f t="shared" si="113"/>
        <v>525</v>
      </c>
      <c r="B542" s="688" t="s">
        <v>2330</v>
      </c>
      <c r="C542" s="688" t="s">
        <v>3211</v>
      </c>
      <c r="D542" s="688" t="s">
        <v>2621</v>
      </c>
      <c r="E542" s="697" t="s">
        <v>3218</v>
      </c>
      <c r="F542" s="183">
        <v>0</v>
      </c>
      <c r="G542" s="183">
        <v>0</v>
      </c>
      <c r="H542" s="183">
        <v>0</v>
      </c>
      <c r="I542" s="183">
        <v>0</v>
      </c>
      <c r="J542" s="183">
        <v>0</v>
      </c>
      <c r="K542" s="183">
        <v>0</v>
      </c>
      <c r="L542" s="183">
        <v>0</v>
      </c>
      <c r="M542" s="183">
        <v>0</v>
      </c>
      <c r="N542" s="183">
        <v>0</v>
      </c>
      <c r="O542" s="183">
        <v>0</v>
      </c>
      <c r="P542" s="183">
        <v>0</v>
      </c>
      <c r="Q542" s="183">
        <v>0</v>
      </c>
      <c r="R542" s="183">
        <v>0</v>
      </c>
      <c r="S542" s="184">
        <f t="shared" si="106"/>
        <v>0</v>
      </c>
      <c r="U542" s="65"/>
      <c r="V542" s="103"/>
      <c r="W542" s="103"/>
      <c r="X542" s="599">
        <f t="shared" si="115"/>
        <v>0</v>
      </c>
      <c r="Y542" s="103"/>
      <c r="Z542" s="103"/>
      <c r="AA542" s="65"/>
      <c r="AB542" s="103">
        <f t="shared" si="114"/>
        <v>0</v>
      </c>
      <c r="AD542" s="42"/>
      <c r="AF542" s="6"/>
    </row>
    <row r="543" spans="1:32">
      <c r="A543" s="2">
        <f t="shared" si="113"/>
        <v>526</v>
      </c>
      <c r="B543" s="688" t="s">
        <v>2330</v>
      </c>
      <c r="C543" s="688" t="s">
        <v>3211</v>
      </c>
      <c r="D543" s="688" t="s">
        <v>2623</v>
      </c>
      <c r="E543" s="697" t="s">
        <v>3219</v>
      </c>
      <c r="F543" s="183">
        <v>-129430.51</v>
      </c>
      <c r="G543" s="183">
        <v>-140482.6</v>
      </c>
      <c r="H543" s="183">
        <v>-70660.759999999995</v>
      </c>
      <c r="I543" s="183">
        <v>-137117.60999999999</v>
      </c>
      <c r="J543" s="183">
        <v>-267645.21000000002</v>
      </c>
      <c r="K543" s="183">
        <v>-269542.18</v>
      </c>
      <c r="L543" s="183">
        <v>-194132.51</v>
      </c>
      <c r="M543" s="183">
        <v>-92185.38</v>
      </c>
      <c r="N543" s="183">
        <v>-106444.32</v>
      </c>
      <c r="O543" s="183">
        <v>-96037.02</v>
      </c>
      <c r="P543" s="183">
        <v>0</v>
      </c>
      <c r="Q543" s="183">
        <v>-56273.01</v>
      </c>
      <c r="R543" s="183">
        <v>-125009.77</v>
      </c>
      <c r="S543" s="184">
        <f t="shared" si="106"/>
        <v>-129811.72833333333</v>
      </c>
      <c r="U543" s="65"/>
      <c r="V543" s="103"/>
      <c r="W543" s="103"/>
      <c r="X543" s="599">
        <f t="shared" si="115"/>
        <v>-129811.72833333333</v>
      </c>
      <c r="Y543" s="103"/>
      <c r="Z543" s="103"/>
      <c r="AA543" s="65"/>
      <c r="AB543" s="103">
        <f t="shared" si="114"/>
        <v>-129811.72833333333</v>
      </c>
      <c r="AD543" s="42"/>
      <c r="AF543" s="6"/>
    </row>
    <row r="544" spans="1:32">
      <c r="A544" s="2">
        <f t="shared" si="113"/>
        <v>527</v>
      </c>
      <c r="B544" s="688" t="s">
        <v>2330</v>
      </c>
      <c r="C544" s="688" t="s">
        <v>3211</v>
      </c>
      <c r="D544" s="688" t="s">
        <v>2625</v>
      </c>
      <c r="E544" s="697" t="s">
        <v>3220</v>
      </c>
      <c r="F544" s="196">
        <v>0</v>
      </c>
      <c r="G544" s="196">
        <v>0</v>
      </c>
      <c r="H544" s="196">
        <v>0</v>
      </c>
      <c r="I544" s="196">
        <v>0</v>
      </c>
      <c r="J544" s="196">
        <v>0</v>
      </c>
      <c r="K544" s="196">
        <v>0</v>
      </c>
      <c r="L544" s="196">
        <v>0</v>
      </c>
      <c r="M544" s="196">
        <v>0</v>
      </c>
      <c r="N544" s="196">
        <v>0</v>
      </c>
      <c r="O544" s="196">
        <v>0</v>
      </c>
      <c r="P544" s="196">
        <v>0</v>
      </c>
      <c r="Q544" s="196">
        <v>0</v>
      </c>
      <c r="R544" s="196">
        <v>0</v>
      </c>
      <c r="S544" s="184">
        <f t="shared" si="106"/>
        <v>0</v>
      </c>
      <c r="U544" s="65"/>
      <c r="V544" s="103"/>
      <c r="W544" s="103"/>
      <c r="X544" s="599">
        <f t="shared" si="115"/>
        <v>0</v>
      </c>
      <c r="Y544" s="103"/>
      <c r="Z544" s="103"/>
      <c r="AA544" s="65"/>
      <c r="AB544" s="103">
        <f t="shared" si="114"/>
        <v>0</v>
      </c>
      <c r="AD544" s="42"/>
      <c r="AF544" s="6"/>
    </row>
    <row r="545" spans="1:32">
      <c r="A545" s="2">
        <f t="shared" si="113"/>
        <v>528</v>
      </c>
      <c r="B545" s="688" t="s">
        <v>2330</v>
      </c>
      <c r="C545" s="688" t="s">
        <v>3211</v>
      </c>
      <c r="D545" s="688" t="s">
        <v>2627</v>
      </c>
      <c r="E545" s="697" t="s">
        <v>3221</v>
      </c>
      <c r="F545" s="196">
        <v>9.0949470177292804E-13</v>
      </c>
      <c r="G545" s="196">
        <v>908.51</v>
      </c>
      <c r="H545" s="196">
        <v>355.73</v>
      </c>
      <c r="I545" s="196">
        <v>-2364.17</v>
      </c>
      <c r="J545" s="196">
        <v>-1139.07</v>
      </c>
      <c r="K545" s="196">
        <v>-2.2737367544323201E-13</v>
      </c>
      <c r="L545" s="196">
        <v>-2.2737367544323201E-13</v>
      </c>
      <c r="M545" s="196">
        <v>-2.2737367544323201E-13</v>
      </c>
      <c r="N545" s="196">
        <v>-2.2737367544323201E-13</v>
      </c>
      <c r="O545" s="196">
        <v>-2.2737367544323201E-13</v>
      </c>
      <c r="P545" s="196">
        <v>-2.2737367544323201E-13</v>
      </c>
      <c r="Q545" s="196">
        <v>-2.2737367544323201E-13</v>
      </c>
      <c r="R545" s="196">
        <v>-2.2737367544323201E-13</v>
      </c>
      <c r="S545" s="184">
        <f t="shared" si="106"/>
        <v>-186.58333333333329</v>
      </c>
      <c r="U545" s="65"/>
      <c r="V545" s="103"/>
      <c r="W545" s="103"/>
      <c r="X545" s="599">
        <f t="shared" si="115"/>
        <v>-186.58333333333329</v>
      </c>
      <c r="Y545" s="103"/>
      <c r="Z545" s="103"/>
      <c r="AA545" s="65"/>
      <c r="AB545" s="103">
        <f t="shared" si="114"/>
        <v>-186.58333333333329</v>
      </c>
      <c r="AD545" s="42"/>
      <c r="AF545" s="6"/>
    </row>
    <row r="546" spans="1:32">
      <c r="A546" s="2">
        <f t="shared" si="113"/>
        <v>529</v>
      </c>
      <c r="B546" s="688" t="s">
        <v>2330</v>
      </c>
      <c r="C546" s="688" t="s">
        <v>3211</v>
      </c>
      <c r="D546" s="688" t="s">
        <v>2629</v>
      </c>
      <c r="E546" s="697" t="s">
        <v>3222</v>
      </c>
      <c r="F546" s="196">
        <v>0</v>
      </c>
      <c r="G546" s="196">
        <v>0</v>
      </c>
      <c r="H546" s="196">
        <v>0</v>
      </c>
      <c r="I546" s="196">
        <v>0</v>
      </c>
      <c r="J546" s="196">
        <v>0</v>
      </c>
      <c r="K546" s="196">
        <v>0</v>
      </c>
      <c r="L546" s="196">
        <v>0</v>
      </c>
      <c r="M546" s="196">
        <v>0</v>
      </c>
      <c r="N546" s="196">
        <v>0</v>
      </c>
      <c r="O546" s="196">
        <v>0</v>
      </c>
      <c r="P546" s="196">
        <v>0</v>
      </c>
      <c r="Q546" s="196">
        <v>0</v>
      </c>
      <c r="R546" s="196">
        <v>-650</v>
      </c>
      <c r="S546" s="184">
        <f t="shared" si="106"/>
        <v>-27.083333333333332</v>
      </c>
      <c r="U546" s="65"/>
      <c r="V546" s="103"/>
      <c r="W546" s="103"/>
      <c r="X546" s="599">
        <f t="shared" si="115"/>
        <v>-27.083333333333332</v>
      </c>
      <c r="Y546" s="103"/>
      <c r="Z546" s="103"/>
      <c r="AA546" s="65"/>
      <c r="AB546" s="103">
        <f t="shared" si="114"/>
        <v>-27.083333333333332</v>
      </c>
      <c r="AD546" s="42"/>
      <c r="AF546" s="6"/>
    </row>
    <row r="547" spans="1:32">
      <c r="A547" s="2">
        <f t="shared" si="113"/>
        <v>530</v>
      </c>
      <c r="E547" s="697" t="s">
        <v>3223</v>
      </c>
      <c r="F547" s="511">
        <f>SUM(F537:F546)</f>
        <v>-4886613.47</v>
      </c>
      <c r="G547" s="511">
        <f t="shared" ref="G547:R547" si="116">SUM(G537:G546)</f>
        <v>-5709856.8999999994</v>
      </c>
      <c r="H547" s="511">
        <f t="shared" si="116"/>
        <v>-4704643.1199999992</v>
      </c>
      <c r="I547" s="511">
        <f t="shared" si="116"/>
        <v>-2469625.7799999998</v>
      </c>
      <c r="J547" s="511">
        <f t="shared" si="116"/>
        <v>-3722145.3</v>
      </c>
      <c r="K547" s="511">
        <f t="shared" si="116"/>
        <v>-3285551.5700000008</v>
      </c>
      <c r="L547" s="511">
        <f t="shared" si="116"/>
        <v>-5101157.5900000008</v>
      </c>
      <c r="M547" s="511">
        <f t="shared" si="116"/>
        <v>-3774230.4499999997</v>
      </c>
      <c r="N547" s="511">
        <f t="shared" si="116"/>
        <v>-3438395.7199999997</v>
      </c>
      <c r="O547" s="511">
        <f t="shared" si="116"/>
        <v>-2312047.11</v>
      </c>
      <c r="P547" s="511">
        <f t="shared" si="116"/>
        <v>-2146167.85</v>
      </c>
      <c r="Q547" s="511">
        <f t="shared" si="116"/>
        <v>-2719659.9399999995</v>
      </c>
      <c r="R547" s="511">
        <f t="shared" si="116"/>
        <v>-2803652.1</v>
      </c>
      <c r="S547" s="511">
        <f>SUM(S537:S546)</f>
        <v>-3602384.5095833335</v>
      </c>
      <c r="U547" s="65"/>
      <c r="V547" s="103"/>
      <c r="W547" s="103"/>
      <c r="X547" s="599"/>
      <c r="Y547" s="103"/>
      <c r="Z547" s="103"/>
      <c r="AA547" s="65"/>
      <c r="AB547" s="103"/>
      <c r="AF547" s="6"/>
    </row>
    <row r="548" spans="1:32">
      <c r="A548" s="2">
        <f t="shared" si="113"/>
        <v>531</v>
      </c>
      <c r="E548" s="697"/>
      <c r="F548" s="183"/>
      <c r="G548" s="198"/>
      <c r="H548" s="188"/>
      <c r="I548" s="188"/>
      <c r="J548" s="189"/>
      <c r="K548" s="190"/>
      <c r="L548" s="191"/>
      <c r="M548" s="192"/>
      <c r="N548" s="193"/>
      <c r="O548" s="689"/>
      <c r="P548" s="194"/>
      <c r="Q548" s="199"/>
      <c r="R548" s="183"/>
      <c r="S548" s="47"/>
      <c r="U548" s="65"/>
      <c r="V548" s="103"/>
      <c r="W548" s="103"/>
      <c r="X548" s="599"/>
      <c r="Y548" s="103"/>
      <c r="Z548" s="103"/>
      <c r="AA548" s="65"/>
      <c r="AB548" s="103"/>
      <c r="AF548" s="6"/>
    </row>
    <row r="549" spans="1:32">
      <c r="A549" s="2">
        <f t="shared" si="113"/>
        <v>532</v>
      </c>
      <c r="B549" s="688" t="s">
        <v>2330</v>
      </c>
      <c r="C549" s="688" t="s">
        <v>3224</v>
      </c>
      <c r="D549" s="1" t="s">
        <v>2303</v>
      </c>
      <c r="E549" s="697" t="s">
        <v>3225</v>
      </c>
      <c r="F549" s="183">
        <v>-118374.2</v>
      </c>
      <c r="G549" s="183">
        <v>6077.61</v>
      </c>
      <c r="H549" s="183">
        <v>-76845.48</v>
      </c>
      <c r="I549" s="183">
        <v>9886.3500000000095</v>
      </c>
      <c r="J549" s="183">
        <v>1148.71000000001</v>
      </c>
      <c r="K549" s="183">
        <v>6077.6100000000097</v>
      </c>
      <c r="L549" s="183">
        <v>-126556.32</v>
      </c>
      <c r="M549" s="183">
        <v>6077.61</v>
      </c>
      <c r="N549" s="183">
        <v>6077.61</v>
      </c>
      <c r="O549" s="183">
        <v>6077.61</v>
      </c>
      <c r="P549" s="183">
        <v>6077.61</v>
      </c>
      <c r="Q549" s="183">
        <v>6077.61</v>
      </c>
      <c r="R549" s="183">
        <v>-121939.2</v>
      </c>
      <c r="S549" s="184">
        <f t="shared" si="106"/>
        <v>-22498.347500000003</v>
      </c>
      <c r="U549" s="65"/>
      <c r="V549" s="103">
        <f t="shared" ref="V549:V554" si="117">+S549</f>
        <v>-22498.347500000003</v>
      </c>
      <c r="W549" s="103"/>
      <c r="X549" s="599"/>
      <c r="Y549" s="103"/>
      <c r="Z549" s="103"/>
      <c r="AA549" s="65"/>
      <c r="AB549" s="103"/>
      <c r="AD549" s="42">
        <f t="shared" ref="AD549:AD554" si="118">+S549</f>
        <v>-22498.347500000003</v>
      </c>
      <c r="AF549" s="6"/>
    </row>
    <row r="550" spans="1:32">
      <c r="A550" s="2">
        <f t="shared" si="113"/>
        <v>533</v>
      </c>
      <c r="B550" s="688" t="s">
        <v>2330</v>
      </c>
      <c r="C550" s="688" t="s">
        <v>3224</v>
      </c>
      <c r="D550" s="1" t="s">
        <v>2304</v>
      </c>
      <c r="E550" s="697" t="s">
        <v>3226</v>
      </c>
      <c r="F550" s="183">
        <v>-68424.899999999994</v>
      </c>
      <c r="G550" s="183">
        <v>0</v>
      </c>
      <c r="H550" s="183">
        <v>-24806.57</v>
      </c>
      <c r="I550" s="183">
        <v>0</v>
      </c>
      <c r="J550" s="183">
        <v>-1419.27</v>
      </c>
      <c r="K550" s="183">
        <v>0</v>
      </c>
      <c r="L550" s="183">
        <v>-77101.19</v>
      </c>
      <c r="M550" s="183">
        <v>306.89999999999401</v>
      </c>
      <c r="N550" s="183">
        <v>306.89999999999401</v>
      </c>
      <c r="O550" s="183">
        <v>306.89999999999401</v>
      </c>
      <c r="P550" s="183">
        <v>306.89999999999401</v>
      </c>
      <c r="Q550" s="183">
        <v>306.89999999999401</v>
      </c>
      <c r="R550" s="183">
        <v>-70717.09</v>
      </c>
      <c r="S550" s="184">
        <f t="shared" si="106"/>
        <v>-14280.293750000003</v>
      </c>
      <c r="U550" s="65"/>
      <c r="V550" s="103">
        <f t="shared" si="117"/>
        <v>-14280.293750000003</v>
      </c>
      <c r="W550" s="103"/>
      <c r="X550" s="599"/>
      <c r="Y550" s="103"/>
      <c r="Z550" s="103"/>
      <c r="AA550" s="65"/>
      <c r="AB550" s="103"/>
      <c r="AD550" s="42">
        <f t="shared" si="118"/>
        <v>-14280.293750000003</v>
      </c>
      <c r="AF550" s="6"/>
    </row>
    <row r="551" spans="1:32">
      <c r="A551" s="2">
        <f t="shared" si="113"/>
        <v>534</v>
      </c>
      <c r="B551" s="688" t="s">
        <v>2330</v>
      </c>
      <c r="C551" s="688" t="s">
        <v>3224</v>
      </c>
      <c r="D551" s="1" t="s">
        <v>2305</v>
      </c>
      <c r="E551" s="697" t="s">
        <v>3227</v>
      </c>
      <c r="F551" s="183">
        <v>-17085.77</v>
      </c>
      <c r="G551" s="183">
        <v>0</v>
      </c>
      <c r="H551" s="183">
        <v>-5801.59</v>
      </c>
      <c r="I551" s="183">
        <v>0</v>
      </c>
      <c r="J551" s="183">
        <v>-331.92</v>
      </c>
      <c r="K551" s="183">
        <v>0</v>
      </c>
      <c r="L551" s="183">
        <v>-18031.669999999998</v>
      </c>
      <c r="M551" s="183">
        <v>71.780000000002502</v>
      </c>
      <c r="N551" s="183">
        <v>71.780000000002502</v>
      </c>
      <c r="O551" s="183">
        <v>71.780000000002502</v>
      </c>
      <c r="P551" s="183">
        <v>71.780000000002502</v>
      </c>
      <c r="Q551" s="183">
        <v>71.780000000002502</v>
      </c>
      <c r="R551" s="183">
        <v>-17076.830000000002</v>
      </c>
      <c r="S551" s="184">
        <f t="shared" si="106"/>
        <v>-3407.2983333333323</v>
      </c>
      <c r="U551" s="65"/>
      <c r="V551" s="103">
        <f t="shared" si="117"/>
        <v>-3407.2983333333323</v>
      </c>
      <c r="W551" s="103"/>
      <c r="X551" s="599"/>
      <c r="Y551" s="103"/>
      <c r="Z551" s="103"/>
      <c r="AA551" s="65"/>
      <c r="AB551" s="103"/>
      <c r="AD551" s="42">
        <f t="shared" si="118"/>
        <v>-3407.2983333333323</v>
      </c>
      <c r="AF551" s="6"/>
    </row>
    <row r="552" spans="1:32">
      <c r="A552" s="2">
        <f t="shared" si="113"/>
        <v>535</v>
      </c>
      <c r="B552" s="688" t="s">
        <v>2330</v>
      </c>
      <c r="C552" s="688" t="s">
        <v>3228</v>
      </c>
      <c r="D552" s="1" t="s">
        <v>640</v>
      </c>
      <c r="E552" s="697" t="s">
        <v>3229</v>
      </c>
      <c r="F552" s="183">
        <v>-15298.52</v>
      </c>
      <c r="G552" s="183">
        <v>0</v>
      </c>
      <c r="H552" s="183">
        <v>-2697.18</v>
      </c>
      <c r="I552" s="183">
        <v>0</v>
      </c>
      <c r="J552" s="183">
        <v>-1960.87</v>
      </c>
      <c r="K552" s="183">
        <v>0</v>
      </c>
      <c r="L552" s="183">
        <v>-16298.85</v>
      </c>
      <c r="M552" s="183">
        <v>0</v>
      </c>
      <c r="N552" s="183">
        <v>0</v>
      </c>
      <c r="O552" s="183">
        <v>0</v>
      </c>
      <c r="P552" s="183">
        <v>0</v>
      </c>
      <c r="Q552" s="183">
        <v>0</v>
      </c>
      <c r="R552" s="183">
        <v>-14661.24</v>
      </c>
      <c r="S552" s="184">
        <f t="shared" si="106"/>
        <v>-2994.7316666666666</v>
      </c>
      <c r="U552" s="65"/>
      <c r="V552" s="103">
        <f t="shared" si="117"/>
        <v>-2994.7316666666666</v>
      </c>
      <c r="W552" s="103"/>
      <c r="X552" s="599"/>
      <c r="Y552" s="103"/>
      <c r="Z552" s="103"/>
      <c r="AA552" s="65"/>
      <c r="AB552" s="103"/>
      <c r="AD552" s="42">
        <f t="shared" si="118"/>
        <v>-2994.7316666666666</v>
      </c>
      <c r="AF552" s="6"/>
    </row>
    <row r="553" spans="1:32">
      <c r="A553" s="2">
        <f t="shared" si="113"/>
        <v>536</v>
      </c>
      <c r="B553" s="688" t="s">
        <v>2330</v>
      </c>
      <c r="C553" s="688" t="s">
        <v>3228</v>
      </c>
      <c r="D553" s="688" t="s">
        <v>3230</v>
      </c>
      <c r="E553" s="697" t="s">
        <v>3229</v>
      </c>
      <c r="F553" s="183">
        <v>-1441</v>
      </c>
      <c r="G553" s="183">
        <v>-1700</v>
      </c>
      <c r="H553" s="183">
        <v>-1991</v>
      </c>
      <c r="I553" s="183">
        <v>-1246</v>
      </c>
      <c r="J553" s="183">
        <v>-1228</v>
      </c>
      <c r="K553" s="183">
        <v>-1203</v>
      </c>
      <c r="L553" s="183">
        <v>-1805</v>
      </c>
      <c r="M553" s="183">
        <v>-1612</v>
      </c>
      <c r="N553" s="183">
        <v>-1689</v>
      </c>
      <c r="O553" s="183">
        <v>-2340</v>
      </c>
      <c r="P553" s="183">
        <v>-1884</v>
      </c>
      <c r="Q553" s="183">
        <v>-2182</v>
      </c>
      <c r="R553" s="183">
        <v>-3662</v>
      </c>
      <c r="S553" s="184">
        <f t="shared" si="106"/>
        <v>-1785.9583333333333</v>
      </c>
      <c r="U553" s="65"/>
      <c r="V553" s="103">
        <f t="shared" si="117"/>
        <v>-1785.9583333333333</v>
      </c>
      <c r="W553" s="103"/>
      <c r="X553" s="599"/>
      <c r="Y553" s="103"/>
      <c r="Z553" s="103"/>
      <c r="AA553" s="65"/>
      <c r="AB553" s="103"/>
      <c r="AD553" s="42">
        <f t="shared" si="118"/>
        <v>-1785.9583333333333</v>
      </c>
      <c r="AF553" s="6"/>
    </row>
    <row r="554" spans="1:32">
      <c r="A554" s="2">
        <f t="shared" si="113"/>
        <v>537</v>
      </c>
      <c r="B554" s="688" t="s">
        <v>2330</v>
      </c>
      <c r="C554" s="688" t="s">
        <v>3228</v>
      </c>
      <c r="D554" s="688" t="s">
        <v>3231</v>
      </c>
      <c r="E554" s="697" t="s">
        <v>3232</v>
      </c>
      <c r="F554" s="183">
        <v>-1583.86</v>
      </c>
      <c r="G554" s="183">
        <v>-437.1</v>
      </c>
      <c r="H554" s="183">
        <v>-919.07</v>
      </c>
      <c r="I554" s="183">
        <v>-1383.13</v>
      </c>
      <c r="J554" s="183">
        <v>-462.96</v>
      </c>
      <c r="K554" s="183">
        <v>-896.62</v>
      </c>
      <c r="L554" s="183">
        <v>-1569.32</v>
      </c>
      <c r="M554" s="183">
        <v>-431.53</v>
      </c>
      <c r="N554" s="183">
        <v>-866.66</v>
      </c>
      <c r="O554" s="183">
        <v>-1295.96</v>
      </c>
      <c r="P554" s="183">
        <v>-1739.47</v>
      </c>
      <c r="Q554" s="183">
        <v>-799.48</v>
      </c>
      <c r="R554" s="183">
        <v>-1468.49</v>
      </c>
      <c r="S554" s="184">
        <f t="shared" si="106"/>
        <v>-1027.289583333333</v>
      </c>
      <c r="U554" s="65"/>
      <c r="V554" s="103">
        <f t="shared" si="117"/>
        <v>-1027.289583333333</v>
      </c>
      <c r="W554" s="103"/>
      <c r="X554" s="599"/>
      <c r="Y554" s="103"/>
      <c r="Z554" s="103"/>
      <c r="AA554" s="65"/>
      <c r="AB554" s="103"/>
      <c r="AD554" s="42">
        <f t="shared" si="118"/>
        <v>-1027.289583333333</v>
      </c>
      <c r="AF554" s="6"/>
    </row>
    <row r="555" spans="1:32">
      <c r="A555" s="2">
        <f t="shared" si="113"/>
        <v>538</v>
      </c>
      <c r="E555" s="697" t="s">
        <v>3233</v>
      </c>
      <c r="F555" s="511">
        <f t="shared" ref="F555:S555" si="119">SUM(F549:F554)</f>
        <v>-222208.24999999994</v>
      </c>
      <c r="G555" s="511">
        <f t="shared" si="119"/>
        <v>3940.5099999999998</v>
      </c>
      <c r="H555" s="511">
        <f t="shared" si="119"/>
        <v>-113060.88999999998</v>
      </c>
      <c r="I555" s="511">
        <f t="shared" si="119"/>
        <v>7257.2200000000093</v>
      </c>
      <c r="J555" s="511">
        <f t="shared" si="119"/>
        <v>-4254.3099999999895</v>
      </c>
      <c r="K555" s="511">
        <f t="shared" si="119"/>
        <v>3977.9900000000098</v>
      </c>
      <c r="L555" s="511">
        <f t="shared" si="119"/>
        <v>-241362.35</v>
      </c>
      <c r="M555" s="511">
        <f t="shared" si="119"/>
        <v>4412.7599999999966</v>
      </c>
      <c r="N555" s="511">
        <f t="shared" si="119"/>
        <v>3900.6299999999965</v>
      </c>
      <c r="O555" s="511">
        <f t="shared" si="119"/>
        <v>2820.3299999999963</v>
      </c>
      <c r="P555" s="511">
        <f t="shared" si="119"/>
        <v>2832.8199999999961</v>
      </c>
      <c r="Q555" s="511">
        <f t="shared" si="119"/>
        <v>3474.8099999999963</v>
      </c>
      <c r="R555" s="511">
        <f t="shared" si="119"/>
        <v>-229524.84999999998</v>
      </c>
      <c r="S555" s="512">
        <f t="shared" si="119"/>
        <v>-45993.919166666674</v>
      </c>
      <c r="U555" s="65"/>
      <c r="V555" s="103"/>
      <c r="W555" s="103"/>
      <c r="X555" s="599"/>
      <c r="Y555" s="103"/>
      <c r="Z555" s="103"/>
      <c r="AA555" s="65"/>
      <c r="AB555" s="103"/>
      <c r="AF555" s="6"/>
    </row>
    <row r="556" spans="1:32">
      <c r="A556" s="2">
        <f t="shared" si="113"/>
        <v>539</v>
      </c>
      <c r="E556" s="697"/>
      <c r="F556" s="183"/>
      <c r="G556" s="198"/>
      <c r="H556" s="188"/>
      <c r="I556" s="188"/>
      <c r="J556" s="189"/>
      <c r="K556" s="190"/>
      <c r="L556" s="191"/>
      <c r="M556" s="192"/>
      <c r="N556" s="193"/>
      <c r="O556" s="689"/>
      <c r="P556" s="194"/>
      <c r="Q556" s="199"/>
      <c r="R556" s="183"/>
      <c r="S556" s="47"/>
      <c r="U556" s="65"/>
      <c r="V556" s="103"/>
      <c r="W556" s="103"/>
      <c r="X556" s="599"/>
      <c r="Y556" s="103"/>
      <c r="Z556" s="103"/>
      <c r="AA556" s="65"/>
      <c r="AB556" s="103"/>
      <c r="AF556" s="6"/>
    </row>
    <row r="557" spans="1:32">
      <c r="A557" s="2">
        <f t="shared" si="113"/>
        <v>540</v>
      </c>
      <c r="E557" s="697" t="s">
        <v>3234</v>
      </c>
      <c r="F557" s="511">
        <f t="shared" ref="F557:S557" si="120">SUM(F516:F535)+F547+F555</f>
        <v>-78676332.12000002</v>
      </c>
      <c r="G557" s="511">
        <f t="shared" si="120"/>
        <v>-325234563.39999998</v>
      </c>
      <c r="H557" s="511">
        <f t="shared" si="120"/>
        <v>-206671160.25000003</v>
      </c>
      <c r="I557" s="511">
        <f t="shared" si="120"/>
        <v>-191268676.13999999</v>
      </c>
      <c r="J557" s="511">
        <f t="shared" si="120"/>
        <v>-179318185.02999997</v>
      </c>
      <c r="K557" s="511">
        <f t="shared" si="120"/>
        <v>-174263229.04999995</v>
      </c>
      <c r="L557" s="511">
        <f t="shared" si="120"/>
        <v>-174957166.29999995</v>
      </c>
      <c r="M557" s="511">
        <f t="shared" si="120"/>
        <v>-177093404.75999999</v>
      </c>
      <c r="N557" s="511">
        <f t="shared" si="120"/>
        <v>-199612342.75</v>
      </c>
      <c r="O557" s="511">
        <f t="shared" si="120"/>
        <v>-179486239.68999997</v>
      </c>
      <c r="P557" s="511">
        <f t="shared" si="120"/>
        <v>-191326477.51000002</v>
      </c>
      <c r="Q557" s="511">
        <f t="shared" si="120"/>
        <v>-196140430.04000002</v>
      </c>
      <c r="R557" s="511">
        <f t="shared" si="120"/>
        <v>-109964309.66</v>
      </c>
      <c r="S557" s="511">
        <f t="shared" si="120"/>
        <v>-190807682.98416665</v>
      </c>
      <c r="U557" s="65"/>
      <c r="V557" s="103"/>
      <c r="W557" s="103"/>
      <c r="X557" s="599"/>
      <c r="Y557" s="103"/>
      <c r="Z557" s="103"/>
      <c r="AA557" s="65"/>
      <c r="AB557" s="103"/>
      <c r="AF557" s="6"/>
    </row>
    <row r="558" spans="1:32">
      <c r="A558" s="2">
        <f t="shared" si="113"/>
        <v>541</v>
      </c>
      <c r="E558" s="697"/>
      <c r="F558" s="183"/>
      <c r="G558" s="198"/>
      <c r="H558" s="188"/>
      <c r="I558" s="188"/>
      <c r="J558" s="189"/>
      <c r="K558" s="190"/>
      <c r="L558" s="191"/>
      <c r="M558" s="192"/>
      <c r="N558" s="193"/>
      <c r="O558" s="689"/>
      <c r="P558" s="194"/>
      <c r="Q558" s="199"/>
      <c r="R558" s="183"/>
      <c r="S558" s="47"/>
      <c r="U558" s="65"/>
      <c r="V558" s="103"/>
      <c r="W558" s="103"/>
      <c r="X558" s="599"/>
      <c r="Y558" s="103"/>
      <c r="Z558" s="103"/>
      <c r="AA558" s="65"/>
      <c r="AB558" s="103"/>
      <c r="AF558" s="6"/>
    </row>
    <row r="559" spans="1:32">
      <c r="A559" s="2">
        <f t="shared" si="113"/>
        <v>542</v>
      </c>
      <c r="E559" s="697"/>
      <c r="F559" s="183"/>
      <c r="G559" s="198"/>
      <c r="H559" s="188"/>
      <c r="I559" s="188"/>
      <c r="J559" s="189"/>
      <c r="K559" s="190"/>
      <c r="L559" s="191"/>
      <c r="M559" s="192"/>
      <c r="N559" s="193"/>
      <c r="O559" s="689"/>
      <c r="P559" s="194"/>
      <c r="Q559" s="199"/>
      <c r="R559" s="183"/>
      <c r="S559" s="47"/>
      <c r="U559" s="65"/>
      <c r="V559" s="103"/>
      <c r="W559" s="103"/>
      <c r="X559" s="599"/>
      <c r="Y559" s="103"/>
      <c r="Z559" s="103"/>
      <c r="AA559" s="65"/>
      <c r="AB559" s="103"/>
      <c r="AF559" s="6"/>
    </row>
    <row r="560" spans="1:32">
      <c r="A560" s="2">
        <f t="shared" si="113"/>
        <v>543</v>
      </c>
      <c r="B560" s="1" t="s">
        <v>2330</v>
      </c>
      <c r="C560" s="1" t="s">
        <v>3235</v>
      </c>
      <c r="D560" s="1" t="s">
        <v>2537</v>
      </c>
      <c r="E560" s="697" t="s">
        <v>3236</v>
      </c>
      <c r="F560" s="183">
        <v>-4500</v>
      </c>
      <c r="G560" s="198">
        <v>-78500</v>
      </c>
      <c r="H560" s="188">
        <v>-70100</v>
      </c>
      <c r="I560" s="188">
        <v>-70100</v>
      </c>
      <c r="J560" s="189">
        <v>-70100</v>
      </c>
      <c r="K560" s="190">
        <v>-70100</v>
      </c>
      <c r="L560" s="191">
        <v>-88000</v>
      </c>
      <c r="M560" s="192">
        <v>-84500</v>
      </c>
      <c r="N560" s="193">
        <v>-79500</v>
      </c>
      <c r="O560" s="689">
        <v>-111000</v>
      </c>
      <c r="P560" s="194">
        <v>-114000</v>
      </c>
      <c r="Q560" s="199">
        <v>-114000</v>
      </c>
      <c r="R560" s="183">
        <v>-113000</v>
      </c>
      <c r="S560" s="184">
        <f t="shared" ref="S560:S812" si="121">((F560+R560)+((G560+H560+I560+J560+K560+L560+M560+N560+O560+P560+Q560)*2))/24</f>
        <v>-84054.166666666672</v>
      </c>
      <c r="U560" s="65"/>
      <c r="V560" s="103">
        <f>+S560</f>
        <v>-84054.166666666672</v>
      </c>
      <c r="W560" s="103"/>
      <c r="X560" s="599"/>
      <c r="Y560" s="103"/>
      <c r="Z560" s="103"/>
      <c r="AA560" s="65"/>
      <c r="AB560" s="103"/>
      <c r="AD560" s="42">
        <f>+S560</f>
        <v>-84054.166666666672</v>
      </c>
      <c r="AF560" s="6"/>
    </row>
    <row r="561" spans="1:32">
      <c r="A561" s="2">
        <f t="shared" si="113"/>
        <v>544</v>
      </c>
      <c r="B561" s="688" t="s">
        <v>2324</v>
      </c>
      <c r="C561" s="688" t="s">
        <v>3237</v>
      </c>
      <c r="D561" s="688" t="s">
        <v>3238</v>
      </c>
      <c r="E561" s="697" t="s">
        <v>2717</v>
      </c>
      <c r="F561" s="183">
        <v>0</v>
      </c>
      <c r="G561" s="183">
        <v>0</v>
      </c>
      <c r="H561" s="183">
        <v>0</v>
      </c>
      <c r="I561" s="183">
        <v>-21941712.309999999</v>
      </c>
      <c r="J561" s="183">
        <v>-21941712.309999999</v>
      </c>
      <c r="K561" s="183">
        <v>0</v>
      </c>
      <c r="L561" s="183">
        <v>0</v>
      </c>
      <c r="M561" s="183">
        <v>0</v>
      </c>
      <c r="N561" s="183">
        <v>0</v>
      </c>
      <c r="O561" s="183">
        <v>0</v>
      </c>
      <c r="P561" s="183">
        <v>0</v>
      </c>
      <c r="Q561" s="183">
        <v>0</v>
      </c>
      <c r="R561" s="183">
        <v>0</v>
      </c>
      <c r="S561" s="184">
        <f t="shared" si="121"/>
        <v>-3656952.0516666663</v>
      </c>
      <c r="U561" s="65"/>
      <c r="V561" s="103">
        <f t="shared" ref="V561:V585" si="122">+S561</f>
        <v>-3656952.0516666663</v>
      </c>
      <c r="W561" s="103"/>
      <c r="X561" s="599"/>
      <c r="Y561" s="103"/>
      <c r="Z561" s="103"/>
      <c r="AA561" s="65"/>
      <c r="AB561" s="103"/>
      <c r="AD561" s="42">
        <f t="shared" ref="AD561:AD621" si="123">+S561</f>
        <v>-3656952.0516666663</v>
      </c>
      <c r="AF561" s="6"/>
    </row>
    <row r="562" spans="1:32">
      <c r="A562" s="2">
        <f t="shared" si="113"/>
        <v>545</v>
      </c>
      <c r="B562" s="688" t="s">
        <v>2342</v>
      </c>
      <c r="C562" s="688" t="s">
        <v>3237</v>
      </c>
      <c r="D562" s="688" t="s">
        <v>2541</v>
      </c>
      <c r="E562" s="697" t="s">
        <v>2719</v>
      </c>
      <c r="F562" s="183">
        <v>0</v>
      </c>
      <c r="G562" s="183">
        <v>0</v>
      </c>
      <c r="H562" s="183">
        <v>0</v>
      </c>
      <c r="I562" s="183">
        <v>0</v>
      </c>
      <c r="J562" s="183">
        <v>-558897.5</v>
      </c>
      <c r="K562" s="183">
        <v>0</v>
      </c>
      <c r="L562" s="183">
        <v>0</v>
      </c>
      <c r="M562" s="183">
        <v>0</v>
      </c>
      <c r="N562" s="183">
        <v>0</v>
      </c>
      <c r="O562" s="183">
        <v>0</v>
      </c>
      <c r="P562" s="183">
        <v>0</v>
      </c>
      <c r="Q562" s="183">
        <v>0</v>
      </c>
      <c r="R562" s="183">
        <v>0</v>
      </c>
      <c r="S562" s="184">
        <f t="shared" si="121"/>
        <v>-46574.791666666664</v>
      </c>
      <c r="U562" s="65"/>
      <c r="V562" s="103">
        <f t="shared" si="122"/>
        <v>-46574.791666666664</v>
      </c>
      <c r="W562" s="103"/>
      <c r="X562" s="599"/>
      <c r="Y562" s="103"/>
      <c r="Z562" s="103"/>
      <c r="AA562" s="65"/>
      <c r="AB562" s="103"/>
      <c r="AD562" s="42">
        <f t="shared" si="123"/>
        <v>-46574.791666666664</v>
      </c>
      <c r="AF562" s="6"/>
    </row>
    <row r="563" spans="1:32">
      <c r="A563" s="2">
        <f t="shared" si="113"/>
        <v>546</v>
      </c>
      <c r="B563" s="688" t="s">
        <v>2330</v>
      </c>
      <c r="C563" s="688" t="s">
        <v>3239</v>
      </c>
      <c r="D563" s="688" t="s">
        <v>2312</v>
      </c>
      <c r="E563" s="697" t="s">
        <v>3240</v>
      </c>
      <c r="F563" s="183">
        <v>-3112831.21</v>
      </c>
      <c r="G563" s="183">
        <v>0</v>
      </c>
      <c r="H563" s="183">
        <v>0</v>
      </c>
      <c r="I563" s="183">
        <v>0</v>
      </c>
      <c r="J563" s="183">
        <v>0</v>
      </c>
      <c r="K563" s="183">
        <v>0</v>
      </c>
      <c r="L563" s="183">
        <v>0</v>
      </c>
      <c r="M563" s="183">
        <v>0</v>
      </c>
      <c r="N563" s="183">
        <v>26701.53</v>
      </c>
      <c r="O563" s="183">
        <v>-3986572.54</v>
      </c>
      <c r="P563" s="183">
        <v>-4803452.5599999996</v>
      </c>
      <c r="Q563" s="183">
        <v>-7456105.1299999999</v>
      </c>
      <c r="R563" s="183">
        <v>-2915259.88</v>
      </c>
      <c r="S563" s="184">
        <f t="shared" si="121"/>
        <v>-1602789.5204166665</v>
      </c>
      <c r="U563" s="65"/>
      <c r="V563" s="103">
        <f t="shared" si="122"/>
        <v>-1602789.5204166665</v>
      </c>
      <c r="W563" s="103"/>
      <c r="X563" s="599"/>
      <c r="Y563" s="103"/>
      <c r="Z563" s="103"/>
      <c r="AA563" s="65"/>
      <c r="AB563" s="103"/>
      <c r="AD563" s="42">
        <f t="shared" si="123"/>
        <v>-1602789.5204166665</v>
      </c>
      <c r="AF563" s="6"/>
    </row>
    <row r="564" spans="1:32">
      <c r="A564" s="2">
        <f t="shared" si="113"/>
        <v>547</v>
      </c>
      <c r="B564" s="688" t="s">
        <v>2330</v>
      </c>
      <c r="C564" s="688" t="s">
        <v>3239</v>
      </c>
      <c r="D564" s="688" t="s">
        <v>3241</v>
      </c>
      <c r="E564" s="697" t="s">
        <v>3242</v>
      </c>
      <c r="F564" s="183">
        <v>-30067</v>
      </c>
      <c r="G564" s="183">
        <v>0</v>
      </c>
      <c r="H564" s="183">
        <v>0</v>
      </c>
      <c r="I564" s="183">
        <v>0</v>
      </c>
      <c r="J564" s="183">
        <v>0</v>
      </c>
      <c r="K564" s="183">
        <v>0</v>
      </c>
      <c r="L564" s="183">
        <v>0</v>
      </c>
      <c r="M564" s="183">
        <v>0</v>
      </c>
      <c r="N564" s="183">
        <v>-34465</v>
      </c>
      <c r="O564" s="183">
        <v>-39379</v>
      </c>
      <c r="P564" s="183">
        <v>-39379</v>
      </c>
      <c r="Q564" s="183">
        <v>-53592.4</v>
      </c>
      <c r="R564" s="183">
        <v>-51519.4</v>
      </c>
      <c r="S564" s="184">
        <f t="shared" si="121"/>
        <v>-17300.716666666664</v>
      </c>
      <c r="U564" s="65"/>
      <c r="V564" s="103">
        <f t="shared" si="122"/>
        <v>-17300.716666666664</v>
      </c>
      <c r="W564" s="103"/>
      <c r="X564" s="599"/>
      <c r="Y564" s="103"/>
      <c r="Z564" s="103"/>
      <c r="AA564" s="65"/>
      <c r="AB564" s="103"/>
      <c r="AD564" s="42">
        <f t="shared" si="123"/>
        <v>-17300.716666666664</v>
      </c>
      <c r="AF564" s="6"/>
    </row>
    <row r="565" spans="1:32">
      <c r="A565" s="2">
        <f t="shared" si="113"/>
        <v>548</v>
      </c>
      <c r="B565" s="688" t="s">
        <v>2330</v>
      </c>
      <c r="C565" s="688" t="s">
        <v>3243</v>
      </c>
      <c r="D565" s="688" t="s">
        <v>2311</v>
      </c>
      <c r="E565" s="697" t="s">
        <v>3244</v>
      </c>
      <c r="F565" s="183">
        <v>-136849.79999999999</v>
      </c>
      <c r="G565" s="183">
        <v>-91364.92</v>
      </c>
      <c r="H565" s="183">
        <v>-118154.78</v>
      </c>
      <c r="I565" s="183">
        <v>-112341.06</v>
      </c>
      <c r="J565" s="183">
        <v>-114842.88</v>
      </c>
      <c r="K565" s="183">
        <v>-135506.95000000001</v>
      </c>
      <c r="L565" s="183">
        <v>-154317.25</v>
      </c>
      <c r="M565" s="183">
        <v>-82270.45</v>
      </c>
      <c r="N565" s="183">
        <v>-100440.7</v>
      </c>
      <c r="O565" s="183">
        <v>-120016.7</v>
      </c>
      <c r="P565" s="183">
        <v>-119961.54</v>
      </c>
      <c r="Q565" s="183">
        <v>-143856.84</v>
      </c>
      <c r="R565" s="183">
        <v>-141434.18</v>
      </c>
      <c r="S565" s="184">
        <f t="shared" si="121"/>
        <v>-119351.33833333333</v>
      </c>
      <c r="U565" s="65"/>
      <c r="V565" s="103">
        <f t="shared" si="122"/>
        <v>-119351.33833333333</v>
      </c>
      <c r="W565" s="103"/>
      <c r="X565" s="599"/>
      <c r="Y565" s="103"/>
      <c r="Z565" s="103"/>
      <c r="AA565" s="65"/>
      <c r="AB565" s="103"/>
      <c r="AD565" s="42">
        <f t="shared" si="123"/>
        <v>-119351.33833333333</v>
      </c>
      <c r="AF565" s="6"/>
    </row>
    <row r="566" spans="1:32">
      <c r="A566" s="2">
        <f t="shared" si="113"/>
        <v>549</v>
      </c>
      <c r="B566" s="688" t="s">
        <v>2330</v>
      </c>
      <c r="C566" s="688" t="s">
        <v>3243</v>
      </c>
      <c r="D566" s="688" t="s">
        <v>3190</v>
      </c>
      <c r="E566" s="697" t="s">
        <v>3245</v>
      </c>
      <c r="F566" s="183">
        <v>-41907</v>
      </c>
      <c r="G566" s="183">
        <v>-52841.03</v>
      </c>
      <c r="H566" s="183">
        <v>-25442.62</v>
      </c>
      <c r="I566" s="183">
        <v>-33120.46</v>
      </c>
      <c r="J566" s="183">
        <v>-39832.519999999997</v>
      </c>
      <c r="K566" s="183">
        <v>-47675</v>
      </c>
      <c r="L566" s="183">
        <v>-55410.86</v>
      </c>
      <c r="M566" s="183">
        <v>-54858.99</v>
      </c>
      <c r="N566" s="183">
        <v>-54858.99</v>
      </c>
      <c r="O566" s="183">
        <v>-54858.99</v>
      </c>
      <c r="P566" s="183">
        <v>-54858.99</v>
      </c>
      <c r="Q566" s="183">
        <v>-55779.06</v>
      </c>
      <c r="R566" s="183">
        <v>-154867.32999999999</v>
      </c>
      <c r="S566" s="184">
        <f t="shared" si="121"/>
        <v>-52327.056250000001</v>
      </c>
      <c r="U566" s="65"/>
      <c r="V566" s="103">
        <f t="shared" si="122"/>
        <v>-52327.056250000001</v>
      </c>
      <c r="W566" s="103"/>
      <c r="X566" s="599"/>
      <c r="Y566" s="103"/>
      <c r="Z566" s="103"/>
      <c r="AA566" s="65"/>
      <c r="AB566" s="103"/>
      <c r="AD566" s="42">
        <f t="shared" si="123"/>
        <v>-52327.056250000001</v>
      </c>
      <c r="AF566" s="6"/>
    </row>
    <row r="567" spans="1:32">
      <c r="A567" s="2">
        <f t="shared" si="113"/>
        <v>550</v>
      </c>
      <c r="B567" s="688" t="s">
        <v>2330</v>
      </c>
      <c r="C567" s="688" t="s">
        <v>3243</v>
      </c>
      <c r="D567" s="1" t="s">
        <v>3246</v>
      </c>
      <c r="E567" s="697" t="s">
        <v>3247</v>
      </c>
      <c r="F567" s="183">
        <v>0</v>
      </c>
      <c r="G567" s="183">
        <v>0</v>
      </c>
      <c r="H567" s="183">
        <v>0</v>
      </c>
      <c r="I567" s="183">
        <v>0</v>
      </c>
      <c r="J567" s="183">
        <v>0</v>
      </c>
      <c r="K567" s="183">
        <v>0</v>
      </c>
      <c r="L567" s="183">
        <v>0</v>
      </c>
      <c r="M567" s="183">
        <v>0</v>
      </c>
      <c r="N567" s="183">
        <v>0</v>
      </c>
      <c r="O567" s="183">
        <v>0</v>
      </c>
      <c r="P567" s="183">
        <v>0</v>
      </c>
      <c r="Q567" s="183">
        <v>0</v>
      </c>
      <c r="R567" s="183">
        <v>0</v>
      </c>
      <c r="S567" s="184">
        <f t="shared" si="121"/>
        <v>0</v>
      </c>
      <c r="U567" s="65"/>
      <c r="V567" s="103">
        <f t="shared" si="122"/>
        <v>0</v>
      </c>
      <c r="W567" s="103"/>
      <c r="X567" s="599"/>
      <c r="Y567" s="103"/>
      <c r="Z567" s="103"/>
      <c r="AA567" s="65"/>
      <c r="AB567" s="103"/>
      <c r="AD567" s="42">
        <f t="shared" si="123"/>
        <v>0</v>
      </c>
      <c r="AF567" s="6"/>
    </row>
    <row r="568" spans="1:32">
      <c r="A568" s="2">
        <f t="shared" si="113"/>
        <v>551</v>
      </c>
      <c r="B568" s="688" t="s">
        <v>2330</v>
      </c>
      <c r="C568" s="688" t="s">
        <v>3243</v>
      </c>
      <c r="D568" s="688" t="s">
        <v>3248</v>
      </c>
      <c r="E568" s="697" t="s">
        <v>3249</v>
      </c>
      <c r="F568" s="183">
        <v>-33776.28</v>
      </c>
      <c r="G568" s="183">
        <v>-21367.49</v>
      </c>
      <c r="H568" s="183">
        <v>-27633</v>
      </c>
      <c r="I568" s="183">
        <v>-26273.31</v>
      </c>
      <c r="J568" s="183">
        <v>-26858.45</v>
      </c>
      <c r="K568" s="183">
        <v>-31691.16</v>
      </c>
      <c r="L568" s="183">
        <v>-36090.21</v>
      </c>
      <c r="M568" s="183">
        <v>-19288.95</v>
      </c>
      <c r="N568" s="183">
        <v>-23665.98</v>
      </c>
      <c r="O568" s="183">
        <v>-28287.21</v>
      </c>
      <c r="P568" s="183">
        <v>-28445.65</v>
      </c>
      <c r="Q568" s="183">
        <v>-34104.49</v>
      </c>
      <c r="R568" s="183">
        <v>-33868.68</v>
      </c>
      <c r="S568" s="184">
        <f t="shared" si="121"/>
        <v>-28127.365000000002</v>
      </c>
      <c r="U568" s="65"/>
      <c r="V568" s="103">
        <f t="shared" si="122"/>
        <v>-28127.365000000002</v>
      </c>
      <c r="W568" s="103"/>
      <c r="X568" s="599"/>
      <c r="Y568" s="103"/>
      <c r="Z568" s="103"/>
      <c r="AA568" s="65"/>
      <c r="AB568" s="103"/>
      <c r="AD568" s="42">
        <f t="shared" si="123"/>
        <v>-28127.365000000002</v>
      </c>
      <c r="AF568" s="6"/>
    </row>
    <row r="569" spans="1:32">
      <c r="A569" s="2">
        <f t="shared" si="113"/>
        <v>552</v>
      </c>
      <c r="B569" s="688" t="s">
        <v>2330</v>
      </c>
      <c r="C569" s="688" t="s">
        <v>3243</v>
      </c>
      <c r="D569" s="688" t="s">
        <v>2312</v>
      </c>
      <c r="E569" s="697" t="s">
        <v>3250</v>
      </c>
      <c r="F569" s="183">
        <v>-270.95000000000198</v>
      </c>
      <c r="G569" s="183">
        <v>-14178.38</v>
      </c>
      <c r="H569" s="183">
        <v>-14295.43</v>
      </c>
      <c r="I569" s="183">
        <v>-14425.88</v>
      </c>
      <c r="J569" s="183">
        <v>-138.93</v>
      </c>
      <c r="K569" s="183">
        <v>-198.65</v>
      </c>
      <c r="L569" s="183">
        <v>-232.31</v>
      </c>
      <c r="M569" s="183">
        <v>-5.8500000000002803</v>
      </c>
      <c r="N569" s="183">
        <v>-171.06</v>
      </c>
      <c r="O569" s="183">
        <v>-202.36</v>
      </c>
      <c r="P569" s="183">
        <v>-65.370000000000303</v>
      </c>
      <c r="Q569" s="183">
        <v>-273.88</v>
      </c>
      <c r="R569" s="183">
        <v>-541.54999999999995</v>
      </c>
      <c r="S569" s="184">
        <f t="shared" si="121"/>
        <v>-3716.1958333333328</v>
      </c>
      <c r="U569" s="65"/>
      <c r="V569" s="103">
        <f t="shared" si="122"/>
        <v>-3716.1958333333328</v>
      </c>
      <c r="W569" s="103"/>
      <c r="X569" s="599"/>
      <c r="Y569" s="103"/>
      <c r="Z569" s="103"/>
      <c r="AA569" s="65"/>
      <c r="AB569" s="103"/>
      <c r="AD569" s="42">
        <f t="shared" si="123"/>
        <v>-3716.1958333333328</v>
      </c>
      <c r="AF569" s="6"/>
    </row>
    <row r="570" spans="1:32">
      <c r="A570" s="2">
        <f t="shared" si="113"/>
        <v>553</v>
      </c>
      <c r="B570" s="688" t="s">
        <v>2330</v>
      </c>
      <c r="C570" s="688" t="s">
        <v>3243</v>
      </c>
      <c r="D570" s="688" t="s">
        <v>3251</v>
      </c>
      <c r="E570" s="697" t="s">
        <v>3252</v>
      </c>
      <c r="F570" s="183">
        <v>-137713.04999999999</v>
      </c>
      <c r="G570" s="183">
        <v>-158316.96</v>
      </c>
      <c r="H570" s="183">
        <v>-68017.960000000006</v>
      </c>
      <c r="I570" s="183">
        <v>-104981.35</v>
      </c>
      <c r="J570" s="183">
        <v>-136435.07</v>
      </c>
      <c r="K570" s="183">
        <v>-76860.77</v>
      </c>
      <c r="L570" s="183">
        <v>-109433.65</v>
      </c>
      <c r="M570" s="183">
        <v>-136129.31</v>
      </c>
      <c r="N570" s="183">
        <v>-56722.54</v>
      </c>
      <c r="O570" s="183">
        <v>-85718.84</v>
      </c>
      <c r="P570" s="183">
        <v>-106394.17</v>
      </c>
      <c r="Q570" s="183">
        <v>-36371.54</v>
      </c>
      <c r="R570" s="183">
        <v>-56467.45</v>
      </c>
      <c r="S570" s="184">
        <f t="shared" si="121"/>
        <v>-97706.034166666679</v>
      </c>
      <c r="U570" s="65"/>
      <c r="V570" s="103">
        <f t="shared" si="122"/>
        <v>-97706.034166666679</v>
      </c>
      <c r="W570" s="103"/>
      <c r="X570" s="599"/>
      <c r="Y570" s="103"/>
      <c r="Z570" s="103"/>
      <c r="AA570" s="65"/>
      <c r="AB570" s="103"/>
      <c r="AD570" s="42">
        <f t="shared" si="123"/>
        <v>-97706.034166666679</v>
      </c>
      <c r="AF570" s="6"/>
    </row>
    <row r="571" spans="1:32">
      <c r="A571" s="2">
        <f t="shared" si="113"/>
        <v>554</v>
      </c>
      <c r="B571" s="688" t="s">
        <v>2330</v>
      </c>
      <c r="C571" s="688" t="s">
        <v>3243</v>
      </c>
      <c r="D571" s="688" t="s">
        <v>3230</v>
      </c>
      <c r="E571" s="697" t="s">
        <v>3253</v>
      </c>
      <c r="F571" s="183">
        <v>-417.13</v>
      </c>
      <c r="G571" s="183">
        <v>-1039.44</v>
      </c>
      <c r="H571" s="183">
        <v>-1040.42</v>
      </c>
      <c r="I571" s="183">
        <v>-1434.5</v>
      </c>
      <c r="J571" s="183">
        <v>-1774.97</v>
      </c>
      <c r="K571" s="183">
        <v>-881.5</v>
      </c>
      <c r="L571" s="183">
        <v>-1079.4000000000001</v>
      </c>
      <c r="M571" s="183">
        <v>-1311.93</v>
      </c>
      <c r="N571" s="183">
        <v>-592.04999999999995</v>
      </c>
      <c r="O571" s="183">
        <v>-701.55</v>
      </c>
      <c r="P571" s="183">
        <v>-791.58</v>
      </c>
      <c r="Q571" s="183">
        <v>-477.73</v>
      </c>
      <c r="R571" s="183">
        <v>-677.02</v>
      </c>
      <c r="S571" s="184">
        <f t="shared" si="121"/>
        <v>-972.67874999999992</v>
      </c>
      <c r="U571" s="65"/>
      <c r="V571" s="103">
        <f>+S571</f>
        <v>-972.67874999999992</v>
      </c>
      <c r="W571" s="103"/>
      <c r="X571" s="599"/>
      <c r="Y571" s="103"/>
      <c r="Z571" s="103"/>
      <c r="AA571" s="65"/>
      <c r="AB571" s="103"/>
      <c r="AD571" s="42">
        <f t="shared" si="123"/>
        <v>-972.67874999999992</v>
      </c>
      <c r="AF571" s="6"/>
    </row>
    <row r="572" spans="1:32">
      <c r="A572" s="2">
        <f t="shared" si="113"/>
        <v>555</v>
      </c>
      <c r="B572" s="688" t="s">
        <v>2330</v>
      </c>
      <c r="C572" s="688" t="s">
        <v>3243</v>
      </c>
      <c r="D572" s="688" t="s">
        <v>640</v>
      </c>
      <c r="E572" s="697" t="s">
        <v>3254</v>
      </c>
      <c r="F572" s="183">
        <v>-2308.71</v>
      </c>
      <c r="G572" s="183">
        <v>-9083.59</v>
      </c>
      <c r="H572" s="183">
        <v>-15720.02</v>
      </c>
      <c r="I572" s="183">
        <v>-22077.38</v>
      </c>
      <c r="J572" s="183">
        <v>-9930.56</v>
      </c>
      <c r="K572" s="183">
        <v>-15822.42</v>
      </c>
      <c r="L572" s="183">
        <v>-19744.28</v>
      </c>
      <c r="M572" s="183">
        <v>-3430.18</v>
      </c>
      <c r="N572" s="183">
        <v>-4650.5600000000004</v>
      </c>
      <c r="O572" s="183">
        <v>-5170.26</v>
      </c>
      <c r="P572" s="183">
        <v>-596.89000000000203</v>
      </c>
      <c r="Q572" s="183">
        <v>-669.70000000000198</v>
      </c>
      <c r="R572" s="183">
        <v>-847.69000000000199</v>
      </c>
      <c r="S572" s="184">
        <f t="shared" si="121"/>
        <v>-9039.5033333333322</v>
      </c>
      <c r="U572" s="65"/>
      <c r="V572" s="103">
        <f t="shared" si="122"/>
        <v>-9039.5033333333322</v>
      </c>
      <c r="W572" s="103"/>
      <c r="X572" s="599"/>
      <c r="Y572" s="103"/>
      <c r="Z572" s="103"/>
      <c r="AA572" s="65"/>
      <c r="AB572" s="103"/>
      <c r="AD572" s="42">
        <f t="shared" si="123"/>
        <v>-9039.5033333333322</v>
      </c>
      <c r="AF572" s="6"/>
    </row>
    <row r="573" spans="1:32">
      <c r="A573" s="2">
        <f t="shared" si="113"/>
        <v>556</v>
      </c>
      <c r="B573" s="688" t="s">
        <v>2330</v>
      </c>
      <c r="C573" s="688" t="s">
        <v>3243</v>
      </c>
      <c r="D573" s="688" t="s">
        <v>2960</v>
      </c>
      <c r="E573" s="697" t="s">
        <v>3255</v>
      </c>
      <c r="F573" s="183">
        <v>0</v>
      </c>
      <c r="G573" s="183">
        <v>0</v>
      </c>
      <c r="H573" s="183">
        <v>0</v>
      </c>
      <c r="I573" s="183">
        <v>0</v>
      </c>
      <c r="J573" s="183">
        <v>0</v>
      </c>
      <c r="K573" s="183">
        <v>0</v>
      </c>
      <c r="L573" s="183">
        <v>0</v>
      </c>
      <c r="M573" s="183">
        <v>0</v>
      </c>
      <c r="N573" s="183">
        <v>0</v>
      </c>
      <c r="O573" s="183">
        <v>0</v>
      </c>
      <c r="P573" s="183">
        <v>0</v>
      </c>
      <c r="Q573" s="183">
        <v>0</v>
      </c>
      <c r="R573" s="183">
        <v>0</v>
      </c>
      <c r="S573" s="184">
        <f t="shared" si="121"/>
        <v>0</v>
      </c>
      <c r="U573" s="65"/>
      <c r="V573" s="103">
        <f t="shared" si="122"/>
        <v>0</v>
      </c>
      <c r="W573" s="103"/>
      <c r="X573" s="599"/>
      <c r="Y573" s="103"/>
      <c r="Z573" s="103"/>
      <c r="AA573" s="65"/>
      <c r="AB573" s="103"/>
      <c r="AD573" s="42">
        <f t="shared" si="123"/>
        <v>0</v>
      </c>
      <c r="AF573" s="6"/>
    </row>
    <row r="574" spans="1:32">
      <c r="A574" s="2">
        <f t="shared" si="113"/>
        <v>557</v>
      </c>
      <c r="B574" s="688" t="s">
        <v>2330</v>
      </c>
      <c r="C574" s="688" t="s">
        <v>3243</v>
      </c>
      <c r="D574" s="688" t="s">
        <v>3256</v>
      </c>
      <c r="E574" s="697" t="s">
        <v>3257</v>
      </c>
      <c r="F574" s="183">
        <v>-856.92</v>
      </c>
      <c r="G574" s="183">
        <v>-272.58999999999997</v>
      </c>
      <c r="H574" s="183">
        <v>-508.52</v>
      </c>
      <c r="I574" s="183">
        <v>-764.69</v>
      </c>
      <c r="J574" s="183">
        <v>-331.03</v>
      </c>
      <c r="K574" s="183">
        <v>-578.13</v>
      </c>
      <c r="L574" s="183">
        <v>-871.37</v>
      </c>
      <c r="M574" s="183">
        <v>-283.58</v>
      </c>
      <c r="N574" s="183">
        <v>-527.34</v>
      </c>
      <c r="O574" s="183">
        <v>-752.15</v>
      </c>
      <c r="P574" s="183">
        <v>-322.33999999999997</v>
      </c>
      <c r="Q574" s="183">
        <v>-548</v>
      </c>
      <c r="R574" s="183">
        <v>-804.71</v>
      </c>
      <c r="S574" s="184">
        <f t="shared" si="121"/>
        <v>-549.21291666666673</v>
      </c>
      <c r="U574" s="65"/>
      <c r="V574" s="103">
        <f t="shared" si="122"/>
        <v>-549.21291666666673</v>
      </c>
      <c r="W574" s="103"/>
      <c r="X574" s="599"/>
      <c r="Y574" s="103"/>
      <c r="Z574" s="103"/>
      <c r="AA574" s="65"/>
      <c r="AB574" s="103"/>
      <c r="AD574" s="42">
        <f t="shared" si="123"/>
        <v>-549.21291666666673</v>
      </c>
      <c r="AF574" s="6"/>
    </row>
    <row r="575" spans="1:32">
      <c r="A575" s="2">
        <f t="shared" si="113"/>
        <v>558</v>
      </c>
      <c r="B575" s="688" t="s">
        <v>2330</v>
      </c>
      <c r="C575" s="688" t="s">
        <v>3243</v>
      </c>
      <c r="D575" s="688" t="s">
        <v>3258</v>
      </c>
      <c r="E575" s="697" t="s">
        <v>3259</v>
      </c>
      <c r="F575" s="183">
        <v>0</v>
      </c>
      <c r="G575" s="183">
        <v>-7569.57</v>
      </c>
      <c r="H575" s="183">
        <v>-13099.91</v>
      </c>
      <c r="I575" s="183">
        <v>-18541.7</v>
      </c>
      <c r="J575" s="183">
        <v>-8642.18</v>
      </c>
      <c r="K575" s="183">
        <v>-13891.35</v>
      </c>
      <c r="L575" s="183">
        <v>-19465.98</v>
      </c>
      <c r="M575" s="183">
        <v>-7259.32</v>
      </c>
      <c r="N575" s="183">
        <v>-12542.72</v>
      </c>
      <c r="O575" s="183">
        <v>-17696.41</v>
      </c>
      <c r="P575" s="183">
        <v>-22686.16</v>
      </c>
      <c r="Q575" s="183">
        <v>-28279.18</v>
      </c>
      <c r="R575" s="183">
        <v>-18633.669999999998</v>
      </c>
      <c r="S575" s="184">
        <f t="shared" si="121"/>
        <v>-14915.942916666667</v>
      </c>
      <c r="U575" s="65"/>
      <c r="V575" s="103">
        <f t="shared" si="122"/>
        <v>-14915.942916666667</v>
      </c>
      <c r="W575" s="103"/>
      <c r="X575" s="599"/>
      <c r="Y575" s="103"/>
      <c r="Z575" s="103"/>
      <c r="AA575" s="65"/>
      <c r="AB575" s="103"/>
      <c r="AD575" s="42">
        <f t="shared" si="123"/>
        <v>-14915.942916666667</v>
      </c>
      <c r="AF575" s="6"/>
    </row>
    <row r="576" spans="1:32">
      <c r="A576" s="2">
        <f t="shared" si="113"/>
        <v>559</v>
      </c>
      <c r="B576" s="688" t="s">
        <v>2330</v>
      </c>
      <c r="C576" s="688" t="s">
        <v>3243</v>
      </c>
      <c r="D576" s="688" t="s">
        <v>639</v>
      </c>
      <c r="E576" s="697" t="s">
        <v>3260</v>
      </c>
      <c r="F576" s="183">
        <v>-5924.63</v>
      </c>
      <c r="G576" s="183">
        <v>-17094.150000000001</v>
      </c>
      <c r="H576" s="183">
        <v>-29964.54</v>
      </c>
      <c r="I576" s="183">
        <v>-42034.69</v>
      </c>
      <c r="J576" s="183">
        <v>-18380.990000000002</v>
      </c>
      <c r="K576" s="183">
        <v>-29885.16</v>
      </c>
      <c r="L576" s="183">
        <v>-39306.25</v>
      </c>
      <c r="M576" s="183">
        <v>-11669.43</v>
      </c>
      <c r="N576" s="183">
        <v>-17352.98</v>
      </c>
      <c r="O576" s="183">
        <v>-20933.91</v>
      </c>
      <c r="P576" s="183">
        <v>-4523.6400000000003</v>
      </c>
      <c r="Q576" s="183">
        <v>-6020.9</v>
      </c>
      <c r="R576" s="183">
        <v>-7345.04</v>
      </c>
      <c r="S576" s="184">
        <f t="shared" si="121"/>
        <v>-20316.789583333335</v>
      </c>
      <c r="U576" s="65"/>
      <c r="V576" s="103">
        <f t="shared" si="122"/>
        <v>-20316.789583333335</v>
      </c>
      <c r="W576" s="103"/>
      <c r="X576" s="599"/>
      <c r="Y576" s="103"/>
      <c r="Z576" s="103"/>
      <c r="AA576" s="65"/>
      <c r="AB576" s="103"/>
      <c r="AD576" s="42">
        <f t="shared" si="123"/>
        <v>-20316.789583333335</v>
      </c>
      <c r="AF576" s="6"/>
    </row>
    <row r="577" spans="1:32">
      <c r="A577" s="2">
        <f t="shared" si="113"/>
        <v>560</v>
      </c>
      <c r="B577" s="688" t="s">
        <v>2330</v>
      </c>
      <c r="C577" s="688" t="s">
        <v>3243</v>
      </c>
      <c r="D577" s="688" t="s">
        <v>3261</v>
      </c>
      <c r="E577" s="697" t="s">
        <v>3262</v>
      </c>
      <c r="F577" s="183">
        <v>0</v>
      </c>
      <c r="G577" s="183">
        <v>0</v>
      </c>
      <c r="H577" s="183">
        <v>0</v>
      </c>
      <c r="I577" s="183">
        <v>0</v>
      </c>
      <c r="J577" s="183">
        <v>0</v>
      </c>
      <c r="K577" s="183">
        <v>0</v>
      </c>
      <c r="L577" s="183">
        <v>0</v>
      </c>
      <c r="M577" s="183">
        <v>0</v>
      </c>
      <c r="N577" s="183">
        <v>0</v>
      </c>
      <c r="O577" s="183">
        <v>0</v>
      </c>
      <c r="P577" s="183">
        <v>0</v>
      </c>
      <c r="Q577" s="183">
        <v>0</v>
      </c>
      <c r="R577" s="183">
        <v>0</v>
      </c>
      <c r="S577" s="184">
        <f t="shared" si="121"/>
        <v>0</v>
      </c>
      <c r="U577" s="65"/>
      <c r="V577" s="103">
        <f t="shared" si="122"/>
        <v>0</v>
      </c>
      <c r="W577" s="103"/>
      <c r="X577" s="599"/>
      <c r="Y577" s="103"/>
      <c r="Z577" s="103"/>
      <c r="AA577" s="65"/>
      <c r="AB577" s="103"/>
      <c r="AD577" s="42">
        <f t="shared" si="123"/>
        <v>0</v>
      </c>
      <c r="AF577" s="6"/>
    </row>
    <row r="578" spans="1:32">
      <c r="A578" s="2">
        <f t="shared" si="113"/>
        <v>561</v>
      </c>
      <c r="B578" s="688" t="s">
        <v>2330</v>
      </c>
      <c r="C578" s="688" t="s">
        <v>3243</v>
      </c>
      <c r="D578" s="688" t="s">
        <v>3263</v>
      </c>
      <c r="E578" s="697" t="s">
        <v>3262</v>
      </c>
      <c r="F578" s="183">
        <v>-41136.97</v>
      </c>
      <c r="G578" s="183">
        <v>-58481.86</v>
      </c>
      <c r="H578" s="183">
        <v>-37873.230000000003</v>
      </c>
      <c r="I578" s="183">
        <v>-54568.27</v>
      </c>
      <c r="J578" s="183">
        <v>-70667.34</v>
      </c>
      <c r="K578" s="183">
        <v>-35866.839999999997</v>
      </c>
      <c r="L578" s="183">
        <v>-58249.15</v>
      </c>
      <c r="M578" s="183">
        <v>-74060.960000000006</v>
      </c>
      <c r="N578" s="183">
        <v>-34179.11</v>
      </c>
      <c r="O578" s="183">
        <v>-49929.43</v>
      </c>
      <c r="P578" s="183">
        <v>-66292.509999999995</v>
      </c>
      <c r="Q578" s="183">
        <v>-35504.22</v>
      </c>
      <c r="R578" s="183">
        <v>-56376.65</v>
      </c>
      <c r="S578" s="184">
        <f t="shared" si="121"/>
        <v>-52035.810833333329</v>
      </c>
      <c r="U578" s="65"/>
      <c r="V578" s="103">
        <f t="shared" si="122"/>
        <v>-52035.810833333329</v>
      </c>
      <c r="W578" s="103"/>
      <c r="X578" s="599"/>
      <c r="Y578" s="103"/>
      <c r="Z578" s="103"/>
      <c r="AA578" s="65"/>
      <c r="AB578" s="103"/>
      <c r="AD578" s="42">
        <f t="shared" si="123"/>
        <v>-52035.810833333329</v>
      </c>
      <c r="AF578" s="6"/>
    </row>
    <row r="579" spans="1:32">
      <c r="A579" s="2">
        <f t="shared" si="113"/>
        <v>562</v>
      </c>
      <c r="B579" s="688" t="s">
        <v>2330</v>
      </c>
      <c r="C579" s="688" t="s">
        <v>3243</v>
      </c>
      <c r="D579" s="688" t="s">
        <v>3264</v>
      </c>
      <c r="E579" s="697" t="s">
        <v>3265</v>
      </c>
      <c r="F579" s="183">
        <v>0</v>
      </c>
      <c r="G579" s="183">
        <v>0</v>
      </c>
      <c r="H579" s="183">
        <v>0</v>
      </c>
      <c r="I579" s="183">
        <v>0</v>
      </c>
      <c r="J579" s="183">
        <v>0</v>
      </c>
      <c r="K579" s="183">
        <v>0</v>
      </c>
      <c r="L579" s="183">
        <v>0</v>
      </c>
      <c r="M579" s="183">
        <v>-10896.91</v>
      </c>
      <c r="N579" s="183">
        <v>-21779.8</v>
      </c>
      <c r="O579" s="183">
        <v>-32315.09</v>
      </c>
      <c r="P579" s="183">
        <v>-43790.2</v>
      </c>
      <c r="Q579" s="183">
        <v>-22155.87</v>
      </c>
      <c r="R579" s="183">
        <v>-38437.519999999997</v>
      </c>
      <c r="S579" s="184">
        <f t="shared" si="121"/>
        <v>-12513.0525</v>
      </c>
      <c r="U579" s="65"/>
      <c r="V579" s="103">
        <f t="shared" si="122"/>
        <v>-12513.0525</v>
      </c>
      <c r="W579" s="103"/>
      <c r="X579" s="599"/>
      <c r="Y579" s="103"/>
      <c r="Z579" s="103"/>
      <c r="AA579" s="65"/>
      <c r="AB579" s="103"/>
      <c r="AD579" s="42">
        <f t="shared" si="123"/>
        <v>-12513.0525</v>
      </c>
      <c r="AF579" s="6"/>
    </row>
    <row r="580" spans="1:32">
      <c r="A580" s="2">
        <f t="shared" si="113"/>
        <v>563</v>
      </c>
      <c r="B580" s="688" t="s">
        <v>2330</v>
      </c>
      <c r="C580" s="688" t="s">
        <v>3266</v>
      </c>
      <c r="D580" s="688"/>
      <c r="E580" s="697" t="s">
        <v>3267</v>
      </c>
      <c r="F580" s="183">
        <v>-1787.25999999997</v>
      </c>
      <c r="G580" s="183">
        <v>-1710.14</v>
      </c>
      <c r="H580" s="183">
        <v>-877.53</v>
      </c>
      <c r="I580" s="183">
        <v>-9775.7000000000007</v>
      </c>
      <c r="J580" s="183">
        <v>-1652.04</v>
      </c>
      <c r="K580" s="183">
        <v>-4295.8500000000004</v>
      </c>
      <c r="L580" s="183">
        <v>-4905.3500000000004</v>
      </c>
      <c r="M580" s="183">
        <v>-4051.22</v>
      </c>
      <c r="N580" s="183">
        <v>-7518.44</v>
      </c>
      <c r="O580" s="183">
        <v>-642422.48</v>
      </c>
      <c r="P580" s="183">
        <v>-8830.7099999999591</v>
      </c>
      <c r="Q580" s="183">
        <v>-1267.6199999999601</v>
      </c>
      <c r="R580" s="183">
        <v>-463552</v>
      </c>
      <c r="S580" s="184">
        <f t="shared" si="121"/>
        <v>-76664.72583333333</v>
      </c>
      <c r="U580" s="65"/>
      <c r="V580" s="103">
        <f t="shared" si="122"/>
        <v>-76664.72583333333</v>
      </c>
      <c r="W580" s="103"/>
      <c r="X580" s="599"/>
      <c r="Y580" s="103"/>
      <c r="Z580" s="103"/>
      <c r="AA580" s="65"/>
      <c r="AB580" s="103"/>
      <c r="AD580" s="42">
        <f t="shared" si="123"/>
        <v>-76664.72583333333</v>
      </c>
      <c r="AF580" s="6"/>
    </row>
    <row r="581" spans="1:32">
      <c r="A581" s="2">
        <f t="shared" si="113"/>
        <v>564</v>
      </c>
      <c r="B581" s="688" t="s">
        <v>2330</v>
      </c>
      <c r="C581" s="688" t="s">
        <v>3266</v>
      </c>
      <c r="D581" s="688" t="s">
        <v>2303</v>
      </c>
      <c r="E581" s="697" t="s">
        <v>3268</v>
      </c>
      <c r="F581" s="183">
        <v>0</v>
      </c>
      <c r="G581" s="183">
        <v>0</v>
      </c>
      <c r="H581" s="183">
        <v>0</v>
      </c>
      <c r="I581" s="183">
        <v>0</v>
      </c>
      <c r="J581" s="183">
        <v>0</v>
      </c>
      <c r="K581" s="183">
        <v>0</v>
      </c>
      <c r="L581" s="183">
        <v>0</v>
      </c>
      <c r="M581" s="183">
        <v>0</v>
      </c>
      <c r="N581" s="183">
        <v>0</v>
      </c>
      <c r="O581" s="183">
        <v>0</v>
      </c>
      <c r="P581" s="183">
        <v>0</v>
      </c>
      <c r="Q581" s="183">
        <v>0</v>
      </c>
      <c r="R581" s="183">
        <v>0</v>
      </c>
      <c r="S581" s="184">
        <f t="shared" si="121"/>
        <v>0</v>
      </c>
      <c r="U581" s="65"/>
      <c r="V581" s="103">
        <f t="shared" si="122"/>
        <v>0</v>
      </c>
      <c r="W581" s="103"/>
      <c r="X581" s="599"/>
      <c r="Y581" s="103"/>
      <c r="Z581" s="103"/>
      <c r="AA581" s="65"/>
      <c r="AB581" s="103"/>
      <c r="AD581" s="42">
        <f t="shared" si="123"/>
        <v>0</v>
      </c>
      <c r="AF581" s="6"/>
    </row>
    <row r="582" spans="1:32">
      <c r="A582" s="2">
        <f t="shared" si="113"/>
        <v>565</v>
      </c>
      <c r="B582" s="688" t="s">
        <v>2330</v>
      </c>
      <c r="C582" s="688" t="s">
        <v>3269</v>
      </c>
      <c r="D582" s="688" t="s">
        <v>31</v>
      </c>
      <c r="E582" s="697" t="s">
        <v>3270</v>
      </c>
      <c r="F582" s="183">
        <v>0</v>
      </c>
      <c r="G582" s="183">
        <v>-311913.5</v>
      </c>
      <c r="H582" s="183">
        <v>-210442.33</v>
      </c>
      <c r="I582" s="183">
        <v>-302673.25</v>
      </c>
      <c r="J582" s="183">
        <v>-1128145.75</v>
      </c>
      <c r="K582" s="183">
        <v>-1981134</v>
      </c>
      <c r="L582" s="183">
        <v>-284428.75</v>
      </c>
      <c r="M582" s="183">
        <v>-321455.28999999998</v>
      </c>
      <c r="N582" s="183">
        <v>-323765.75</v>
      </c>
      <c r="O582" s="183">
        <v>-294753.75</v>
      </c>
      <c r="P582" s="183">
        <v>-265824.75</v>
      </c>
      <c r="Q582" s="183">
        <v>-206814.71</v>
      </c>
      <c r="R582" s="183">
        <v>-59216.25</v>
      </c>
      <c r="S582" s="184">
        <f t="shared" si="121"/>
        <v>-471746.66291666665</v>
      </c>
      <c r="U582" s="65"/>
      <c r="V582" s="103">
        <f t="shared" si="122"/>
        <v>-471746.66291666665</v>
      </c>
      <c r="W582" s="103"/>
      <c r="X582" s="599"/>
      <c r="Y582" s="103"/>
      <c r="Z582" s="103"/>
      <c r="AA582" s="65"/>
      <c r="AB582" s="103"/>
      <c r="AD582" s="42">
        <f t="shared" si="123"/>
        <v>-471746.66291666665</v>
      </c>
      <c r="AF582" s="6"/>
    </row>
    <row r="583" spans="1:32">
      <c r="A583" s="2">
        <f t="shared" si="113"/>
        <v>566</v>
      </c>
      <c r="B583" s="688" t="s">
        <v>2330</v>
      </c>
      <c r="C583" s="688" t="s">
        <v>3271</v>
      </c>
      <c r="D583" s="1" t="s">
        <v>2638</v>
      </c>
      <c r="E583" s="697" t="s">
        <v>3272</v>
      </c>
      <c r="F583" s="183">
        <v>3.6379788070917101E-12</v>
      </c>
      <c r="G583" s="183">
        <v>-10763.89</v>
      </c>
      <c r="H583" s="183">
        <v>-20486.11</v>
      </c>
      <c r="I583" s="183">
        <v>0</v>
      </c>
      <c r="J583" s="183">
        <v>-10416.67</v>
      </c>
      <c r="K583" s="183">
        <v>-21180.560000000001</v>
      </c>
      <c r="L583" s="183">
        <v>3.6379788070917101E-12</v>
      </c>
      <c r="M583" s="183">
        <v>-10763.89</v>
      </c>
      <c r="N583" s="183">
        <v>-21527.78</v>
      </c>
      <c r="O583" s="183">
        <v>-347.22999999999598</v>
      </c>
      <c r="P583" s="183">
        <v>-11111.12</v>
      </c>
      <c r="Q583" s="183">
        <v>-21527.79</v>
      </c>
      <c r="R583" s="183">
        <v>-972.22999999999195</v>
      </c>
      <c r="S583" s="184">
        <f t="shared" si="121"/>
        <v>-10717.596249999997</v>
      </c>
      <c r="U583" s="65"/>
      <c r="V583" s="103">
        <f t="shared" si="122"/>
        <v>-10717.596249999997</v>
      </c>
      <c r="W583" s="103"/>
      <c r="X583" s="599"/>
      <c r="Y583" s="103"/>
      <c r="Z583" s="103"/>
      <c r="AA583" s="65"/>
      <c r="AB583" s="103"/>
      <c r="AC583" s="42">
        <f>+W583</f>
        <v>0</v>
      </c>
      <c r="AD583" s="42">
        <f t="shared" si="123"/>
        <v>-10717.596249999997</v>
      </c>
      <c r="AF583" s="6"/>
    </row>
    <row r="584" spans="1:32">
      <c r="A584" s="2">
        <f t="shared" si="113"/>
        <v>567</v>
      </c>
      <c r="B584" s="688" t="s">
        <v>2330</v>
      </c>
      <c r="C584" s="688" t="s">
        <v>3271</v>
      </c>
      <c r="D584" s="1" t="s">
        <v>3190</v>
      </c>
      <c r="E584" s="697" t="s">
        <v>3273</v>
      </c>
      <c r="F584" s="183">
        <v>-30661.969999999899</v>
      </c>
      <c r="G584" s="183">
        <v>-36965.75</v>
      </c>
      <c r="H584" s="183">
        <v>-37305.47</v>
      </c>
      <c r="I584" s="183">
        <v>-2280.0500000000002</v>
      </c>
      <c r="J584" s="183">
        <v>-12054.79</v>
      </c>
      <c r="K584" s="183">
        <v>-12054.79</v>
      </c>
      <c r="L584" s="183">
        <v>-1.8189894035458601E-12</v>
      </c>
      <c r="M584" s="183">
        <v>-558.90000000000202</v>
      </c>
      <c r="N584" s="183">
        <v>-32369.86</v>
      </c>
      <c r="O584" s="183">
        <v>-4486.43</v>
      </c>
      <c r="P584" s="183">
        <v>-91846.58</v>
      </c>
      <c r="Q584" s="183">
        <v>-113434.25</v>
      </c>
      <c r="R584" s="183">
        <v>-10758.9</v>
      </c>
      <c r="S584" s="184">
        <f t="shared" si="121"/>
        <v>-30338.942083333328</v>
      </c>
      <c r="U584" s="65"/>
      <c r="V584" s="103">
        <f t="shared" si="122"/>
        <v>-30338.942083333328</v>
      </c>
      <c r="W584" s="103"/>
      <c r="X584" s="103"/>
      <c r="Y584" s="103"/>
      <c r="Z584" s="103"/>
      <c r="AA584" s="65"/>
      <c r="AB584" s="42">
        <f>+X584</f>
        <v>0</v>
      </c>
      <c r="AD584" s="42">
        <f t="shared" si="123"/>
        <v>-30338.942083333328</v>
      </c>
      <c r="AF584" s="6"/>
    </row>
    <row r="585" spans="1:32">
      <c r="A585" s="2">
        <f t="shared" si="113"/>
        <v>568</v>
      </c>
      <c r="B585" s="688" t="s">
        <v>2330</v>
      </c>
      <c r="C585" s="688" t="s">
        <v>3271</v>
      </c>
      <c r="D585" s="688" t="s">
        <v>2302</v>
      </c>
      <c r="E585" s="697" t="s">
        <v>3274</v>
      </c>
      <c r="F585" s="183">
        <v>-374000</v>
      </c>
      <c r="G585" s="183">
        <v>-498666.67</v>
      </c>
      <c r="H585" s="183">
        <v>-623333.34</v>
      </c>
      <c r="I585" s="183">
        <v>-748000</v>
      </c>
      <c r="J585" s="183">
        <v>-124666.67</v>
      </c>
      <c r="K585" s="183">
        <v>-249333.34</v>
      </c>
      <c r="L585" s="183">
        <v>-374000</v>
      </c>
      <c r="M585" s="183">
        <v>-498666.67</v>
      </c>
      <c r="N585" s="183">
        <v>-623333.34</v>
      </c>
      <c r="O585" s="183">
        <v>-748000</v>
      </c>
      <c r="P585" s="183">
        <v>-124666.67</v>
      </c>
      <c r="Q585" s="183">
        <v>-249333.34</v>
      </c>
      <c r="R585" s="183">
        <v>-374000</v>
      </c>
      <c r="S585" s="184">
        <f t="shared" si="121"/>
        <v>-436333.33666666661</v>
      </c>
      <c r="U585" s="65"/>
      <c r="V585" s="103">
        <f t="shared" si="122"/>
        <v>-436333.33666666661</v>
      </c>
      <c r="W585" s="103"/>
      <c r="X585" s="103"/>
      <c r="Y585" s="103"/>
      <c r="Z585" s="103"/>
      <c r="AA585" s="65"/>
      <c r="AB585" s="42">
        <f>+X585</f>
        <v>0</v>
      </c>
      <c r="AD585" s="42">
        <f t="shared" si="123"/>
        <v>-436333.33666666661</v>
      </c>
      <c r="AF585" s="6"/>
    </row>
    <row r="586" spans="1:32">
      <c r="A586" s="2">
        <f t="shared" si="113"/>
        <v>569</v>
      </c>
      <c r="B586" s="688" t="s">
        <v>2330</v>
      </c>
      <c r="C586" s="688" t="s">
        <v>3271</v>
      </c>
      <c r="D586" s="688" t="s">
        <v>2809</v>
      </c>
      <c r="E586" s="697" t="s">
        <v>3275</v>
      </c>
      <c r="F586" s="183">
        <v>-266175</v>
      </c>
      <c r="G586" s="183">
        <v>-354900</v>
      </c>
      <c r="H586" s="183">
        <v>-443625</v>
      </c>
      <c r="I586" s="183">
        <v>-532350</v>
      </c>
      <c r="J586" s="183">
        <v>-88725</v>
      </c>
      <c r="K586" s="183">
        <v>-177450</v>
      </c>
      <c r="L586" s="183">
        <v>-266175</v>
      </c>
      <c r="M586" s="183">
        <v>-354900</v>
      </c>
      <c r="N586" s="183">
        <v>-443625</v>
      </c>
      <c r="O586" s="183">
        <v>-532350</v>
      </c>
      <c r="P586" s="183">
        <v>-88725</v>
      </c>
      <c r="Q586" s="183">
        <v>-177450</v>
      </c>
      <c r="R586" s="183">
        <v>-266175</v>
      </c>
      <c r="S586" s="184">
        <f t="shared" si="121"/>
        <v>-310537.5</v>
      </c>
      <c r="U586" s="65"/>
      <c r="V586" s="103">
        <f t="shared" ref="V586:V640" si="124">+S586</f>
        <v>-310537.5</v>
      </c>
      <c r="W586" s="103"/>
      <c r="X586" s="599"/>
      <c r="Y586" s="103"/>
      <c r="Z586" s="103"/>
      <c r="AA586" s="65"/>
      <c r="AB586" s="103"/>
      <c r="AD586" s="42">
        <f t="shared" si="123"/>
        <v>-310537.5</v>
      </c>
      <c r="AF586" s="6"/>
    </row>
    <row r="587" spans="1:32">
      <c r="A587" s="2">
        <f t="shared" si="113"/>
        <v>570</v>
      </c>
      <c r="B587" s="688" t="s">
        <v>2330</v>
      </c>
      <c r="C587" s="688" t="s">
        <v>3271</v>
      </c>
      <c r="D587" s="688" t="s">
        <v>2811</v>
      </c>
      <c r="E587" s="697" t="s">
        <v>3276</v>
      </c>
      <c r="F587" s="183">
        <v>0</v>
      </c>
      <c r="G587" s="183">
        <v>0</v>
      </c>
      <c r="H587" s="183">
        <v>0</v>
      </c>
      <c r="I587" s="183">
        <v>0</v>
      </c>
      <c r="J587" s="183">
        <v>0</v>
      </c>
      <c r="K587" s="183">
        <v>0</v>
      </c>
      <c r="L587" s="183">
        <v>0</v>
      </c>
      <c r="M587" s="183">
        <v>0</v>
      </c>
      <c r="N587" s="183">
        <v>0</v>
      </c>
      <c r="O587" s="183">
        <v>0</v>
      </c>
      <c r="P587" s="183">
        <v>0</v>
      </c>
      <c r="Q587" s="183">
        <v>0</v>
      </c>
      <c r="R587" s="183">
        <v>0</v>
      </c>
      <c r="S587" s="184">
        <f t="shared" si="121"/>
        <v>0</v>
      </c>
      <c r="U587" s="65"/>
      <c r="V587" s="103">
        <f t="shared" si="124"/>
        <v>0</v>
      </c>
      <c r="W587" s="103"/>
      <c r="X587" s="599"/>
      <c r="Y587" s="103"/>
      <c r="Z587" s="103"/>
      <c r="AA587" s="65"/>
      <c r="AB587" s="103"/>
      <c r="AD587" s="42">
        <f t="shared" si="123"/>
        <v>0</v>
      </c>
      <c r="AF587" s="6"/>
    </row>
    <row r="588" spans="1:32">
      <c r="A588" s="2">
        <f t="shared" si="113"/>
        <v>571</v>
      </c>
      <c r="B588" s="688" t="s">
        <v>2330</v>
      </c>
      <c r="C588" s="688" t="s">
        <v>3271</v>
      </c>
      <c r="D588" s="688" t="s">
        <v>2745</v>
      </c>
      <c r="E588" s="697" t="s">
        <v>3277</v>
      </c>
      <c r="F588" s="183">
        <v>0</v>
      </c>
      <c r="G588" s="183">
        <v>0</v>
      </c>
      <c r="H588" s="183">
        <v>0</v>
      </c>
      <c r="I588" s="183">
        <v>0</v>
      </c>
      <c r="J588" s="183">
        <v>0</v>
      </c>
      <c r="K588" s="183">
        <v>0</v>
      </c>
      <c r="L588" s="183">
        <v>0</v>
      </c>
      <c r="M588" s="183">
        <v>0</v>
      </c>
      <c r="N588" s="183">
        <v>0</v>
      </c>
      <c r="O588" s="183">
        <v>0</v>
      </c>
      <c r="P588" s="183">
        <v>0</v>
      </c>
      <c r="Q588" s="183">
        <v>0</v>
      </c>
      <c r="R588" s="183">
        <v>0</v>
      </c>
      <c r="S588" s="184">
        <f t="shared" si="121"/>
        <v>0</v>
      </c>
      <c r="U588" s="65"/>
      <c r="V588" s="103">
        <f t="shared" si="124"/>
        <v>0</v>
      </c>
      <c r="W588" s="103"/>
      <c r="X588" s="599"/>
      <c r="Y588" s="103"/>
      <c r="Z588" s="103"/>
      <c r="AA588" s="65"/>
      <c r="AB588" s="103"/>
      <c r="AD588" s="42">
        <f t="shared" si="123"/>
        <v>0</v>
      </c>
      <c r="AF588" s="6"/>
    </row>
    <row r="589" spans="1:32">
      <c r="A589" s="2">
        <f t="shared" si="113"/>
        <v>572</v>
      </c>
      <c r="B589" s="688" t="s">
        <v>2330</v>
      </c>
      <c r="C589" s="688" t="s">
        <v>3271</v>
      </c>
      <c r="D589" s="688" t="s">
        <v>2760</v>
      </c>
      <c r="E589" s="697" t="s">
        <v>3278</v>
      </c>
      <c r="F589" s="183">
        <v>-772000</v>
      </c>
      <c r="G589" s="183">
        <v>-965000</v>
      </c>
      <c r="H589" s="183">
        <v>-1158000</v>
      </c>
      <c r="I589" s="183">
        <v>-193000</v>
      </c>
      <c r="J589" s="183">
        <v>-386000</v>
      </c>
      <c r="K589" s="183">
        <v>-579000</v>
      </c>
      <c r="L589" s="183">
        <v>-772000</v>
      </c>
      <c r="M589" s="183">
        <v>-965000</v>
      </c>
      <c r="N589" s="183">
        <v>-1158000</v>
      </c>
      <c r="O589" s="183">
        <v>-193000</v>
      </c>
      <c r="P589" s="183">
        <v>-386000</v>
      </c>
      <c r="Q589" s="183">
        <v>-579000</v>
      </c>
      <c r="R589" s="183">
        <v>-772000</v>
      </c>
      <c r="S589" s="184">
        <f t="shared" si="121"/>
        <v>-675500</v>
      </c>
      <c r="U589" s="65"/>
      <c r="V589" s="103">
        <f t="shared" si="124"/>
        <v>-675500</v>
      </c>
      <c r="W589" s="103"/>
      <c r="X589" s="599"/>
      <c r="Y589" s="103"/>
      <c r="Z589" s="103"/>
      <c r="AA589" s="65"/>
      <c r="AB589" s="103"/>
      <c r="AD589" s="42">
        <f t="shared" si="123"/>
        <v>-675500</v>
      </c>
      <c r="AF589" s="6"/>
    </row>
    <row r="590" spans="1:32">
      <c r="A590" s="2">
        <f t="shared" si="113"/>
        <v>573</v>
      </c>
      <c r="B590" s="688" t="s">
        <v>2330</v>
      </c>
      <c r="C590" s="688" t="s">
        <v>3271</v>
      </c>
      <c r="D590" s="688" t="s">
        <v>2593</v>
      </c>
      <c r="E590" s="697" t="s">
        <v>3279</v>
      </c>
      <c r="F590" s="183">
        <v>-342500</v>
      </c>
      <c r="G590" s="183">
        <v>-428125</v>
      </c>
      <c r="H590" s="183">
        <v>0</v>
      </c>
      <c r="I590" s="183">
        <v>-85625</v>
      </c>
      <c r="J590" s="183">
        <v>-171250</v>
      </c>
      <c r="K590" s="183">
        <v>-256875</v>
      </c>
      <c r="L590" s="183">
        <v>-342500</v>
      </c>
      <c r="M590" s="183">
        <v>-428125</v>
      </c>
      <c r="N590" s="183">
        <v>0</v>
      </c>
      <c r="O590" s="183">
        <v>-85625</v>
      </c>
      <c r="P590" s="183">
        <v>-171250</v>
      </c>
      <c r="Q590" s="183">
        <v>-256875</v>
      </c>
      <c r="R590" s="183">
        <v>-342500</v>
      </c>
      <c r="S590" s="184">
        <f t="shared" si="121"/>
        <v>-214062.5</v>
      </c>
      <c r="U590" s="65"/>
      <c r="V590" s="103">
        <f t="shared" si="124"/>
        <v>-214062.5</v>
      </c>
      <c r="W590" s="103"/>
      <c r="X590" s="599"/>
      <c r="Y590" s="103"/>
      <c r="Z590" s="103"/>
      <c r="AA590" s="65"/>
      <c r="AB590" s="103"/>
      <c r="AD590" s="42">
        <f t="shared" si="123"/>
        <v>-214062.5</v>
      </c>
      <c r="AF590" s="6"/>
    </row>
    <row r="591" spans="1:32">
      <c r="A591" s="2">
        <f t="shared" si="113"/>
        <v>574</v>
      </c>
      <c r="B591" s="688" t="s">
        <v>2330</v>
      </c>
      <c r="C591" s="688" t="s">
        <v>3271</v>
      </c>
      <c r="D591" s="688" t="s">
        <v>2816</v>
      </c>
      <c r="E591" s="697" t="s">
        <v>3280</v>
      </c>
      <c r="F591" s="183">
        <v>-363333.33</v>
      </c>
      <c r="G591" s="183">
        <v>-454166.66</v>
      </c>
      <c r="H591" s="183">
        <v>-5.8207660913467401E-11</v>
      </c>
      <c r="I591" s="183">
        <v>-90833.330000000104</v>
      </c>
      <c r="J591" s="183">
        <v>-181666.66</v>
      </c>
      <c r="K591" s="183">
        <v>-272500</v>
      </c>
      <c r="L591" s="183">
        <v>-363333.33</v>
      </c>
      <c r="M591" s="183">
        <v>-454166.66</v>
      </c>
      <c r="N591" s="183">
        <v>-1.16415321826935E-10</v>
      </c>
      <c r="O591" s="183">
        <v>-90833.330000000104</v>
      </c>
      <c r="P591" s="183">
        <v>-181666.66</v>
      </c>
      <c r="Q591" s="183">
        <v>-272500</v>
      </c>
      <c r="R591" s="183">
        <v>-363333.33</v>
      </c>
      <c r="S591" s="184">
        <f t="shared" si="121"/>
        <v>-227083.33</v>
      </c>
      <c r="U591" s="65"/>
      <c r="V591" s="103">
        <f t="shared" si="124"/>
        <v>-227083.33</v>
      </c>
      <c r="W591" s="103"/>
      <c r="X591" s="599"/>
      <c r="Y591" s="103"/>
      <c r="Z591" s="103"/>
      <c r="AA591" s="65"/>
      <c r="AB591" s="103"/>
      <c r="AD591" s="42">
        <f t="shared" si="123"/>
        <v>-227083.33</v>
      </c>
      <c r="AF591" s="6"/>
    </row>
    <row r="592" spans="1:32">
      <c r="A592" s="2">
        <f t="shared" si="113"/>
        <v>575</v>
      </c>
      <c r="B592" s="688" t="s">
        <v>2330</v>
      </c>
      <c r="C592" s="688" t="s">
        <v>3271</v>
      </c>
      <c r="D592" s="688" t="s">
        <v>2749</v>
      </c>
      <c r="E592" s="697" t="s">
        <v>3281</v>
      </c>
      <c r="F592" s="183">
        <v>-42604.17</v>
      </c>
      <c r="G592" s="183">
        <v>-85208.34</v>
      </c>
      <c r="H592" s="183">
        <v>-127812.5</v>
      </c>
      <c r="I592" s="183">
        <v>-170416.67</v>
      </c>
      <c r="J592" s="183">
        <v>-213020.84</v>
      </c>
      <c r="K592" s="183">
        <v>2.91038304567337E-11</v>
      </c>
      <c r="L592" s="183">
        <v>-42604.17</v>
      </c>
      <c r="M592" s="183">
        <v>-85208.34</v>
      </c>
      <c r="N592" s="183">
        <v>-127812.5</v>
      </c>
      <c r="O592" s="183">
        <v>-170416.67</v>
      </c>
      <c r="P592" s="183">
        <v>-213020.84</v>
      </c>
      <c r="Q592" s="183">
        <v>2.91038304567337E-11</v>
      </c>
      <c r="R592" s="183">
        <v>-42604.17</v>
      </c>
      <c r="S592" s="184">
        <f t="shared" si="121"/>
        <v>-106510.42</v>
      </c>
      <c r="U592" s="65"/>
      <c r="V592" s="103">
        <f t="shared" si="124"/>
        <v>-106510.42</v>
      </c>
      <c r="W592" s="103"/>
      <c r="X592" s="599"/>
      <c r="Y592" s="103"/>
      <c r="Z592" s="103"/>
      <c r="AA592" s="65"/>
      <c r="AB592" s="103"/>
      <c r="AD592" s="42">
        <f t="shared" si="123"/>
        <v>-106510.42</v>
      </c>
      <c r="AF592" s="6"/>
    </row>
    <row r="593" spans="1:32">
      <c r="A593" s="2">
        <f t="shared" si="113"/>
        <v>576</v>
      </c>
      <c r="B593" s="688" t="s">
        <v>2330</v>
      </c>
      <c r="C593" s="688" t="s">
        <v>3271</v>
      </c>
      <c r="D593" s="688" t="s">
        <v>2751</v>
      </c>
      <c r="E593" s="697" t="s">
        <v>3282</v>
      </c>
      <c r="F593" s="183">
        <v>-44166.67</v>
      </c>
      <c r="G593" s="183">
        <v>-88333.34</v>
      </c>
      <c r="H593" s="183">
        <v>-132500</v>
      </c>
      <c r="I593" s="183">
        <v>-176666.67</v>
      </c>
      <c r="J593" s="183">
        <v>-220833.34</v>
      </c>
      <c r="K593" s="183">
        <v>2.91038304567337E-11</v>
      </c>
      <c r="L593" s="183">
        <v>-44166.67</v>
      </c>
      <c r="M593" s="183">
        <v>-88333.34</v>
      </c>
      <c r="N593" s="183">
        <v>-132500</v>
      </c>
      <c r="O593" s="183">
        <v>-176666.67</v>
      </c>
      <c r="P593" s="183">
        <v>-220833.34</v>
      </c>
      <c r="Q593" s="183">
        <v>2.91038304567337E-11</v>
      </c>
      <c r="R593" s="183">
        <v>-44166.69</v>
      </c>
      <c r="S593" s="184">
        <f t="shared" si="121"/>
        <v>-110416.67083333334</v>
      </c>
      <c r="U593" s="65"/>
      <c r="V593" s="103">
        <f t="shared" si="124"/>
        <v>-110416.67083333334</v>
      </c>
      <c r="W593" s="103"/>
      <c r="X593" s="599"/>
      <c r="Y593" s="103"/>
      <c r="Z593" s="103"/>
      <c r="AA593" s="65"/>
      <c r="AB593" s="103"/>
      <c r="AD593" s="42">
        <f t="shared" si="123"/>
        <v>-110416.67083333334</v>
      </c>
      <c r="AF593" s="6"/>
    </row>
    <row r="594" spans="1:32">
      <c r="A594" s="2">
        <f t="shared" si="113"/>
        <v>577</v>
      </c>
      <c r="B594" s="688" t="s">
        <v>2330</v>
      </c>
      <c r="C594" s="688" t="s">
        <v>3271</v>
      </c>
      <c r="D594" s="688" t="s">
        <v>2821</v>
      </c>
      <c r="E594" s="697" t="s">
        <v>3283</v>
      </c>
      <c r="F594" s="183">
        <v>-213020.84</v>
      </c>
      <c r="G594" s="183">
        <v>0</v>
      </c>
      <c r="H594" s="183">
        <v>-42604.17</v>
      </c>
      <c r="I594" s="183">
        <v>-85208.34</v>
      </c>
      <c r="J594" s="183">
        <v>-127812.5</v>
      </c>
      <c r="K594" s="183">
        <v>-170416.67</v>
      </c>
      <c r="L594" s="183">
        <v>-213020.84</v>
      </c>
      <c r="M594" s="183">
        <v>2.91038304567337E-11</v>
      </c>
      <c r="N594" s="183">
        <v>-42604.17</v>
      </c>
      <c r="O594" s="183">
        <v>-85208.34</v>
      </c>
      <c r="P594" s="183">
        <v>-127812.5</v>
      </c>
      <c r="Q594" s="183">
        <v>-170416.67</v>
      </c>
      <c r="R594" s="183">
        <v>-213020.84</v>
      </c>
      <c r="S594" s="184">
        <f t="shared" si="121"/>
        <v>-106510.42</v>
      </c>
      <c r="U594" s="65"/>
      <c r="V594" s="103">
        <f t="shared" si="124"/>
        <v>-106510.42</v>
      </c>
      <c r="W594" s="103"/>
      <c r="X594" s="599"/>
      <c r="Y594" s="103"/>
      <c r="Z594" s="103"/>
      <c r="AA594" s="65"/>
      <c r="AB594" s="103"/>
      <c r="AD594" s="42">
        <f t="shared" si="123"/>
        <v>-106510.42</v>
      </c>
      <c r="AF594" s="6"/>
    </row>
    <row r="595" spans="1:32">
      <c r="A595" s="2">
        <f t="shared" si="113"/>
        <v>578</v>
      </c>
      <c r="B595" s="688" t="s">
        <v>2330</v>
      </c>
      <c r="C595" s="688" t="s">
        <v>3271</v>
      </c>
      <c r="D595" s="688" t="s">
        <v>2823</v>
      </c>
      <c r="E595" s="697" t="s">
        <v>3284</v>
      </c>
      <c r="F595" s="183">
        <v>-220833.34</v>
      </c>
      <c r="G595" s="183">
        <v>0</v>
      </c>
      <c r="H595" s="183">
        <v>-44166.67</v>
      </c>
      <c r="I595" s="183">
        <v>-88333.34</v>
      </c>
      <c r="J595" s="183">
        <v>-132500</v>
      </c>
      <c r="K595" s="183">
        <v>-176666.66</v>
      </c>
      <c r="L595" s="183">
        <v>-220833.33</v>
      </c>
      <c r="M595" s="183">
        <v>9.9999999802094005E-3</v>
      </c>
      <c r="N595" s="183">
        <v>-44166.65</v>
      </c>
      <c r="O595" s="183">
        <v>-88333.32</v>
      </c>
      <c r="P595" s="183">
        <v>-132499.98000000001</v>
      </c>
      <c r="Q595" s="183">
        <v>-176666.65</v>
      </c>
      <c r="R595" s="183">
        <v>-220833.32</v>
      </c>
      <c r="S595" s="184">
        <f t="shared" si="121"/>
        <v>-110416.65999999999</v>
      </c>
      <c r="U595" s="65"/>
      <c r="V595" s="103">
        <f t="shared" si="124"/>
        <v>-110416.65999999999</v>
      </c>
      <c r="W595" s="103"/>
      <c r="X595" s="599"/>
      <c r="Y595" s="103"/>
      <c r="Z595" s="103"/>
      <c r="AA595" s="65"/>
      <c r="AB595" s="103"/>
      <c r="AD595" s="42">
        <f t="shared" si="123"/>
        <v>-110416.65999999999</v>
      </c>
      <c r="AF595" s="6"/>
    </row>
    <row r="596" spans="1:32">
      <c r="A596" s="2">
        <f t="shared" ref="A596:A659" si="125">MAX(A595:A595)+1</f>
        <v>579</v>
      </c>
      <c r="B596" s="688" t="s">
        <v>2330</v>
      </c>
      <c r="C596" s="688" t="s">
        <v>3271</v>
      </c>
      <c r="D596" s="688" t="s">
        <v>2825</v>
      </c>
      <c r="E596" s="697" t="s">
        <v>3285</v>
      </c>
      <c r="F596" s="183">
        <v>-75416.67</v>
      </c>
      <c r="G596" s="183">
        <v>-150833.34</v>
      </c>
      <c r="H596" s="183">
        <v>-226250</v>
      </c>
      <c r="I596" s="183">
        <v>-301666.67</v>
      </c>
      <c r="J596" s="183">
        <v>-377083.34</v>
      </c>
      <c r="K596" s="183">
        <v>-452500</v>
      </c>
      <c r="L596" s="183">
        <v>-75416.67</v>
      </c>
      <c r="M596" s="183">
        <v>-150833.34</v>
      </c>
      <c r="N596" s="183">
        <v>-226250</v>
      </c>
      <c r="O596" s="183">
        <v>-301666.67</v>
      </c>
      <c r="P596" s="183">
        <v>-377083.34</v>
      </c>
      <c r="Q596" s="183">
        <v>-452500</v>
      </c>
      <c r="R596" s="183">
        <v>-75416.67</v>
      </c>
      <c r="S596" s="184">
        <f t="shared" si="121"/>
        <v>-263958.33666666667</v>
      </c>
      <c r="U596" s="65"/>
      <c r="V596" s="103">
        <f t="shared" si="124"/>
        <v>-263958.33666666667</v>
      </c>
      <c r="W596" s="103"/>
      <c r="X596" s="599"/>
      <c r="Y596" s="103"/>
      <c r="Z596" s="103"/>
      <c r="AA596" s="65"/>
      <c r="AB596" s="103"/>
      <c r="AD596" s="42">
        <f t="shared" si="123"/>
        <v>-263958.33666666667</v>
      </c>
      <c r="AF596" s="6"/>
    </row>
    <row r="597" spans="1:32">
      <c r="A597" s="2">
        <f t="shared" si="125"/>
        <v>580</v>
      </c>
      <c r="B597" s="688" t="s">
        <v>2330</v>
      </c>
      <c r="C597" s="688" t="s">
        <v>3271</v>
      </c>
      <c r="D597" s="688" t="s">
        <v>2827</v>
      </c>
      <c r="E597" s="697" t="s">
        <v>3286</v>
      </c>
      <c r="F597" s="183">
        <v>-63666.67</v>
      </c>
      <c r="G597" s="183">
        <v>-127333.34</v>
      </c>
      <c r="H597" s="183">
        <v>-191000</v>
      </c>
      <c r="I597" s="183">
        <v>-254666.67</v>
      </c>
      <c r="J597" s="183">
        <v>-318333.34000000003</v>
      </c>
      <c r="K597" s="183">
        <v>-382000.01</v>
      </c>
      <c r="L597" s="183">
        <v>-63666.679999999898</v>
      </c>
      <c r="M597" s="183">
        <v>-127333.35</v>
      </c>
      <c r="N597" s="183">
        <v>-191000.01</v>
      </c>
      <c r="O597" s="183">
        <v>-254666.68</v>
      </c>
      <c r="P597" s="183">
        <v>-318333.34000000003</v>
      </c>
      <c r="Q597" s="183">
        <v>-382000</v>
      </c>
      <c r="R597" s="183">
        <v>-63666.67</v>
      </c>
      <c r="S597" s="184">
        <f t="shared" si="121"/>
        <v>-222833.34083333332</v>
      </c>
      <c r="U597" s="65"/>
      <c r="V597" s="103">
        <f>+S597</f>
        <v>-222833.34083333332</v>
      </c>
      <c r="W597" s="103"/>
      <c r="X597" s="599"/>
      <c r="Y597" s="103"/>
      <c r="Z597" s="103"/>
      <c r="AA597" s="65"/>
      <c r="AB597" s="103"/>
      <c r="AD597" s="42">
        <f t="shared" si="123"/>
        <v>-222833.34083333332</v>
      </c>
      <c r="AF597" s="6"/>
    </row>
    <row r="598" spans="1:32">
      <c r="A598" s="2">
        <f t="shared" si="125"/>
        <v>581</v>
      </c>
      <c r="B598" s="688" t="s">
        <v>2330</v>
      </c>
      <c r="C598" s="688" t="s">
        <v>3271</v>
      </c>
      <c r="D598" s="688" t="s">
        <v>2829</v>
      </c>
      <c r="E598" s="697" t="s">
        <v>3287</v>
      </c>
      <c r="F598" s="183">
        <v>-106500</v>
      </c>
      <c r="G598" s="183">
        <v>-213000</v>
      </c>
      <c r="H598" s="183">
        <v>-319500</v>
      </c>
      <c r="I598" s="183">
        <v>-426000</v>
      </c>
      <c r="J598" s="183">
        <v>-532500</v>
      </c>
      <c r="K598" s="183">
        <v>-639000</v>
      </c>
      <c r="L598" s="183">
        <v>-106500</v>
      </c>
      <c r="M598" s="183">
        <v>-213000</v>
      </c>
      <c r="N598" s="183">
        <v>-319500</v>
      </c>
      <c r="O598" s="183">
        <v>-426000</v>
      </c>
      <c r="P598" s="183">
        <v>-532500</v>
      </c>
      <c r="Q598" s="183">
        <v>-639000</v>
      </c>
      <c r="R598" s="183">
        <v>-106500</v>
      </c>
      <c r="S598" s="184">
        <f t="shared" si="121"/>
        <v>-372750</v>
      </c>
      <c r="U598" s="65"/>
      <c r="V598" s="103">
        <f>+S598</f>
        <v>-372750</v>
      </c>
      <c r="W598" s="103"/>
      <c r="X598" s="599"/>
      <c r="Y598" s="103"/>
      <c r="Z598" s="103"/>
      <c r="AA598" s="65"/>
      <c r="AB598" s="103"/>
      <c r="AD598" s="42">
        <f t="shared" si="123"/>
        <v>-372750</v>
      </c>
      <c r="AF598" s="6"/>
    </row>
    <row r="599" spans="1:32">
      <c r="A599" s="2">
        <f t="shared" si="125"/>
        <v>582</v>
      </c>
      <c r="B599" s="688" t="s">
        <v>2330</v>
      </c>
      <c r="C599" s="688" t="s">
        <v>3271</v>
      </c>
      <c r="D599" s="688" t="s">
        <v>2831</v>
      </c>
      <c r="E599" s="697" t="s">
        <v>3288</v>
      </c>
      <c r="F599" s="183">
        <v>-89500</v>
      </c>
      <c r="G599" s="183">
        <v>-179000</v>
      </c>
      <c r="H599" s="183">
        <v>-268500</v>
      </c>
      <c r="I599" s="183">
        <v>-358000</v>
      </c>
      <c r="J599" s="183">
        <v>-447500</v>
      </c>
      <c r="K599" s="183">
        <v>-537000</v>
      </c>
      <c r="L599" s="183">
        <v>-89500</v>
      </c>
      <c r="M599" s="183">
        <v>-179000</v>
      </c>
      <c r="N599" s="183">
        <v>-268500</v>
      </c>
      <c r="O599" s="183">
        <v>-358000</v>
      </c>
      <c r="P599" s="183">
        <v>-447500</v>
      </c>
      <c r="Q599" s="183">
        <v>-537000</v>
      </c>
      <c r="R599" s="183">
        <v>-89500</v>
      </c>
      <c r="S599" s="184">
        <f t="shared" si="121"/>
        <v>-313250</v>
      </c>
      <c r="U599" s="65"/>
      <c r="V599" s="103">
        <f>+S599</f>
        <v>-313250</v>
      </c>
      <c r="W599" s="103"/>
      <c r="X599" s="599"/>
      <c r="Y599" s="103"/>
      <c r="Z599" s="103"/>
      <c r="AA599" s="65"/>
      <c r="AB599" s="103"/>
      <c r="AC599" s="42"/>
      <c r="AD599" s="42">
        <f t="shared" si="123"/>
        <v>-313250</v>
      </c>
      <c r="AF599" s="6"/>
    </row>
    <row r="600" spans="1:32">
      <c r="A600" s="2">
        <f t="shared" si="125"/>
        <v>583</v>
      </c>
      <c r="B600" s="688" t="s">
        <v>2330</v>
      </c>
      <c r="C600" s="688" t="s">
        <v>3271</v>
      </c>
      <c r="D600" s="688" t="s">
        <v>2833</v>
      </c>
      <c r="E600" s="697" t="s">
        <v>3289</v>
      </c>
      <c r="F600" s="183">
        <v>-63000</v>
      </c>
      <c r="G600" s="183">
        <v>-126000</v>
      </c>
      <c r="H600" s="183">
        <v>-189000</v>
      </c>
      <c r="I600" s="183">
        <v>-252000</v>
      </c>
      <c r="J600" s="183">
        <v>-315000</v>
      </c>
      <c r="K600" s="183">
        <v>-378000</v>
      </c>
      <c r="L600" s="183">
        <v>-63000</v>
      </c>
      <c r="M600" s="183">
        <v>-126000</v>
      </c>
      <c r="N600" s="183">
        <v>-189000</v>
      </c>
      <c r="O600" s="183">
        <v>-252000</v>
      </c>
      <c r="P600" s="183">
        <v>-315000</v>
      </c>
      <c r="Q600" s="183">
        <v>-378000</v>
      </c>
      <c r="R600" s="183">
        <v>-63000</v>
      </c>
      <c r="S600" s="184">
        <f t="shared" si="121"/>
        <v>-220500</v>
      </c>
      <c r="U600" s="65"/>
      <c r="V600" s="103">
        <f>+S600</f>
        <v>-220500</v>
      </c>
      <c r="W600" s="103"/>
      <c r="X600" s="599"/>
      <c r="Y600" s="103"/>
      <c r="Z600" s="103"/>
      <c r="AA600" s="65"/>
      <c r="AB600" s="103"/>
      <c r="AD600" s="42">
        <f t="shared" si="123"/>
        <v>-220500</v>
      </c>
      <c r="AF600" s="6"/>
    </row>
    <row r="601" spans="1:32">
      <c r="A601" s="2">
        <f t="shared" si="125"/>
        <v>584</v>
      </c>
      <c r="B601" s="688" t="s">
        <v>2330</v>
      </c>
      <c r="C601" s="688" t="s">
        <v>3271</v>
      </c>
      <c r="D601" s="688" t="s">
        <v>2720</v>
      </c>
      <c r="E601" s="697" t="s">
        <v>3290</v>
      </c>
      <c r="F601" s="183">
        <v>-139166.66</v>
      </c>
      <c r="G601" s="183">
        <v>-208750</v>
      </c>
      <c r="H601" s="183">
        <v>-278333.33</v>
      </c>
      <c r="I601" s="183">
        <v>-347916.66</v>
      </c>
      <c r="J601" s="183">
        <v>-417500</v>
      </c>
      <c r="K601" s="183">
        <v>-69583.33</v>
      </c>
      <c r="L601" s="183">
        <v>-139166.66</v>
      </c>
      <c r="M601" s="183">
        <v>-208750</v>
      </c>
      <c r="N601" s="183">
        <v>-278333.33</v>
      </c>
      <c r="O601" s="183">
        <v>-347916.66</v>
      </c>
      <c r="P601" s="183">
        <v>-5.8207660913467401E-11</v>
      </c>
      <c r="Q601" s="183">
        <v>-69583.330000000104</v>
      </c>
      <c r="R601" s="183">
        <v>-139166.66</v>
      </c>
      <c r="S601" s="184">
        <f t="shared" si="121"/>
        <v>-208749.9966666667</v>
      </c>
      <c r="U601" s="65"/>
      <c r="V601" s="103">
        <f t="shared" si="124"/>
        <v>-208749.9966666667</v>
      </c>
      <c r="W601" s="103"/>
      <c r="X601" s="599"/>
      <c r="Y601" s="103"/>
      <c r="Z601" s="103"/>
      <c r="AA601" s="65"/>
      <c r="AB601" s="103"/>
      <c r="AD601" s="42">
        <f t="shared" si="123"/>
        <v>-208749.9966666667</v>
      </c>
      <c r="AF601" s="6"/>
    </row>
    <row r="602" spans="1:32">
      <c r="A602" s="2">
        <f t="shared" si="125"/>
        <v>585</v>
      </c>
      <c r="B602" s="688" t="s">
        <v>2330</v>
      </c>
      <c r="C602" s="688" t="s">
        <v>3271</v>
      </c>
      <c r="D602" s="688" t="s">
        <v>2836</v>
      </c>
      <c r="E602" s="697" t="s">
        <v>3291</v>
      </c>
      <c r="F602" s="183">
        <v>-53250</v>
      </c>
      <c r="G602" s="183">
        <v>-106500</v>
      </c>
      <c r="H602" s="183">
        <v>-159750</v>
      </c>
      <c r="I602" s="183">
        <v>-213000</v>
      </c>
      <c r="J602" s="183">
        <v>-266250</v>
      </c>
      <c r="K602" s="183">
        <v>-319500</v>
      </c>
      <c r="L602" s="183">
        <v>-53250</v>
      </c>
      <c r="M602" s="183">
        <v>-106500</v>
      </c>
      <c r="N602" s="183">
        <v>-159750</v>
      </c>
      <c r="O602" s="183">
        <v>-213000</v>
      </c>
      <c r="P602" s="183">
        <v>-266250</v>
      </c>
      <c r="Q602" s="183">
        <v>-319500</v>
      </c>
      <c r="R602" s="183">
        <v>-53250</v>
      </c>
      <c r="S602" s="184">
        <f t="shared" si="121"/>
        <v>-186375</v>
      </c>
      <c r="U602" s="65"/>
      <c r="V602" s="103">
        <f t="shared" si="124"/>
        <v>-186375</v>
      </c>
      <c r="W602" s="103"/>
      <c r="X602" s="599"/>
      <c r="Y602" s="103"/>
      <c r="Z602" s="103"/>
      <c r="AA602" s="65"/>
      <c r="AB602" s="103"/>
      <c r="AD602" s="42">
        <f t="shared" si="123"/>
        <v>-186375</v>
      </c>
      <c r="AF602" s="6"/>
    </row>
    <row r="603" spans="1:32">
      <c r="A603" s="2">
        <f t="shared" si="125"/>
        <v>586</v>
      </c>
      <c r="B603" s="688" t="s">
        <v>2330</v>
      </c>
      <c r="C603" s="688" t="s">
        <v>3271</v>
      </c>
      <c r="D603" s="688" t="s">
        <v>2838</v>
      </c>
      <c r="E603" s="697" t="s">
        <v>3292</v>
      </c>
      <c r="F603" s="183">
        <v>-134166.67000000001</v>
      </c>
      <c r="G603" s="183">
        <v>-268333.34000000003</v>
      </c>
      <c r="H603" s="183">
        <v>-402500</v>
      </c>
      <c r="I603" s="183">
        <v>-536666.67000000004</v>
      </c>
      <c r="J603" s="183">
        <v>-670833.34</v>
      </c>
      <c r="K603" s="183">
        <v>-805000</v>
      </c>
      <c r="L603" s="183">
        <v>-134166.67000000001</v>
      </c>
      <c r="M603" s="183">
        <v>-268333.34000000003</v>
      </c>
      <c r="N603" s="183">
        <v>-402500</v>
      </c>
      <c r="O603" s="183">
        <v>-536666.67000000004</v>
      </c>
      <c r="P603" s="183">
        <v>-670833.34</v>
      </c>
      <c r="Q603" s="183">
        <v>-805000</v>
      </c>
      <c r="R603" s="183">
        <v>-134166.67000000001</v>
      </c>
      <c r="S603" s="184">
        <f t="shared" si="121"/>
        <v>-469583.33666666667</v>
      </c>
      <c r="U603" s="65"/>
      <c r="V603" s="103">
        <f t="shared" si="124"/>
        <v>-469583.33666666667</v>
      </c>
      <c r="W603" s="103"/>
      <c r="X603" s="599"/>
      <c r="Y603" s="103"/>
      <c r="Z603" s="103"/>
      <c r="AA603" s="65"/>
      <c r="AB603" s="103"/>
      <c r="AD603" s="42">
        <f t="shared" si="123"/>
        <v>-469583.33666666667</v>
      </c>
      <c r="AF603" s="6"/>
    </row>
    <row r="604" spans="1:32">
      <c r="A604" s="2">
        <f t="shared" si="125"/>
        <v>587</v>
      </c>
      <c r="B604" s="688" t="s">
        <v>2330</v>
      </c>
      <c r="C604" s="688" t="s">
        <v>3271</v>
      </c>
      <c r="D604" s="688" t="s">
        <v>2840</v>
      </c>
      <c r="E604" s="697" t="s">
        <v>3293</v>
      </c>
      <c r="F604" s="183"/>
      <c r="G604" s="183"/>
      <c r="H604" s="183"/>
      <c r="I604" s="183"/>
      <c r="J604" s="183"/>
      <c r="K604" s="183"/>
      <c r="L604" s="183"/>
      <c r="M604" s="183"/>
      <c r="N604" s="183"/>
      <c r="O604" s="183"/>
      <c r="P604" s="183"/>
      <c r="Q604" s="183">
        <v>0</v>
      </c>
      <c r="R604" s="183">
        <v>-532500</v>
      </c>
      <c r="S604" s="184">
        <f t="shared" si="121"/>
        <v>-22187.5</v>
      </c>
      <c r="U604" s="65"/>
      <c r="V604" s="103">
        <f>+S604</f>
        <v>-22187.5</v>
      </c>
      <c r="W604" s="103"/>
      <c r="X604" s="599"/>
      <c r="Y604" s="103"/>
      <c r="Z604" s="103"/>
      <c r="AA604" s="65"/>
      <c r="AB604" s="103"/>
      <c r="AD604" s="42">
        <f>+S604</f>
        <v>-22187.5</v>
      </c>
      <c r="AF604" s="6"/>
    </row>
    <row r="605" spans="1:32">
      <c r="A605" s="2">
        <f t="shared" si="125"/>
        <v>588</v>
      </c>
      <c r="B605" s="688" t="s">
        <v>2330</v>
      </c>
      <c r="C605" s="688" t="s">
        <v>3294</v>
      </c>
      <c r="D605" s="688" t="s">
        <v>2582</v>
      </c>
      <c r="E605" s="697" t="s">
        <v>3295</v>
      </c>
      <c r="F605" s="183">
        <v>-4025000</v>
      </c>
      <c r="G605" s="183">
        <v>0</v>
      </c>
      <c r="H605" s="183">
        <v>-2855000</v>
      </c>
      <c r="I605" s="183">
        <v>-2855000</v>
      </c>
      <c r="J605" s="183">
        <v>0</v>
      </c>
      <c r="K605" s="183">
        <v>-3577000</v>
      </c>
      <c r="L605" s="183">
        <v>-3577000</v>
      </c>
      <c r="M605" s="183">
        <v>0</v>
      </c>
      <c r="N605" s="183">
        <v>-3255000</v>
      </c>
      <c r="O605" s="183">
        <v>-3255000</v>
      </c>
      <c r="P605" s="183">
        <v>0</v>
      </c>
      <c r="Q605" s="183">
        <v>-3255000</v>
      </c>
      <c r="R605" s="183">
        <v>-3255000</v>
      </c>
      <c r="S605" s="184">
        <f t="shared" si="121"/>
        <v>-2189083.3333333335</v>
      </c>
      <c r="U605" s="65"/>
      <c r="V605" s="103"/>
      <c r="W605" s="103">
        <f>+S605</f>
        <v>-2189083.3333333335</v>
      </c>
      <c r="X605" s="599"/>
      <c r="Y605" s="103"/>
      <c r="Z605" s="103"/>
      <c r="AA605" s="65"/>
      <c r="AB605" s="103"/>
      <c r="AC605" s="42">
        <f>+S605</f>
        <v>-2189083.3333333335</v>
      </c>
      <c r="AD605" s="42"/>
      <c r="AF605" s="6"/>
    </row>
    <row r="606" spans="1:32">
      <c r="A606" s="2">
        <f t="shared" si="125"/>
        <v>589</v>
      </c>
      <c r="B606" s="688" t="s">
        <v>2330</v>
      </c>
      <c r="C606" s="688" t="s">
        <v>3296</v>
      </c>
      <c r="D606" s="688" t="s">
        <v>3297</v>
      </c>
      <c r="E606" s="697" t="s">
        <v>3298</v>
      </c>
      <c r="F606" s="183">
        <v>-17469</v>
      </c>
      <c r="G606" s="183">
        <v>-17469</v>
      </c>
      <c r="H606" s="183">
        <v>-17469</v>
      </c>
      <c r="I606" s="183">
        <v>-17469</v>
      </c>
      <c r="J606" s="183">
        <v>-17469</v>
      </c>
      <c r="K606" s="183">
        <v>-17469</v>
      </c>
      <c r="L606" s="183">
        <v>-17469</v>
      </c>
      <c r="M606" s="183">
        <v>-17469</v>
      </c>
      <c r="N606" s="183">
        <v>-17469</v>
      </c>
      <c r="O606" s="183">
        <v>-17469</v>
      </c>
      <c r="P606" s="183">
        <v>-17469</v>
      </c>
      <c r="Q606" s="183">
        <v>-17469</v>
      </c>
      <c r="R606" s="183">
        <v>-17469</v>
      </c>
      <c r="S606" s="184">
        <f t="shared" si="121"/>
        <v>-17469</v>
      </c>
      <c r="U606" s="65"/>
      <c r="V606" s="103">
        <f t="shared" si="124"/>
        <v>-17469</v>
      </c>
      <c r="W606" s="103"/>
      <c r="X606" s="599"/>
      <c r="Y606" s="103"/>
      <c r="Z606" s="103"/>
      <c r="AA606" s="65"/>
      <c r="AB606" s="103"/>
      <c r="AD606" s="42">
        <f t="shared" si="123"/>
        <v>-17469</v>
      </c>
      <c r="AF606" s="6"/>
    </row>
    <row r="607" spans="1:32">
      <c r="A607" s="2">
        <f t="shared" si="125"/>
        <v>590</v>
      </c>
      <c r="B607" s="688" t="s">
        <v>2330</v>
      </c>
      <c r="C607" s="688" t="s">
        <v>3296</v>
      </c>
      <c r="D607" s="688" t="s">
        <v>3299</v>
      </c>
      <c r="E607" s="697" t="s">
        <v>3300</v>
      </c>
      <c r="F607" s="183">
        <v>-71133.399999999994</v>
      </c>
      <c r="G607" s="183">
        <v>-25724.19</v>
      </c>
      <c r="H607" s="183">
        <v>-55724.19</v>
      </c>
      <c r="I607" s="183">
        <v>-85724.19</v>
      </c>
      <c r="J607" s="183">
        <v>-33264.160000000003</v>
      </c>
      <c r="K607" s="183">
        <v>-61632.08</v>
      </c>
      <c r="L607" s="183">
        <v>-90000</v>
      </c>
      <c r="M607" s="183">
        <v>-118367.92</v>
      </c>
      <c r="N607" s="183">
        <v>-50198.1</v>
      </c>
      <c r="O607" s="183">
        <v>-78566.02</v>
      </c>
      <c r="P607" s="183">
        <v>-52355.8</v>
      </c>
      <c r="Q607" s="183">
        <v>-84249.17</v>
      </c>
      <c r="R607" s="183">
        <v>-116142.54</v>
      </c>
      <c r="S607" s="184">
        <f t="shared" si="121"/>
        <v>-69120.315833333341</v>
      </c>
      <c r="U607" s="65"/>
      <c r="V607" s="103">
        <f>+S607</f>
        <v>-69120.315833333341</v>
      </c>
      <c r="W607" s="103"/>
      <c r="X607" s="599"/>
      <c r="Y607" s="103"/>
      <c r="Z607" s="103"/>
      <c r="AA607" s="65"/>
      <c r="AB607" s="103"/>
      <c r="AD607" s="42">
        <f t="shared" si="123"/>
        <v>-69120.315833333341</v>
      </c>
      <c r="AF607" s="6"/>
    </row>
    <row r="608" spans="1:32">
      <c r="A608" s="2">
        <f t="shared" si="125"/>
        <v>591</v>
      </c>
      <c r="B608" s="688" t="s">
        <v>2330</v>
      </c>
      <c r="C608" s="688" t="s">
        <v>3296</v>
      </c>
      <c r="D608" s="688" t="s">
        <v>3301</v>
      </c>
      <c r="E608" s="697" t="s">
        <v>3302</v>
      </c>
      <c r="F608" s="183">
        <v>-420448</v>
      </c>
      <c r="G608" s="183">
        <v>-420448</v>
      </c>
      <c r="H608" s="183">
        <v>-420448</v>
      </c>
      <c r="I608" s="183">
        <v>-420448</v>
      </c>
      <c r="J608" s="183">
        <v>-420448</v>
      </c>
      <c r="K608" s="183">
        <v>-420448</v>
      </c>
      <c r="L608" s="183">
        <v>-420448</v>
      </c>
      <c r="M608" s="183">
        <v>-420448</v>
      </c>
      <c r="N608" s="183">
        <v>-420448</v>
      </c>
      <c r="O608" s="183">
        <v>-420448</v>
      </c>
      <c r="P608" s="183">
        <v>-420448</v>
      </c>
      <c r="Q608" s="183">
        <v>-420448</v>
      </c>
      <c r="R608" s="183">
        <v>-419744</v>
      </c>
      <c r="S608" s="184">
        <f t="shared" si="121"/>
        <v>-420418.66666666669</v>
      </c>
      <c r="U608" s="65"/>
      <c r="V608" s="103">
        <f>+S608</f>
        <v>-420418.66666666669</v>
      </c>
      <c r="W608" s="103"/>
      <c r="X608" s="599"/>
      <c r="Y608" s="103"/>
      <c r="Z608" s="103"/>
      <c r="AA608" s="65"/>
      <c r="AB608" s="103"/>
      <c r="AD608" s="42">
        <f t="shared" si="123"/>
        <v>-420418.66666666669</v>
      </c>
      <c r="AF608" s="6"/>
    </row>
    <row r="609" spans="1:32">
      <c r="A609" s="2">
        <f t="shared" si="125"/>
        <v>592</v>
      </c>
      <c r="B609" s="688" t="s">
        <v>2330</v>
      </c>
      <c r="C609" s="688" t="s">
        <v>3303</v>
      </c>
      <c r="D609" s="688" t="s">
        <v>2303</v>
      </c>
      <c r="E609" s="697" t="s">
        <v>3304</v>
      </c>
      <c r="F609" s="183">
        <v>-1216682.8600000001</v>
      </c>
      <c r="G609" s="183">
        <v>-1546436.85</v>
      </c>
      <c r="H609" s="183">
        <v>-1577269.36</v>
      </c>
      <c r="I609" s="183">
        <v>-1900619.99</v>
      </c>
      <c r="J609" s="183">
        <v>-1916135.25</v>
      </c>
      <c r="K609" s="183">
        <v>-2287028.91</v>
      </c>
      <c r="L609" s="183">
        <v>-1299516.1499999999</v>
      </c>
      <c r="M609" s="183">
        <v>-1397465.64</v>
      </c>
      <c r="N609" s="183">
        <v>-1716170.4</v>
      </c>
      <c r="O609" s="183">
        <v>-2038836.67</v>
      </c>
      <c r="P609" s="183">
        <v>-2063594.78</v>
      </c>
      <c r="Q609" s="183">
        <v>-2461536.3199999998</v>
      </c>
      <c r="R609" s="183">
        <v>-1220588.79</v>
      </c>
      <c r="S609" s="184">
        <f t="shared" si="121"/>
        <v>-1785270.5120833332</v>
      </c>
      <c r="U609" s="65"/>
      <c r="V609" s="103">
        <f>+S609</f>
        <v>-1785270.5120833332</v>
      </c>
      <c r="W609" s="103"/>
      <c r="X609" s="599"/>
      <c r="Y609" s="103"/>
      <c r="Z609" s="103"/>
      <c r="AA609" s="65"/>
      <c r="AB609" s="103"/>
      <c r="AD609" s="42">
        <f t="shared" si="123"/>
        <v>-1785270.5120833332</v>
      </c>
      <c r="AF609" s="6"/>
    </row>
    <row r="610" spans="1:32">
      <c r="A610" s="2">
        <f t="shared" si="125"/>
        <v>593</v>
      </c>
      <c r="B610" s="688" t="s">
        <v>2330</v>
      </c>
      <c r="C610" s="688" t="s">
        <v>3303</v>
      </c>
      <c r="D610" s="688" t="s">
        <v>2305</v>
      </c>
      <c r="E610" s="697" t="s">
        <v>3305</v>
      </c>
      <c r="F610" s="183">
        <v>-547829.76000000001</v>
      </c>
      <c r="G610" s="183">
        <v>-694951.02</v>
      </c>
      <c r="H610" s="183">
        <v>-259562.11</v>
      </c>
      <c r="I610" s="183">
        <v>-362869.88</v>
      </c>
      <c r="J610" s="183">
        <v>-453183.08</v>
      </c>
      <c r="K610" s="183">
        <v>-558706.1</v>
      </c>
      <c r="L610" s="183">
        <v>-662794.43000000005</v>
      </c>
      <c r="M610" s="183">
        <v>-744444.63</v>
      </c>
      <c r="N610" s="183">
        <v>-841253.51</v>
      </c>
      <c r="O610" s="183">
        <v>-1367234.62</v>
      </c>
      <c r="P610" s="183">
        <v>-1636445.34</v>
      </c>
      <c r="Q610" s="183">
        <v>-1757901.82</v>
      </c>
      <c r="R610" s="183">
        <v>-1941604.46</v>
      </c>
      <c r="S610" s="184">
        <f t="shared" si="121"/>
        <v>-882005.30416666658</v>
      </c>
      <c r="U610" s="65"/>
      <c r="V610" s="103">
        <f t="shared" si="124"/>
        <v>-882005.30416666658</v>
      </c>
      <c r="W610" s="103"/>
      <c r="X610" s="599"/>
      <c r="Y610" s="103"/>
      <c r="Z610" s="103"/>
      <c r="AA610" s="65"/>
      <c r="AB610" s="103"/>
      <c r="AD610" s="42">
        <f t="shared" si="123"/>
        <v>-882005.30416666658</v>
      </c>
      <c r="AF610" s="6"/>
    </row>
    <row r="611" spans="1:32">
      <c r="A611" s="2">
        <f t="shared" si="125"/>
        <v>594</v>
      </c>
      <c r="B611" s="688" t="s">
        <v>2330</v>
      </c>
      <c r="C611" s="688" t="s">
        <v>3306</v>
      </c>
      <c r="D611" s="688" t="s">
        <v>2303</v>
      </c>
      <c r="E611" s="697" t="s">
        <v>3307</v>
      </c>
      <c r="F611" s="183">
        <v>-2618142.04</v>
      </c>
      <c r="G611" s="183">
        <v>-2602293.09</v>
      </c>
      <c r="H611" s="183">
        <v>-2585720.2400000002</v>
      </c>
      <c r="I611" s="183">
        <v>-2617729.7999999998</v>
      </c>
      <c r="J611" s="183">
        <v>-2580491.5299999998</v>
      </c>
      <c r="K611" s="183">
        <v>-2545439.2000000002</v>
      </c>
      <c r="L611" s="183">
        <v>-2429400.35</v>
      </c>
      <c r="M611" s="183">
        <v>-2469495.1800000002</v>
      </c>
      <c r="N611" s="183">
        <v>-2494809.33</v>
      </c>
      <c r="O611" s="183">
        <v>-2521150.15</v>
      </c>
      <c r="P611" s="183">
        <v>-2523907.39</v>
      </c>
      <c r="Q611" s="183">
        <v>-2545056.02</v>
      </c>
      <c r="R611" s="183">
        <v>-2606732.12</v>
      </c>
      <c r="S611" s="184">
        <f t="shared" si="121"/>
        <v>-2543994.1133333333</v>
      </c>
      <c r="U611" s="65"/>
      <c r="V611" s="103">
        <f t="shared" si="124"/>
        <v>-2543994.1133333333</v>
      </c>
      <c r="W611" s="103"/>
      <c r="X611" s="599"/>
      <c r="Y611" s="103"/>
      <c r="Z611" s="103"/>
      <c r="AA611" s="65"/>
      <c r="AB611" s="103"/>
      <c r="AD611" s="42">
        <f t="shared" si="123"/>
        <v>-2543994.1133333333</v>
      </c>
      <c r="AF611" s="6"/>
    </row>
    <row r="612" spans="1:32">
      <c r="A612" s="2">
        <f t="shared" si="125"/>
        <v>595</v>
      </c>
      <c r="B612" s="688" t="s">
        <v>2330</v>
      </c>
      <c r="C612" s="688" t="s">
        <v>3308</v>
      </c>
      <c r="D612" s="688" t="s">
        <v>2303</v>
      </c>
      <c r="E612" s="697" t="s">
        <v>2732</v>
      </c>
      <c r="F612" s="183">
        <v>-1498828.75</v>
      </c>
      <c r="G612" s="183">
        <v>-9481254.1899999995</v>
      </c>
      <c r="H612" s="183">
        <v>-3717403.96</v>
      </c>
      <c r="I612" s="183">
        <v>-381943.54000000103</v>
      </c>
      <c r="J612" s="183">
        <v>-704564.02000000095</v>
      </c>
      <c r="K612" s="183">
        <v>-1006509.2</v>
      </c>
      <c r="L612" s="183">
        <v>-1387169.38</v>
      </c>
      <c r="M612" s="183">
        <v>-1061837.99</v>
      </c>
      <c r="N612" s="183">
        <v>-535250.54000000097</v>
      </c>
      <c r="O612" s="183">
        <v>-1108755.17</v>
      </c>
      <c r="P612" s="183">
        <v>-879576.89000000095</v>
      </c>
      <c r="Q612" s="183">
        <v>-1403094.87</v>
      </c>
      <c r="R612" s="183">
        <v>-212751.99000000101</v>
      </c>
      <c r="S612" s="184">
        <f t="shared" si="121"/>
        <v>-1876929.176666667</v>
      </c>
      <c r="U612" s="65"/>
      <c r="V612" s="103">
        <f t="shared" si="124"/>
        <v>-1876929.176666667</v>
      </c>
      <c r="W612" s="103"/>
      <c r="X612" s="599"/>
      <c r="Y612" s="103"/>
      <c r="Z612" s="103"/>
      <c r="AA612" s="65"/>
      <c r="AB612" s="103"/>
      <c r="AD612" s="42">
        <f t="shared" si="123"/>
        <v>-1876929.176666667</v>
      </c>
      <c r="AF612" s="6"/>
    </row>
    <row r="613" spans="1:32">
      <c r="A613" s="2">
        <f t="shared" si="125"/>
        <v>596</v>
      </c>
      <c r="B613" s="688" t="s">
        <v>2330</v>
      </c>
      <c r="C613" s="688" t="s">
        <v>3309</v>
      </c>
      <c r="D613" s="688" t="s">
        <v>3310</v>
      </c>
      <c r="E613" s="697" t="s">
        <v>3311</v>
      </c>
      <c r="F613" s="183">
        <v>-74589.740000000005</v>
      </c>
      <c r="G613" s="183">
        <v>-74517.97</v>
      </c>
      <c r="H613" s="183">
        <v>-75899.429999999993</v>
      </c>
      <c r="I613" s="183">
        <v>-48771.14</v>
      </c>
      <c r="J613" s="183">
        <v>-49266.09</v>
      </c>
      <c r="K613" s="183">
        <v>-59222.97</v>
      </c>
      <c r="L613" s="183">
        <v>-67595.600000000006</v>
      </c>
      <c r="M613" s="183">
        <v>-66910.81</v>
      </c>
      <c r="N613" s="183">
        <v>-43371.79</v>
      </c>
      <c r="O613" s="183">
        <v>-50943.44</v>
      </c>
      <c r="P613" s="183">
        <v>-50334.720000000001</v>
      </c>
      <c r="Q613" s="183">
        <v>-59353.38</v>
      </c>
      <c r="R613" s="183">
        <v>-70985.070000000007</v>
      </c>
      <c r="S613" s="184">
        <f t="shared" si="121"/>
        <v>-59914.562083333331</v>
      </c>
      <c r="U613" s="65"/>
      <c r="V613" s="103">
        <f t="shared" si="124"/>
        <v>-59914.562083333331</v>
      </c>
      <c r="W613" s="103"/>
      <c r="X613" s="599"/>
      <c r="Y613" s="103"/>
      <c r="Z613" s="103"/>
      <c r="AA613" s="65"/>
      <c r="AB613" s="103"/>
      <c r="AD613" s="42">
        <f t="shared" si="123"/>
        <v>-59914.562083333331</v>
      </c>
      <c r="AF613" s="6"/>
    </row>
    <row r="614" spans="1:32">
      <c r="A614" s="2">
        <f t="shared" si="125"/>
        <v>597</v>
      </c>
      <c r="B614" s="688" t="s">
        <v>2330</v>
      </c>
      <c r="C614" s="688" t="s">
        <v>3309</v>
      </c>
      <c r="D614" s="688" t="s">
        <v>3193</v>
      </c>
      <c r="E614" s="697" t="s">
        <v>3312</v>
      </c>
      <c r="F614" s="183">
        <v>-14747.14</v>
      </c>
      <c r="G614" s="183">
        <v>-14747.14</v>
      </c>
      <c r="H614" s="183">
        <v>-14747.14</v>
      </c>
      <c r="I614" s="183">
        <v>-14747.14</v>
      </c>
      <c r="J614" s="183">
        <v>-14747.14</v>
      </c>
      <c r="K614" s="183">
        <v>-14747.14</v>
      </c>
      <c r="L614" s="183">
        <v>-14747.14</v>
      </c>
      <c r="M614" s="183">
        <v>-14747.14</v>
      </c>
      <c r="N614" s="183">
        <v>-14747.14</v>
      </c>
      <c r="O614" s="183">
        <v>-14747.14</v>
      </c>
      <c r="P614" s="183">
        <v>-14747.14</v>
      </c>
      <c r="Q614" s="183">
        <v>-14747.14</v>
      </c>
      <c r="R614" s="183">
        <v>-14747.14</v>
      </c>
      <c r="S614" s="184">
        <f t="shared" si="121"/>
        <v>-14747.140000000005</v>
      </c>
      <c r="U614" s="65"/>
      <c r="V614" s="103">
        <f t="shared" si="124"/>
        <v>-14747.140000000005</v>
      </c>
      <c r="W614" s="103"/>
      <c r="X614" s="599"/>
      <c r="Y614" s="103"/>
      <c r="Z614" s="103"/>
      <c r="AA614" s="65"/>
      <c r="AB614" s="103"/>
      <c r="AD614" s="42">
        <f t="shared" si="123"/>
        <v>-14747.140000000005</v>
      </c>
      <c r="AF614" s="6"/>
    </row>
    <row r="615" spans="1:32">
      <c r="A615" s="2">
        <f t="shared" si="125"/>
        <v>598</v>
      </c>
      <c r="B615" s="688" t="s">
        <v>2330</v>
      </c>
      <c r="C615" s="688" t="s">
        <v>3309</v>
      </c>
      <c r="D615" s="1" t="s">
        <v>3313</v>
      </c>
      <c r="E615" s="697" t="s">
        <v>3314</v>
      </c>
      <c r="F615" s="183">
        <v>-1291437.9099999999</v>
      </c>
      <c r="G615" s="183">
        <v>-1459617.4</v>
      </c>
      <c r="H615" s="183">
        <v>-393308.91</v>
      </c>
      <c r="I615" s="183">
        <v>-565478.47</v>
      </c>
      <c r="J615" s="183">
        <v>-718026.97</v>
      </c>
      <c r="K615" s="183">
        <v>-889465.31</v>
      </c>
      <c r="L615" s="183">
        <v>-1056829.47</v>
      </c>
      <c r="M615" s="183">
        <v>-1211914.1499999999</v>
      </c>
      <c r="N615" s="183">
        <v>-557614.42000000004</v>
      </c>
      <c r="O615" s="183">
        <v>-722740.76</v>
      </c>
      <c r="P615" s="183">
        <v>-879075.89</v>
      </c>
      <c r="Q615" s="183">
        <v>-1048762.97</v>
      </c>
      <c r="R615" s="183">
        <v>-1192838.3999999999</v>
      </c>
      <c r="S615" s="184">
        <f t="shared" si="121"/>
        <v>-895414.40625</v>
      </c>
      <c r="U615" s="65"/>
      <c r="V615" s="103">
        <f t="shared" si="124"/>
        <v>-895414.40625</v>
      </c>
      <c r="W615" s="103"/>
      <c r="X615" s="599"/>
      <c r="Y615" s="103"/>
      <c r="Z615" s="103"/>
      <c r="AA615" s="65"/>
      <c r="AB615" s="103"/>
      <c r="AD615" s="42">
        <f t="shared" si="123"/>
        <v>-895414.40625</v>
      </c>
      <c r="AF615" s="6"/>
    </row>
    <row r="616" spans="1:32">
      <c r="A616" s="2">
        <f t="shared" si="125"/>
        <v>599</v>
      </c>
      <c r="B616" s="688" t="s">
        <v>2330</v>
      </c>
      <c r="C616" s="688" t="s">
        <v>3309</v>
      </c>
      <c r="D616" s="1" t="s">
        <v>3315</v>
      </c>
      <c r="E616" s="697" t="s">
        <v>3316</v>
      </c>
      <c r="F616" s="183">
        <v>0</v>
      </c>
      <c r="G616" s="183">
        <v>0</v>
      </c>
      <c r="H616" s="183">
        <v>0</v>
      </c>
      <c r="I616" s="183">
        <v>0</v>
      </c>
      <c r="J616" s="183">
        <v>0</v>
      </c>
      <c r="K616" s="183">
        <v>0</v>
      </c>
      <c r="L616" s="183">
        <v>0</v>
      </c>
      <c r="M616" s="183">
        <v>0</v>
      </c>
      <c r="N616" s="183">
        <v>0</v>
      </c>
      <c r="O616" s="183">
        <v>-49250</v>
      </c>
      <c r="P616" s="183">
        <v>-49250</v>
      </c>
      <c r="Q616" s="183">
        <v>-49250</v>
      </c>
      <c r="R616" s="183">
        <v>-175267.39</v>
      </c>
      <c r="S616" s="184">
        <f t="shared" si="121"/>
        <v>-19615.307916666668</v>
      </c>
      <c r="U616" s="65"/>
      <c r="V616" s="103">
        <f t="shared" si="124"/>
        <v>-19615.307916666668</v>
      </c>
      <c r="W616" s="103"/>
      <c r="X616" s="599"/>
      <c r="Y616" s="103"/>
      <c r="Z616" s="103"/>
      <c r="AA616" s="65"/>
      <c r="AB616" s="103"/>
      <c r="AD616" s="42">
        <f t="shared" si="123"/>
        <v>-19615.307916666668</v>
      </c>
      <c r="AF616" s="6"/>
    </row>
    <row r="617" spans="1:32">
      <c r="A617" s="2">
        <f t="shared" si="125"/>
        <v>600</v>
      </c>
      <c r="B617" s="688" t="s">
        <v>2330</v>
      </c>
      <c r="C617" s="688" t="s">
        <v>3309</v>
      </c>
      <c r="D617" s="1" t="s">
        <v>3317</v>
      </c>
      <c r="E617" s="697" t="s">
        <v>3318</v>
      </c>
      <c r="F617" s="183">
        <v>-119991.19</v>
      </c>
      <c r="G617" s="183">
        <v>-110650.5</v>
      </c>
      <c r="H617" s="183">
        <v>-93204.71</v>
      </c>
      <c r="I617" s="183">
        <v>-82111.63</v>
      </c>
      <c r="J617" s="183">
        <v>-76906.55</v>
      </c>
      <c r="K617" s="183">
        <v>-64108.57</v>
      </c>
      <c r="L617" s="183">
        <v>-56405.48</v>
      </c>
      <c r="M617" s="183">
        <v>-53608.63</v>
      </c>
      <c r="N617" s="183">
        <v>-51163.22</v>
      </c>
      <c r="O617" s="183">
        <v>-51848.22</v>
      </c>
      <c r="P617" s="183">
        <v>-59799.28</v>
      </c>
      <c r="Q617" s="183">
        <v>-61363.839999999997</v>
      </c>
      <c r="R617" s="183">
        <v>-66874.62</v>
      </c>
      <c r="S617" s="184">
        <f t="shared" si="121"/>
        <v>-71216.961249999993</v>
      </c>
      <c r="U617" s="65"/>
      <c r="V617" s="103">
        <f t="shared" si="124"/>
        <v>-71216.961249999993</v>
      </c>
      <c r="W617" s="103"/>
      <c r="X617" s="599"/>
      <c r="Y617" s="103"/>
      <c r="Z617" s="103"/>
      <c r="AA617" s="65"/>
      <c r="AB617" s="103"/>
      <c r="AD617" s="42">
        <f t="shared" si="123"/>
        <v>-71216.961249999993</v>
      </c>
      <c r="AF617" s="6"/>
    </row>
    <row r="618" spans="1:32">
      <c r="A618" s="2">
        <f t="shared" si="125"/>
        <v>601</v>
      </c>
      <c r="B618" s="688" t="s">
        <v>2330</v>
      </c>
      <c r="C618" s="688" t="s">
        <v>3319</v>
      </c>
      <c r="D618" s="1" t="s">
        <v>2303</v>
      </c>
      <c r="E618" s="697" t="s">
        <v>2756</v>
      </c>
      <c r="F618" s="183">
        <v>0</v>
      </c>
      <c r="G618" s="183">
        <v>0</v>
      </c>
      <c r="H618" s="183">
        <v>0</v>
      </c>
      <c r="I618" s="183">
        <v>0</v>
      </c>
      <c r="J618" s="183">
        <v>0</v>
      </c>
      <c r="K618" s="183">
        <v>0</v>
      </c>
      <c r="L618" s="183">
        <v>0</v>
      </c>
      <c r="M618" s="183">
        <v>0</v>
      </c>
      <c r="N618" s="183">
        <v>0</v>
      </c>
      <c r="O618" s="183">
        <v>0</v>
      </c>
      <c r="P618" s="183">
        <v>0</v>
      </c>
      <c r="Q618" s="183">
        <v>0</v>
      </c>
      <c r="R618" s="183">
        <v>0</v>
      </c>
      <c r="S618" s="184">
        <f t="shared" si="121"/>
        <v>0</v>
      </c>
      <c r="U618" s="65"/>
      <c r="V618" s="103">
        <f t="shared" si="124"/>
        <v>0</v>
      </c>
      <c r="W618" s="103"/>
      <c r="X618" s="599"/>
      <c r="Y618" s="103"/>
      <c r="Z618" s="103"/>
      <c r="AA618" s="65"/>
      <c r="AB618" s="103"/>
      <c r="AD618" s="42">
        <f t="shared" si="123"/>
        <v>0</v>
      </c>
      <c r="AF618" s="6"/>
    </row>
    <row r="619" spans="1:32">
      <c r="A619" s="2">
        <f t="shared" si="125"/>
        <v>602</v>
      </c>
      <c r="B619" s="688" t="s">
        <v>2330</v>
      </c>
      <c r="C619" s="688" t="s">
        <v>3320</v>
      </c>
      <c r="D619" s="1" t="s">
        <v>3321</v>
      </c>
      <c r="E619" s="697" t="s">
        <v>3322</v>
      </c>
      <c r="F619" s="183"/>
      <c r="G619" s="183"/>
      <c r="H619" s="183"/>
      <c r="I619" s="183"/>
      <c r="J619" s="183"/>
      <c r="K619" s="183"/>
      <c r="L619" s="183"/>
      <c r="M619" s="183"/>
      <c r="N619" s="183"/>
      <c r="O619" s="183"/>
      <c r="P619" s="183"/>
      <c r="Q619" s="183">
        <v>-105800</v>
      </c>
      <c r="R619" s="183">
        <v>-105800</v>
      </c>
      <c r="S619" s="184">
        <f t="shared" si="121"/>
        <v>-13225</v>
      </c>
      <c r="U619" s="65"/>
      <c r="V619" s="103">
        <f>+S619</f>
        <v>-13225</v>
      </c>
      <c r="W619" s="103"/>
      <c r="X619" s="599"/>
      <c r="Y619" s="103"/>
      <c r="Z619" s="103"/>
      <c r="AA619" s="65"/>
      <c r="AB619" s="103"/>
      <c r="AD619" s="42">
        <f>+S619</f>
        <v>-13225</v>
      </c>
      <c r="AF619" s="6"/>
    </row>
    <row r="620" spans="1:32">
      <c r="A620" s="2">
        <f t="shared" si="125"/>
        <v>603</v>
      </c>
      <c r="B620" s="688" t="s">
        <v>2330</v>
      </c>
      <c r="C620" s="688" t="s">
        <v>3323</v>
      </c>
      <c r="D620" s="1" t="s">
        <v>3324</v>
      </c>
      <c r="E620" s="697" t="s">
        <v>3325</v>
      </c>
      <c r="F620" s="183">
        <v>-0.59999999997671705</v>
      </c>
      <c r="G620" s="183">
        <v>-0.6</v>
      </c>
      <c r="H620" s="183">
        <v>-0.6</v>
      </c>
      <c r="I620" s="183">
        <v>0</v>
      </c>
      <c r="J620" s="183">
        <v>0</v>
      </c>
      <c r="K620" s="183">
        <v>0</v>
      </c>
      <c r="L620" s="183">
        <v>0</v>
      </c>
      <c r="M620" s="183">
        <v>0</v>
      </c>
      <c r="N620" s="183">
        <v>0</v>
      </c>
      <c r="O620" s="183">
        <v>0</v>
      </c>
      <c r="P620" s="183">
        <v>0</v>
      </c>
      <c r="Q620" s="183">
        <v>0</v>
      </c>
      <c r="R620" s="183">
        <v>0</v>
      </c>
      <c r="S620" s="184">
        <f t="shared" si="121"/>
        <v>-0.12499999999902987</v>
      </c>
      <c r="U620" s="65"/>
      <c r="V620" s="103">
        <f t="shared" si="124"/>
        <v>-0.12499999999902987</v>
      </c>
      <c r="W620" s="103"/>
      <c r="X620" s="599"/>
      <c r="Y620" s="103"/>
      <c r="Z620" s="103"/>
      <c r="AA620" s="65"/>
      <c r="AB620" s="103"/>
      <c r="AD620" s="42">
        <f t="shared" si="123"/>
        <v>-0.12499999999902987</v>
      </c>
      <c r="AF620" s="6"/>
    </row>
    <row r="621" spans="1:32">
      <c r="A621" s="2">
        <f t="shared" si="125"/>
        <v>604</v>
      </c>
      <c r="B621" s="688" t="s">
        <v>2342</v>
      </c>
      <c r="C621" s="688" t="s">
        <v>3326</v>
      </c>
      <c r="D621" s="1" t="s">
        <v>31</v>
      </c>
      <c r="E621" s="697" t="s">
        <v>3327</v>
      </c>
      <c r="F621" s="183">
        <v>0</v>
      </c>
      <c r="G621" s="183">
        <v>0</v>
      </c>
      <c r="H621" s="183">
        <v>0</v>
      </c>
      <c r="I621" s="183">
        <v>0</v>
      </c>
      <c r="J621" s="183">
        <v>0</v>
      </c>
      <c r="K621" s="183">
        <v>0</v>
      </c>
      <c r="L621" s="183">
        <v>0</v>
      </c>
      <c r="M621" s="183">
        <v>0</v>
      </c>
      <c r="N621" s="183">
        <v>0</v>
      </c>
      <c r="O621" s="183">
        <v>0</v>
      </c>
      <c r="P621" s="183">
        <v>0</v>
      </c>
      <c r="Q621" s="183">
        <v>0</v>
      </c>
      <c r="R621" s="183">
        <v>0</v>
      </c>
      <c r="S621" s="184">
        <f t="shared" si="121"/>
        <v>0</v>
      </c>
      <c r="U621" s="65"/>
      <c r="V621" s="103">
        <f t="shared" si="124"/>
        <v>0</v>
      </c>
      <c r="W621" s="103"/>
      <c r="X621" s="599"/>
      <c r="Y621" s="103"/>
      <c r="Z621" s="103"/>
      <c r="AA621" s="65"/>
      <c r="AB621" s="103"/>
      <c r="AD621" s="42">
        <f t="shared" si="123"/>
        <v>0</v>
      </c>
      <c r="AF621" s="6"/>
    </row>
    <row r="622" spans="1:32">
      <c r="A622" s="2">
        <f t="shared" si="125"/>
        <v>605</v>
      </c>
      <c r="B622" s="688" t="s">
        <v>2342</v>
      </c>
      <c r="C622" s="688" t="s">
        <v>3328</v>
      </c>
      <c r="D622" s="1" t="s">
        <v>3135</v>
      </c>
      <c r="E622" s="697" t="s">
        <v>3329</v>
      </c>
      <c r="F622" s="183">
        <v>-80904.22</v>
      </c>
      <c r="G622" s="183">
        <v>-80175.77</v>
      </c>
      <c r="H622" s="183">
        <v>-79751.5</v>
      </c>
      <c r="I622" s="183">
        <v>-89108.92</v>
      </c>
      <c r="J622" s="183">
        <v>-84744</v>
      </c>
      <c r="K622" s="183">
        <v>-86103</v>
      </c>
      <c r="L622" s="183">
        <v>-93499.89</v>
      </c>
      <c r="M622" s="183">
        <v>-95879.88</v>
      </c>
      <c r="N622" s="183">
        <v>-93789.440000000002</v>
      </c>
      <c r="O622" s="183">
        <v>-94898.92</v>
      </c>
      <c r="P622" s="183">
        <v>-90937.67</v>
      </c>
      <c r="Q622" s="183">
        <v>-97779.57</v>
      </c>
      <c r="R622" s="183">
        <v>-107213</v>
      </c>
      <c r="S622" s="184">
        <f t="shared" si="121"/>
        <v>-90060.597500000018</v>
      </c>
      <c r="U622" s="65"/>
      <c r="V622" s="103"/>
      <c r="W622" s="103"/>
      <c r="X622" s="599">
        <f>+S622</f>
        <v>-90060.597500000018</v>
      </c>
      <c r="Y622" s="103"/>
      <c r="Z622" s="103"/>
      <c r="AA622" s="65"/>
      <c r="AB622" s="103">
        <f>+S622</f>
        <v>-90060.597500000018</v>
      </c>
      <c r="AD622" s="42"/>
      <c r="AF622" s="6"/>
    </row>
    <row r="623" spans="1:32">
      <c r="A623" s="2">
        <f t="shared" si="125"/>
        <v>606</v>
      </c>
      <c r="B623" s="688" t="s">
        <v>2342</v>
      </c>
      <c r="C623" s="688" t="s">
        <v>3239</v>
      </c>
      <c r="D623" s="1" t="s">
        <v>2816</v>
      </c>
      <c r="E623" s="697" t="s">
        <v>3330</v>
      </c>
      <c r="F623" s="183">
        <v>-173645.84</v>
      </c>
      <c r="G623" s="183">
        <v>0</v>
      </c>
      <c r="H623" s="183">
        <v>0</v>
      </c>
      <c r="I623" s="183">
        <v>0</v>
      </c>
      <c r="J623" s="183">
        <v>0</v>
      </c>
      <c r="K623" s="183">
        <v>0</v>
      </c>
      <c r="L623" s="183">
        <v>0</v>
      </c>
      <c r="M623" s="183">
        <v>0</v>
      </c>
      <c r="N623" s="183">
        <v>-678042.76</v>
      </c>
      <c r="O623" s="183">
        <v>-622974.59</v>
      </c>
      <c r="P623" s="183">
        <v>-724718.44</v>
      </c>
      <c r="Q623" s="183">
        <v>-699728.11</v>
      </c>
      <c r="R623" s="183">
        <v>626801.36</v>
      </c>
      <c r="S623" s="184">
        <f t="shared" si="121"/>
        <v>-208240.51166666663</v>
      </c>
      <c r="U623" s="65"/>
      <c r="V623" s="103">
        <f t="shared" si="124"/>
        <v>-208240.51166666663</v>
      </c>
      <c r="W623" s="103"/>
      <c r="X623" s="599"/>
      <c r="Y623" s="103"/>
      <c r="Z623" s="103"/>
      <c r="AA623" s="65"/>
      <c r="AB623" s="103"/>
      <c r="AD623" s="42">
        <f>+S623</f>
        <v>-208240.51166666663</v>
      </c>
      <c r="AF623" s="6"/>
    </row>
    <row r="624" spans="1:32">
      <c r="A624" s="2">
        <f t="shared" si="125"/>
        <v>607</v>
      </c>
      <c r="B624" s="688" t="s">
        <v>2342</v>
      </c>
      <c r="C624" s="688" t="s">
        <v>3331</v>
      </c>
      <c r="D624" s="1" t="s">
        <v>2311</v>
      </c>
      <c r="E624" s="697" t="s">
        <v>3332</v>
      </c>
      <c r="F624" s="183">
        <v>0</v>
      </c>
      <c r="G624" s="183">
        <v>0</v>
      </c>
      <c r="H624" s="183">
        <v>0</v>
      </c>
      <c r="I624" s="183">
        <v>0</v>
      </c>
      <c r="J624" s="183">
        <v>0</v>
      </c>
      <c r="K624" s="183">
        <v>0</v>
      </c>
      <c r="L624" s="183">
        <v>0</v>
      </c>
      <c r="M624" s="183">
        <v>-184693</v>
      </c>
      <c r="N624" s="183">
        <v>-369386</v>
      </c>
      <c r="O624" s="183">
        <v>-554079</v>
      </c>
      <c r="P624" s="183">
        <v>-738772</v>
      </c>
      <c r="Q624" s="183">
        <v>0</v>
      </c>
      <c r="R624" s="183">
        <v>0</v>
      </c>
      <c r="S624" s="184">
        <f t="shared" si="121"/>
        <v>-153910.83333333334</v>
      </c>
      <c r="U624" s="65"/>
      <c r="V624" s="103">
        <f>+S624</f>
        <v>-153910.83333333334</v>
      </c>
      <c r="W624" s="103"/>
      <c r="X624" s="599"/>
      <c r="Y624" s="103"/>
      <c r="Z624" s="103"/>
      <c r="AA624" s="65"/>
      <c r="AB624" s="103"/>
      <c r="AD624" s="42">
        <f t="shared" ref="AD624:AD632" si="126">+S624</f>
        <v>-153910.83333333334</v>
      </c>
      <c r="AF624" s="6"/>
    </row>
    <row r="625" spans="1:32">
      <c r="A625" s="2">
        <f t="shared" si="125"/>
        <v>608</v>
      </c>
      <c r="B625" s="688" t="s">
        <v>2342</v>
      </c>
      <c r="C625" s="688" t="s">
        <v>3331</v>
      </c>
      <c r="D625" s="1" t="s">
        <v>2593</v>
      </c>
      <c r="E625" s="697" t="s">
        <v>3333</v>
      </c>
      <c r="F625" s="183">
        <v>-1537627.96</v>
      </c>
      <c r="G625" s="183">
        <v>-1194321.42</v>
      </c>
      <c r="H625" s="183">
        <v>-1661202.69</v>
      </c>
      <c r="I625" s="183">
        <v>-2208593.48</v>
      </c>
      <c r="J625" s="183">
        <v>-832931.74</v>
      </c>
      <c r="K625" s="183">
        <v>-927578.38</v>
      </c>
      <c r="L625" s="183">
        <v>-1013981.39</v>
      </c>
      <c r="M625" s="183">
        <v>-231692.03</v>
      </c>
      <c r="N625" s="183">
        <v>-326025.93</v>
      </c>
      <c r="O625" s="183">
        <v>-444227.8</v>
      </c>
      <c r="P625" s="183">
        <v>-415278.39</v>
      </c>
      <c r="Q625" s="183">
        <v>-846071.01</v>
      </c>
      <c r="R625" s="183">
        <v>-1449752.74</v>
      </c>
      <c r="S625" s="184">
        <f t="shared" si="121"/>
        <v>-966299.5508333334</v>
      </c>
      <c r="U625" s="65"/>
      <c r="V625" s="103">
        <f>+S625</f>
        <v>-966299.5508333334</v>
      </c>
      <c r="W625" s="103"/>
      <c r="X625" s="599"/>
      <c r="Y625" s="103"/>
      <c r="Z625" s="103"/>
      <c r="AA625" s="65"/>
      <c r="AB625" s="103"/>
      <c r="AD625" s="42">
        <f t="shared" si="126"/>
        <v>-966299.5508333334</v>
      </c>
      <c r="AF625" s="6"/>
    </row>
    <row r="626" spans="1:32">
      <c r="A626" s="2">
        <f t="shared" si="125"/>
        <v>609</v>
      </c>
      <c r="B626" s="688" t="s">
        <v>2342</v>
      </c>
      <c r="C626" s="688" t="s">
        <v>3331</v>
      </c>
      <c r="D626" s="1" t="s">
        <v>2831</v>
      </c>
      <c r="E626" s="697" t="s">
        <v>3334</v>
      </c>
      <c r="F626" s="183">
        <v>-5.8207660913467401E-11</v>
      </c>
      <c r="G626" s="183">
        <v>-35000</v>
      </c>
      <c r="H626" s="183">
        <v>-70000</v>
      </c>
      <c r="I626" s="183">
        <v>314634.03999999998</v>
      </c>
      <c r="J626" s="183">
        <v>279634.03999999998</v>
      </c>
      <c r="K626" s="183">
        <v>244679.76</v>
      </c>
      <c r="L626" s="183">
        <v>209725.48</v>
      </c>
      <c r="M626" s="183">
        <v>174771.20000000001</v>
      </c>
      <c r="N626" s="183">
        <v>139816.92000000001</v>
      </c>
      <c r="O626" s="183">
        <v>104862.64</v>
      </c>
      <c r="P626" s="183">
        <v>69908.36</v>
      </c>
      <c r="Q626" s="183">
        <v>34954.080000000002</v>
      </c>
      <c r="R626" s="183">
        <v>-1.45519152283669E-11</v>
      </c>
      <c r="S626" s="184">
        <f t="shared" si="121"/>
        <v>122332.21</v>
      </c>
      <c r="U626" s="65"/>
      <c r="V626" s="103">
        <f t="shared" si="124"/>
        <v>122332.21</v>
      </c>
      <c r="W626" s="103"/>
      <c r="X626" s="599"/>
      <c r="Y626" s="103"/>
      <c r="Z626" s="103"/>
      <c r="AA626" s="65"/>
      <c r="AB626" s="103"/>
      <c r="AD626" s="42">
        <f t="shared" si="126"/>
        <v>122332.21</v>
      </c>
      <c r="AF626" s="6"/>
    </row>
    <row r="627" spans="1:32">
      <c r="A627" s="2">
        <f t="shared" si="125"/>
        <v>610</v>
      </c>
      <c r="B627" s="688" t="s">
        <v>2342</v>
      </c>
      <c r="C627" s="688" t="s">
        <v>3331</v>
      </c>
      <c r="D627" s="1" t="s">
        <v>3335</v>
      </c>
      <c r="E627" s="697" t="s">
        <v>3336</v>
      </c>
      <c r="F627" s="183">
        <v>0</v>
      </c>
      <c r="G627" s="183">
        <v>-7500</v>
      </c>
      <c r="H627" s="183">
        <v>-15000</v>
      </c>
      <c r="I627" s="183">
        <v>-22500</v>
      </c>
      <c r="J627" s="183">
        <v>-30000</v>
      </c>
      <c r="K627" s="183">
        <v>-37500</v>
      </c>
      <c r="L627" s="183">
        <v>-45000</v>
      </c>
      <c r="M627" s="183">
        <v>-52500</v>
      </c>
      <c r="N627" s="183">
        <v>-62462</v>
      </c>
      <c r="O627" s="183">
        <v>29886</v>
      </c>
      <c r="P627" s="183">
        <v>19924</v>
      </c>
      <c r="Q627" s="183">
        <v>9962</v>
      </c>
      <c r="R627" s="183">
        <v>0</v>
      </c>
      <c r="S627" s="184">
        <f t="shared" si="121"/>
        <v>-17724.166666666668</v>
      </c>
      <c r="U627" s="65"/>
      <c r="V627" s="103">
        <f t="shared" si="124"/>
        <v>-17724.166666666668</v>
      </c>
      <c r="W627" s="103"/>
      <c r="X627" s="599"/>
      <c r="Y627" s="103"/>
      <c r="Z627" s="103"/>
      <c r="AA627" s="65"/>
      <c r="AB627" s="103"/>
      <c r="AD627" s="42">
        <f t="shared" si="126"/>
        <v>-17724.166666666668</v>
      </c>
      <c r="AF627" s="6"/>
    </row>
    <row r="628" spans="1:32">
      <c r="A628" s="2">
        <f t="shared" si="125"/>
        <v>611</v>
      </c>
      <c r="B628" s="688" t="s">
        <v>2342</v>
      </c>
      <c r="C628" s="688" t="s">
        <v>3331</v>
      </c>
      <c r="D628" s="688" t="s">
        <v>2493</v>
      </c>
      <c r="E628" s="697" t="s">
        <v>3337</v>
      </c>
      <c r="F628" s="183">
        <v>0</v>
      </c>
      <c r="G628" s="183">
        <v>0</v>
      </c>
      <c r="H628" s="183">
        <v>0</v>
      </c>
      <c r="I628" s="183">
        <v>0</v>
      </c>
      <c r="J628" s="183">
        <v>0</v>
      </c>
      <c r="K628" s="183">
        <v>0</v>
      </c>
      <c r="L628" s="183">
        <v>0</v>
      </c>
      <c r="M628" s="183">
        <v>0</v>
      </c>
      <c r="N628" s="183">
        <v>0</v>
      </c>
      <c r="O628" s="183">
        <v>0</v>
      </c>
      <c r="P628" s="183">
        <v>0</v>
      </c>
      <c r="Q628" s="183">
        <v>0</v>
      </c>
      <c r="R628" s="183">
        <v>0</v>
      </c>
      <c r="S628" s="184">
        <f t="shared" si="121"/>
        <v>0</v>
      </c>
      <c r="U628" s="65"/>
      <c r="V628" s="103">
        <f t="shared" si="124"/>
        <v>0</v>
      </c>
      <c r="W628" s="103"/>
      <c r="X628" s="599"/>
      <c r="Y628" s="103"/>
      <c r="Z628" s="103"/>
      <c r="AA628" s="65"/>
      <c r="AB628" s="103"/>
      <c r="AD628" s="42">
        <f t="shared" si="126"/>
        <v>0</v>
      </c>
      <c r="AF628" s="6"/>
    </row>
    <row r="629" spans="1:32">
      <c r="A629" s="2">
        <f t="shared" si="125"/>
        <v>612</v>
      </c>
      <c r="B629" s="688" t="s">
        <v>2342</v>
      </c>
      <c r="C629" s="688" t="s">
        <v>3309</v>
      </c>
      <c r="D629" s="688" t="s">
        <v>2582</v>
      </c>
      <c r="E629" s="697" t="s">
        <v>3338</v>
      </c>
      <c r="F629" s="183">
        <v>-869979.86</v>
      </c>
      <c r="G629" s="183">
        <v>-445931.2</v>
      </c>
      <c r="H629" s="183">
        <v>-491649.63</v>
      </c>
      <c r="I629" s="183">
        <v>-405293.27</v>
      </c>
      <c r="J629" s="183">
        <v>-326953.94</v>
      </c>
      <c r="K629" s="183">
        <v>-115004.32</v>
      </c>
      <c r="L629" s="183">
        <v>-131554.37</v>
      </c>
      <c r="M629" s="183">
        <v>-67006.960000000006</v>
      </c>
      <c r="N629" s="183">
        <v>-89236.7</v>
      </c>
      <c r="O629" s="183">
        <v>-123262.14</v>
      </c>
      <c r="P629" s="183">
        <v>-268109.13</v>
      </c>
      <c r="Q629" s="183">
        <v>-392890.43</v>
      </c>
      <c r="R629" s="183">
        <v>-436775.15</v>
      </c>
      <c r="S629" s="184">
        <f t="shared" si="121"/>
        <v>-292522.46625</v>
      </c>
      <c r="U629" s="65"/>
      <c r="V629" s="103">
        <f t="shared" si="124"/>
        <v>-292522.46625</v>
      </c>
      <c r="W629" s="103"/>
      <c r="X629" s="599"/>
      <c r="Y629" s="103"/>
      <c r="Z629" s="103"/>
      <c r="AA629" s="65"/>
      <c r="AB629" s="103"/>
      <c r="AD629" s="42">
        <f t="shared" si="126"/>
        <v>-292522.46625</v>
      </c>
      <c r="AF629" s="6"/>
    </row>
    <row r="630" spans="1:32">
      <c r="A630" s="2">
        <f t="shared" si="125"/>
        <v>613</v>
      </c>
      <c r="B630" s="688" t="s">
        <v>2342</v>
      </c>
      <c r="C630" s="688" t="s">
        <v>3309</v>
      </c>
      <c r="D630" s="688" t="s">
        <v>2537</v>
      </c>
      <c r="E630" s="697" t="s">
        <v>3339</v>
      </c>
      <c r="F630" s="183">
        <v>-910748.59</v>
      </c>
      <c r="G630" s="183">
        <v>-916737.74</v>
      </c>
      <c r="H630" s="183">
        <v>-929956.06</v>
      </c>
      <c r="I630" s="183">
        <v>-930852.63</v>
      </c>
      <c r="J630" s="183">
        <v>-939121.78</v>
      </c>
      <c r="K630" s="183">
        <v>-942213.75</v>
      </c>
      <c r="L630" s="183">
        <v>-945750.67</v>
      </c>
      <c r="M630" s="183">
        <v>-947552.2</v>
      </c>
      <c r="N630" s="183">
        <v>-949951.39</v>
      </c>
      <c r="O630" s="183">
        <v>-945226.53</v>
      </c>
      <c r="P630" s="183">
        <v>-952434.82</v>
      </c>
      <c r="Q630" s="183">
        <v>-432276.8</v>
      </c>
      <c r="R630" s="183">
        <v>-445427.41</v>
      </c>
      <c r="S630" s="184">
        <f t="shared" si="121"/>
        <v>-875846.86416666675</v>
      </c>
      <c r="U630" s="65"/>
      <c r="V630" s="103">
        <f t="shared" si="124"/>
        <v>-875846.86416666675</v>
      </c>
      <c r="W630" s="103"/>
      <c r="X630" s="599"/>
      <c r="Y630" s="103"/>
      <c r="Z630" s="103"/>
      <c r="AA630" s="65"/>
      <c r="AB630" s="103"/>
      <c r="AD630" s="42">
        <f t="shared" si="126"/>
        <v>-875846.86416666675</v>
      </c>
      <c r="AF630" s="6"/>
    </row>
    <row r="631" spans="1:32">
      <c r="A631" s="2">
        <f t="shared" si="125"/>
        <v>614</v>
      </c>
      <c r="B631" s="688" t="s">
        <v>2342</v>
      </c>
      <c r="C631" s="688" t="s">
        <v>3309</v>
      </c>
      <c r="D631" s="688" t="s">
        <v>2539</v>
      </c>
      <c r="E631" s="697" t="s">
        <v>3340</v>
      </c>
      <c r="F631" s="183">
        <v>8163.2</v>
      </c>
      <c r="G631" s="183">
        <v>1561.62</v>
      </c>
      <c r="H631" s="183">
        <v>48172.19</v>
      </c>
      <c r="I631" s="183">
        <v>63205.34</v>
      </c>
      <c r="J631" s="183">
        <v>78033.67</v>
      </c>
      <c r="K631" s="183">
        <v>124053.47</v>
      </c>
      <c r="L631" s="183">
        <v>140696.43</v>
      </c>
      <c r="M631" s="183">
        <v>185147.17</v>
      </c>
      <c r="N631" s="183">
        <v>193507.27</v>
      </c>
      <c r="O631" s="183">
        <v>201156.68</v>
      </c>
      <c r="P631" s="183">
        <v>204383.74</v>
      </c>
      <c r="Q631" s="183">
        <v>202274.27</v>
      </c>
      <c r="R631" s="183">
        <v>189229.29</v>
      </c>
      <c r="S631" s="184">
        <f t="shared" si="121"/>
        <v>128407.34125000001</v>
      </c>
      <c r="U631" s="65"/>
      <c r="V631" s="103">
        <f t="shared" si="124"/>
        <v>128407.34125000001</v>
      </c>
      <c r="W631" s="103"/>
      <c r="X631" s="599"/>
      <c r="Y631" s="103"/>
      <c r="Z631" s="103"/>
      <c r="AA631" s="65"/>
      <c r="AB631" s="103"/>
      <c r="AD631" s="42">
        <f t="shared" si="126"/>
        <v>128407.34125000001</v>
      </c>
      <c r="AF631" s="6"/>
    </row>
    <row r="632" spans="1:32">
      <c r="A632" s="2">
        <f t="shared" si="125"/>
        <v>615</v>
      </c>
      <c r="B632" s="688" t="s">
        <v>2342</v>
      </c>
      <c r="C632" s="688" t="s">
        <v>3309</v>
      </c>
      <c r="D632" s="688" t="s">
        <v>2586</v>
      </c>
      <c r="E632" s="697" t="s">
        <v>3341</v>
      </c>
      <c r="F632" s="183">
        <v>495465.93</v>
      </c>
      <c r="G632" s="183">
        <v>495465.93</v>
      </c>
      <c r="H632" s="183">
        <v>495465.93</v>
      </c>
      <c r="I632" s="183">
        <v>495465.93</v>
      </c>
      <c r="J632" s="183">
        <v>509280.09</v>
      </c>
      <c r="K632" s="183">
        <v>509280.09</v>
      </c>
      <c r="L632" s="183">
        <v>509280.09</v>
      </c>
      <c r="M632" s="183">
        <v>509280.09</v>
      </c>
      <c r="N632" s="183">
        <v>509280.09</v>
      </c>
      <c r="O632" s="183">
        <v>522001.88</v>
      </c>
      <c r="P632" s="183">
        <v>522001.88</v>
      </c>
      <c r="Q632" s="183">
        <v>-5.8207660913467401E-11</v>
      </c>
      <c r="R632" s="183">
        <v>-5.8207660913467401E-11</v>
      </c>
      <c r="S632" s="184">
        <f t="shared" si="121"/>
        <v>443711.24708333332</v>
      </c>
      <c r="U632" s="65"/>
      <c r="V632" s="103">
        <f t="shared" si="124"/>
        <v>443711.24708333332</v>
      </c>
      <c r="W632" s="103"/>
      <c r="X632" s="599"/>
      <c r="Y632" s="103"/>
      <c r="Z632" s="103"/>
      <c r="AA632" s="65"/>
      <c r="AB632" s="103"/>
      <c r="AD632" s="42">
        <f t="shared" si="126"/>
        <v>443711.24708333332</v>
      </c>
      <c r="AF632" s="6"/>
    </row>
    <row r="633" spans="1:32">
      <c r="A633" s="2">
        <f t="shared" si="125"/>
        <v>616</v>
      </c>
      <c r="B633" s="688" t="s">
        <v>2342</v>
      </c>
      <c r="C633" s="688" t="s">
        <v>3320</v>
      </c>
      <c r="D633" s="688" t="s">
        <v>2537</v>
      </c>
      <c r="E633" s="697" t="s">
        <v>3342</v>
      </c>
      <c r="F633" s="183">
        <v>0</v>
      </c>
      <c r="G633" s="183">
        <v>0</v>
      </c>
      <c r="H633" s="183">
        <v>0</v>
      </c>
      <c r="I633" s="183">
        <v>0</v>
      </c>
      <c r="J633" s="183">
        <v>0</v>
      </c>
      <c r="K633" s="183">
        <v>0</v>
      </c>
      <c r="L633" s="183">
        <v>0</v>
      </c>
      <c r="M633" s="183">
        <v>0</v>
      </c>
      <c r="N633" s="183">
        <v>0</v>
      </c>
      <c r="O633" s="183">
        <v>0</v>
      </c>
      <c r="P633" s="183">
        <v>0</v>
      </c>
      <c r="Q633" s="183">
        <v>0</v>
      </c>
      <c r="R633" s="183">
        <v>0</v>
      </c>
      <c r="S633" s="184">
        <f t="shared" si="121"/>
        <v>0</v>
      </c>
      <c r="U633" s="65"/>
      <c r="V633" s="103"/>
      <c r="W633" s="103"/>
      <c r="X633" s="599">
        <f t="shared" ref="X633:X638" si="127">+S633</f>
        <v>0</v>
      </c>
      <c r="Y633" s="103"/>
      <c r="Z633" s="103"/>
      <c r="AA633" s="65"/>
      <c r="AB633" s="103">
        <f t="shared" ref="AB633:AB638" si="128">+S633</f>
        <v>0</v>
      </c>
      <c r="AD633" s="42"/>
      <c r="AF633" s="6"/>
    </row>
    <row r="634" spans="1:32">
      <c r="A634" s="2">
        <f t="shared" si="125"/>
        <v>617</v>
      </c>
      <c r="B634" s="688" t="s">
        <v>2342</v>
      </c>
      <c r="C634" s="688" t="s">
        <v>3320</v>
      </c>
      <c r="D634" s="688" t="s">
        <v>2792</v>
      </c>
      <c r="E634" s="697" t="s">
        <v>3343</v>
      </c>
      <c r="F634" s="183">
        <v>0</v>
      </c>
      <c r="G634" s="183">
        <v>0</v>
      </c>
      <c r="H634" s="183">
        <v>0</v>
      </c>
      <c r="I634" s="183">
        <v>0</v>
      </c>
      <c r="J634" s="183">
        <v>0</v>
      </c>
      <c r="K634" s="183">
        <v>0</v>
      </c>
      <c r="L634" s="183">
        <v>0</v>
      </c>
      <c r="M634" s="183">
        <v>0</v>
      </c>
      <c r="N634" s="183">
        <v>0</v>
      </c>
      <c r="O634" s="183">
        <v>0</v>
      </c>
      <c r="P634" s="183">
        <v>0</v>
      </c>
      <c r="Q634" s="183">
        <v>0</v>
      </c>
      <c r="R634" s="183">
        <v>0</v>
      </c>
      <c r="S634" s="184">
        <f t="shared" si="121"/>
        <v>0</v>
      </c>
      <c r="U634" s="65"/>
      <c r="V634" s="103"/>
      <c r="W634" s="103"/>
      <c r="X634" s="599">
        <f t="shared" si="127"/>
        <v>0</v>
      </c>
      <c r="Y634" s="103"/>
      <c r="Z634" s="103"/>
      <c r="AA634" s="65"/>
      <c r="AB634" s="103">
        <f t="shared" si="128"/>
        <v>0</v>
      </c>
      <c r="AD634" s="42"/>
      <c r="AF634" s="6"/>
    </row>
    <row r="635" spans="1:32">
      <c r="A635" s="2">
        <f t="shared" si="125"/>
        <v>618</v>
      </c>
      <c r="B635" s="688" t="s">
        <v>2342</v>
      </c>
      <c r="C635" s="688" t="s">
        <v>3320</v>
      </c>
      <c r="D635" s="688" t="s">
        <v>2794</v>
      </c>
      <c r="E635" s="697" t="s">
        <v>3344</v>
      </c>
      <c r="F635" s="183">
        <v>0</v>
      </c>
      <c r="G635" s="183">
        <v>0</v>
      </c>
      <c r="H635" s="183">
        <v>0</v>
      </c>
      <c r="I635" s="183">
        <v>0</v>
      </c>
      <c r="J635" s="183">
        <v>0</v>
      </c>
      <c r="K635" s="183">
        <v>0</v>
      </c>
      <c r="L635" s="183">
        <v>0</v>
      </c>
      <c r="M635" s="183">
        <v>0</v>
      </c>
      <c r="N635" s="183">
        <v>0</v>
      </c>
      <c r="O635" s="183">
        <v>0</v>
      </c>
      <c r="P635" s="183">
        <v>0</v>
      </c>
      <c r="Q635" s="183">
        <v>0</v>
      </c>
      <c r="R635" s="183">
        <v>0</v>
      </c>
      <c r="S635" s="184">
        <f t="shared" si="121"/>
        <v>0</v>
      </c>
      <c r="U635" s="65"/>
      <c r="V635" s="103"/>
      <c r="W635" s="103"/>
      <c r="X635" s="599">
        <f t="shared" si="127"/>
        <v>0</v>
      </c>
      <c r="Y635" s="103"/>
      <c r="Z635" s="103"/>
      <c r="AA635" s="65"/>
      <c r="AB635" s="103">
        <f t="shared" si="128"/>
        <v>0</v>
      </c>
      <c r="AD635" s="42"/>
      <c r="AF635" s="6"/>
    </row>
    <row r="636" spans="1:32">
      <c r="A636" s="2">
        <f t="shared" si="125"/>
        <v>619</v>
      </c>
      <c r="B636" s="688" t="s">
        <v>2342</v>
      </c>
      <c r="C636" s="688" t="s">
        <v>3320</v>
      </c>
      <c r="D636" s="688" t="s">
        <v>2796</v>
      </c>
      <c r="E636" s="697" t="s">
        <v>3345</v>
      </c>
      <c r="F636" s="183">
        <v>0</v>
      </c>
      <c r="G636" s="183">
        <v>0</v>
      </c>
      <c r="H636" s="183">
        <v>0</v>
      </c>
      <c r="I636" s="183">
        <v>0</v>
      </c>
      <c r="J636" s="183">
        <v>0</v>
      </c>
      <c r="K636" s="183">
        <v>0</v>
      </c>
      <c r="L636" s="183">
        <v>0</v>
      </c>
      <c r="M636" s="183">
        <v>0</v>
      </c>
      <c r="N636" s="183">
        <v>0</v>
      </c>
      <c r="O636" s="183">
        <v>0</v>
      </c>
      <c r="P636" s="183">
        <v>0</v>
      </c>
      <c r="Q636" s="183">
        <v>0</v>
      </c>
      <c r="R636" s="183">
        <v>0</v>
      </c>
      <c r="S636" s="184">
        <f t="shared" si="121"/>
        <v>0</v>
      </c>
      <c r="U636" s="65"/>
      <c r="V636" s="103"/>
      <c r="W636" s="103"/>
      <c r="X636" s="599">
        <f t="shared" si="127"/>
        <v>0</v>
      </c>
      <c r="Y636" s="103"/>
      <c r="Z636" s="103"/>
      <c r="AA636" s="65"/>
      <c r="AB636" s="103">
        <f t="shared" si="128"/>
        <v>0</v>
      </c>
      <c r="AD636" s="42"/>
      <c r="AF636" s="6"/>
    </row>
    <row r="637" spans="1:32">
      <c r="A637" s="2">
        <f t="shared" si="125"/>
        <v>620</v>
      </c>
      <c r="B637" s="688" t="s">
        <v>2342</v>
      </c>
      <c r="C637" s="688" t="s">
        <v>3320</v>
      </c>
      <c r="D637" s="688" t="s">
        <v>3346</v>
      </c>
      <c r="E637" s="697" t="s">
        <v>3347</v>
      </c>
      <c r="F637" s="183">
        <v>-561073.11</v>
      </c>
      <c r="G637" s="183">
        <v>-551535.35999999999</v>
      </c>
      <c r="H637" s="183">
        <v>-548411.64</v>
      </c>
      <c r="I637" s="183">
        <v>-567541.96</v>
      </c>
      <c r="J637" s="183">
        <v>-568857.41</v>
      </c>
      <c r="K637" s="183">
        <v>-570219.86</v>
      </c>
      <c r="L637" s="183">
        <v>1.16415321826935E-10</v>
      </c>
      <c r="M637" s="183">
        <v>1.16415321826935E-10</v>
      </c>
      <c r="N637" s="183">
        <v>1.16415321826935E-10</v>
      </c>
      <c r="O637" s="183">
        <v>1.16415321826935E-10</v>
      </c>
      <c r="P637" s="183">
        <v>1.16415321826935E-10</v>
      </c>
      <c r="Q637" s="183">
        <v>1.16415321826935E-10</v>
      </c>
      <c r="R637" s="183">
        <v>1.16415321826935E-10</v>
      </c>
      <c r="S637" s="184">
        <f t="shared" si="121"/>
        <v>-257258.56541666668</v>
      </c>
      <c r="U637" s="65"/>
      <c r="V637" s="103"/>
      <c r="W637" s="103"/>
      <c r="X637" s="599">
        <f t="shared" si="127"/>
        <v>-257258.56541666668</v>
      </c>
      <c r="Y637" s="103"/>
      <c r="Z637" s="103"/>
      <c r="AA637" s="65"/>
      <c r="AB637" s="103">
        <f t="shared" si="128"/>
        <v>-257258.56541666668</v>
      </c>
      <c r="AD637" s="42"/>
      <c r="AF637" s="6"/>
    </row>
    <row r="638" spans="1:32">
      <c r="A638" s="2">
        <f t="shared" si="125"/>
        <v>621</v>
      </c>
      <c r="B638" s="688" t="s">
        <v>2342</v>
      </c>
      <c r="C638" s="688" t="s">
        <v>3320</v>
      </c>
      <c r="D638" s="688" t="s">
        <v>2798</v>
      </c>
      <c r="E638" s="697" t="s">
        <v>3348</v>
      </c>
      <c r="F638" s="183">
        <v>0</v>
      </c>
      <c r="G638" s="183">
        <v>0</v>
      </c>
      <c r="H638" s="183">
        <v>0</v>
      </c>
      <c r="I638" s="183">
        <v>0</v>
      </c>
      <c r="J638" s="183">
        <v>0</v>
      </c>
      <c r="K638" s="183">
        <v>0</v>
      </c>
      <c r="L638" s="183">
        <v>0</v>
      </c>
      <c r="M638" s="183">
        <v>0</v>
      </c>
      <c r="N638" s="183">
        <v>0</v>
      </c>
      <c r="O638" s="183">
        <v>0</v>
      </c>
      <c r="P638" s="183">
        <v>0</v>
      </c>
      <c r="Q638" s="183">
        <v>0</v>
      </c>
      <c r="R638" s="183">
        <v>0</v>
      </c>
      <c r="S638" s="184">
        <f t="shared" si="121"/>
        <v>0</v>
      </c>
      <c r="U638" s="65"/>
      <c r="V638" s="103"/>
      <c r="W638" s="103"/>
      <c r="X638" s="599">
        <f t="shared" si="127"/>
        <v>0</v>
      </c>
      <c r="Y638" s="103"/>
      <c r="Z638" s="103"/>
      <c r="AA638" s="65"/>
      <c r="AB638" s="103">
        <f t="shared" si="128"/>
        <v>0</v>
      </c>
      <c r="AD638" s="42"/>
      <c r="AF638" s="6"/>
    </row>
    <row r="639" spans="1:32">
      <c r="A639" s="2">
        <f t="shared" si="125"/>
        <v>622</v>
      </c>
      <c r="B639" s="688" t="s">
        <v>2342</v>
      </c>
      <c r="C639" s="688" t="s">
        <v>3320</v>
      </c>
      <c r="D639" s="688" t="s">
        <v>3349</v>
      </c>
      <c r="E639" s="697" t="s">
        <v>3350</v>
      </c>
      <c r="F639" s="183">
        <v>2.18278728425503E-11</v>
      </c>
      <c r="G639" s="183">
        <v>0</v>
      </c>
      <c r="H639" s="183">
        <v>0</v>
      </c>
      <c r="I639" s="183">
        <v>0</v>
      </c>
      <c r="J639" s="183">
        <v>0</v>
      </c>
      <c r="K639" s="183">
        <v>0</v>
      </c>
      <c r="L639" s="183">
        <v>0</v>
      </c>
      <c r="M639" s="183">
        <v>0</v>
      </c>
      <c r="N639" s="183">
        <v>0</v>
      </c>
      <c r="O639" s="183">
        <v>0</v>
      </c>
      <c r="P639" s="183">
        <v>0</v>
      </c>
      <c r="Q639" s="183">
        <v>0</v>
      </c>
      <c r="R639" s="183">
        <v>0</v>
      </c>
      <c r="S639" s="184">
        <f t="shared" si="121"/>
        <v>9.0949470177292925E-13</v>
      </c>
      <c r="U639" s="65"/>
      <c r="V639" s="103">
        <f>+S639</f>
        <v>9.0949470177292925E-13</v>
      </c>
      <c r="W639" s="103"/>
      <c r="X639" s="599"/>
      <c r="Y639" s="103"/>
      <c r="Z639" s="103"/>
      <c r="AA639" s="65"/>
      <c r="AB639" s="103"/>
      <c r="AD639" s="42">
        <f>+S639</f>
        <v>9.0949470177292925E-13</v>
      </c>
      <c r="AF639" s="6"/>
    </row>
    <row r="640" spans="1:32">
      <c r="A640" s="2">
        <f t="shared" si="125"/>
        <v>623</v>
      </c>
      <c r="B640" s="688" t="s">
        <v>2324</v>
      </c>
      <c r="C640" s="688" t="s">
        <v>3326</v>
      </c>
      <c r="D640" s="688" t="s">
        <v>31</v>
      </c>
      <c r="E640" s="697" t="s">
        <v>3327</v>
      </c>
      <c r="F640" s="183">
        <v>0</v>
      </c>
      <c r="G640" s="183">
        <v>0</v>
      </c>
      <c r="H640" s="183">
        <v>0</v>
      </c>
      <c r="I640" s="183">
        <v>0</v>
      </c>
      <c r="J640" s="183">
        <v>0</v>
      </c>
      <c r="K640" s="183">
        <v>0</v>
      </c>
      <c r="L640" s="183">
        <v>0</v>
      </c>
      <c r="M640" s="183">
        <v>0</v>
      </c>
      <c r="N640" s="183">
        <v>0</v>
      </c>
      <c r="O640" s="183">
        <v>0</v>
      </c>
      <c r="P640" s="183">
        <v>0</v>
      </c>
      <c r="Q640" s="183">
        <v>0</v>
      </c>
      <c r="R640" s="183">
        <v>0</v>
      </c>
      <c r="S640" s="184">
        <f t="shared" si="121"/>
        <v>0</v>
      </c>
      <c r="U640" s="65"/>
      <c r="V640" s="103">
        <f t="shared" si="124"/>
        <v>0</v>
      </c>
      <c r="W640" s="103"/>
      <c r="X640" s="599"/>
      <c r="Y640" s="103"/>
      <c r="Z640" s="103"/>
      <c r="AA640" s="65"/>
      <c r="AB640" s="103"/>
      <c r="AD640" s="42">
        <f>+S640</f>
        <v>0</v>
      </c>
      <c r="AF640" s="6"/>
    </row>
    <row r="641" spans="1:32">
      <c r="A641" s="2">
        <f t="shared" si="125"/>
        <v>624</v>
      </c>
      <c r="B641" s="688" t="s">
        <v>2324</v>
      </c>
      <c r="C641" s="688" t="s">
        <v>3328</v>
      </c>
      <c r="D641" s="688" t="s">
        <v>3135</v>
      </c>
      <c r="E641" s="697" t="s">
        <v>3329</v>
      </c>
      <c r="F641" s="183">
        <v>-104445</v>
      </c>
      <c r="G641" s="183">
        <v>-131183.5</v>
      </c>
      <c r="H641" s="183">
        <v>-157403.5</v>
      </c>
      <c r="I641" s="183">
        <v>-173346.15</v>
      </c>
      <c r="J641" s="183">
        <v>-189595.5</v>
      </c>
      <c r="K641" s="183">
        <v>-208579.01</v>
      </c>
      <c r="L641" s="183">
        <v>-232697.06</v>
      </c>
      <c r="M641" s="183">
        <v>-242744.28</v>
      </c>
      <c r="N641" s="183">
        <v>-256994.63</v>
      </c>
      <c r="O641" s="183">
        <v>-275700.84000000003</v>
      </c>
      <c r="P641" s="183">
        <v>-300305.03000000003</v>
      </c>
      <c r="Q641" s="183">
        <v>-320221.5</v>
      </c>
      <c r="R641" s="183">
        <v>-336513.85</v>
      </c>
      <c r="S641" s="184">
        <f t="shared" si="121"/>
        <v>-225770.86874999999</v>
      </c>
      <c r="U641" s="65"/>
      <c r="V641" s="103"/>
      <c r="W641" s="103"/>
      <c r="X641" s="599">
        <f>+S641</f>
        <v>-225770.86874999999</v>
      </c>
      <c r="Y641" s="103"/>
      <c r="Z641" s="103"/>
      <c r="AA641" s="65"/>
      <c r="AB641" s="103">
        <f>+S641</f>
        <v>-225770.86874999999</v>
      </c>
      <c r="AD641" s="42"/>
      <c r="AF641" s="6"/>
    </row>
    <row r="642" spans="1:32">
      <c r="A642" s="2">
        <f t="shared" si="125"/>
        <v>625</v>
      </c>
      <c r="B642" s="688" t="s">
        <v>2324</v>
      </c>
      <c r="C642" s="688" t="s">
        <v>3266</v>
      </c>
      <c r="D642" s="688" t="s">
        <v>2303</v>
      </c>
      <c r="E642" s="697" t="s">
        <v>3268</v>
      </c>
      <c r="F642" s="183">
        <v>-8.9000000000000892</v>
      </c>
      <c r="G642" s="183">
        <v>0</v>
      </c>
      <c r="H642" s="183">
        <v>-9.67</v>
      </c>
      <c r="I642" s="183">
        <v>-2666.82</v>
      </c>
      <c r="J642" s="183">
        <v>-889.68</v>
      </c>
      <c r="K642" s="183">
        <v>-18.010000000000101</v>
      </c>
      <c r="L642" s="183">
        <v>-551.47</v>
      </c>
      <c r="M642" s="183">
        <v>-69.700000000000202</v>
      </c>
      <c r="N642" s="183">
        <v>-14128.83</v>
      </c>
      <c r="O642" s="183">
        <v>1.00000000002183E-2</v>
      </c>
      <c r="P642" s="183">
        <v>-19.1499999999998</v>
      </c>
      <c r="Q642" s="183">
        <v>-4.0499999999997804</v>
      </c>
      <c r="R642" s="183">
        <v>-83.049999999999798</v>
      </c>
      <c r="S642" s="184">
        <f t="shared" si="121"/>
        <v>-1533.6120833333332</v>
      </c>
      <c r="U642" s="65"/>
      <c r="V642" s="103">
        <f>+S642</f>
        <v>-1533.6120833333332</v>
      </c>
      <c r="W642" s="103"/>
      <c r="X642" s="599"/>
      <c r="Y642" s="103"/>
      <c r="Z642" s="103"/>
      <c r="AA642" s="65"/>
      <c r="AB642" s="103"/>
      <c r="AD642" s="42">
        <f>+S642</f>
        <v>-1533.6120833333332</v>
      </c>
      <c r="AF642" s="6"/>
    </row>
    <row r="643" spans="1:32">
      <c r="A643" s="2">
        <f t="shared" si="125"/>
        <v>626</v>
      </c>
      <c r="B643" s="688" t="s">
        <v>2324</v>
      </c>
      <c r="C643" s="688" t="s">
        <v>3331</v>
      </c>
      <c r="D643" s="688" t="s">
        <v>2311</v>
      </c>
      <c r="E643" s="697" t="s">
        <v>3332</v>
      </c>
      <c r="F643" s="183">
        <v>-3598356</v>
      </c>
      <c r="G643" s="183">
        <v>-3872422</v>
      </c>
      <c r="H643" s="183">
        <v>-4146488</v>
      </c>
      <c r="I643" s="183">
        <v>-4420554</v>
      </c>
      <c r="J643" s="183">
        <v>-2654960.62</v>
      </c>
      <c r="K643" s="183">
        <v>-2928972.33</v>
      </c>
      <c r="L643" s="183">
        <v>-3203038.33</v>
      </c>
      <c r="M643" s="183">
        <v>-3477104.33</v>
      </c>
      <c r="N643" s="183">
        <v>-3304607.62</v>
      </c>
      <c r="O643" s="183">
        <v>-1964223.29</v>
      </c>
      <c r="P643" s="183">
        <v>-2182389</v>
      </c>
      <c r="Q643" s="183">
        <v>-2400628</v>
      </c>
      <c r="R643" s="183">
        <v>-2618867</v>
      </c>
      <c r="S643" s="184">
        <f t="shared" si="121"/>
        <v>-3138666.5849999995</v>
      </c>
      <c r="U643" s="65"/>
      <c r="V643" s="103">
        <f t="shared" ref="V643:V650" si="129">+S643</f>
        <v>-3138666.5849999995</v>
      </c>
      <c r="W643" s="103"/>
      <c r="X643" s="599"/>
      <c r="Y643" s="103"/>
      <c r="Z643" s="103"/>
      <c r="AA643" s="65"/>
      <c r="AB643" s="103"/>
      <c r="AD643" s="42">
        <f t="shared" ref="AD643:AD650" si="130">+S643</f>
        <v>-3138666.5849999995</v>
      </c>
      <c r="AF643" s="6"/>
    </row>
    <row r="644" spans="1:32">
      <c r="A644" s="2">
        <f t="shared" si="125"/>
        <v>627</v>
      </c>
      <c r="B644" s="688" t="s">
        <v>2324</v>
      </c>
      <c r="C644" s="688" t="s">
        <v>3331</v>
      </c>
      <c r="D644" s="688" t="s">
        <v>2593</v>
      </c>
      <c r="E644" s="697" t="s">
        <v>3333</v>
      </c>
      <c r="F644" s="183">
        <v>-54436.61</v>
      </c>
      <c r="G644" s="183">
        <v>-56279.98</v>
      </c>
      <c r="H644" s="183">
        <v>-44933.45</v>
      </c>
      <c r="I644" s="183">
        <v>-57451.83</v>
      </c>
      <c r="J644" s="183">
        <v>-41432.75</v>
      </c>
      <c r="K644" s="183">
        <v>-34013.82</v>
      </c>
      <c r="L644" s="183">
        <v>-16531.009999999998</v>
      </c>
      <c r="M644" s="183">
        <v>-12842.45</v>
      </c>
      <c r="N644" s="183">
        <v>-11176.66</v>
      </c>
      <c r="O644" s="183">
        <v>-10181.790000000001</v>
      </c>
      <c r="P644" s="183">
        <v>-14634.8</v>
      </c>
      <c r="Q644" s="183">
        <v>-23468.51</v>
      </c>
      <c r="R644" s="183">
        <v>-44830.38</v>
      </c>
      <c r="S644" s="184">
        <f t="shared" si="121"/>
        <v>-31048.37875</v>
      </c>
      <c r="U644" s="65"/>
      <c r="V644" s="103">
        <f t="shared" si="129"/>
        <v>-31048.37875</v>
      </c>
      <c r="W644" s="103"/>
      <c r="X644" s="599"/>
      <c r="Y644" s="103"/>
      <c r="Z644" s="103"/>
      <c r="AA644" s="65"/>
      <c r="AB644" s="103"/>
      <c r="AD644" s="42">
        <f t="shared" si="130"/>
        <v>-31048.37875</v>
      </c>
      <c r="AF644" s="6"/>
    </row>
    <row r="645" spans="1:32">
      <c r="A645" s="2">
        <f t="shared" si="125"/>
        <v>628</v>
      </c>
      <c r="B645" s="688" t="s">
        <v>2324</v>
      </c>
      <c r="C645" s="688" t="s">
        <v>3331</v>
      </c>
      <c r="D645" s="688" t="s">
        <v>2816</v>
      </c>
      <c r="E645" s="697" t="s">
        <v>3351</v>
      </c>
      <c r="F645" s="183">
        <v>-3152052.97</v>
      </c>
      <c r="G645" s="183">
        <v>-3179087.3</v>
      </c>
      <c r="H645" s="183">
        <v>-2849483.05</v>
      </c>
      <c r="I645" s="183">
        <v>-3529916.08</v>
      </c>
      <c r="J645" s="183">
        <v>-1844593.36</v>
      </c>
      <c r="K645" s="183">
        <v>-1582660.11</v>
      </c>
      <c r="L645" s="183">
        <v>-1265563.7</v>
      </c>
      <c r="M645" s="183">
        <v>-655155.42000000004</v>
      </c>
      <c r="N645" s="183">
        <v>-731366.56</v>
      </c>
      <c r="O645" s="183">
        <v>-804460.35</v>
      </c>
      <c r="P645" s="183">
        <v>-805003.05</v>
      </c>
      <c r="Q645" s="183">
        <v>-1469802.11</v>
      </c>
      <c r="R645" s="183">
        <v>-2612991.6</v>
      </c>
      <c r="S645" s="184">
        <f t="shared" si="121"/>
        <v>-1799967.7812499998</v>
      </c>
      <c r="U645" s="65"/>
      <c r="V645" s="103">
        <f t="shared" si="129"/>
        <v>-1799967.7812499998</v>
      </c>
      <c r="W645" s="103"/>
      <c r="X645" s="599"/>
      <c r="Y645" s="103"/>
      <c r="Z645" s="103"/>
      <c r="AA645" s="65"/>
      <c r="AB645" s="103"/>
      <c r="AD645" s="42">
        <f t="shared" si="130"/>
        <v>-1799967.7812499998</v>
      </c>
      <c r="AF645" s="6"/>
    </row>
    <row r="646" spans="1:32">
      <c r="A646" s="2">
        <f t="shared" si="125"/>
        <v>629</v>
      </c>
      <c r="B646" s="688" t="s">
        <v>2324</v>
      </c>
      <c r="C646" s="688" t="s">
        <v>3331</v>
      </c>
      <c r="D646" s="1" t="s">
        <v>2718</v>
      </c>
      <c r="E646" s="697" t="s">
        <v>3352</v>
      </c>
      <c r="F646" s="183">
        <v>-20966.919999999998</v>
      </c>
      <c r="G646" s="183">
        <v>-24271.9</v>
      </c>
      <c r="H646" s="183">
        <v>-15826.32</v>
      </c>
      <c r="I646" s="183">
        <v>-17185.509999999998</v>
      </c>
      <c r="J646" s="183">
        <v>-10304.77</v>
      </c>
      <c r="K646" s="183">
        <v>-6215.35</v>
      </c>
      <c r="L646" s="183">
        <v>-3561.28</v>
      </c>
      <c r="M646" s="183">
        <v>-3524.16</v>
      </c>
      <c r="N646" s="183">
        <v>-3784.72</v>
      </c>
      <c r="O646" s="183">
        <v>-4443.21</v>
      </c>
      <c r="P646" s="183">
        <v>-5417.31</v>
      </c>
      <c r="Q646" s="183">
        <v>-10085.530000000001</v>
      </c>
      <c r="R646" s="183">
        <v>-14971.23</v>
      </c>
      <c r="S646" s="184">
        <f t="shared" si="121"/>
        <v>-10215.761250000001</v>
      </c>
      <c r="U646" s="65"/>
      <c r="V646" s="103">
        <f t="shared" si="129"/>
        <v>-10215.761250000001</v>
      </c>
      <c r="W646" s="103"/>
      <c r="X646" s="103"/>
      <c r="Y646" s="103"/>
      <c r="Z646" s="103"/>
      <c r="AA646" s="65"/>
      <c r="AD646" s="42">
        <f t="shared" si="130"/>
        <v>-10215.761250000001</v>
      </c>
      <c r="AF646" s="6"/>
    </row>
    <row r="647" spans="1:32">
      <c r="A647" s="2">
        <f t="shared" si="125"/>
        <v>630</v>
      </c>
      <c r="B647" s="688" t="s">
        <v>2324</v>
      </c>
      <c r="C647" s="688" t="s">
        <v>3331</v>
      </c>
      <c r="D647" s="688" t="s">
        <v>2749</v>
      </c>
      <c r="E647" s="697" t="s">
        <v>3353</v>
      </c>
      <c r="F647" s="183">
        <v>-1799.86</v>
      </c>
      <c r="G647" s="183">
        <v>-937.45</v>
      </c>
      <c r="H647" s="183">
        <v>-1662.22</v>
      </c>
      <c r="I647" s="183">
        <v>-2553.87</v>
      </c>
      <c r="J647" s="183">
        <v>-623.04</v>
      </c>
      <c r="K647" s="183">
        <v>-1177.7</v>
      </c>
      <c r="L647" s="183">
        <v>-1610.16</v>
      </c>
      <c r="M647" s="183">
        <v>-358.12</v>
      </c>
      <c r="N647" s="183">
        <v>-738.35</v>
      </c>
      <c r="O647" s="183">
        <v>-1045.07</v>
      </c>
      <c r="P647" s="183">
        <v>-386.66</v>
      </c>
      <c r="Q647" s="183">
        <v>-923.98</v>
      </c>
      <c r="R647" s="183">
        <v>-1731.48</v>
      </c>
      <c r="S647" s="184">
        <f t="shared" si="121"/>
        <v>-1148.5241666666668</v>
      </c>
      <c r="U647" s="65"/>
      <c r="V647" s="103">
        <f t="shared" si="129"/>
        <v>-1148.5241666666668</v>
      </c>
      <c r="W647" s="103"/>
      <c r="X647" s="599"/>
      <c r="Y647" s="103"/>
      <c r="Z647" s="103"/>
      <c r="AA647" s="65"/>
      <c r="AB647" s="103"/>
      <c r="AD647" s="42">
        <f t="shared" si="130"/>
        <v>-1148.5241666666668</v>
      </c>
      <c r="AF647" s="6"/>
    </row>
    <row r="648" spans="1:32">
      <c r="A648" s="2">
        <f t="shared" si="125"/>
        <v>631</v>
      </c>
      <c r="B648" s="688" t="s">
        <v>2324</v>
      </c>
      <c r="C648" s="688" t="s">
        <v>3331</v>
      </c>
      <c r="D648" s="688" t="s">
        <v>2831</v>
      </c>
      <c r="E648" s="697" t="s">
        <v>3334</v>
      </c>
      <c r="F648" s="183">
        <v>2.18278728425503E-11</v>
      </c>
      <c r="G648" s="183">
        <v>-114000</v>
      </c>
      <c r="H648" s="183">
        <v>-228000</v>
      </c>
      <c r="I648" s="183">
        <v>1033112.03</v>
      </c>
      <c r="J648" s="183">
        <v>919112.03</v>
      </c>
      <c r="K648" s="183">
        <v>804223.03</v>
      </c>
      <c r="L648" s="183">
        <v>689334.03</v>
      </c>
      <c r="M648" s="183">
        <v>574445.03</v>
      </c>
      <c r="N648" s="183">
        <v>459556.03</v>
      </c>
      <c r="O648" s="183">
        <v>344667.03</v>
      </c>
      <c r="P648" s="183">
        <v>229778.03</v>
      </c>
      <c r="Q648" s="183">
        <v>114889.03</v>
      </c>
      <c r="R648" s="183">
        <v>2.91038304567337E-11</v>
      </c>
      <c r="S648" s="184">
        <f t="shared" si="121"/>
        <v>402259.68916666677</v>
      </c>
      <c r="U648" s="65"/>
      <c r="V648" s="103">
        <f t="shared" si="129"/>
        <v>402259.68916666677</v>
      </c>
      <c r="W648" s="103"/>
      <c r="X648" s="599"/>
      <c r="Y648" s="103"/>
      <c r="Z648" s="103"/>
      <c r="AA648" s="65"/>
      <c r="AB648" s="103"/>
      <c r="AD648" s="42">
        <f t="shared" si="130"/>
        <v>402259.68916666677</v>
      </c>
      <c r="AF648" s="6"/>
    </row>
    <row r="649" spans="1:32">
      <c r="A649" s="2">
        <f t="shared" si="125"/>
        <v>632</v>
      </c>
      <c r="B649" s="688" t="s">
        <v>2324</v>
      </c>
      <c r="C649" s="688" t="s">
        <v>3331</v>
      </c>
      <c r="D649" s="688" t="s">
        <v>2833</v>
      </c>
      <c r="E649" s="697" t="s">
        <v>3354</v>
      </c>
      <c r="F649" s="183">
        <v>-4020562.65</v>
      </c>
      <c r="G649" s="183">
        <v>-3953771.03</v>
      </c>
      <c r="H649" s="183">
        <v>-3364276.65</v>
      </c>
      <c r="I649" s="183">
        <v>-3230485.29</v>
      </c>
      <c r="J649" s="183">
        <v>-2243018.85</v>
      </c>
      <c r="K649" s="183">
        <v>-1440731.58</v>
      </c>
      <c r="L649" s="183">
        <v>-957967.35999999999</v>
      </c>
      <c r="M649" s="183">
        <v>-770055.78</v>
      </c>
      <c r="N649" s="183">
        <v>-750054.67</v>
      </c>
      <c r="O649" s="183">
        <v>-871918.72</v>
      </c>
      <c r="P649" s="183">
        <v>-1397661.3</v>
      </c>
      <c r="Q649" s="183">
        <v>-2395808.2000000002</v>
      </c>
      <c r="R649" s="183">
        <v>-3175938.21</v>
      </c>
      <c r="S649" s="184">
        <f t="shared" si="121"/>
        <v>-2081166.6549999996</v>
      </c>
      <c r="U649" s="65"/>
      <c r="V649" s="103">
        <f t="shared" si="129"/>
        <v>-2081166.6549999996</v>
      </c>
      <c r="W649" s="103"/>
      <c r="X649" s="599"/>
      <c r="Y649" s="103"/>
      <c r="Z649" s="103"/>
      <c r="AA649" s="65"/>
      <c r="AB649" s="103"/>
      <c r="AD649" s="42">
        <f t="shared" si="130"/>
        <v>-2081166.6549999996</v>
      </c>
      <c r="AF649" s="6"/>
    </row>
    <row r="650" spans="1:32">
      <c r="A650" s="2">
        <f t="shared" si="125"/>
        <v>633</v>
      </c>
      <c r="B650" s="688" t="s">
        <v>2324</v>
      </c>
      <c r="C650" s="688" t="s">
        <v>3309</v>
      </c>
      <c r="D650" s="688" t="s">
        <v>2539</v>
      </c>
      <c r="E650" s="697" t="s">
        <v>3340</v>
      </c>
      <c r="F650" s="183">
        <v>-555389.89</v>
      </c>
      <c r="G650" s="183">
        <v>-581172.46</v>
      </c>
      <c r="H650" s="183">
        <v>-438832.83</v>
      </c>
      <c r="I650" s="183">
        <v>-375511.88</v>
      </c>
      <c r="J650" s="183">
        <v>-311210.56</v>
      </c>
      <c r="K650" s="183">
        <v>-117507.75</v>
      </c>
      <c r="L650" s="183">
        <v>-25151.359999999899</v>
      </c>
      <c r="M650" s="183">
        <v>83405.490000000107</v>
      </c>
      <c r="N650" s="183">
        <v>133864.75</v>
      </c>
      <c r="O650" s="183">
        <v>133137.71</v>
      </c>
      <c r="P650" s="183">
        <v>53734.61</v>
      </c>
      <c r="Q650" s="183">
        <v>4.3655745685100601E-11</v>
      </c>
      <c r="R650" s="183">
        <v>4.3655745685100601E-11</v>
      </c>
      <c r="S650" s="184">
        <f t="shared" si="121"/>
        <v>-143578.26874999996</v>
      </c>
      <c r="U650" s="65"/>
      <c r="V650" s="103">
        <f t="shared" si="129"/>
        <v>-143578.26874999996</v>
      </c>
      <c r="W650" s="103"/>
      <c r="X650" s="599"/>
      <c r="Y650" s="103"/>
      <c r="Z650" s="103"/>
      <c r="AA650" s="65"/>
      <c r="AB650" s="103"/>
      <c r="AD650" s="42">
        <f t="shared" si="130"/>
        <v>-143578.26874999996</v>
      </c>
      <c r="AF650" s="6"/>
    </row>
    <row r="651" spans="1:32">
      <c r="A651" s="2">
        <f t="shared" si="125"/>
        <v>634</v>
      </c>
      <c r="B651" s="688" t="s">
        <v>2324</v>
      </c>
      <c r="C651" s="688" t="s">
        <v>3320</v>
      </c>
      <c r="D651" s="688" t="s">
        <v>2537</v>
      </c>
      <c r="E651" s="697" t="s">
        <v>3342</v>
      </c>
      <c r="F651" s="183">
        <v>0</v>
      </c>
      <c r="G651" s="183">
        <v>0</v>
      </c>
      <c r="H651" s="183">
        <v>0</v>
      </c>
      <c r="I651" s="183">
        <v>0</v>
      </c>
      <c r="J651" s="183">
        <v>0</v>
      </c>
      <c r="K651" s="183">
        <v>0</v>
      </c>
      <c r="L651" s="183">
        <v>0</v>
      </c>
      <c r="M651" s="183">
        <v>0</v>
      </c>
      <c r="N651" s="183">
        <v>0</v>
      </c>
      <c r="O651" s="183">
        <v>0</v>
      </c>
      <c r="P651" s="183">
        <v>0</v>
      </c>
      <c r="Q651" s="183">
        <v>0</v>
      </c>
      <c r="R651" s="183">
        <v>0</v>
      </c>
      <c r="S651" s="184">
        <f t="shared" si="121"/>
        <v>0</v>
      </c>
      <c r="U651" s="65"/>
      <c r="V651" s="103"/>
      <c r="W651" s="103"/>
      <c r="X651" s="599">
        <f t="shared" ref="X651:X657" si="131">+S651</f>
        <v>0</v>
      </c>
      <c r="Y651" s="103"/>
      <c r="Z651" s="103"/>
      <c r="AA651" s="65"/>
      <c r="AB651" s="103">
        <f>+S651</f>
        <v>0</v>
      </c>
      <c r="AD651" s="42"/>
      <c r="AF651" s="6"/>
    </row>
    <row r="652" spans="1:32">
      <c r="A652" s="2">
        <f t="shared" si="125"/>
        <v>635</v>
      </c>
      <c r="B652" s="688" t="s">
        <v>2324</v>
      </c>
      <c r="C652" s="688" t="s">
        <v>3320</v>
      </c>
      <c r="D652" s="688" t="s">
        <v>2800</v>
      </c>
      <c r="E652" s="697" t="s">
        <v>3343</v>
      </c>
      <c r="F652" s="183">
        <v>0</v>
      </c>
      <c r="G652" s="183">
        <v>0</v>
      </c>
      <c r="H652" s="183">
        <v>0</v>
      </c>
      <c r="I652" s="183">
        <v>0</v>
      </c>
      <c r="J652" s="183">
        <v>0</v>
      </c>
      <c r="K652" s="183">
        <v>0</v>
      </c>
      <c r="L652" s="183">
        <v>0</v>
      </c>
      <c r="M652" s="183">
        <v>0</v>
      </c>
      <c r="N652" s="183">
        <v>0</v>
      </c>
      <c r="O652" s="183">
        <v>0</v>
      </c>
      <c r="P652" s="183">
        <v>0</v>
      </c>
      <c r="Q652" s="183">
        <v>0</v>
      </c>
      <c r="R652" s="183">
        <v>0</v>
      </c>
      <c r="S652" s="184">
        <f t="shared" si="121"/>
        <v>0</v>
      </c>
      <c r="U652" s="65"/>
      <c r="V652" s="103"/>
      <c r="W652" s="103"/>
      <c r="X652" s="599">
        <f t="shared" si="131"/>
        <v>0</v>
      </c>
      <c r="Y652" s="103"/>
      <c r="Z652" s="103"/>
      <c r="AA652" s="65"/>
      <c r="AB652" s="103">
        <f t="shared" ref="AB652:AB658" si="132">+S652</f>
        <v>0</v>
      </c>
      <c r="AD652" s="42"/>
      <c r="AF652" s="6"/>
    </row>
    <row r="653" spans="1:32">
      <c r="A653" s="2">
        <f t="shared" si="125"/>
        <v>636</v>
      </c>
      <c r="B653" s="688" t="s">
        <v>2324</v>
      </c>
      <c r="C653" s="688" t="s">
        <v>3320</v>
      </c>
      <c r="D653" s="688" t="s">
        <v>2801</v>
      </c>
      <c r="E653" s="697" t="s">
        <v>3344</v>
      </c>
      <c r="F653" s="183">
        <v>0</v>
      </c>
      <c r="G653" s="183">
        <v>0</v>
      </c>
      <c r="H653" s="183">
        <v>0</v>
      </c>
      <c r="I653" s="183">
        <v>0</v>
      </c>
      <c r="J653" s="183">
        <v>0</v>
      </c>
      <c r="K653" s="183">
        <v>0</v>
      </c>
      <c r="L653" s="183">
        <v>0</v>
      </c>
      <c r="M653" s="183">
        <v>0</v>
      </c>
      <c r="N653" s="183">
        <v>0</v>
      </c>
      <c r="O653" s="183">
        <v>0</v>
      </c>
      <c r="P653" s="183">
        <v>0</v>
      </c>
      <c r="Q653" s="183">
        <v>0</v>
      </c>
      <c r="R653" s="183">
        <v>0</v>
      </c>
      <c r="S653" s="184">
        <f t="shared" si="121"/>
        <v>0</v>
      </c>
      <c r="U653" s="65"/>
      <c r="V653" s="103"/>
      <c r="W653" s="103"/>
      <c r="X653" s="599">
        <f t="shared" si="131"/>
        <v>0</v>
      </c>
      <c r="Y653" s="103"/>
      <c r="Z653" s="103"/>
      <c r="AA653" s="65"/>
      <c r="AB653" s="103">
        <f t="shared" si="132"/>
        <v>0</v>
      </c>
      <c r="AD653" s="42"/>
      <c r="AF653" s="6"/>
    </row>
    <row r="654" spans="1:32">
      <c r="A654" s="2">
        <f t="shared" si="125"/>
        <v>637</v>
      </c>
      <c r="B654" s="688" t="s">
        <v>2324</v>
      </c>
      <c r="C654" s="688" t="s">
        <v>3320</v>
      </c>
      <c r="D654" s="688" t="s">
        <v>2802</v>
      </c>
      <c r="E654" s="697" t="s">
        <v>3345</v>
      </c>
      <c r="F654" s="183">
        <v>0</v>
      </c>
      <c r="G654" s="183">
        <v>0</v>
      </c>
      <c r="H654" s="183">
        <v>0</v>
      </c>
      <c r="I654" s="183">
        <v>0</v>
      </c>
      <c r="J654" s="183">
        <v>0</v>
      </c>
      <c r="K654" s="183">
        <v>0</v>
      </c>
      <c r="L654" s="183">
        <v>0</v>
      </c>
      <c r="M654" s="183">
        <v>0</v>
      </c>
      <c r="N654" s="183">
        <v>0</v>
      </c>
      <c r="O654" s="183">
        <v>0</v>
      </c>
      <c r="P654" s="183">
        <v>0</v>
      </c>
      <c r="Q654" s="183">
        <v>0</v>
      </c>
      <c r="R654" s="183">
        <v>0</v>
      </c>
      <c r="S654" s="184">
        <f t="shared" si="121"/>
        <v>0</v>
      </c>
      <c r="U654" s="65"/>
      <c r="V654" s="103"/>
      <c r="W654" s="103"/>
      <c r="X654" s="599">
        <f t="shared" si="131"/>
        <v>0</v>
      </c>
      <c r="Y654" s="103"/>
      <c r="Z654" s="103"/>
      <c r="AA654" s="65"/>
      <c r="AB654" s="103">
        <f t="shared" si="132"/>
        <v>0</v>
      </c>
      <c r="AD654" s="42"/>
      <c r="AF654" s="6"/>
    </row>
    <row r="655" spans="1:32">
      <c r="A655" s="2">
        <f t="shared" si="125"/>
        <v>638</v>
      </c>
      <c r="B655" s="688" t="s">
        <v>2324</v>
      </c>
      <c r="C655" s="688" t="s">
        <v>3320</v>
      </c>
      <c r="D655" s="688" t="s">
        <v>2803</v>
      </c>
      <c r="E655" s="697" t="s">
        <v>3355</v>
      </c>
      <c r="F655" s="183">
        <v>0</v>
      </c>
      <c r="G655" s="183">
        <v>0</v>
      </c>
      <c r="H655" s="183">
        <v>0</v>
      </c>
      <c r="I655" s="183">
        <v>0</v>
      </c>
      <c r="J655" s="183">
        <v>0</v>
      </c>
      <c r="K655" s="183">
        <v>0</v>
      </c>
      <c r="L655" s="183">
        <v>0</v>
      </c>
      <c r="M655" s="183">
        <v>0</v>
      </c>
      <c r="N655" s="183">
        <v>0</v>
      </c>
      <c r="O655" s="183">
        <v>0</v>
      </c>
      <c r="P655" s="183">
        <v>0</v>
      </c>
      <c r="Q655" s="183">
        <v>0</v>
      </c>
      <c r="R655" s="183">
        <v>0</v>
      </c>
      <c r="S655" s="184">
        <f t="shared" si="121"/>
        <v>0</v>
      </c>
      <c r="U655" s="65"/>
      <c r="V655" s="103"/>
      <c r="W655" s="103"/>
      <c r="X655" s="599">
        <f>+S655</f>
        <v>0</v>
      </c>
      <c r="Y655" s="103"/>
      <c r="Z655" s="103"/>
      <c r="AA655" s="65"/>
      <c r="AB655" s="103">
        <f t="shared" si="132"/>
        <v>0</v>
      </c>
      <c r="AD655" s="42"/>
      <c r="AF655" s="6"/>
    </row>
    <row r="656" spans="1:32">
      <c r="A656" s="2">
        <f t="shared" si="125"/>
        <v>639</v>
      </c>
      <c r="B656" s="688" t="s">
        <v>2324</v>
      </c>
      <c r="C656" s="688" t="s">
        <v>3320</v>
      </c>
      <c r="D656" s="688" t="s">
        <v>2805</v>
      </c>
      <c r="E656" s="697" t="s">
        <v>3355</v>
      </c>
      <c r="F656" s="183">
        <v>0</v>
      </c>
      <c r="G656" s="183">
        <v>0</v>
      </c>
      <c r="H656" s="183">
        <v>0</v>
      </c>
      <c r="I656" s="183">
        <v>0</v>
      </c>
      <c r="J656" s="183">
        <v>0</v>
      </c>
      <c r="K656" s="183">
        <v>0</v>
      </c>
      <c r="L656" s="183">
        <v>0</v>
      </c>
      <c r="M656" s="183">
        <v>0</v>
      </c>
      <c r="N656" s="183">
        <v>0</v>
      </c>
      <c r="O656" s="183">
        <v>0</v>
      </c>
      <c r="P656" s="183">
        <v>0</v>
      </c>
      <c r="Q656" s="183">
        <v>0</v>
      </c>
      <c r="R656" s="183">
        <v>0</v>
      </c>
      <c r="S656" s="184">
        <f t="shared" si="121"/>
        <v>0</v>
      </c>
      <c r="U656" s="65"/>
      <c r="V656" s="103"/>
      <c r="W656" s="103"/>
      <c r="X656" s="599">
        <f>+S656</f>
        <v>0</v>
      </c>
      <c r="Y656" s="103"/>
      <c r="Z656" s="103"/>
      <c r="AA656" s="65"/>
      <c r="AB656" s="103">
        <f t="shared" si="132"/>
        <v>0</v>
      </c>
      <c r="AD656" s="42"/>
      <c r="AF656" s="6"/>
    </row>
    <row r="657" spans="1:32">
      <c r="A657" s="2">
        <f t="shared" si="125"/>
        <v>640</v>
      </c>
      <c r="B657" s="688" t="s">
        <v>2324</v>
      </c>
      <c r="C657" s="688" t="s">
        <v>3320</v>
      </c>
      <c r="D657" s="688" t="s">
        <v>3356</v>
      </c>
      <c r="E657" s="697" t="s">
        <v>3357</v>
      </c>
      <c r="F657" s="183">
        <v>-1147430.07</v>
      </c>
      <c r="G657" s="183">
        <v>-1126356.08</v>
      </c>
      <c r="H657" s="183">
        <v>-1122139.31</v>
      </c>
      <c r="I657" s="183">
        <v>-1125710.76</v>
      </c>
      <c r="J657" s="183">
        <v>-1135891.05</v>
      </c>
      <c r="K657" s="183">
        <v>-1160543.9099999999</v>
      </c>
      <c r="L657" s="183">
        <v>-1182541.5</v>
      </c>
      <c r="M657" s="183">
        <v>-1172660.3899999999</v>
      </c>
      <c r="N657" s="183">
        <v>-1189644.73</v>
      </c>
      <c r="O657" s="183">
        <v>-1230762.8</v>
      </c>
      <c r="P657" s="183">
        <v>-1219368.8799999999</v>
      </c>
      <c r="Q657" s="183">
        <v>-1224922.08</v>
      </c>
      <c r="R657" s="183">
        <v>-1232578.24</v>
      </c>
      <c r="S657" s="184">
        <f t="shared" si="121"/>
        <v>-1173378.80375</v>
      </c>
      <c r="U657" s="65"/>
      <c r="V657" s="103"/>
      <c r="W657" s="103"/>
      <c r="X657" s="599">
        <f t="shared" si="131"/>
        <v>-1173378.80375</v>
      </c>
      <c r="Y657" s="103"/>
      <c r="Z657" s="103"/>
      <c r="AA657" s="65"/>
      <c r="AB657" s="103">
        <f t="shared" si="132"/>
        <v>-1173378.80375</v>
      </c>
      <c r="AD657" s="42"/>
      <c r="AE657" s="6"/>
      <c r="AF657" s="6"/>
    </row>
    <row r="658" spans="1:32">
      <c r="A658" s="2">
        <f t="shared" si="125"/>
        <v>641</v>
      </c>
      <c r="B658" s="688" t="s">
        <v>2324</v>
      </c>
      <c r="C658" s="688" t="s">
        <v>3320</v>
      </c>
      <c r="D658" s="688" t="s">
        <v>2798</v>
      </c>
      <c r="E658" s="697" t="s">
        <v>3348</v>
      </c>
      <c r="F658" s="183">
        <v>0</v>
      </c>
      <c r="G658" s="183">
        <v>0</v>
      </c>
      <c r="H658" s="183">
        <v>0</v>
      </c>
      <c r="I658" s="183">
        <v>0</v>
      </c>
      <c r="J658" s="183">
        <v>0</v>
      </c>
      <c r="K658" s="183">
        <v>0</v>
      </c>
      <c r="L658" s="183">
        <v>0</v>
      </c>
      <c r="M658" s="183">
        <v>0</v>
      </c>
      <c r="N658" s="183">
        <v>0</v>
      </c>
      <c r="O658" s="183">
        <v>0</v>
      </c>
      <c r="P658" s="183">
        <v>0</v>
      </c>
      <c r="Q658" s="183">
        <v>0</v>
      </c>
      <c r="R658" s="183">
        <v>0</v>
      </c>
      <c r="S658" s="184">
        <f t="shared" si="121"/>
        <v>0</v>
      </c>
      <c r="U658" s="65"/>
      <c r="V658" s="103"/>
      <c r="W658" s="103"/>
      <c r="X658" s="599">
        <f>+S658</f>
        <v>0</v>
      </c>
      <c r="Y658" s="103"/>
      <c r="Z658" s="103"/>
      <c r="AA658" s="65"/>
      <c r="AB658" s="103">
        <f t="shared" si="132"/>
        <v>0</v>
      </c>
      <c r="AD658" s="42"/>
      <c r="AE658" s="107"/>
      <c r="AF658" s="6"/>
    </row>
    <row r="659" spans="1:32">
      <c r="A659" s="2">
        <f t="shared" si="125"/>
        <v>642</v>
      </c>
      <c r="B659" s="688" t="s">
        <v>2324</v>
      </c>
      <c r="C659" s="688" t="s">
        <v>3320</v>
      </c>
      <c r="D659" s="688" t="s">
        <v>3358</v>
      </c>
      <c r="E659" s="697" t="s">
        <v>3350</v>
      </c>
      <c r="F659" s="183">
        <v>-2.91038304567337E-11</v>
      </c>
      <c r="G659" s="183">
        <v>0</v>
      </c>
      <c r="H659" s="183">
        <v>0</v>
      </c>
      <c r="I659" s="183">
        <v>0</v>
      </c>
      <c r="J659" s="183">
        <v>0</v>
      </c>
      <c r="K659" s="183">
        <v>0</v>
      </c>
      <c r="L659" s="183">
        <v>0</v>
      </c>
      <c r="M659" s="183">
        <v>0</v>
      </c>
      <c r="N659" s="183">
        <v>0</v>
      </c>
      <c r="O659" s="183">
        <v>0</v>
      </c>
      <c r="P659" s="183">
        <v>0</v>
      </c>
      <c r="Q659" s="183">
        <v>0</v>
      </c>
      <c r="R659" s="183">
        <v>0</v>
      </c>
      <c r="S659" s="184">
        <f t="shared" si="121"/>
        <v>-1.2126596023639042E-12</v>
      </c>
      <c r="U659" s="65"/>
      <c r="V659" s="103">
        <f>+S659</f>
        <v>-1.2126596023639042E-12</v>
      </c>
      <c r="W659" s="103"/>
      <c r="X659" s="599"/>
      <c r="Y659" s="103"/>
      <c r="Z659" s="103"/>
      <c r="AA659" s="65"/>
      <c r="AB659" s="103"/>
      <c r="AD659" s="42">
        <f>+S659</f>
        <v>-1.2126596023639042E-12</v>
      </c>
      <c r="AE659" s="42"/>
      <c r="AF659" s="6"/>
    </row>
    <row r="660" spans="1:32">
      <c r="A660" s="2">
        <f t="shared" ref="A660:A723" si="133">MAX(A659:A659)+1</f>
        <v>643</v>
      </c>
      <c r="E660" s="697" t="s">
        <v>3359</v>
      </c>
      <c r="F660" s="511">
        <f>SUM(F605:F659)</f>
        <v>-28202099.710000001</v>
      </c>
      <c r="G660" s="511">
        <f t="shared" ref="G660:R660" si="134">SUM(G605:G659)</f>
        <v>-32221765.589999996</v>
      </c>
      <c r="H660" s="511">
        <f t="shared" si="134"/>
        <v>-27687146.049999997</v>
      </c>
      <c r="I660" s="511">
        <f t="shared" si="134"/>
        <v>-24605767.890000001</v>
      </c>
      <c r="J660" s="511">
        <f t="shared" si="134"/>
        <v>-16413571.01</v>
      </c>
      <c r="K660" s="511">
        <f t="shared" si="134"/>
        <v>-19978579.010000002</v>
      </c>
      <c r="L660" s="511">
        <f t="shared" si="134"/>
        <v>-18649338.520000003</v>
      </c>
      <c r="M660" s="511">
        <f t="shared" si="134"/>
        <v>-13963498.809999997</v>
      </c>
      <c r="N660" s="511">
        <f t="shared" si="134"/>
        <v>-17392861.380000003</v>
      </c>
      <c r="O660" s="511">
        <f t="shared" si="134"/>
        <v>-18308682.289999999</v>
      </c>
      <c r="P660" s="511">
        <f t="shared" si="134"/>
        <v>-16662709.240000006</v>
      </c>
      <c r="Q660" s="511">
        <f t="shared" si="134"/>
        <v>-23236563.030000001</v>
      </c>
      <c r="R660" s="511">
        <f t="shared" si="134"/>
        <v>-23078188.210000005</v>
      </c>
      <c r="S660" s="511">
        <f>SUM(S605:S659)</f>
        <v>-21230052.231666669</v>
      </c>
      <c r="U660" s="65"/>
      <c r="V660" s="103"/>
      <c r="W660" s="103"/>
      <c r="X660" s="599"/>
      <c r="Y660" s="103"/>
      <c r="Z660" s="103"/>
      <c r="AA660" s="65"/>
      <c r="AB660" s="103"/>
      <c r="AF660" s="6"/>
    </row>
    <row r="661" spans="1:32">
      <c r="A661" s="2">
        <f t="shared" si="133"/>
        <v>644</v>
      </c>
      <c r="E661" s="697"/>
      <c r="F661" s="183"/>
      <c r="G661" s="198"/>
      <c r="H661" s="188"/>
      <c r="I661" s="188"/>
      <c r="J661" s="189"/>
      <c r="K661" s="190"/>
      <c r="L661" s="191"/>
      <c r="M661" s="192"/>
      <c r="N661" s="193"/>
      <c r="O661" s="689"/>
      <c r="P661" s="194"/>
      <c r="Q661" s="199"/>
      <c r="R661" s="183"/>
      <c r="S661" s="47"/>
      <c r="U661" s="65"/>
      <c r="V661" s="103"/>
      <c r="W661" s="103"/>
      <c r="X661" s="599"/>
      <c r="Y661" s="103"/>
      <c r="Z661" s="103"/>
      <c r="AA661" s="65"/>
      <c r="AB661" s="103"/>
      <c r="AF661" s="6"/>
    </row>
    <row r="662" spans="1:32">
      <c r="A662" s="2">
        <f t="shared" si="133"/>
        <v>645</v>
      </c>
      <c r="B662" s="688" t="s">
        <v>2330</v>
      </c>
      <c r="C662" s="688" t="s">
        <v>3235</v>
      </c>
      <c r="D662" s="688" t="s">
        <v>2539</v>
      </c>
      <c r="E662" s="697" t="s">
        <v>3360</v>
      </c>
      <c r="F662" s="183">
        <v>-78000</v>
      </c>
      <c r="G662" s="183">
        <v>0</v>
      </c>
      <c r="H662" s="183">
        <v>0</v>
      </c>
      <c r="I662" s="183">
        <v>0</v>
      </c>
      <c r="J662" s="183">
        <v>0</v>
      </c>
      <c r="K662" s="183">
        <v>0</v>
      </c>
      <c r="L662" s="183">
        <v>0</v>
      </c>
      <c r="M662" s="183">
        <v>0</v>
      </c>
      <c r="N662" s="183">
        <v>0</v>
      </c>
      <c r="O662" s="183">
        <v>0</v>
      </c>
      <c r="P662" s="183">
        <v>0</v>
      </c>
      <c r="Q662" s="183">
        <v>0</v>
      </c>
      <c r="R662" s="183">
        <v>0</v>
      </c>
      <c r="S662" s="184">
        <f t="shared" si="121"/>
        <v>-3250</v>
      </c>
      <c r="U662" s="65"/>
      <c r="V662" s="103">
        <f>+S662</f>
        <v>-3250</v>
      </c>
      <c r="W662" s="103"/>
      <c r="X662" s="599"/>
      <c r="Y662" s="103"/>
      <c r="Z662" s="103"/>
      <c r="AA662" s="65"/>
      <c r="AB662" s="103"/>
      <c r="AD662" s="42">
        <f>+S662</f>
        <v>-3250</v>
      </c>
      <c r="AF662" s="6"/>
    </row>
    <row r="663" spans="1:32">
      <c r="A663" s="2">
        <f t="shared" si="133"/>
        <v>646</v>
      </c>
      <c r="B663" s="688" t="s">
        <v>2330</v>
      </c>
      <c r="C663" s="688" t="s">
        <v>3361</v>
      </c>
      <c r="D663" s="688" t="s">
        <v>2539</v>
      </c>
      <c r="E663" s="697" t="s">
        <v>3362</v>
      </c>
      <c r="F663" s="183">
        <v>-3806611.93</v>
      </c>
      <c r="G663" s="183">
        <v>-3790628.64</v>
      </c>
      <c r="H663" s="183">
        <v>-3774645.35</v>
      </c>
      <c r="I663" s="183">
        <v>-3758662.06</v>
      </c>
      <c r="J663" s="183">
        <v>-3742678.77</v>
      </c>
      <c r="K663" s="183">
        <v>-3726695.48</v>
      </c>
      <c r="L663" s="183">
        <v>-3710712.19</v>
      </c>
      <c r="M663" s="183">
        <v>-3694728.9</v>
      </c>
      <c r="N663" s="183">
        <v>-3678745.61</v>
      </c>
      <c r="O663" s="183">
        <v>-3662762.32</v>
      </c>
      <c r="P663" s="183">
        <v>-3646779.03</v>
      </c>
      <c r="Q663" s="183">
        <v>-3630795.74</v>
      </c>
      <c r="R663" s="183">
        <v>-3758585.41</v>
      </c>
      <c r="S663" s="184">
        <f t="shared" si="121"/>
        <v>-3716702.7300000004</v>
      </c>
      <c r="U663" s="65"/>
      <c r="V663" s="103"/>
      <c r="W663" s="103"/>
      <c r="X663" s="599">
        <f>+S663</f>
        <v>-3716702.7300000004</v>
      </c>
      <c r="Y663" s="103"/>
      <c r="Z663" s="103"/>
      <c r="AA663" s="65"/>
      <c r="AB663" s="103">
        <f>+S663</f>
        <v>-3716702.7300000004</v>
      </c>
      <c r="AD663" s="42"/>
      <c r="AF663" s="6"/>
    </row>
    <row r="664" spans="1:32">
      <c r="A664" s="2">
        <f t="shared" si="133"/>
        <v>647</v>
      </c>
      <c r="B664" s="688" t="s">
        <v>2330</v>
      </c>
      <c r="C664" s="688" t="s">
        <v>3361</v>
      </c>
      <c r="D664" s="688" t="s">
        <v>2307</v>
      </c>
      <c r="E664" s="697" t="s">
        <v>3363</v>
      </c>
      <c r="F664" s="183">
        <v>-52713.61</v>
      </c>
      <c r="G664" s="183">
        <v>-45008.47</v>
      </c>
      <c r="H664" s="183">
        <v>-43217.01</v>
      </c>
      <c r="I664" s="183">
        <v>-69309.86</v>
      </c>
      <c r="J664" s="183">
        <v>-71682.539999999994</v>
      </c>
      <c r="K664" s="183">
        <v>-71301.399999999994</v>
      </c>
      <c r="L664" s="183">
        <v>-64719.85</v>
      </c>
      <c r="M664" s="183">
        <v>-69035.34</v>
      </c>
      <c r="N664" s="183">
        <v>-67553.7</v>
      </c>
      <c r="O664" s="183">
        <v>-63381.43</v>
      </c>
      <c r="P664" s="183">
        <v>-60369.21</v>
      </c>
      <c r="Q664" s="183">
        <v>-70151.97</v>
      </c>
      <c r="R664" s="183">
        <v>-44043.39</v>
      </c>
      <c r="S664" s="184">
        <f t="shared" si="121"/>
        <v>-62009.106666666659</v>
      </c>
      <c r="U664" s="65"/>
      <c r="V664" s="103"/>
      <c r="W664" s="103"/>
      <c r="X664" s="599">
        <f>+S664</f>
        <v>-62009.106666666659</v>
      </c>
      <c r="Y664" s="103"/>
      <c r="Z664" s="103"/>
      <c r="AA664" s="65"/>
      <c r="AB664" s="103">
        <f>+S664</f>
        <v>-62009.106666666659</v>
      </c>
      <c r="AD664" s="42"/>
      <c r="AF664" s="6"/>
    </row>
    <row r="665" spans="1:32">
      <c r="A665" s="2">
        <f t="shared" si="133"/>
        <v>648</v>
      </c>
      <c r="B665" s="688" t="s">
        <v>2330</v>
      </c>
      <c r="C665" s="688" t="s">
        <v>3361</v>
      </c>
      <c r="D665" s="688" t="s">
        <v>2591</v>
      </c>
      <c r="E665" s="697" t="s">
        <v>3364</v>
      </c>
      <c r="F665" s="183">
        <v>0</v>
      </c>
      <c r="G665" s="183">
        <v>0</v>
      </c>
      <c r="H665" s="183">
        <v>0</v>
      </c>
      <c r="I665" s="183">
        <v>0</v>
      </c>
      <c r="J665" s="183">
        <v>0</v>
      </c>
      <c r="K665" s="183">
        <v>0</v>
      </c>
      <c r="L665" s="183">
        <v>0</v>
      </c>
      <c r="M665" s="183">
        <v>0</v>
      </c>
      <c r="N665" s="183">
        <v>0</v>
      </c>
      <c r="O665" s="183">
        <v>0</v>
      </c>
      <c r="P665" s="183">
        <v>0</v>
      </c>
      <c r="Q665" s="183">
        <v>0</v>
      </c>
      <c r="R665" s="183">
        <v>0</v>
      </c>
      <c r="S665" s="184">
        <f t="shared" si="121"/>
        <v>0</v>
      </c>
      <c r="U665" s="65"/>
      <c r="W665" s="103"/>
      <c r="X665" s="103">
        <f t="shared" ref="X665:X676" si="135">+S665</f>
        <v>0</v>
      </c>
      <c r="Y665" s="103"/>
      <c r="Z665" s="103"/>
      <c r="AA665" s="65"/>
      <c r="AB665" s="103">
        <f>+S665</f>
        <v>0</v>
      </c>
      <c r="AF665" s="6"/>
    </row>
    <row r="666" spans="1:32">
      <c r="A666" s="2">
        <f t="shared" si="133"/>
        <v>649</v>
      </c>
      <c r="B666" s="688" t="s">
        <v>2330</v>
      </c>
      <c r="C666" s="688" t="s">
        <v>3361</v>
      </c>
      <c r="D666" s="688" t="s">
        <v>2599</v>
      </c>
      <c r="E666" s="697" t="s">
        <v>3365</v>
      </c>
      <c r="F666" s="183">
        <v>0</v>
      </c>
      <c r="G666" s="183">
        <v>0</v>
      </c>
      <c r="H666" s="183">
        <v>0</v>
      </c>
      <c r="I666" s="183">
        <v>0</v>
      </c>
      <c r="J666" s="183">
        <v>0</v>
      </c>
      <c r="K666" s="183">
        <v>0</v>
      </c>
      <c r="L666" s="183">
        <v>0</v>
      </c>
      <c r="M666" s="183">
        <v>0</v>
      </c>
      <c r="N666" s="183">
        <v>0</v>
      </c>
      <c r="O666" s="183">
        <v>0</v>
      </c>
      <c r="P666" s="183">
        <v>0</v>
      </c>
      <c r="Q666" s="183">
        <v>0</v>
      </c>
      <c r="R666" s="183">
        <v>0</v>
      </c>
      <c r="S666" s="184">
        <f t="shared" si="121"/>
        <v>0</v>
      </c>
      <c r="U666" s="65"/>
      <c r="W666" s="103"/>
      <c r="X666" s="103">
        <f t="shared" si="135"/>
        <v>0</v>
      </c>
      <c r="Y666" s="103"/>
      <c r="Z666" s="103"/>
      <c r="AA666" s="65"/>
      <c r="AB666" s="103">
        <f>+S666</f>
        <v>0</v>
      </c>
      <c r="AF666" s="6"/>
    </row>
    <row r="667" spans="1:32">
      <c r="A667" s="2">
        <f t="shared" si="133"/>
        <v>650</v>
      </c>
      <c r="B667" s="688" t="s">
        <v>2330</v>
      </c>
      <c r="C667" s="688" t="s">
        <v>2657</v>
      </c>
      <c r="D667" s="688" t="s">
        <v>3366</v>
      </c>
      <c r="E667" s="697" t="s">
        <v>3367</v>
      </c>
      <c r="F667" s="183">
        <v>-76205907.769999996</v>
      </c>
      <c r="G667" s="183">
        <v>-76541370.489999995</v>
      </c>
      <c r="H667" s="183">
        <v>-76878336.280000001</v>
      </c>
      <c r="I667" s="183">
        <v>-76817573.959999993</v>
      </c>
      <c r="J667" s="183">
        <v>-77155155.530000001</v>
      </c>
      <c r="K667" s="183">
        <v>-77494249.030000001</v>
      </c>
      <c r="L667" s="183">
        <v>-77834861.299999997</v>
      </c>
      <c r="M667" s="183">
        <v>-78176999.359999999</v>
      </c>
      <c r="N667" s="183">
        <v>-78520670.069999993</v>
      </c>
      <c r="O667" s="183">
        <v>-78865880.219999999</v>
      </c>
      <c r="P667" s="183">
        <v>-78593279.170000002</v>
      </c>
      <c r="Q667" s="183">
        <v>-79081264.329999998</v>
      </c>
      <c r="R667" s="183">
        <v>-79429000.599999994</v>
      </c>
      <c r="S667" s="184">
        <f t="shared" si="121"/>
        <v>-77814757.827083334</v>
      </c>
      <c r="U667" s="65"/>
      <c r="W667" s="103"/>
      <c r="X667" s="103">
        <f t="shared" si="135"/>
        <v>-77814757.827083334</v>
      </c>
      <c r="Y667" s="103">
        <f>+S667*Z10</f>
        <v>-58415538.700791463</v>
      </c>
      <c r="Z667" s="103">
        <f>+S667*Z11</f>
        <v>-19399219.126291875</v>
      </c>
      <c r="AA667" s="65"/>
      <c r="AF667" s="6"/>
    </row>
    <row r="668" spans="1:32">
      <c r="A668" s="2">
        <f t="shared" si="133"/>
        <v>651</v>
      </c>
      <c r="B668" s="688" t="s">
        <v>2330</v>
      </c>
      <c r="C668" s="688" t="s">
        <v>3243</v>
      </c>
      <c r="D668" s="688" t="s">
        <v>3368</v>
      </c>
      <c r="E668" s="697" t="s">
        <v>3369</v>
      </c>
      <c r="F668" s="183">
        <v>0</v>
      </c>
      <c r="G668" s="183">
        <v>0</v>
      </c>
      <c r="H668" s="183">
        <v>0</v>
      </c>
      <c r="I668" s="183">
        <v>0</v>
      </c>
      <c r="J668" s="183">
        <v>0</v>
      </c>
      <c r="K668" s="183">
        <v>0</v>
      </c>
      <c r="L668" s="183">
        <v>0</v>
      </c>
      <c r="M668" s="183">
        <v>0</v>
      </c>
      <c r="N668" s="183">
        <v>0</v>
      </c>
      <c r="O668" s="183">
        <v>0</v>
      </c>
      <c r="P668" s="183">
        <v>0</v>
      </c>
      <c r="Q668" s="183">
        <v>0</v>
      </c>
      <c r="R668" s="183">
        <v>0</v>
      </c>
      <c r="S668" s="184">
        <f t="shared" si="121"/>
        <v>0</v>
      </c>
      <c r="U668" s="65"/>
      <c r="V668" s="103">
        <f>+S668</f>
        <v>0</v>
      </c>
      <c r="W668" s="103"/>
      <c r="X668" s="103"/>
      <c r="Y668" s="103"/>
      <c r="Z668" s="103"/>
      <c r="AA668" s="65"/>
      <c r="AB668" s="103"/>
      <c r="AD668" s="42">
        <f>+S668</f>
        <v>0</v>
      </c>
      <c r="AF668" s="6"/>
    </row>
    <row r="669" spans="1:32">
      <c r="A669" s="2">
        <f t="shared" si="133"/>
        <v>652</v>
      </c>
      <c r="B669" s="688" t="s">
        <v>2330</v>
      </c>
      <c r="C669" s="688" t="s">
        <v>3319</v>
      </c>
      <c r="D669" s="688" t="s">
        <v>2304</v>
      </c>
      <c r="E669" s="697" t="s">
        <v>2847</v>
      </c>
      <c r="F669" s="183">
        <v>0</v>
      </c>
      <c r="G669" s="183">
        <v>0</v>
      </c>
      <c r="H669" s="183">
        <v>0</v>
      </c>
      <c r="I669" s="183">
        <v>0</v>
      </c>
      <c r="J669" s="183">
        <v>0</v>
      </c>
      <c r="K669" s="183">
        <v>0</v>
      </c>
      <c r="L669" s="183">
        <v>0</v>
      </c>
      <c r="M669" s="183">
        <v>0</v>
      </c>
      <c r="N669" s="183">
        <v>0</v>
      </c>
      <c r="O669" s="183">
        <v>0</v>
      </c>
      <c r="P669" s="183">
        <v>0</v>
      </c>
      <c r="Q669" s="183">
        <v>0</v>
      </c>
      <c r="R669" s="183">
        <v>0</v>
      </c>
      <c r="S669" s="184">
        <f t="shared" si="121"/>
        <v>0</v>
      </c>
      <c r="U669" s="65"/>
      <c r="V669" s="103">
        <f>+S669</f>
        <v>0</v>
      </c>
      <c r="W669" s="103"/>
      <c r="X669" s="103"/>
      <c r="Y669" s="103"/>
      <c r="Z669" s="103"/>
      <c r="AA669" s="65"/>
      <c r="AB669" s="103"/>
      <c r="AD669" s="42">
        <f>+S669</f>
        <v>0</v>
      </c>
      <c r="AF669" s="6"/>
    </row>
    <row r="670" spans="1:32">
      <c r="A670" s="2">
        <f t="shared" si="133"/>
        <v>653</v>
      </c>
      <c r="B670" s="688" t="s">
        <v>2330</v>
      </c>
      <c r="C670" s="688" t="s">
        <v>2325</v>
      </c>
      <c r="D670" s="688" t="s">
        <v>2636</v>
      </c>
      <c r="E670" s="697" t="s">
        <v>3370</v>
      </c>
      <c r="F670" s="183">
        <v>2.0509105524979501E-10</v>
      </c>
      <c r="G670" s="183">
        <v>0</v>
      </c>
      <c r="H670" s="183">
        <v>0</v>
      </c>
      <c r="I670" s="183">
        <v>0</v>
      </c>
      <c r="J670" s="183">
        <v>0</v>
      </c>
      <c r="K670" s="183">
        <v>0</v>
      </c>
      <c r="L670" s="183">
        <v>0</v>
      </c>
      <c r="M670" s="183">
        <v>0</v>
      </c>
      <c r="N670" s="183">
        <v>0</v>
      </c>
      <c r="O670" s="183">
        <v>0</v>
      </c>
      <c r="P670" s="183">
        <v>0</v>
      </c>
      <c r="Q670" s="183">
        <v>0</v>
      </c>
      <c r="R670" s="183">
        <v>0</v>
      </c>
      <c r="S670" s="184">
        <f t="shared" si="121"/>
        <v>8.5454606354081258E-12</v>
      </c>
      <c r="U670" s="65"/>
      <c r="V670" s="103"/>
      <c r="W670" s="103"/>
      <c r="X670" s="103">
        <f t="shared" si="135"/>
        <v>8.5454606354081258E-12</v>
      </c>
      <c r="Y670" s="103">
        <f>+S670</f>
        <v>8.5454606354081258E-12</v>
      </c>
      <c r="Z670" s="103"/>
      <c r="AA670" s="65"/>
      <c r="AB670" s="103"/>
      <c r="AD670" s="42"/>
      <c r="AF670" s="6"/>
    </row>
    <row r="671" spans="1:32">
      <c r="A671" s="2">
        <f t="shared" si="133"/>
        <v>654</v>
      </c>
      <c r="B671" s="688" t="s">
        <v>2330</v>
      </c>
      <c r="C671" s="688" t="s">
        <v>2325</v>
      </c>
      <c r="D671" s="688" t="s">
        <v>2636</v>
      </c>
      <c r="E671" s="697" t="s">
        <v>3371</v>
      </c>
      <c r="F671" s="183">
        <v>-208663.2</v>
      </c>
      <c r="G671" s="183">
        <v>-214364.74</v>
      </c>
      <c r="H671" s="183">
        <v>-214364.74</v>
      </c>
      <c r="I671" s="183">
        <v>-217073.67</v>
      </c>
      <c r="J671" s="183">
        <v>-217073.67</v>
      </c>
      <c r="K671" s="183">
        <v>-218604.83</v>
      </c>
      <c r="L671" s="183">
        <v>-218604.83</v>
      </c>
      <c r="M671" s="183">
        <v>-218604.83</v>
      </c>
      <c r="N671" s="183">
        <v>-222635.33</v>
      </c>
      <c r="O671" s="183">
        <v>-148123.01</v>
      </c>
      <c r="P671" s="183">
        <v>-158165.96</v>
      </c>
      <c r="Q671" s="183">
        <v>-158165.96</v>
      </c>
      <c r="R671" s="183">
        <v>-158165.96</v>
      </c>
      <c r="S671" s="184">
        <f t="shared" si="121"/>
        <v>-199099.6791666667</v>
      </c>
      <c r="U671" s="65"/>
      <c r="V671" s="103"/>
      <c r="W671" s="103"/>
      <c r="X671" s="599">
        <f t="shared" si="135"/>
        <v>-199099.6791666667</v>
      </c>
      <c r="Y671" s="103"/>
      <c r="Z671" s="103">
        <f>+S671</f>
        <v>-199099.6791666667</v>
      </c>
      <c r="AA671" s="65"/>
      <c r="AB671" s="103"/>
      <c r="AD671" s="42"/>
      <c r="AF671" s="6"/>
    </row>
    <row r="672" spans="1:32">
      <c r="A672" s="2">
        <f t="shared" si="133"/>
        <v>655</v>
      </c>
      <c r="B672" s="688" t="s">
        <v>2330</v>
      </c>
      <c r="C672" s="688" t="s">
        <v>2325</v>
      </c>
      <c r="D672" s="688" t="s">
        <v>2638</v>
      </c>
      <c r="E672" s="697" t="s">
        <v>3372</v>
      </c>
      <c r="F672" s="183">
        <v>0</v>
      </c>
      <c r="G672" s="183">
        <v>0</v>
      </c>
      <c r="H672" s="183">
        <v>0</v>
      </c>
      <c r="I672" s="183">
        <v>0</v>
      </c>
      <c r="J672" s="183">
        <v>0</v>
      </c>
      <c r="K672" s="183">
        <v>0</v>
      </c>
      <c r="L672" s="183">
        <v>0</v>
      </c>
      <c r="M672" s="183">
        <v>0</v>
      </c>
      <c r="N672" s="183">
        <v>0</v>
      </c>
      <c r="O672" s="183">
        <v>0</v>
      </c>
      <c r="P672" s="183">
        <v>0</v>
      </c>
      <c r="Q672" s="183">
        <v>0</v>
      </c>
      <c r="R672" s="183">
        <v>0</v>
      </c>
      <c r="S672" s="184">
        <f t="shared" si="121"/>
        <v>0</v>
      </c>
      <c r="U672" s="65"/>
      <c r="V672" s="103"/>
      <c r="W672" s="103"/>
      <c r="X672" s="599">
        <f t="shared" si="135"/>
        <v>0</v>
      </c>
      <c r="Y672" s="103">
        <f>+S672*Z10</f>
        <v>0</v>
      </c>
      <c r="Z672" s="103">
        <f>+S672*Z11</f>
        <v>0</v>
      </c>
      <c r="AA672" s="65"/>
      <c r="AB672" s="103"/>
      <c r="AD672" s="42"/>
      <c r="AF672" s="6"/>
    </row>
    <row r="673" spans="1:32">
      <c r="A673" s="2">
        <f t="shared" si="133"/>
        <v>656</v>
      </c>
      <c r="B673" s="688" t="s">
        <v>2330</v>
      </c>
      <c r="C673" s="688" t="s">
        <v>2325</v>
      </c>
      <c r="D673" s="688" t="s">
        <v>3373</v>
      </c>
      <c r="E673" s="697" t="s">
        <v>3374</v>
      </c>
      <c r="F673" s="183">
        <v>0</v>
      </c>
      <c r="G673" s="183">
        <v>0</v>
      </c>
      <c r="H673" s="183">
        <v>0</v>
      </c>
      <c r="I673" s="183">
        <v>0</v>
      </c>
      <c r="J673" s="183">
        <v>0</v>
      </c>
      <c r="K673" s="183">
        <v>0</v>
      </c>
      <c r="L673" s="183">
        <v>0</v>
      </c>
      <c r="M673" s="183">
        <v>0</v>
      </c>
      <c r="N673" s="183">
        <v>0</v>
      </c>
      <c r="O673" s="183">
        <v>0</v>
      </c>
      <c r="P673" s="183">
        <v>0</v>
      </c>
      <c r="Q673" s="183">
        <v>0</v>
      </c>
      <c r="R673" s="183">
        <v>0</v>
      </c>
      <c r="S673" s="184">
        <f t="shared" si="121"/>
        <v>0</v>
      </c>
      <c r="U673" s="65"/>
      <c r="V673" s="103"/>
      <c r="W673" s="103"/>
      <c r="X673" s="599">
        <f t="shared" si="135"/>
        <v>0</v>
      </c>
      <c r="Y673" s="103">
        <f>+S673*Z10</f>
        <v>0</v>
      </c>
      <c r="Z673" s="103">
        <f>+S673*Z11</f>
        <v>0</v>
      </c>
      <c r="AA673" s="65"/>
      <c r="AB673" s="103"/>
      <c r="AD673" s="42"/>
      <c r="AF673" s="6"/>
    </row>
    <row r="674" spans="1:32">
      <c r="A674" s="2">
        <f t="shared" si="133"/>
        <v>657</v>
      </c>
      <c r="B674" s="688" t="s">
        <v>2330</v>
      </c>
      <c r="C674" s="688" t="s">
        <v>2325</v>
      </c>
      <c r="D674" s="688" t="s">
        <v>2335</v>
      </c>
      <c r="E674" s="697" t="s">
        <v>3375</v>
      </c>
      <c r="F674" s="183">
        <v>-77555.33</v>
      </c>
      <c r="G674" s="183">
        <v>-59658.75</v>
      </c>
      <c r="H674" s="183">
        <v>-59658.75</v>
      </c>
      <c r="I674" s="183">
        <v>-59658.75</v>
      </c>
      <c r="J674" s="183">
        <v>-59658.75</v>
      </c>
      <c r="K674" s="183">
        <v>-59658.75</v>
      </c>
      <c r="L674" s="183">
        <v>-59658.75</v>
      </c>
      <c r="M674" s="183">
        <v>-59658.75</v>
      </c>
      <c r="N674" s="183">
        <v>-59658.75</v>
      </c>
      <c r="O674" s="183">
        <v>-34072.22</v>
      </c>
      <c r="P674" s="183">
        <v>-34072.22</v>
      </c>
      <c r="Q674" s="183">
        <v>-34072.22</v>
      </c>
      <c r="R674" s="183">
        <v>-34072.22</v>
      </c>
      <c r="S674" s="184">
        <f t="shared" si="121"/>
        <v>-52941.702916666662</v>
      </c>
      <c r="U674" s="65"/>
      <c r="V674" s="103"/>
      <c r="W674" s="103"/>
      <c r="X674" s="599">
        <f t="shared" si="135"/>
        <v>-52941.702916666662</v>
      </c>
      <c r="Y674" s="103">
        <f>+S674</f>
        <v>-52941.702916666662</v>
      </c>
      <c r="Z674" s="103"/>
      <c r="AA674" s="65"/>
      <c r="AB674" s="103"/>
      <c r="AD674" s="42"/>
      <c r="AF674" s="6"/>
    </row>
    <row r="675" spans="1:32">
      <c r="A675" s="2">
        <f t="shared" si="133"/>
        <v>658</v>
      </c>
      <c r="B675" s="688" t="s">
        <v>2330</v>
      </c>
      <c r="C675" s="688" t="s">
        <v>2325</v>
      </c>
      <c r="D675" s="688" t="s">
        <v>2335</v>
      </c>
      <c r="E675" s="697" t="s">
        <v>3376</v>
      </c>
      <c r="F675" s="183">
        <v>-25749.89</v>
      </c>
      <c r="G675" s="183">
        <v>-43646.47</v>
      </c>
      <c r="H675" s="183">
        <v>-43646.47</v>
      </c>
      <c r="I675" s="183">
        <v>-43646.47</v>
      </c>
      <c r="J675" s="183">
        <v>-43646.47</v>
      </c>
      <c r="K675" s="183">
        <v>-43646.47</v>
      </c>
      <c r="L675" s="183">
        <v>-43646.47</v>
      </c>
      <c r="M675" s="183">
        <v>-43646.47</v>
      </c>
      <c r="N675" s="183">
        <v>-43646.47</v>
      </c>
      <c r="O675" s="183">
        <v>-35149.440000000002</v>
      </c>
      <c r="P675" s="183">
        <v>-35149.440000000002</v>
      </c>
      <c r="Q675" s="183">
        <v>-35149.440000000002</v>
      </c>
      <c r="R675" s="183">
        <v>-35149.440000000002</v>
      </c>
      <c r="S675" s="184">
        <f t="shared" si="121"/>
        <v>-40422.478750000002</v>
      </c>
      <c r="U675" s="65"/>
      <c r="V675" s="103"/>
      <c r="W675" s="103"/>
      <c r="X675" s="599">
        <f t="shared" si="135"/>
        <v>-40422.478750000002</v>
      </c>
      <c r="Y675" s="103"/>
      <c r="Z675" s="103">
        <f>+S675</f>
        <v>-40422.478750000002</v>
      </c>
      <c r="AA675" s="65"/>
      <c r="AB675" s="103"/>
      <c r="AD675" s="42"/>
      <c r="AF675" s="6"/>
    </row>
    <row r="676" spans="1:32">
      <c r="A676" s="2">
        <f t="shared" si="133"/>
        <v>659</v>
      </c>
      <c r="B676" s="688" t="s">
        <v>2330</v>
      </c>
      <c r="C676" s="688" t="s">
        <v>2325</v>
      </c>
      <c r="D676" s="688" t="s">
        <v>2331</v>
      </c>
      <c r="E676" s="697" t="s">
        <v>3377</v>
      </c>
      <c r="F676" s="183">
        <v>0</v>
      </c>
      <c r="G676" s="183">
        <v>0</v>
      </c>
      <c r="H676" s="183">
        <v>0</v>
      </c>
      <c r="I676" s="183">
        <v>0</v>
      </c>
      <c r="J676" s="183">
        <v>0</v>
      </c>
      <c r="K676" s="183">
        <v>0</v>
      </c>
      <c r="L676" s="183">
        <v>0</v>
      </c>
      <c r="M676" s="183">
        <v>0</v>
      </c>
      <c r="N676" s="183">
        <v>0</v>
      </c>
      <c r="O676" s="183">
        <v>0</v>
      </c>
      <c r="P676" s="183">
        <v>0</v>
      </c>
      <c r="Q676" s="183">
        <v>0</v>
      </c>
      <c r="R676" s="183">
        <v>0</v>
      </c>
      <c r="S676" s="184">
        <f t="shared" si="121"/>
        <v>0</v>
      </c>
      <c r="U676" s="65"/>
      <c r="V676" s="103"/>
      <c r="W676" s="103"/>
      <c r="X676" s="599">
        <f t="shared" si="135"/>
        <v>0</v>
      </c>
      <c r="Y676" s="103">
        <f>+S676*Z10</f>
        <v>0</v>
      </c>
      <c r="Z676" s="103">
        <f>+S676*Z11</f>
        <v>0</v>
      </c>
      <c r="AA676" s="65"/>
      <c r="AB676" s="103"/>
      <c r="AD676" s="42"/>
      <c r="AF676" s="6"/>
    </row>
    <row r="677" spans="1:32">
      <c r="A677" s="2">
        <f t="shared" si="133"/>
        <v>660</v>
      </c>
      <c r="B677" s="688" t="s">
        <v>2330</v>
      </c>
      <c r="C677" s="688" t="s">
        <v>3323</v>
      </c>
      <c r="D677" s="688" t="s">
        <v>3378</v>
      </c>
      <c r="E677" s="697" t="s">
        <v>3379</v>
      </c>
      <c r="F677" s="183">
        <v>-30228</v>
      </c>
      <c r="G677" s="183">
        <v>-30230.23</v>
      </c>
      <c r="H677" s="183">
        <v>-30235.66</v>
      </c>
      <c r="I677" s="183">
        <v>-30240.29</v>
      </c>
      <c r="J677" s="183">
        <v>-29525.360000000001</v>
      </c>
      <c r="K677" s="183">
        <v>-29533.53</v>
      </c>
      <c r="L677" s="183">
        <v>-125442.74</v>
      </c>
      <c r="M677" s="183">
        <v>-121727.15</v>
      </c>
      <c r="N677" s="183">
        <v>-121656.22</v>
      </c>
      <c r="O677" s="183">
        <v>-110299.21</v>
      </c>
      <c r="P677" s="183">
        <v>-62098.25</v>
      </c>
      <c r="Q677" s="183">
        <v>-62101.47</v>
      </c>
      <c r="R677" s="183">
        <v>-60025.81</v>
      </c>
      <c r="S677" s="184">
        <f t="shared" si="121"/>
        <v>-66518.08458333333</v>
      </c>
      <c r="U677" s="65"/>
      <c r="V677" s="103">
        <f t="shared" ref="V677:V682" si="136">+S677</f>
        <v>-66518.08458333333</v>
      </c>
      <c r="W677" s="103"/>
      <c r="X677" s="599"/>
      <c r="Y677" s="103"/>
      <c r="Z677" s="103"/>
      <c r="AA677" s="65"/>
      <c r="AB677" s="103"/>
      <c r="AD677" s="42">
        <f t="shared" ref="AD677:AD682" si="137">+S677</f>
        <v>-66518.08458333333</v>
      </c>
      <c r="AF677" s="6"/>
    </row>
    <row r="678" spans="1:32">
      <c r="A678" s="2">
        <f t="shared" si="133"/>
        <v>661</v>
      </c>
      <c r="B678" s="688" t="s">
        <v>2330</v>
      </c>
      <c r="C678" s="688" t="s">
        <v>3323</v>
      </c>
      <c r="D678" s="688" t="s">
        <v>3380</v>
      </c>
      <c r="E678" s="697" t="s">
        <v>3381</v>
      </c>
      <c r="F678" s="183">
        <v>-2956021.69</v>
      </c>
      <c r="G678" s="183">
        <v>-2898126.94</v>
      </c>
      <c r="H678" s="183">
        <v>-2840232.19</v>
      </c>
      <c r="I678" s="183">
        <v>-2782337.44</v>
      </c>
      <c r="J678" s="183">
        <v>-2724442.69</v>
      </c>
      <c r="K678" s="183">
        <v>-2666547.94</v>
      </c>
      <c r="L678" s="183">
        <v>-2608653.19</v>
      </c>
      <c r="M678" s="183">
        <v>-2550758.44</v>
      </c>
      <c r="N678" s="183">
        <v>-2492863.58</v>
      </c>
      <c r="O678" s="183">
        <v>-2434968.7200000002</v>
      </c>
      <c r="P678" s="183">
        <v>-2377073.86</v>
      </c>
      <c r="Q678" s="183">
        <v>-2319179</v>
      </c>
      <c r="R678" s="183">
        <v>-1508363.69</v>
      </c>
      <c r="S678" s="184">
        <f t="shared" si="121"/>
        <v>-2577281.3899999997</v>
      </c>
      <c r="U678" s="65"/>
      <c r="V678" s="103">
        <f t="shared" si="136"/>
        <v>-2577281.3899999997</v>
      </c>
      <c r="W678" s="103"/>
      <c r="X678" s="599"/>
      <c r="Y678" s="103"/>
      <c r="Z678" s="103"/>
      <c r="AA678" s="65"/>
      <c r="AB678" s="103"/>
      <c r="AD678" s="42">
        <f t="shared" si="137"/>
        <v>-2577281.3899999997</v>
      </c>
      <c r="AF678" s="6"/>
    </row>
    <row r="679" spans="1:32">
      <c r="A679" s="2">
        <f t="shared" si="133"/>
        <v>662</v>
      </c>
      <c r="B679" s="688" t="s">
        <v>2330</v>
      </c>
      <c r="C679" s="688" t="s">
        <v>3323</v>
      </c>
      <c r="D679" s="688" t="s">
        <v>3382</v>
      </c>
      <c r="E679" s="697" t="s">
        <v>3383</v>
      </c>
      <c r="F679" s="183">
        <v>0</v>
      </c>
      <c r="G679" s="183">
        <v>0</v>
      </c>
      <c r="H679" s="183">
        <v>0</v>
      </c>
      <c r="I679" s="183">
        <v>0</v>
      </c>
      <c r="J679" s="183">
        <v>0</v>
      </c>
      <c r="K679" s="183">
        <v>0</v>
      </c>
      <c r="L679" s="183">
        <v>0</v>
      </c>
      <c r="M679" s="183">
        <v>0</v>
      </c>
      <c r="N679" s="183">
        <v>0</v>
      </c>
      <c r="O679" s="183">
        <v>0</v>
      </c>
      <c r="P679" s="183">
        <v>0</v>
      </c>
      <c r="Q679" s="183">
        <v>0</v>
      </c>
      <c r="R679" s="183">
        <v>0</v>
      </c>
      <c r="S679" s="184">
        <f t="shared" si="121"/>
        <v>0</v>
      </c>
      <c r="U679" s="65"/>
      <c r="V679" s="103">
        <f t="shared" si="136"/>
        <v>0</v>
      </c>
      <c r="W679" s="103"/>
      <c r="X679" s="599"/>
      <c r="Y679" s="103"/>
      <c r="Z679" s="103"/>
      <c r="AA679" s="65"/>
      <c r="AB679" s="103"/>
      <c r="AD679" s="42">
        <f t="shared" si="137"/>
        <v>0</v>
      </c>
      <c r="AF679" s="6"/>
    </row>
    <row r="680" spans="1:32">
      <c r="A680" s="2">
        <f t="shared" si="133"/>
        <v>663</v>
      </c>
      <c r="B680" s="688" t="s">
        <v>2330</v>
      </c>
      <c r="C680" s="688" t="s">
        <v>3323</v>
      </c>
      <c r="D680" s="688" t="s">
        <v>3384</v>
      </c>
      <c r="E680" s="697" t="s">
        <v>3385</v>
      </c>
      <c r="F680" s="183">
        <v>0</v>
      </c>
      <c r="G680" s="183">
        <v>0</v>
      </c>
      <c r="H680" s="183">
        <v>0</v>
      </c>
      <c r="I680" s="183">
        <v>0</v>
      </c>
      <c r="J680" s="183">
        <v>0</v>
      </c>
      <c r="K680" s="183">
        <v>0</v>
      </c>
      <c r="L680" s="183">
        <v>0</v>
      </c>
      <c r="M680" s="183">
        <v>0</v>
      </c>
      <c r="N680" s="183">
        <v>0</v>
      </c>
      <c r="O680" s="183">
        <v>0</v>
      </c>
      <c r="P680" s="183">
        <v>0</v>
      </c>
      <c r="Q680" s="183">
        <v>0</v>
      </c>
      <c r="R680" s="183">
        <v>0</v>
      </c>
      <c r="S680" s="184">
        <f t="shared" si="121"/>
        <v>0</v>
      </c>
      <c r="U680" s="65"/>
      <c r="V680" s="103">
        <f t="shared" si="136"/>
        <v>0</v>
      </c>
      <c r="W680" s="103"/>
      <c r="X680" s="599"/>
      <c r="Y680" s="103"/>
      <c r="Z680" s="103"/>
      <c r="AA680" s="65"/>
      <c r="AB680" s="103"/>
      <c r="AD680" s="42">
        <f t="shared" si="137"/>
        <v>0</v>
      </c>
      <c r="AF680" s="6"/>
    </row>
    <row r="681" spans="1:32">
      <c r="A681" s="2">
        <f t="shared" si="133"/>
        <v>664</v>
      </c>
      <c r="B681" s="688" t="s">
        <v>2330</v>
      </c>
      <c r="C681" s="688" t="s">
        <v>3323</v>
      </c>
      <c r="D681" s="688" t="s">
        <v>3386</v>
      </c>
      <c r="E681" s="697" t="s">
        <v>3387</v>
      </c>
      <c r="F681" s="183">
        <v>0</v>
      </c>
      <c r="G681" s="183">
        <v>0</v>
      </c>
      <c r="H681" s="183">
        <v>0</v>
      </c>
      <c r="I681" s="183">
        <v>0</v>
      </c>
      <c r="J681" s="183">
        <v>0</v>
      </c>
      <c r="K681" s="183">
        <v>0</v>
      </c>
      <c r="L681" s="183">
        <v>0</v>
      </c>
      <c r="M681" s="183">
        <v>0</v>
      </c>
      <c r="N681" s="183">
        <v>0</v>
      </c>
      <c r="O681" s="183">
        <v>0</v>
      </c>
      <c r="P681" s="183">
        <v>0</v>
      </c>
      <c r="Q681" s="183">
        <v>0</v>
      </c>
      <c r="R681" s="183">
        <v>0</v>
      </c>
      <c r="S681" s="184">
        <f t="shared" si="121"/>
        <v>0</v>
      </c>
      <c r="U681" s="65"/>
      <c r="V681" s="103">
        <f t="shared" si="136"/>
        <v>0</v>
      </c>
      <c r="W681" s="103"/>
      <c r="X681" s="599"/>
      <c r="Y681" s="103"/>
      <c r="Z681" s="103"/>
      <c r="AA681" s="65"/>
      <c r="AB681" s="103"/>
      <c r="AD681" s="42">
        <f t="shared" si="137"/>
        <v>0</v>
      </c>
      <c r="AF681" s="6"/>
    </row>
    <row r="682" spans="1:32">
      <c r="A682" s="2">
        <f t="shared" si="133"/>
        <v>665</v>
      </c>
      <c r="B682" s="688" t="s">
        <v>2330</v>
      </c>
      <c r="C682" s="688" t="s">
        <v>3323</v>
      </c>
      <c r="D682" s="688" t="s">
        <v>3388</v>
      </c>
      <c r="E682" s="697" t="s">
        <v>3389</v>
      </c>
      <c r="F682" s="183">
        <v>0</v>
      </c>
      <c r="G682" s="183">
        <v>0</v>
      </c>
      <c r="H682" s="183">
        <v>0</v>
      </c>
      <c r="I682" s="183">
        <v>0</v>
      </c>
      <c r="J682" s="183">
        <v>0</v>
      </c>
      <c r="K682" s="183">
        <v>0</v>
      </c>
      <c r="L682" s="183">
        <v>0</v>
      </c>
      <c r="M682" s="183">
        <v>0</v>
      </c>
      <c r="N682" s="183">
        <v>0</v>
      </c>
      <c r="O682" s="183">
        <v>0</v>
      </c>
      <c r="P682" s="183">
        <v>0</v>
      </c>
      <c r="Q682" s="183">
        <v>0</v>
      </c>
      <c r="R682" s="183">
        <v>0</v>
      </c>
      <c r="S682" s="184">
        <f t="shared" si="121"/>
        <v>0</v>
      </c>
      <c r="U682" s="65"/>
      <c r="V682" s="103">
        <f t="shared" si="136"/>
        <v>0</v>
      </c>
      <c r="W682" s="103"/>
      <c r="X682" s="599"/>
      <c r="Y682" s="103"/>
      <c r="Z682" s="103"/>
      <c r="AA682" s="65"/>
      <c r="AB682" s="103"/>
      <c r="AD682" s="42">
        <f t="shared" si="137"/>
        <v>0</v>
      </c>
      <c r="AF682" s="6"/>
    </row>
    <row r="683" spans="1:32">
      <c r="A683" s="2">
        <f t="shared" si="133"/>
        <v>666</v>
      </c>
      <c r="B683" s="688" t="s">
        <v>2330</v>
      </c>
      <c r="C683" s="688" t="s">
        <v>3390</v>
      </c>
      <c r="D683" s="688" t="s">
        <v>3391</v>
      </c>
      <c r="E683" s="697" t="s">
        <v>3392</v>
      </c>
      <c r="F683" s="183">
        <v>-39337620.100000001</v>
      </c>
      <c r="G683" s="183">
        <v>-39094189.979999997</v>
      </c>
      <c r="H683" s="183">
        <v>-38850759.789999999</v>
      </c>
      <c r="I683" s="183">
        <v>-38607329.619999997</v>
      </c>
      <c r="J683" s="183">
        <v>-38363899.439999998</v>
      </c>
      <c r="K683" s="183">
        <v>-38120469.299999997</v>
      </c>
      <c r="L683" s="183">
        <v>-37877039.130000003</v>
      </c>
      <c r="M683" s="183">
        <v>-37633608.969999999</v>
      </c>
      <c r="N683" s="183">
        <v>-37390178.82</v>
      </c>
      <c r="O683" s="183">
        <v>-37146748.640000001</v>
      </c>
      <c r="P683" s="183">
        <v>-36903318.450000003</v>
      </c>
      <c r="Q683" s="183">
        <v>-37118490.009999998</v>
      </c>
      <c r="R683" s="183">
        <v>-37036690.719999999</v>
      </c>
      <c r="S683" s="184">
        <f t="shared" si="121"/>
        <v>-37941098.963333331</v>
      </c>
      <c r="U683" s="65"/>
      <c r="W683" s="103"/>
      <c r="X683" s="103">
        <f>+S683</f>
        <v>-37941098.963333331</v>
      </c>
      <c r="Y683" s="103"/>
      <c r="Z683" s="103"/>
      <c r="AA683" s="65"/>
      <c r="AB683" s="42">
        <f>+S683</f>
        <v>-37941098.963333331</v>
      </c>
      <c r="AF683" s="6"/>
    </row>
    <row r="684" spans="1:32">
      <c r="A684" s="2">
        <f t="shared" si="133"/>
        <v>667</v>
      </c>
      <c r="B684" s="688" t="s">
        <v>2330</v>
      </c>
      <c r="C684" s="688" t="s">
        <v>3390</v>
      </c>
      <c r="D684" s="688" t="s">
        <v>3393</v>
      </c>
      <c r="E684" s="697" t="s">
        <v>3394</v>
      </c>
      <c r="F684" s="183">
        <v>-4323407.1100000003</v>
      </c>
      <c r="G684" s="183">
        <v>-4251903.18</v>
      </c>
      <c r="H684" s="183">
        <v>-4180399.25</v>
      </c>
      <c r="I684" s="183">
        <v>-4108895.31</v>
      </c>
      <c r="J684" s="183">
        <v>-4037391.42</v>
      </c>
      <c r="K684" s="183">
        <v>-3965887.53</v>
      </c>
      <c r="L684" s="183">
        <v>-3894383.49</v>
      </c>
      <c r="M684" s="183">
        <v>-3822879.46</v>
      </c>
      <c r="N684" s="183">
        <v>-3751375.55</v>
      </c>
      <c r="O684" s="183">
        <v>-3679871.55</v>
      </c>
      <c r="P684" s="183">
        <v>-3608367.59</v>
      </c>
      <c r="Q684" s="183">
        <v>-3536863.61</v>
      </c>
      <c r="R684" s="183">
        <v>-3465359.83</v>
      </c>
      <c r="S684" s="184">
        <f t="shared" si="121"/>
        <v>-3894383.4508333332</v>
      </c>
      <c r="U684" s="65"/>
      <c r="W684" s="103"/>
      <c r="X684" s="103">
        <f>+S684</f>
        <v>-3894383.4508333332</v>
      </c>
      <c r="Y684" s="103"/>
      <c r="Z684" s="103"/>
      <c r="AA684" s="65"/>
      <c r="AB684" s="42">
        <f>+S684</f>
        <v>-3894383.4508333332</v>
      </c>
      <c r="AF684" s="6"/>
    </row>
    <row r="685" spans="1:32">
      <c r="A685" s="2">
        <f t="shared" si="133"/>
        <v>668</v>
      </c>
      <c r="B685" s="688" t="s">
        <v>2330</v>
      </c>
      <c r="C685" s="688" t="s">
        <v>3390</v>
      </c>
      <c r="D685" s="688" t="s">
        <v>3395</v>
      </c>
      <c r="E685" s="182" t="s">
        <v>3396</v>
      </c>
      <c r="F685" s="183">
        <v>0</v>
      </c>
      <c r="G685" s="183">
        <v>0</v>
      </c>
      <c r="H685" s="183">
        <v>0</v>
      </c>
      <c r="I685" s="183">
        <v>0</v>
      </c>
      <c r="J685" s="183">
        <v>0</v>
      </c>
      <c r="K685" s="183">
        <v>0</v>
      </c>
      <c r="L685" s="183">
        <v>0</v>
      </c>
      <c r="M685" s="183">
        <v>0</v>
      </c>
      <c r="N685" s="183">
        <v>0</v>
      </c>
      <c r="O685" s="183">
        <v>0</v>
      </c>
      <c r="P685" s="183">
        <v>0</v>
      </c>
      <c r="Q685" s="183">
        <v>0</v>
      </c>
      <c r="R685" s="183">
        <v>0</v>
      </c>
      <c r="S685" s="184">
        <f t="shared" si="121"/>
        <v>0</v>
      </c>
      <c r="U685" s="65"/>
      <c r="V685" s="599">
        <f>+S685</f>
        <v>0</v>
      </c>
      <c r="W685" s="103"/>
      <c r="Y685" s="103"/>
      <c r="Z685" s="103"/>
      <c r="AA685" s="65"/>
      <c r="AB685" s="103"/>
      <c r="AD685" s="42">
        <f>+S685</f>
        <v>0</v>
      </c>
      <c r="AF685" s="6"/>
    </row>
    <row r="686" spans="1:32">
      <c r="A686" s="2">
        <f t="shared" si="133"/>
        <v>669</v>
      </c>
      <c r="B686" s="688" t="s">
        <v>2342</v>
      </c>
      <c r="C686" s="688" t="s">
        <v>3235</v>
      </c>
      <c r="D686" s="688" t="s">
        <v>2586</v>
      </c>
      <c r="E686" s="697" t="s">
        <v>3397</v>
      </c>
      <c r="F686" s="183">
        <v>0</v>
      </c>
      <c r="G686" s="183">
        <v>0</v>
      </c>
      <c r="H686" s="183">
        <v>0</v>
      </c>
      <c r="I686" s="183">
        <v>0</v>
      </c>
      <c r="J686" s="183">
        <v>0</v>
      </c>
      <c r="K686" s="183">
        <v>0</v>
      </c>
      <c r="L686" s="183">
        <v>0</v>
      </c>
      <c r="M686" s="183">
        <v>0</v>
      </c>
      <c r="N686" s="183">
        <v>0</v>
      </c>
      <c r="O686" s="183">
        <v>0</v>
      </c>
      <c r="P686" s="183">
        <v>0</v>
      </c>
      <c r="Q686" s="183">
        <v>0</v>
      </c>
      <c r="R686" s="183">
        <v>0</v>
      </c>
      <c r="S686" s="184">
        <f t="shared" si="121"/>
        <v>0</v>
      </c>
      <c r="U686" s="65"/>
      <c r="V686" s="599">
        <f>+S686</f>
        <v>0</v>
      </c>
      <c r="W686" s="103"/>
      <c r="Y686" s="103"/>
      <c r="Z686" s="103"/>
      <c r="AA686" s="65"/>
      <c r="AB686" s="103"/>
      <c r="AD686" s="42">
        <f>+S686</f>
        <v>0</v>
      </c>
      <c r="AF686" s="6"/>
    </row>
    <row r="687" spans="1:32">
      <c r="A687" s="2">
        <f t="shared" si="133"/>
        <v>670</v>
      </c>
      <c r="B687" s="688" t="s">
        <v>2342</v>
      </c>
      <c r="C687" s="688" t="s">
        <v>3320</v>
      </c>
      <c r="D687" s="688" t="s">
        <v>3398</v>
      </c>
      <c r="E687" s="697" t="s">
        <v>3399</v>
      </c>
      <c r="F687" s="183">
        <v>0</v>
      </c>
      <c r="G687" s="183">
        <v>0</v>
      </c>
      <c r="H687" s="183">
        <v>0</v>
      </c>
      <c r="I687" s="183">
        <v>0</v>
      </c>
      <c r="J687" s="183">
        <v>0</v>
      </c>
      <c r="K687" s="183">
        <v>0</v>
      </c>
      <c r="L687" s="183">
        <v>0</v>
      </c>
      <c r="M687" s="183">
        <v>0</v>
      </c>
      <c r="N687" s="183">
        <v>0</v>
      </c>
      <c r="O687" s="183">
        <v>0</v>
      </c>
      <c r="P687" s="183">
        <v>0</v>
      </c>
      <c r="Q687" s="183">
        <v>0</v>
      </c>
      <c r="R687" s="183">
        <v>0</v>
      </c>
      <c r="S687" s="184">
        <f t="shared" si="121"/>
        <v>0</v>
      </c>
      <c r="U687" s="65"/>
      <c r="V687" s="103">
        <f t="shared" ref="V687:V694" si="138">+S687</f>
        <v>0</v>
      </c>
      <c r="W687" s="103"/>
      <c r="X687" s="599"/>
      <c r="Y687" s="103"/>
      <c r="Z687" s="103"/>
      <c r="AA687" s="65"/>
      <c r="AB687" s="103"/>
      <c r="AD687" s="42">
        <f>+S687</f>
        <v>0</v>
      </c>
      <c r="AF687" s="6"/>
    </row>
    <row r="688" spans="1:32">
      <c r="A688" s="2">
        <f t="shared" si="133"/>
        <v>671</v>
      </c>
      <c r="B688" s="688" t="s">
        <v>2342</v>
      </c>
      <c r="C688" s="688" t="s">
        <v>3390</v>
      </c>
      <c r="D688" s="688" t="s">
        <v>2798</v>
      </c>
      <c r="E688" s="697" t="s">
        <v>3400</v>
      </c>
      <c r="F688" s="183">
        <v>3.6379788070917101E-12</v>
      </c>
      <c r="G688" s="183">
        <v>0</v>
      </c>
      <c r="H688" s="183">
        <v>0</v>
      </c>
      <c r="I688" s="183">
        <v>0</v>
      </c>
      <c r="J688" s="183">
        <v>0</v>
      </c>
      <c r="K688" s="183">
        <v>0</v>
      </c>
      <c r="L688" s="183">
        <v>0</v>
      </c>
      <c r="M688" s="183">
        <v>0</v>
      </c>
      <c r="N688" s="183">
        <v>0</v>
      </c>
      <c r="O688" s="183">
        <v>0</v>
      </c>
      <c r="P688" s="183">
        <v>0</v>
      </c>
      <c r="Q688" s="183">
        <v>0</v>
      </c>
      <c r="R688" s="183">
        <v>0</v>
      </c>
      <c r="S688" s="184">
        <f t="shared" si="121"/>
        <v>1.5158245029548793E-13</v>
      </c>
      <c r="U688" s="65"/>
      <c r="V688" s="103">
        <f t="shared" si="138"/>
        <v>1.5158245029548793E-13</v>
      </c>
      <c r="W688" s="103"/>
      <c r="X688" s="599"/>
      <c r="Y688" s="103"/>
      <c r="Z688" s="103"/>
      <c r="AA688" s="65"/>
      <c r="AB688" s="103"/>
      <c r="AD688" s="42">
        <f>+S688</f>
        <v>1.5158245029548793E-13</v>
      </c>
      <c r="AF688" s="6"/>
    </row>
    <row r="689" spans="1:32">
      <c r="A689" s="2">
        <f t="shared" si="133"/>
        <v>672</v>
      </c>
      <c r="B689" s="688" t="s">
        <v>2342</v>
      </c>
      <c r="C689" s="688" t="s">
        <v>3390</v>
      </c>
      <c r="D689" s="688" t="s">
        <v>2997</v>
      </c>
      <c r="E689" s="697" t="s">
        <v>3401</v>
      </c>
      <c r="F689" s="183">
        <v>-638573.22</v>
      </c>
      <c r="G689" s="183">
        <v>-601043.72</v>
      </c>
      <c r="H689" s="183">
        <v>-555812.02</v>
      </c>
      <c r="I689" s="183">
        <v>-525291.29</v>
      </c>
      <c r="J689" s="183">
        <v>-341837.93</v>
      </c>
      <c r="K689" s="183">
        <v>-322317.76</v>
      </c>
      <c r="L689" s="183">
        <v>-301872.87</v>
      </c>
      <c r="M689" s="183">
        <v>-290940.88</v>
      </c>
      <c r="N689" s="183">
        <v>-275993.17</v>
      </c>
      <c r="O689" s="183">
        <v>-254660.32</v>
      </c>
      <c r="P689" s="183">
        <v>-207528.07</v>
      </c>
      <c r="Q689" s="183">
        <v>-140511.14000000001</v>
      </c>
      <c r="R689" s="183">
        <v>-65383.65</v>
      </c>
      <c r="S689" s="184">
        <f t="shared" si="121"/>
        <v>-347482.30041666661</v>
      </c>
      <c r="U689" s="65"/>
      <c r="V689" s="103"/>
      <c r="W689" s="103"/>
      <c r="X689" s="599">
        <f>+S689</f>
        <v>-347482.30041666661</v>
      </c>
      <c r="Y689" s="103"/>
      <c r="Z689" s="103"/>
      <c r="AA689" s="65"/>
      <c r="AB689" s="103">
        <f>+S689</f>
        <v>-347482.30041666661</v>
      </c>
      <c r="AD689" s="42"/>
      <c r="AF689" s="6"/>
    </row>
    <row r="690" spans="1:32">
      <c r="A690" s="2">
        <f t="shared" si="133"/>
        <v>673</v>
      </c>
      <c r="B690" s="688" t="s">
        <v>2342</v>
      </c>
      <c r="C690" s="688" t="s">
        <v>3390</v>
      </c>
      <c r="D690" s="688" t="s">
        <v>2999</v>
      </c>
      <c r="E690" s="697" t="s">
        <v>3402</v>
      </c>
      <c r="F690" s="183">
        <v>0</v>
      </c>
      <c r="G690" s="183">
        <v>0</v>
      </c>
      <c r="H690" s="183">
        <v>0</v>
      </c>
      <c r="I690" s="183">
        <v>0</v>
      </c>
      <c r="J690" s="183">
        <v>0</v>
      </c>
      <c r="K690" s="183">
        <v>0</v>
      </c>
      <c r="L690" s="183">
        <v>0</v>
      </c>
      <c r="M690" s="183">
        <v>0</v>
      </c>
      <c r="N690" s="183">
        <v>0</v>
      </c>
      <c r="O690" s="183">
        <v>0</v>
      </c>
      <c r="P690" s="183">
        <v>0</v>
      </c>
      <c r="Q690" s="183">
        <v>0</v>
      </c>
      <c r="R690" s="183">
        <v>0</v>
      </c>
      <c r="S690" s="184">
        <f t="shared" si="121"/>
        <v>0</v>
      </c>
      <c r="U690" s="65"/>
      <c r="V690" s="103"/>
      <c r="W690" s="103"/>
      <c r="X690" s="599">
        <f>+S690</f>
        <v>0</v>
      </c>
      <c r="Y690" s="103"/>
      <c r="Z690" s="103"/>
      <c r="AA690" s="65"/>
      <c r="AB690" s="103">
        <f>+S690</f>
        <v>0</v>
      </c>
      <c r="AD690" s="42"/>
      <c r="AF690" s="6"/>
    </row>
    <row r="691" spans="1:32">
      <c r="A691" s="2">
        <f t="shared" si="133"/>
        <v>674</v>
      </c>
      <c r="B691" s="688" t="s">
        <v>2324</v>
      </c>
      <c r="C691" s="688" t="s">
        <v>3235</v>
      </c>
      <c r="D691" s="688" t="s">
        <v>2539</v>
      </c>
      <c r="E691" s="697" t="s">
        <v>3403</v>
      </c>
      <c r="F691" s="183">
        <v>-19739534.329999998</v>
      </c>
      <c r="G691" s="183">
        <v>-19741684.510000002</v>
      </c>
      <c r="H691" s="183">
        <v>-19741684.510000002</v>
      </c>
      <c r="I691" s="183">
        <v>-19676437.940000001</v>
      </c>
      <c r="J691" s="183">
        <v>-19625083.940000001</v>
      </c>
      <c r="K691" s="183">
        <v>-19596105.079999998</v>
      </c>
      <c r="L691" s="183">
        <v>-19368325.079999998</v>
      </c>
      <c r="M691" s="183">
        <v>-19330060.27</v>
      </c>
      <c r="N691" s="183">
        <v>-19235898.260000002</v>
      </c>
      <c r="O691" s="183">
        <v>-19121294.969999999</v>
      </c>
      <c r="P691" s="183">
        <v>-19066056.969999999</v>
      </c>
      <c r="Q691" s="183">
        <v>-19071929.170000002</v>
      </c>
      <c r="R691" s="183">
        <v>-20651159.870000001</v>
      </c>
      <c r="S691" s="184">
        <f t="shared" si="121"/>
        <v>-19480825.649999999</v>
      </c>
      <c r="U691" s="65"/>
      <c r="V691" s="103">
        <f>+S691</f>
        <v>-19480825.649999999</v>
      </c>
      <c r="W691" s="103"/>
      <c r="X691" s="599"/>
      <c r="Y691" s="103"/>
      <c r="Z691" s="103"/>
      <c r="AA691" s="65"/>
      <c r="AB691" s="103"/>
      <c r="AD691" s="42">
        <f>+S691</f>
        <v>-19480825.649999999</v>
      </c>
      <c r="AF691" s="6"/>
    </row>
    <row r="692" spans="1:32">
      <c r="A692" s="2">
        <f t="shared" si="133"/>
        <v>675</v>
      </c>
      <c r="B692" s="688" t="s">
        <v>2324</v>
      </c>
      <c r="C692" s="688" t="s">
        <v>3235</v>
      </c>
      <c r="D692" s="688" t="s">
        <v>2586</v>
      </c>
      <c r="E692" s="697" t="s">
        <v>3404</v>
      </c>
      <c r="F692" s="183">
        <v>-466500</v>
      </c>
      <c r="G692" s="183">
        <v>-466500</v>
      </c>
      <c r="H692" s="183">
        <v>-466500</v>
      </c>
      <c r="I692" s="183">
        <v>-466500</v>
      </c>
      <c r="J692" s="183">
        <v>-466500</v>
      </c>
      <c r="K692" s="183">
        <v>-466500</v>
      </c>
      <c r="L692" s="183">
        <v>-466500</v>
      </c>
      <c r="M692" s="183">
        <v>-466500</v>
      </c>
      <c r="N692" s="183">
        <v>-466500</v>
      </c>
      <c r="O692" s="183">
        <v>-466500</v>
      </c>
      <c r="P692" s="183">
        <v>-466500</v>
      </c>
      <c r="Q692" s="183">
        <v>-466500</v>
      </c>
      <c r="R692" s="183">
        <v>-466500</v>
      </c>
      <c r="S692" s="184">
        <f t="shared" si="121"/>
        <v>-466500</v>
      </c>
      <c r="U692" s="65"/>
      <c r="V692" s="103">
        <f t="shared" si="138"/>
        <v>-466500</v>
      </c>
      <c r="W692" s="103"/>
      <c r="X692" s="599"/>
      <c r="Y692" s="103"/>
      <c r="Z692" s="103"/>
      <c r="AA692" s="65"/>
      <c r="AB692" s="103"/>
      <c r="AD692" s="42">
        <f>+S692</f>
        <v>-466500</v>
      </c>
      <c r="AF692" s="6"/>
    </row>
    <row r="693" spans="1:32">
      <c r="A693" s="2">
        <f t="shared" si="133"/>
        <v>676</v>
      </c>
      <c r="B693" s="688" t="s">
        <v>2324</v>
      </c>
      <c r="C693" s="688" t="s">
        <v>3320</v>
      </c>
      <c r="D693" s="688" t="s">
        <v>3405</v>
      </c>
      <c r="E693" s="697" t="s">
        <v>3399</v>
      </c>
      <c r="F693" s="183">
        <v>0</v>
      </c>
      <c r="G693" s="183">
        <v>0</v>
      </c>
      <c r="H693" s="183">
        <v>0</v>
      </c>
      <c r="I693" s="183">
        <v>0</v>
      </c>
      <c r="J693" s="183">
        <v>0</v>
      </c>
      <c r="K693" s="183">
        <v>0</v>
      </c>
      <c r="L693" s="183">
        <v>0</v>
      </c>
      <c r="M693" s="183">
        <v>0</v>
      </c>
      <c r="N693" s="183">
        <v>0</v>
      </c>
      <c r="O693" s="183">
        <v>0</v>
      </c>
      <c r="P693" s="183">
        <v>0</v>
      </c>
      <c r="Q693" s="183">
        <v>0</v>
      </c>
      <c r="R693" s="183">
        <v>0</v>
      </c>
      <c r="S693" s="184">
        <f t="shared" si="121"/>
        <v>0</v>
      </c>
      <c r="U693" s="65"/>
      <c r="V693" s="103">
        <f t="shared" si="138"/>
        <v>0</v>
      </c>
      <c r="W693" s="103"/>
      <c r="X693" s="599"/>
      <c r="Y693" s="103"/>
      <c r="Z693" s="103"/>
      <c r="AA693" s="65"/>
      <c r="AB693" s="103"/>
      <c r="AD693" s="42">
        <f>+S693</f>
        <v>0</v>
      </c>
      <c r="AF693" s="6"/>
    </row>
    <row r="694" spans="1:32">
      <c r="A694" s="2">
        <f t="shared" si="133"/>
        <v>677</v>
      </c>
      <c r="B694" s="688" t="s">
        <v>2324</v>
      </c>
      <c r="C694" s="688" t="s">
        <v>3390</v>
      </c>
      <c r="D694" s="688" t="s">
        <v>2798</v>
      </c>
      <c r="E694" s="697" t="s">
        <v>3400</v>
      </c>
      <c r="F694" s="183">
        <v>1.45519152283669E-11</v>
      </c>
      <c r="G694" s="183">
        <v>0</v>
      </c>
      <c r="H694" s="183">
        <v>0</v>
      </c>
      <c r="I694" s="183">
        <v>0</v>
      </c>
      <c r="J694" s="183">
        <v>0</v>
      </c>
      <c r="K694" s="183">
        <v>0</v>
      </c>
      <c r="L694" s="183">
        <v>0</v>
      </c>
      <c r="M694" s="183">
        <v>0</v>
      </c>
      <c r="N694" s="183">
        <v>0</v>
      </c>
      <c r="O694" s="183">
        <v>0</v>
      </c>
      <c r="P694" s="183">
        <v>0</v>
      </c>
      <c r="Q694" s="183">
        <v>0</v>
      </c>
      <c r="R694" s="183">
        <v>0</v>
      </c>
      <c r="S694" s="184">
        <f t="shared" si="121"/>
        <v>6.0632980118195414E-13</v>
      </c>
      <c r="U694" s="65"/>
      <c r="V694" s="103">
        <f t="shared" si="138"/>
        <v>6.0632980118195414E-13</v>
      </c>
      <c r="W694" s="103"/>
      <c r="X694" s="599"/>
      <c r="Y694" s="103"/>
      <c r="Z694" s="103"/>
      <c r="AA694" s="65"/>
      <c r="AD694" s="42">
        <f>+S694</f>
        <v>6.0632980118195414E-13</v>
      </c>
      <c r="AF694" s="6"/>
    </row>
    <row r="695" spans="1:32">
      <c r="A695" s="2">
        <f t="shared" si="133"/>
        <v>678</v>
      </c>
      <c r="B695" s="688" t="s">
        <v>2324</v>
      </c>
      <c r="C695" s="688" t="s">
        <v>3390</v>
      </c>
      <c r="D695" s="688" t="s">
        <v>3391</v>
      </c>
      <c r="E695" s="696" t="s">
        <v>3392</v>
      </c>
      <c r="F695" s="183">
        <v>0</v>
      </c>
      <c r="G695" s="183">
        <v>0</v>
      </c>
      <c r="H695" s="183">
        <v>0</v>
      </c>
      <c r="I695" s="183">
        <v>0</v>
      </c>
      <c r="J695" s="183">
        <v>0</v>
      </c>
      <c r="K695" s="183">
        <v>0</v>
      </c>
      <c r="L695" s="183">
        <v>0</v>
      </c>
      <c r="M695" s="183">
        <v>0</v>
      </c>
      <c r="N695" s="183">
        <v>0</v>
      </c>
      <c r="O695" s="183">
        <v>0</v>
      </c>
      <c r="P695" s="183">
        <v>0</v>
      </c>
      <c r="Q695" s="183">
        <v>-0.01</v>
      </c>
      <c r="R695" s="183">
        <v>0.01</v>
      </c>
      <c r="S695" s="184">
        <f t="shared" si="121"/>
        <v>-4.1666666666666669E-4</v>
      </c>
      <c r="U695" s="65"/>
      <c r="V695" s="103"/>
      <c r="W695" s="103"/>
      <c r="X695" s="599">
        <f>+S695</f>
        <v>-4.1666666666666669E-4</v>
      </c>
      <c r="Y695" s="103"/>
      <c r="Z695" s="103"/>
      <c r="AA695" s="65"/>
      <c r="AB695" s="42">
        <f t="shared" ref="AB695:AB704" si="139">+S695</f>
        <v>-4.1666666666666669E-4</v>
      </c>
      <c r="AF695" s="6"/>
    </row>
    <row r="696" spans="1:32">
      <c r="A696" s="2">
        <f t="shared" si="133"/>
        <v>679</v>
      </c>
      <c r="B696" s="688" t="s">
        <v>2324</v>
      </c>
      <c r="C696" s="688" t="s">
        <v>3390</v>
      </c>
      <c r="D696" s="688" t="s">
        <v>2985</v>
      </c>
      <c r="E696" s="697" t="s">
        <v>3406</v>
      </c>
      <c r="F696" s="183">
        <v>-1032092.27</v>
      </c>
      <c r="G696" s="183">
        <v>-955304.1</v>
      </c>
      <c r="H696" s="183">
        <v>-909435.11</v>
      </c>
      <c r="I696" s="183">
        <v>0</v>
      </c>
      <c r="J696" s="183">
        <v>0</v>
      </c>
      <c r="K696" s="183">
        <v>0</v>
      </c>
      <c r="L696" s="183">
        <v>0</v>
      </c>
      <c r="M696" s="183">
        <v>0</v>
      </c>
      <c r="N696" s="183">
        <v>0</v>
      </c>
      <c r="O696" s="183">
        <v>0</v>
      </c>
      <c r="P696" s="183">
        <v>0</v>
      </c>
      <c r="Q696" s="183">
        <v>0</v>
      </c>
      <c r="R696" s="183">
        <v>0</v>
      </c>
      <c r="S696" s="184">
        <f t="shared" si="121"/>
        <v>-198398.77874999997</v>
      </c>
      <c r="U696" s="65"/>
      <c r="V696" s="103"/>
      <c r="W696" s="103"/>
      <c r="X696" s="599">
        <f>+S696</f>
        <v>-198398.77874999997</v>
      </c>
      <c r="Y696" s="103"/>
      <c r="Z696" s="103"/>
      <c r="AA696" s="65"/>
      <c r="AB696" s="42">
        <f t="shared" si="139"/>
        <v>-198398.77874999997</v>
      </c>
      <c r="AF696" s="6"/>
    </row>
    <row r="697" spans="1:32">
      <c r="A697" s="2">
        <f t="shared" si="133"/>
        <v>680</v>
      </c>
      <c r="B697" s="688" t="s">
        <v>2324</v>
      </c>
      <c r="C697" s="688" t="s">
        <v>3390</v>
      </c>
      <c r="D697" s="688" t="s">
        <v>2978</v>
      </c>
      <c r="E697" s="696" t="s">
        <v>3407</v>
      </c>
      <c r="F697" s="183">
        <v>-208852.67</v>
      </c>
      <c r="G697" s="183">
        <v>-183496.45</v>
      </c>
      <c r="H697" s="183">
        <v>-168222.65</v>
      </c>
      <c r="I697" s="183">
        <v>-0.100000000034925</v>
      </c>
      <c r="J697" s="183">
        <v>-3.4924590996965302E-11</v>
      </c>
      <c r="K697" s="183">
        <v>-3.4924590996965302E-11</v>
      </c>
      <c r="L697" s="183">
        <v>-3.4924590996965302E-11</v>
      </c>
      <c r="M697" s="183">
        <v>-3.4924590996965302E-11</v>
      </c>
      <c r="N697" s="183">
        <v>-3.4924590996965302E-11</v>
      </c>
      <c r="O697" s="183">
        <v>-3.4924590996965302E-11</v>
      </c>
      <c r="P697" s="183">
        <v>-3.4924590996965302E-11</v>
      </c>
      <c r="Q697" s="183">
        <v>-3.4924590996965302E-11</v>
      </c>
      <c r="R697" s="183">
        <v>-3.4924590996965302E-11</v>
      </c>
      <c r="S697" s="184">
        <f t="shared" si="121"/>
        <v>-38012.127916666708</v>
      </c>
      <c r="U697" s="65"/>
      <c r="V697" s="103"/>
      <c r="W697" s="103"/>
      <c r="X697" s="599">
        <f>+S697</f>
        <v>-38012.127916666708</v>
      </c>
      <c r="Y697" s="103"/>
      <c r="Z697" s="103"/>
      <c r="AA697" s="65"/>
      <c r="AB697" s="42">
        <f t="shared" si="139"/>
        <v>-38012.127916666708</v>
      </c>
      <c r="AE697" s="42"/>
      <c r="AF697" s="6"/>
    </row>
    <row r="698" spans="1:32">
      <c r="A698" s="2">
        <f t="shared" si="133"/>
        <v>681</v>
      </c>
      <c r="B698" s="688" t="s">
        <v>2324</v>
      </c>
      <c r="C698" s="688" t="s">
        <v>3390</v>
      </c>
      <c r="D698" s="688" t="s">
        <v>2987</v>
      </c>
      <c r="E698" s="182" t="s">
        <v>3401</v>
      </c>
      <c r="F698" s="183">
        <v>-389370.9</v>
      </c>
      <c r="G698" s="183">
        <v>-325888.49</v>
      </c>
      <c r="H698" s="183">
        <v>-278667.13</v>
      </c>
      <c r="I698" s="183">
        <v>-235916.31</v>
      </c>
      <c r="J698" s="183">
        <v>-224545.33</v>
      </c>
      <c r="K698" s="183">
        <v>-244888.23</v>
      </c>
      <c r="L698" s="183">
        <v>-269406.13</v>
      </c>
      <c r="M698" s="183">
        <v>-295228.5</v>
      </c>
      <c r="N698" s="183">
        <v>-314524.15000000002</v>
      </c>
      <c r="O698" s="183">
        <v>-326346.42</v>
      </c>
      <c r="P698" s="183">
        <v>-318457.44</v>
      </c>
      <c r="Q698" s="183">
        <v>-282990.43</v>
      </c>
      <c r="R698" s="183">
        <v>-239377.95</v>
      </c>
      <c r="S698" s="184">
        <f t="shared" si="121"/>
        <v>-285936.08208333334</v>
      </c>
      <c r="U698" s="65"/>
      <c r="W698" s="103"/>
      <c r="X698" s="103">
        <f t="shared" ref="X698:X703" si="140">+S698</f>
        <v>-285936.08208333334</v>
      </c>
      <c r="Y698" s="824"/>
      <c r="Z698" s="103"/>
      <c r="AA698" s="65"/>
      <c r="AB698" s="42">
        <f t="shared" si="139"/>
        <v>-285936.08208333334</v>
      </c>
      <c r="AF698" s="6"/>
    </row>
    <row r="699" spans="1:32">
      <c r="A699" s="2">
        <f t="shared" si="133"/>
        <v>682</v>
      </c>
      <c r="B699" s="688" t="s">
        <v>2324</v>
      </c>
      <c r="C699" s="688" t="s">
        <v>3390</v>
      </c>
      <c r="D699" s="688" t="s">
        <v>2989</v>
      </c>
      <c r="E699" s="182" t="s">
        <v>3408</v>
      </c>
      <c r="F699" s="183">
        <v>-154835.31</v>
      </c>
      <c r="G699" s="183">
        <v>-167183.45000000001</v>
      </c>
      <c r="H699" s="183">
        <v>-180278.47</v>
      </c>
      <c r="I699" s="183">
        <v>-193608.58</v>
      </c>
      <c r="J699" s="183">
        <v>-208396.89</v>
      </c>
      <c r="K699" s="183">
        <v>-224613.47</v>
      </c>
      <c r="L699" s="183">
        <v>-241034.13</v>
      </c>
      <c r="M699" s="183">
        <v>-257567.94</v>
      </c>
      <c r="N699" s="183">
        <v>-273814.90999999997</v>
      </c>
      <c r="O699" s="183">
        <v>-289716.58</v>
      </c>
      <c r="P699" s="183">
        <v>-304692.58</v>
      </c>
      <c r="Q699" s="183">
        <v>-318239.17</v>
      </c>
      <c r="R699" s="183">
        <v>-331409.99</v>
      </c>
      <c r="S699" s="184">
        <f t="shared" si="121"/>
        <v>-241855.73499999999</v>
      </c>
      <c r="U699" s="65"/>
      <c r="W699" s="103"/>
      <c r="X699" s="103">
        <f t="shared" si="140"/>
        <v>-241855.73499999999</v>
      </c>
      <c r="Y699" s="103"/>
      <c r="Z699" s="103"/>
      <c r="AA699" s="65"/>
      <c r="AB699" s="42">
        <f t="shared" si="139"/>
        <v>-241855.73499999999</v>
      </c>
      <c r="AF699" s="6"/>
    </row>
    <row r="700" spans="1:32">
      <c r="A700" s="2">
        <f t="shared" si="133"/>
        <v>683</v>
      </c>
      <c r="B700" s="688" t="s">
        <v>2324</v>
      </c>
      <c r="C700" s="688" t="s">
        <v>3390</v>
      </c>
      <c r="D700" s="688" t="s">
        <v>2991</v>
      </c>
      <c r="E700" s="182" t="s">
        <v>3409</v>
      </c>
      <c r="F700" s="183">
        <v>0</v>
      </c>
      <c r="G700" s="183">
        <v>0</v>
      </c>
      <c r="H700" s="183">
        <v>0</v>
      </c>
      <c r="I700" s="183">
        <v>0</v>
      </c>
      <c r="J700" s="183">
        <v>0</v>
      </c>
      <c r="K700" s="183">
        <v>0</v>
      </c>
      <c r="L700" s="183">
        <v>0</v>
      </c>
      <c r="M700" s="183">
        <v>0</v>
      </c>
      <c r="N700" s="183">
        <v>0</v>
      </c>
      <c r="O700" s="183">
        <v>0</v>
      </c>
      <c r="P700" s="183">
        <v>0</v>
      </c>
      <c r="Q700" s="183">
        <v>0</v>
      </c>
      <c r="R700" s="183">
        <v>0</v>
      </c>
      <c r="S700" s="184">
        <f t="shared" si="121"/>
        <v>0</v>
      </c>
      <c r="U700" s="65"/>
      <c r="W700" s="103"/>
      <c r="X700" s="103">
        <f t="shared" si="140"/>
        <v>0</v>
      </c>
      <c r="Y700" s="103"/>
      <c r="Z700" s="103"/>
      <c r="AA700" s="65"/>
      <c r="AB700" s="42">
        <f t="shared" si="139"/>
        <v>0</v>
      </c>
      <c r="AF700" s="6"/>
    </row>
    <row r="701" spans="1:32">
      <c r="A701" s="2">
        <f t="shared" si="133"/>
        <v>684</v>
      </c>
      <c r="B701" s="688" t="s">
        <v>2324</v>
      </c>
      <c r="C701" s="688" t="s">
        <v>3390</v>
      </c>
      <c r="D701" s="688" t="s">
        <v>2993</v>
      </c>
      <c r="E701" s="182" t="s">
        <v>3410</v>
      </c>
      <c r="F701" s="183">
        <v>0</v>
      </c>
      <c r="G701" s="183">
        <v>0</v>
      </c>
      <c r="H701" s="183">
        <v>0</v>
      </c>
      <c r="I701" s="183">
        <v>0</v>
      </c>
      <c r="J701" s="183">
        <v>0</v>
      </c>
      <c r="K701" s="183">
        <v>0</v>
      </c>
      <c r="L701" s="183">
        <v>0</v>
      </c>
      <c r="M701" s="183">
        <v>0</v>
      </c>
      <c r="N701" s="183">
        <v>0</v>
      </c>
      <c r="O701" s="183">
        <v>0</v>
      </c>
      <c r="P701" s="183">
        <v>0</v>
      </c>
      <c r="Q701" s="183">
        <v>0</v>
      </c>
      <c r="R701" s="183">
        <v>0</v>
      </c>
      <c r="S701" s="184">
        <f t="shared" si="121"/>
        <v>0</v>
      </c>
      <c r="U701" s="65"/>
      <c r="W701" s="103"/>
      <c r="X701" s="103">
        <f t="shared" si="140"/>
        <v>0</v>
      </c>
      <c r="Y701" s="103"/>
      <c r="Z701" s="103"/>
      <c r="AA701" s="65"/>
      <c r="AB701" s="42">
        <f t="shared" si="139"/>
        <v>0</v>
      </c>
      <c r="AF701" s="6"/>
    </row>
    <row r="702" spans="1:32">
      <c r="A702" s="2">
        <f t="shared" si="133"/>
        <v>685</v>
      </c>
      <c r="B702" s="688" t="s">
        <v>2324</v>
      </c>
      <c r="C702" s="688" t="s">
        <v>3390</v>
      </c>
      <c r="D702" s="688" t="s">
        <v>2995</v>
      </c>
      <c r="E702" s="182" t="s">
        <v>3411</v>
      </c>
      <c r="F702" s="183">
        <v>0</v>
      </c>
      <c r="G702" s="183">
        <v>0</v>
      </c>
      <c r="H702" s="183">
        <v>0</v>
      </c>
      <c r="I702" s="183">
        <v>0</v>
      </c>
      <c r="J702" s="183">
        <v>0</v>
      </c>
      <c r="K702" s="183">
        <v>0</v>
      </c>
      <c r="L702" s="183">
        <v>0</v>
      </c>
      <c r="M702" s="183">
        <v>0</v>
      </c>
      <c r="N702" s="183">
        <v>0</v>
      </c>
      <c r="O702" s="183">
        <v>0</v>
      </c>
      <c r="P702" s="183">
        <v>0</v>
      </c>
      <c r="Q702" s="183">
        <v>0</v>
      </c>
      <c r="R702" s="183">
        <v>0</v>
      </c>
      <c r="S702" s="184">
        <f t="shared" si="121"/>
        <v>0</v>
      </c>
      <c r="U702" s="65"/>
      <c r="W702" s="103"/>
      <c r="X702" s="103">
        <f t="shared" si="140"/>
        <v>0</v>
      </c>
      <c r="Y702" s="103"/>
      <c r="Z702" s="103"/>
      <c r="AA702" s="65"/>
      <c r="AB702" s="42">
        <f t="shared" si="139"/>
        <v>0</v>
      </c>
      <c r="AF702" s="6"/>
    </row>
    <row r="703" spans="1:32">
      <c r="A703" s="2">
        <f t="shared" si="133"/>
        <v>686</v>
      </c>
      <c r="B703" s="688" t="s">
        <v>2324</v>
      </c>
      <c r="C703" s="688" t="s">
        <v>3390</v>
      </c>
      <c r="D703" s="688" t="s">
        <v>3001</v>
      </c>
      <c r="E703" s="182" t="s">
        <v>3412</v>
      </c>
      <c r="F703" s="183">
        <v>0</v>
      </c>
      <c r="G703" s="183">
        <v>0</v>
      </c>
      <c r="H703" s="183">
        <v>0</v>
      </c>
      <c r="I703" s="183">
        <v>0</v>
      </c>
      <c r="J703" s="183">
        <v>0</v>
      </c>
      <c r="K703" s="183">
        <v>0</v>
      </c>
      <c r="L703" s="183">
        <v>0</v>
      </c>
      <c r="M703" s="183">
        <v>0</v>
      </c>
      <c r="N703" s="183">
        <v>0</v>
      </c>
      <c r="O703" s="183">
        <v>0</v>
      </c>
      <c r="P703" s="183">
        <v>0</v>
      </c>
      <c r="Q703" s="183">
        <v>0</v>
      </c>
      <c r="R703" s="183">
        <v>0</v>
      </c>
      <c r="S703" s="184">
        <f t="shared" si="121"/>
        <v>0</v>
      </c>
      <c r="U703" s="65"/>
      <c r="W703" s="103"/>
      <c r="X703" s="103">
        <f t="shared" si="140"/>
        <v>0</v>
      </c>
      <c r="Y703" s="103"/>
      <c r="Z703" s="103"/>
      <c r="AA703" s="65"/>
      <c r="AB703" s="42">
        <f t="shared" si="139"/>
        <v>0</v>
      </c>
      <c r="AF703" s="6"/>
    </row>
    <row r="704" spans="1:32">
      <c r="A704" s="2">
        <f t="shared" si="133"/>
        <v>687</v>
      </c>
      <c r="B704" s="688" t="s">
        <v>2324</v>
      </c>
      <c r="C704" s="688" t="s">
        <v>3390</v>
      </c>
      <c r="D704" s="688" t="s">
        <v>3413</v>
      </c>
      <c r="E704" s="182" t="s">
        <v>3414</v>
      </c>
      <c r="F704" s="183">
        <v>0</v>
      </c>
      <c r="G704" s="183">
        <v>0</v>
      </c>
      <c r="H704" s="183">
        <v>0</v>
      </c>
      <c r="I704" s="183">
        <v>0</v>
      </c>
      <c r="J704" s="183">
        <v>0</v>
      </c>
      <c r="K704" s="183">
        <v>0</v>
      </c>
      <c r="L704" s="183">
        <v>0</v>
      </c>
      <c r="M704" s="183">
        <v>0</v>
      </c>
      <c r="N704" s="183">
        <v>-36629191.170000002</v>
      </c>
      <c r="O704" s="183">
        <v>-36126367.710000001</v>
      </c>
      <c r="P704" s="183">
        <v>-36267201.159999996</v>
      </c>
      <c r="Q704" s="183">
        <v>-36404022.899999999</v>
      </c>
      <c r="R704" s="183">
        <v>-61941004.25</v>
      </c>
      <c r="S704" s="184">
        <f t="shared" si="121"/>
        <v>-14699773.755416667</v>
      </c>
      <c r="U704" s="65"/>
      <c r="W704" s="103"/>
      <c r="X704" s="103">
        <f>+S704</f>
        <v>-14699773.755416667</v>
      </c>
      <c r="Y704" s="103"/>
      <c r="Z704" s="103"/>
      <c r="AA704" s="65"/>
      <c r="AB704" s="42">
        <f t="shared" si="139"/>
        <v>-14699773.755416667</v>
      </c>
      <c r="AD704" s="42"/>
      <c r="AF704" s="6"/>
    </row>
    <row r="705" spans="1:32">
      <c r="A705" s="2">
        <f t="shared" si="133"/>
        <v>688</v>
      </c>
      <c r="B705" s="688" t="s">
        <v>2330</v>
      </c>
      <c r="C705" s="688" t="s">
        <v>2762</v>
      </c>
      <c r="D705" s="688" t="s">
        <v>3415</v>
      </c>
      <c r="E705" s="182" t="s">
        <v>3416</v>
      </c>
      <c r="F705" s="183">
        <v>55299325.859999999</v>
      </c>
      <c r="G705" s="183">
        <v>55666039.030000001</v>
      </c>
      <c r="H705" s="183">
        <v>56034255.32</v>
      </c>
      <c r="I705" s="183">
        <v>55768905.140000001</v>
      </c>
      <c r="J705" s="183">
        <v>56137988.479999997</v>
      </c>
      <c r="K705" s="183">
        <v>56508583.75</v>
      </c>
      <c r="L705" s="183">
        <v>56880697.829999998</v>
      </c>
      <c r="M705" s="183">
        <v>57254337.640000001</v>
      </c>
      <c r="N705" s="183">
        <v>57629510.060000002</v>
      </c>
      <c r="O705" s="183">
        <v>58006221.960000001</v>
      </c>
      <c r="P705" s="183">
        <v>57878001.340000004</v>
      </c>
      <c r="Q705" s="183">
        <v>58255086.990000002</v>
      </c>
      <c r="R705" s="183">
        <v>58634312.219999999</v>
      </c>
      <c r="S705" s="184">
        <f t="shared" si="121"/>
        <v>56915537.214999996</v>
      </c>
      <c r="U705" s="65"/>
      <c r="W705" s="103"/>
      <c r="X705" s="103">
        <f>+S705</f>
        <v>56915537.214999996</v>
      </c>
      <c r="Y705" s="103">
        <f>+S705*Z10</f>
        <v>42726493.787300497</v>
      </c>
      <c r="Z705" s="103">
        <f>+S705*Z11</f>
        <v>14189043.427699499</v>
      </c>
      <c r="AA705" s="65"/>
      <c r="AB705" s="103"/>
      <c r="AD705" s="42"/>
      <c r="AF705" s="6"/>
    </row>
    <row r="706" spans="1:32">
      <c r="A706" s="2">
        <f t="shared" si="133"/>
        <v>689</v>
      </c>
      <c r="E706" s="814" t="s">
        <v>3417</v>
      </c>
      <c r="F706" s="511">
        <f>SUM(F662:F705)</f>
        <v>-94432911.470000014</v>
      </c>
      <c r="G706" s="511">
        <f t="shared" ref="G706:R706" si="141">SUM(G662:G705)</f>
        <v>-93744189.579999954</v>
      </c>
      <c r="H706" s="511">
        <f t="shared" si="141"/>
        <v>-93181840.060000002</v>
      </c>
      <c r="I706" s="511">
        <f t="shared" si="141"/>
        <v>-91823576.510000035</v>
      </c>
      <c r="J706" s="511">
        <f t="shared" si="141"/>
        <v>-91173530.25000003</v>
      </c>
      <c r="K706" s="511">
        <f t="shared" si="141"/>
        <v>-90742435.049999982</v>
      </c>
      <c r="L706" s="511">
        <f t="shared" si="141"/>
        <v>-90204162.319999978</v>
      </c>
      <c r="M706" s="511">
        <f t="shared" si="141"/>
        <v>-89777607.61999999</v>
      </c>
      <c r="N706" s="511">
        <f t="shared" si="141"/>
        <v>-125915395.69999999</v>
      </c>
      <c r="O706" s="511">
        <f t="shared" si="141"/>
        <v>-124759920.79999998</v>
      </c>
      <c r="P706" s="511">
        <f t="shared" si="141"/>
        <v>-124231108.05999997</v>
      </c>
      <c r="Q706" s="511">
        <f t="shared" si="141"/>
        <v>-124475339.57999998</v>
      </c>
      <c r="R706" s="511">
        <f t="shared" si="141"/>
        <v>-150589980.54999998</v>
      </c>
      <c r="S706" s="511">
        <f>SUM(S662:S705)</f>
        <v>-105211712.62833336</v>
      </c>
      <c r="U706" s="65"/>
      <c r="V706" s="103"/>
      <c r="W706" s="103"/>
      <c r="X706" s="599"/>
      <c r="Y706" s="103"/>
      <c r="Z706" s="103"/>
      <c r="AA706" s="65"/>
      <c r="AB706" s="103"/>
      <c r="AF706" s="6"/>
    </row>
    <row r="707" spans="1:32">
      <c r="A707" s="2">
        <f t="shared" si="133"/>
        <v>690</v>
      </c>
      <c r="E707" s="697"/>
      <c r="F707" s="183"/>
      <c r="G707" s="198"/>
      <c r="H707" s="188"/>
      <c r="I707" s="188"/>
      <c r="J707" s="189"/>
      <c r="K707" s="190"/>
      <c r="L707" s="191"/>
      <c r="M707" s="192"/>
      <c r="N707" s="193"/>
      <c r="O707" s="689"/>
      <c r="P707" s="194"/>
      <c r="Q707" s="199"/>
      <c r="R707" s="183"/>
      <c r="S707" s="47"/>
      <c r="U707" s="65"/>
      <c r="V707" s="103"/>
      <c r="W707" s="103"/>
      <c r="X707" s="599"/>
      <c r="Y707" s="103"/>
      <c r="Z707" s="103"/>
      <c r="AA707" s="65"/>
      <c r="AB707" s="103"/>
      <c r="AF707" s="6"/>
    </row>
    <row r="708" spans="1:32">
      <c r="A708" s="2">
        <f t="shared" si="133"/>
        <v>691</v>
      </c>
      <c r="B708" s="688" t="s">
        <v>2330</v>
      </c>
      <c r="C708" s="688" t="s">
        <v>3418</v>
      </c>
      <c r="D708" s="688" t="s">
        <v>2303</v>
      </c>
      <c r="E708" s="697" t="s">
        <v>3419</v>
      </c>
      <c r="F708" s="183">
        <v>-75853.16</v>
      </c>
      <c r="G708" s="183">
        <v>-72351.58</v>
      </c>
      <c r="H708" s="183">
        <v>-68850</v>
      </c>
      <c r="I708" s="183">
        <v>-65348.42</v>
      </c>
      <c r="J708" s="183">
        <v>-61846.84</v>
      </c>
      <c r="K708" s="183">
        <v>-58345.26</v>
      </c>
      <c r="L708" s="183">
        <v>-54843.68</v>
      </c>
      <c r="M708" s="183">
        <v>-51342.1</v>
      </c>
      <c r="N708" s="183">
        <v>-47840.52</v>
      </c>
      <c r="O708" s="183">
        <v>-44338.94</v>
      </c>
      <c r="P708" s="183">
        <v>-40837.360000000001</v>
      </c>
      <c r="Q708" s="183">
        <v>-37335.78</v>
      </c>
      <c r="R708" s="183">
        <v>-33834.199999999997</v>
      </c>
      <c r="S708" s="184">
        <f t="shared" si="121"/>
        <v>-54843.68</v>
      </c>
      <c r="U708" s="65"/>
      <c r="V708" s="103"/>
      <c r="W708" s="103"/>
      <c r="X708" s="599">
        <f>+S708</f>
        <v>-54843.68</v>
      </c>
      <c r="Y708" s="103"/>
      <c r="Z708" s="103"/>
      <c r="AA708" s="65"/>
      <c r="AB708" s="103">
        <f>+S708</f>
        <v>-54843.68</v>
      </c>
      <c r="AF708" s="6"/>
    </row>
    <row r="709" spans="1:32">
      <c r="A709" s="2">
        <f t="shared" si="133"/>
        <v>692</v>
      </c>
      <c r="B709" s="688" t="s">
        <v>2330</v>
      </c>
      <c r="C709" s="688" t="s">
        <v>2340</v>
      </c>
      <c r="D709" s="688" t="s">
        <v>2375</v>
      </c>
      <c r="E709" s="697" t="s">
        <v>3420</v>
      </c>
      <c r="F709" s="183">
        <v>8163738.3799999999</v>
      </c>
      <c r="G709" s="183">
        <v>8113577.0300000003</v>
      </c>
      <c r="H709" s="183">
        <v>8063415.6399999997</v>
      </c>
      <c r="I709" s="183">
        <v>8013254.29</v>
      </c>
      <c r="J709" s="183">
        <v>7963092.9100000001</v>
      </c>
      <c r="K709" s="183">
        <v>7912931.5800000001</v>
      </c>
      <c r="L709" s="183">
        <v>7862770.1900000004</v>
      </c>
      <c r="M709" s="183">
        <v>7812608.8499999996</v>
      </c>
      <c r="N709" s="183">
        <v>7762447.4800000004</v>
      </c>
      <c r="O709" s="183">
        <v>7712286.1200000001</v>
      </c>
      <c r="P709" s="183">
        <v>7662124.7400000002</v>
      </c>
      <c r="Q709" s="183">
        <v>7601811.5700000003</v>
      </c>
      <c r="R709" s="183">
        <v>7584980.04</v>
      </c>
      <c r="S709" s="184">
        <f t="shared" si="121"/>
        <v>7862889.9675000003</v>
      </c>
      <c r="U709" s="65"/>
      <c r="V709" s="103"/>
      <c r="W709" s="103"/>
      <c r="X709" s="599">
        <f t="shared" ref="X709:X718" si="142">+S709</f>
        <v>7862889.9675000003</v>
      </c>
      <c r="Y709" s="103"/>
      <c r="Z709" s="103"/>
      <c r="AA709" s="65"/>
      <c r="AB709" s="103">
        <f>+S709</f>
        <v>7862889.9675000003</v>
      </c>
      <c r="AF709" s="6"/>
    </row>
    <row r="710" spans="1:32">
      <c r="A710" s="2">
        <f t="shared" si="133"/>
        <v>693</v>
      </c>
      <c r="B710" s="688" t="s">
        <v>2330</v>
      </c>
      <c r="C710" s="688" t="s">
        <v>2340</v>
      </c>
      <c r="D710" s="688" t="s">
        <v>2377</v>
      </c>
      <c r="E710" s="697" t="s">
        <v>3421</v>
      </c>
      <c r="F710" s="183">
        <v>31300040.329999998</v>
      </c>
      <c r="G710" s="183">
        <v>31105896.760000002</v>
      </c>
      <c r="H710" s="183">
        <v>30911753.190000001</v>
      </c>
      <c r="I710" s="183">
        <v>30717609.600000001</v>
      </c>
      <c r="J710" s="183">
        <v>30523466.02</v>
      </c>
      <c r="K710" s="183">
        <v>30329322.420000002</v>
      </c>
      <c r="L710" s="183">
        <v>30135178.859999999</v>
      </c>
      <c r="M710" s="183">
        <v>29941035.280000001</v>
      </c>
      <c r="N710" s="183">
        <v>29746891.699999999</v>
      </c>
      <c r="O710" s="183">
        <v>29552748.09</v>
      </c>
      <c r="P710" s="183">
        <v>29358604.539999999</v>
      </c>
      <c r="Q710" s="183">
        <v>29126425.390000001</v>
      </c>
      <c r="R710" s="183">
        <v>29064346.780000001</v>
      </c>
      <c r="S710" s="184">
        <f t="shared" si="121"/>
        <v>30135927.117083337</v>
      </c>
      <c r="U710" s="65"/>
      <c r="V710" s="103"/>
      <c r="W710" s="103"/>
      <c r="X710" s="599">
        <f t="shared" si="142"/>
        <v>30135927.117083337</v>
      </c>
      <c r="Y710" s="103"/>
      <c r="Z710" s="103"/>
      <c r="AA710" s="65"/>
      <c r="AB710" s="103">
        <f>+S710</f>
        <v>30135927.117083337</v>
      </c>
      <c r="AF710" s="6"/>
    </row>
    <row r="711" spans="1:32">
      <c r="A711" s="2">
        <f t="shared" si="133"/>
        <v>694</v>
      </c>
      <c r="B711" s="688" t="s">
        <v>2330</v>
      </c>
      <c r="C711" s="688" t="s">
        <v>2340</v>
      </c>
      <c r="D711" s="688" t="s">
        <v>2341</v>
      </c>
      <c r="E711" s="697" t="s">
        <v>3422</v>
      </c>
      <c r="F711" s="183">
        <v>0</v>
      </c>
      <c r="G711" s="183">
        <v>0</v>
      </c>
      <c r="H711" s="183">
        <v>0</v>
      </c>
      <c r="I711" s="183">
        <v>0</v>
      </c>
      <c r="J711" s="183">
        <v>0</v>
      </c>
      <c r="K711" s="183">
        <v>0</v>
      </c>
      <c r="L711" s="183">
        <v>0</v>
      </c>
      <c r="M711" s="183">
        <v>0</v>
      </c>
      <c r="N711" s="183">
        <v>0</v>
      </c>
      <c r="O711" s="183">
        <v>0</v>
      </c>
      <c r="P711" s="183">
        <v>0</v>
      </c>
      <c r="Q711" s="183">
        <v>0</v>
      </c>
      <c r="R711" s="183">
        <v>0</v>
      </c>
      <c r="S711" s="184">
        <f t="shared" si="121"/>
        <v>0</v>
      </c>
      <c r="U711" s="65"/>
      <c r="V711" s="103"/>
      <c r="W711" s="103"/>
      <c r="X711" s="599">
        <f t="shared" si="142"/>
        <v>0</v>
      </c>
      <c r="Y711" s="103">
        <f>+S711*Z10</f>
        <v>0</v>
      </c>
      <c r="Z711" s="103">
        <f>+S711*Z11</f>
        <v>0</v>
      </c>
      <c r="AA711" s="65"/>
      <c r="AB711" s="103"/>
      <c r="AF711" s="6"/>
    </row>
    <row r="712" spans="1:32">
      <c r="A712" s="2">
        <f t="shared" si="133"/>
        <v>695</v>
      </c>
      <c r="B712" s="688" t="s">
        <v>2330</v>
      </c>
      <c r="C712" s="688" t="s">
        <v>2340</v>
      </c>
      <c r="D712" s="688" t="s">
        <v>2380</v>
      </c>
      <c r="E712" s="697" t="s">
        <v>3423</v>
      </c>
      <c r="F712" s="183">
        <v>966597.04</v>
      </c>
      <c r="G712" s="183">
        <v>918320.19</v>
      </c>
      <c r="H712" s="183">
        <v>866902</v>
      </c>
      <c r="I712" s="183">
        <v>899480.04</v>
      </c>
      <c r="J712" s="183">
        <v>854436.7</v>
      </c>
      <c r="K712" s="183">
        <v>837844.28</v>
      </c>
      <c r="L712" s="183">
        <v>802027.57</v>
      </c>
      <c r="M712" s="183">
        <v>788968.64</v>
      </c>
      <c r="N712" s="183">
        <v>742195.24</v>
      </c>
      <c r="O712" s="183">
        <v>738814.61</v>
      </c>
      <c r="P712" s="183">
        <v>720221.03</v>
      </c>
      <c r="Q712" s="183">
        <v>356199.43</v>
      </c>
      <c r="R712" s="183">
        <v>463309.99</v>
      </c>
      <c r="S712" s="184">
        <f t="shared" si="121"/>
        <v>770030.27041666675</v>
      </c>
      <c r="U712" s="65"/>
      <c r="V712" s="103"/>
      <c r="W712" s="103"/>
      <c r="X712" s="599">
        <f t="shared" si="142"/>
        <v>770030.27041666675</v>
      </c>
      <c r="Y712" s="103"/>
      <c r="Z712" s="103"/>
      <c r="AA712" s="65"/>
      <c r="AB712" s="103">
        <f>+S712</f>
        <v>770030.27041666675</v>
      </c>
      <c r="AF712" s="6"/>
    </row>
    <row r="713" spans="1:32">
      <c r="A713" s="2">
        <f t="shared" si="133"/>
        <v>696</v>
      </c>
      <c r="B713" s="688" t="s">
        <v>2330</v>
      </c>
      <c r="C713" s="688" t="s">
        <v>2344</v>
      </c>
      <c r="D713" s="688" t="s">
        <v>2375</v>
      </c>
      <c r="E713" s="697" t="s">
        <v>3420</v>
      </c>
      <c r="F713" s="183">
        <v>928258.48</v>
      </c>
      <c r="G713" s="183">
        <v>912901.52</v>
      </c>
      <c r="H713" s="183">
        <v>897544.56</v>
      </c>
      <c r="I713" s="183">
        <v>882187.58</v>
      </c>
      <c r="J713" s="183">
        <v>866830.61</v>
      </c>
      <c r="K713" s="183">
        <v>851473.65</v>
      </c>
      <c r="L713" s="183">
        <v>836116.66</v>
      </c>
      <c r="M713" s="183">
        <v>820759.69</v>
      </c>
      <c r="N713" s="183">
        <v>805402.72</v>
      </c>
      <c r="O713" s="183">
        <v>790045.75</v>
      </c>
      <c r="P713" s="183">
        <v>774688.8</v>
      </c>
      <c r="Q713" s="183">
        <v>759331.81</v>
      </c>
      <c r="R713" s="183">
        <v>743974.88</v>
      </c>
      <c r="S713" s="184">
        <f t="shared" si="121"/>
        <v>836116.66916666657</v>
      </c>
      <c r="U713" s="65"/>
      <c r="V713" s="103"/>
      <c r="W713" s="103"/>
      <c r="X713" s="599">
        <f t="shared" si="142"/>
        <v>836116.66916666657</v>
      </c>
      <c r="Y713" s="103"/>
      <c r="Z713" s="103"/>
      <c r="AA713" s="65"/>
      <c r="AB713" s="103">
        <f t="shared" ref="AB713:AB719" si="143">+S713</f>
        <v>836116.66916666657</v>
      </c>
      <c r="AF713" s="6"/>
    </row>
    <row r="714" spans="1:32">
      <c r="A714" s="2">
        <f t="shared" si="133"/>
        <v>697</v>
      </c>
      <c r="B714" s="688" t="s">
        <v>2330</v>
      </c>
      <c r="C714" s="688" t="s">
        <v>2344</v>
      </c>
      <c r="D714" s="688" t="s">
        <v>2377</v>
      </c>
      <c r="E714" s="697" t="s">
        <v>3421</v>
      </c>
      <c r="F714" s="183">
        <v>3433569.53</v>
      </c>
      <c r="G714" s="183">
        <v>3376406.91</v>
      </c>
      <c r="H714" s="183">
        <v>3319244.25</v>
      </c>
      <c r="I714" s="183">
        <v>3262081.64</v>
      </c>
      <c r="J714" s="183">
        <v>3204919.04</v>
      </c>
      <c r="K714" s="183">
        <v>3147756.48</v>
      </c>
      <c r="L714" s="183">
        <v>3090593.81</v>
      </c>
      <c r="M714" s="183">
        <v>3033431.17</v>
      </c>
      <c r="N714" s="183">
        <v>2976268.58</v>
      </c>
      <c r="O714" s="183">
        <v>2919105.99</v>
      </c>
      <c r="P714" s="183">
        <v>2861943.4</v>
      </c>
      <c r="Q714" s="183">
        <v>2804780.8</v>
      </c>
      <c r="R714" s="183">
        <v>2747618.24</v>
      </c>
      <c r="S714" s="184">
        <f t="shared" si="121"/>
        <v>3090593.8295833324</v>
      </c>
      <c r="U714" s="65"/>
      <c r="V714" s="103"/>
      <c r="W714" s="103"/>
      <c r="X714" s="599">
        <f t="shared" si="142"/>
        <v>3090593.8295833324</v>
      </c>
      <c r="Y714" s="103"/>
      <c r="Z714" s="103"/>
      <c r="AA714" s="65"/>
      <c r="AB714" s="103">
        <f t="shared" si="143"/>
        <v>3090593.8295833324</v>
      </c>
      <c r="AF714" s="6"/>
    </row>
    <row r="715" spans="1:32">
      <c r="A715" s="2">
        <f t="shared" si="133"/>
        <v>698</v>
      </c>
      <c r="B715" s="688" t="s">
        <v>2330</v>
      </c>
      <c r="C715" s="688" t="s">
        <v>2344</v>
      </c>
      <c r="D715" s="688" t="s">
        <v>2345</v>
      </c>
      <c r="E715" s="697" t="s">
        <v>3424</v>
      </c>
      <c r="F715" s="183">
        <v>0</v>
      </c>
      <c r="G715" s="183">
        <v>0</v>
      </c>
      <c r="H715" s="183">
        <v>0</v>
      </c>
      <c r="I715" s="183">
        <v>0</v>
      </c>
      <c r="J715" s="183">
        <v>0</v>
      </c>
      <c r="K715" s="183">
        <v>0</v>
      </c>
      <c r="L715" s="183">
        <v>0</v>
      </c>
      <c r="M715" s="183">
        <v>0</v>
      </c>
      <c r="N715" s="183">
        <v>0</v>
      </c>
      <c r="O715" s="183">
        <v>0</v>
      </c>
      <c r="P715" s="183">
        <v>0</v>
      </c>
      <c r="Q715" s="183">
        <v>0</v>
      </c>
      <c r="R715" s="183">
        <v>0</v>
      </c>
      <c r="S715" s="184">
        <f t="shared" si="121"/>
        <v>0</v>
      </c>
      <c r="U715" s="65"/>
      <c r="V715" s="103"/>
      <c r="W715" s="103"/>
      <c r="X715" s="599">
        <f t="shared" si="142"/>
        <v>0</v>
      </c>
      <c r="Y715" s="103">
        <f>+S715*Z10</f>
        <v>0</v>
      </c>
      <c r="Z715" s="103">
        <f>+S715*Z11</f>
        <v>0</v>
      </c>
      <c r="AA715" s="65"/>
      <c r="AB715" s="103"/>
      <c r="AF715" s="6"/>
    </row>
    <row r="716" spans="1:32">
      <c r="A716" s="2">
        <f t="shared" si="133"/>
        <v>699</v>
      </c>
      <c r="B716" s="688" t="s">
        <v>2330</v>
      </c>
      <c r="C716" s="688" t="s">
        <v>2344</v>
      </c>
      <c r="D716" s="688" t="s">
        <v>2778</v>
      </c>
      <c r="E716" s="697" t="s">
        <v>3425</v>
      </c>
      <c r="F716" s="183">
        <v>171199.88</v>
      </c>
      <c r="G716" s="183">
        <v>171199.88</v>
      </c>
      <c r="H716" s="183">
        <v>171199.88</v>
      </c>
      <c r="I716" s="183">
        <v>171199.88</v>
      </c>
      <c r="J716" s="183">
        <v>171199.88</v>
      </c>
      <c r="K716" s="183">
        <v>171199.88</v>
      </c>
      <c r="L716" s="183">
        <v>171199.88</v>
      </c>
      <c r="M716" s="183">
        <v>0</v>
      </c>
      <c r="N716" s="183">
        <v>0</v>
      </c>
      <c r="O716" s="183">
        <v>0</v>
      </c>
      <c r="P716" s="183">
        <v>0</v>
      </c>
      <c r="Q716" s="183">
        <v>0</v>
      </c>
      <c r="R716" s="183">
        <v>0</v>
      </c>
      <c r="S716" s="184">
        <f t="shared" si="121"/>
        <v>92733.268333333326</v>
      </c>
      <c r="U716" s="65"/>
      <c r="V716" s="103"/>
      <c r="W716" s="103"/>
      <c r="X716" s="599">
        <f t="shared" si="142"/>
        <v>92733.268333333326</v>
      </c>
      <c r="Y716" s="103"/>
      <c r="Z716" s="103"/>
      <c r="AA716" s="65"/>
      <c r="AB716" s="103">
        <f t="shared" si="143"/>
        <v>92733.268333333326</v>
      </c>
      <c r="AF716" s="6"/>
    </row>
    <row r="717" spans="1:32">
      <c r="A717" s="2">
        <f t="shared" si="133"/>
        <v>700</v>
      </c>
      <c r="B717" s="688" t="s">
        <v>2330</v>
      </c>
      <c r="C717" s="688" t="s">
        <v>2344</v>
      </c>
      <c r="D717" s="688" t="s">
        <v>2380</v>
      </c>
      <c r="E717" s="697" t="s">
        <v>3426</v>
      </c>
      <c r="F717" s="183">
        <v>-42415846.770000003</v>
      </c>
      <c r="G717" s="183">
        <v>-62624830.950000003</v>
      </c>
      <c r="H717" s="183">
        <v>-63356014.619999997</v>
      </c>
      <c r="I717" s="183">
        <v>-66596820.270000003</v>
      </c>
      <c r="J717" s="183">
        <v>-65071037.039999999</v>
      </c>
      <c r="K717" s="183">
        <v>-64778555.770000003</v>
      </c>
      <c r="L717" s="183">
        <v>-64508001.119999997</v>
      </c>
      <c r="M717" s="183">
        <v>-65723791.659999996</v>
      </c>
      <c r="N717" s="183">
        <v>-69272440.349999994</v>
      </c>
      <c r="O717" s="183">
        <v>-70162646.780000001</v>
      </c>
      <c r="P717" s="183">
        <v>-71137627.939999998</v>
      </c>
      <c r="Q717" s="183">
        <v>-78328059.590000004</v>
      </c>
      <c r="R717" s="183">
        <v>-73730498.829999998</v>
      </c>
      <c r="S717" s="184">
        <f t="shared" si="121"/>
        <v>-66636083.240833335</v>
      </c>
      <c r="U717" s="65"/>
      <c r="V717" s="103">
        <f>+S717</f>
        <v>-66636083.240833335</v>
      </c>
      <c r="W717" s="103"/>
      <c r="X717" s="599"/>
      <c r="Y717" s="103"/>
      <c r="Z717" s="103"/>
      <c r="AA717" s="65"/>
      <c r="AB717" s="103"/>
      <c r="AD717" s="42">
        <f>+S717</f>
        <v>-66636083.240833335</v>
      </c>
      <c r="AF717" s="6"/>
    </row>
    <row r="718" spans="1:32">
      <c r="A718" s="2">
        <f t="shared" si="133"/>
        <v>701</v>
      </c>
      <c r="B718" s="688" t="s">
        <v>2342</v>
      </c>
      <c r="C718" s="688" t="s">
        <v>2340</v>
      </c>
      <c r="D718" s="688" t="s">
        <v>2384</v>
      </c>
      <c r="E718" s="697" t="s">
        <v>3427</v>
      </c>
      <c r="F718" s="183">
        <v>714539.12</v>
      </c>
      <c r="G718" s="183">
        <v>710148.71</v>
      </c>
      <c r="H718" s="183">
        <v>705758.28</v>
      </c>
      <c r="I718" s="183">
        <v>701367.86</v>
      </c>
      <c r="J718" s="183">
        <v>696977.43</v>
      </c>
      <c r="K718" s="183">
        <v>692587.02</v>
      </c>
      <c r="L718" s="183">
        <v>688196.6</v>
      </c>
      <c r="M718" s="183">
        <v>683806.17</v>
      </c>
      <c r="N718" s="183">
        <v>679415.76</v>
      </c>
      <c r="O718" s="183">
        <v>675025.34</v>
      </c>
      <c r="P718" s="183">
        <v>670634.9</v>
      </c>
      <c r="Q718" s="183">
        <v>665355.92000000004</v>
      </c>
      <c r="R718" s="183">
        <v>663882.75</v>
      </c>
      <c r="S718" s="184">
        <f t="shared" si="121"/>
        <v>688207.0770833334</v>
      </c>
      <c r="U718" s="65"/>
      <c r="V718" s="103"/>
      <c r="W718" s="103"/>
      <c r="X718" s="599">
        <f t="shared" si="142"/>
        <v>688207.0770833334</v>
      </c>
      <c r="Y718" s="103"/>
      <c r="Z718" s="103"/>
      <c r="AA718" s="65"/>
      <c r="AB718" s="103">
        <f t="shared" si="143"/>
        <v>688207.0770833334</v>
      </c>
      <c r="AF718" s="6"/>
    </row>
    <row r="719" spans="1:32">
      <c r="A719" s="2">
        <f t="shared" si="133"/>
        <v>702</v>
      </c>
      <c r="B719" s="688" t="s">
        <v>2342</v>
      </c>
      <c r="C719" s="688" t="s">
        <v>2340</v>
      </c>
      <c r="D719" s="688" t="s">
        <v>2386</v>
      </c>
      <c r="E719" s="697" t="s">
        <v>3428</v>
      </c>
      <c r="F719" s="183">
        <v>-840697.73</v>
      </c>
      <c r="G719" s="183">
        <v>-835432.52</v>
      </c>
      <c r="H719" s="183">
        <v>-830167.32</v>
      </c>
      <c r="I719" s="183">
        <v>-824902.13</v>
      </c>
      <c r="J719" s="183">
        <v>-819636.92</v>
      </c>
      <c r="K719" s="183">
        <v>-814371.72</v>
      </c>
      <c r="L719" s="183">
        <v>-809106.52</v>
      </c>
      <c r="M719" s="183">
        <v>-803841.33</v>
      </c>
      <c r="N719" s="183">
        <v>-798576.12</v>
      </c>
      <c r="O719" s="183">
        <v>-793310.91</v>
      </c>
      <c r="P719" s="183">
        <v>-788045.73</v>
      </c>
      <c r="Q719" s="183">
        <v>-275102.86</v>
      </c>
      <c r="R719" s="183">
        <v>-276518.86</v>
      </c>
      <c r="S719" s="184">
        <f t="shared" si="121"/>
        <v>-745925.19791666651</v>
      </c>
      <c r="U719" s="65"/>
      <c r="V719" s="103"/>
      <c r="W719" s="103"/>
      <c r="X719" s="599">
        <f t="shared" ref="X719:X727" si="144">+S719</f>
        <v>-745925.19791666651</v>
      </c>
      <c r="Y719" s="103"/>
      <c r="Z719" s="103"/>
      <c r="AA719" s="65"/>
      <c r="AB719" s="103">
        <f t="shared" si="143"/>
        <v>-745925.19791666651</v>
      </c>
      <c r="AD719" s="42"/>
      <c r="AF719" s="6"/>
    </row>
    <row r="720" spans="1:32">
      <c r="A720" s="2">
        <f t="shared" si="133"/>
        <v>703</v>
      </c>
      <c r="B720" s="688" t="s">
        <v>2342</v>
      </c>
      <c r="C720" s="688" t="s">
        <v>2340</v>
      </c>
      <c r="D720" s="688" t="s">
        <v>2354</v>
      </c>
      <c r="E720" s="697" t="s">
        <v>3429</v>
      </c>
      <c r="F720" s="183">
        <v>-5373662.8899999997</v>
      </c>
      <c r="G720" s="183">
        <v>-5387824.2000000002</v>
      </c>
      <c r="H720" s="183">
        <v>-5401985.5199999996</v>
      </c>
      <c r="I720" s="183">
        <v>-5416146.8300000001</v>
      </c>
      <c r="J720" s="183">
        <v>-5430308.1399999997</v>
      </c>
      <c r="K720" s="183">
        <v>-5444469.46</v>
      </c>
      <c r="L720" s="183">
        <v>-5458630.7699999996</v>
      </c>
      <c r="M720" s="183">
        <v>-5472792.0700000003</v>
      </c>
      <c r="N720" s="183">
        <v>-5486953.3899999997</v>
      </c>
      <c r="O720" s="183">
        <v>-5501114.71</v>
      </c>
      <c r="P720" s="183">
        <v>-5515276.0099999998</v>
      </c>
      <c r="Q720" s="183">
        <v>-5553246.75</v>
      </c>
      <c r="R720" s="183">
        <v>-5627233.7999999998</v>
      </c>
      <c r="S720" s="184">
        <f t="shared" si="121"/>
        <v>-5464099.6829166664</v>
      </c>
      <c r="U720" s="65"/>
      <c r="V720" s="103"/>
      <c r="W720" s="103"/>
      <c r="X720" s="599">
        <f t="shared" si="144"/>
        <v>-5464099.6829166664</v>
      </c>
      <c r="Y720" s="103"/>
      <c r="Z720" s="103">
        <f>+S720</f>
        <v>-5464099.6829166664</v>
      </c>
      <c r="AA720" s="65"/>
      <c r="AB720" s="103"/>
      <c r="AD720" s="42"/>
      <c r="AF720" s="6"/>
    </row>
    <row r="721" spans="1:32">
      <c r="A721" s="2">
        <f t="shared" si="133"/>
        <v>704</v>
      </c>
      <c r="B721" s="688" t="s">
        <v>2342</v>
      </c>
      <c r="C721" s="688" t="s">
        <v>2340</v>
      </c>
      <c r="D721" s="688" t="s">
        <v>2390</v>
      </c>
      <c r="E721" s="697" t="s">
        <v>3430</v>
      </c>
      <c r="F721" s="183">
        <v>84602.33</v>
      </c>
      <c r="G721" s="183">
        <v>80376.86</v>
      </c>
      <c r="H721" s="183">
        <v>75876.429999999993</v>
      </c>
      <c r="I721" s="183">
        <v>78727.87</v>
      </c>
      <c r="J721" s="183">
        <v>74785.399999999994</v>
      </c>
      <c r="K721" s="183">
        <v>73333.13</v>
      </c>
      <c r="L721" s="183">
        <v>70198.23</v>
      </c>
      <c r="M721" s="183">
        <v>69055.25</v>
      </c>
      <c r="N721" s="183">
        <v>64961.37</v>
      </c>
      <c r="O721" s="183">
        <v>64665.47</v>
      </c>
      <c r="P721" s="183">
        <v>63038.06</v>
      </c>
      <c r="Q721" s="183">
        <v>31176.7</v>
      </c>
      <c r="R721" s="183">
        <v>40551.67</v>
      </c>
      <c r="S721" s="184">
        <f t="shared" si="121"/>
        <v>67397.647499999977</v>
      </c>
      <c r="U721" s="65"/>
      <c r="W721" s="103"/>
      <c r="X721" s="103">
        <f t="shared" si="144"/>
        <v>67397.647499999977</v>
      </c>
      <c r="Y721" s="103"/>
      <c r="Z721" s="103"/>
      <c r="AA721" s="65"/>
      <c r="AB721" s="103">
        <f>+S721</f>
        <v>67397.647499999977</v>
      </c>
      <c r="AF721" s="6"/>
    </row>
    <row r="722" spans="1:32">
      <c r="A722" s="2">
        <f t="shared" si="133"/>
        <v>705</v>
      </c>
      <c r="B722" s="688" t="s">
        <v>2342</v>
      </c>
      <c r="C722" s="688" t="s">
        <v>2340</v>
      </c>
      <c r="D722" s="688" t="s">
        <v>2341</v>
      </c>
      <c r="E722" s="697" t="s">
        <v>3422</v>
      </c>
      <c r="F722" s="183">
        <v>-22035185.530000001</v>
      </c>
      <c r="G722" s="183">
        <v>-21883765.879999999</v>
      </c>
      <c r="H722" s="183">
        <v>-21861719.800000001</v>
      </c>
      <c r="I722" s="183">
        <v>-21839673.73</v>
      </c>
      <c r="J722" s="183">
        <v>-21817627.649999999</v>
      </c>
      <c r="K722" s="183">
        <v>-21795581.57</v>
      </c>
      <c r="L722" s="183">
        <v>-21773535.489999998</v>
      </c>
      <c r="M722" s="183">
        <v>-21751489.43</v>
      </c>
      <c r="N722" s="183">
        <v>-21729443.350000001</v>
      </c>
      <c r="O722" s="183">
        <v>-21707397.27</v>
      </c>
      <c r="P722" s="183">
        <v>-21685351.199999999</v>
      </c>
      <c r="Q722" s="183">
        <v>-21721207.27</v>
      </c>
      <c r="R722" s="183">
        <v>-21871218.879999999</v>
      </c>
      <c r="S722" s="184">
        <f t="shared" si="121"/>
        <v>-21793332.903749999</v>
      </c>
      <c r="U722" s="65"/>
      <c r="W722" s="103"/>
      <c r="X722" s="103">
        <f t="shared" si="144"/>
        <v>-21793332.903749999</v>
      </c>
      <c r="Y722" s="103"/>
      <c r="Z722" s="103">
        <f>+S722</f>
        <v>-21793332.903749999</v>
      </c>
      <c r="AA722" s="65"/>
      <c r="AB722" s="103"/>
      <c r="AD722" s="42"/>
      <c r="AF722" s="6"/>
    </row>
    <row r="723" spans="1:32">
      <c r="A723" s="2">
        <f t="shared" si="133"/>
        <v>706</v>
      </c>
      <c r="B723" s="688" t="s">
        <v>2342</v>
      </c>
      <c r="C723" s="688" t="s">
        <v>2340</v>
      </c>
      <c r="D723" s="688" t="s">
        <v>2350</v>
      </c>
      <c r="E723" s="697" t="s">
        <v>3431</v>
      </c>
      <c r="F723" s="183">
        <v>0</v>
      </c>
      <c r="G723" s="183">
        <v>0</v>
      </c>
      <c r="H723" s="183">
        <v>0</v>
      </c>
      <c r="I723" s="183">
        <v>0</v>
      </c>
      <c r="J723" s="183">
        <v>0</v>
      </c>
      <c r="K723" s="183">
        <v>0</v>
      </c>
      <c r="L723" s="183">
        <v>0</v>
      </c>
      <c r="M723" s="183">
        <v>0</v>
      </c>
      <c r="N723" s="183">
        <v>0</v>
      </c>
      <c r="O723" s="183">
        <v>0</v>
      </c>
      <c r="P723" s="183">
        <v>0</v>
      </c>
      <c r="Q723" s="183">
        <v>0</v>
      </c>
      <c r="R723" s="183">
        <v>0</v>
      </c>
      <c r="S723" s="184">
        <f t="shared" si="121"/>
        <v>0</v>
      </c>
      <c r="U723" s="65"/>
      <c r="V723" s="103">
        <f>+S723</f>
        <v>0</v>
      </c>
      <c r="W723" s="103"/>
      <c r="X723" s="103">
        <f t="shared" si="144"/>
        <v>0</v>
      </c>
      <c r="Y723" s="103"/>
      <c r="Z723" s="103">
        <f>+S723</f>
        <v>0</v>
      </c>
      <c r="AA723" s="65"/>
      <c r="AB723" s="103"/>
      <c r="AD723" s="42">
        <f>+V723</f>
        <v>0</v>
      </c>
      <c r="AF723" s="6"/>
    </row>
    <row r="724" spans="1:32">
      <c r="A724" s="2">
        <f t="shared" ref="A724:A787" si="145">MAX(A723:A723)+1</f>
        <v>707</v>
      </c>
      <c r="B724" s="688" t="s">
        <v>2342</v>
      </c>
      <c r="C724" s="688" t="s">
        <v>2344</v>
      </c>
      <c r="D724" s="688" t="s">
        <v>2384</v>
      </c>
      <c r="E724" s="697" t="s">
        <v>3427</v>
      </c>
      <c r="F724" s="183">
        <v>81246.710000000006</v>
      </c>
      <c r="G724" s="183">
        <v>79902.59</v>
      </c>
      <c r="H724" s="183">
        <v>78558.460000000006</v>
      </c>
      <c r="I724" s="183">
        <v>77214.31</v>
      </c>
      <c r="J724" s="183">
        <v>75870.19</v>
      </c>
      <c r="K724" s="183">
        <v>74526.05</v>
      </c>
      <c r="L724" s="183">
        <v>73181.919999999998</v>
      </c>
      <c r="M724" s="183">
        <v>71837.78</v>
      </c>
      <c r="N724" s="183">
        <v>70493.64</v>
      </c>
      <c r="O724" s="183">
        <v>69149.52</v>
      </c>
      <c r="P724" s="183">
        <v>67805.38</v>
      </c>
      <c r="Q724" s="183">
        <v>66461.25</v>
      </c>
      <c r="R724" s="183">
        <v>65117.11</v>
      </c>
      <c r="S724" s="184">
        <f t="shared" si="121"/>
        <v>73181.916666666672</v>
      </c>
      <c r="U724" s="65"/>
      <c r="W724" s="103"/>
      <c r="X724" s="103">
        <f t="shared" si="144"/>
        <v>73181.916666666672</v>
      </c>
      <c r="Y724" s="103"/>
      <c r="Z724" s="103"/>
      <c r="AA724" s="65"/>
      <c r="AB724" s="103">
        <f>+S724</f>
        <v>73181.916666666672</v>
      </c>
      <c r="AD724" s="42"/>
      <c r="AF724" s="6"/>
    </row>
    <row r="725" spans="1:32">
      <c r="A725" s="2">
        <f t="shared" si="145"/>
        <v>708</v>
      </c>
      <c r="B725" s="688" t="s">
        <v>2342</v>
      </c>
      <c r="C725" s="688" t="s">
        <v>2344</v>
      </c>
      <c r="D725" s="688" t="s">
        <v>2386</v>
      </c>
      <c r="E725" s="697" t="s">
        <v>3428</v>
      </c>
      <c r="F725" s="183">
        <v>58450.61</v>
      </c>
      <c r="G725" s="183">
        <v>57841.75</v>
      </c>
      <c r="H725" s="183">
        <v>57232.88</v>
      </c>
      <c r="I725" s="183">
        <v>56624.02</v>
      </c>
      <c r="J725" s="183">
        <v>56015.21</v>
      </c>
      <c r="K725" s="183">
        <v>55406.31</v>
      </c>
      <c r="L725" s="183">
        <v>54797.440000000002</v>
      </c>
      <c r="M725" s="183">
        <v>54188.58</v>
      </c>
      <c r="N725" s="183">
        <v>53579.73</v>
      </c>
      <c r="O725" s="183">
        <v>52970.84</v>
      </c>
      <c r="P725" s="183">
        <v>52361.99</v>
      </c>
      <c r="Q725" s="183">
        <v>51753.120000000003</v>
      </c>
      <c r="R725" s="183">
        <v>51144.28</v>
      </c>
      <c r="S725" s="184">
        <f t="shared" si="121"/>
        <v>54797.44291666666</v>
      </c>
      <c r="U725" s="65"/>
      <c r="W725" s="103"/>
      <c r="X725" s="103">
        <f t="shared" si="144"/>
        <v>54797.44291666666</v>
      </c>
      <c r="Y725" s="103"/>
      <c r="Z725" s="103"/>
      <c r="AA725" s="65"/>
      <c r="AB725" s="103">
        <f>+S725</f>
        <v>54797.44291666666</v>
      </c>
      <c r="AD725" s="42"/>
      <c r="AF725" s="6"/>
    </row>
    <row r="726" spans="1:32">
      <c r="A726" s="2">
        <f t="shared" si="145"/>
        <v>709</v>
      </c>
      <c r="B726" s="688" t="s">
        <v>2342</v>
      </c>
      <c r="C726" s="688" t="s">
        <v>2344</v>
      </c>
      <c r="D726" s="688" t="s">
        <v>2356</v>
      </c>
      <c r="E726" s="697" t="s">
        <v>3432</v>
      </c>
      <c r="F726" s="183">
        <v>-23373.88</v>
      </c>
      <c r="G726" s="183">
        <v>-23283.85</v>
      </c>
      <c r="H726" s="183">
        <v>-23193.82</v>
      </c>
      <c r="I726" s="183">
        <v>-23103.79</v>
      </c>
      <c r="J726" s="183">
        <v>-23013.759999999998</v>
      </c>
      <c r="K726" s="183">
        <v>-22923.73</v>
      </c>
      <c r="L726" s="183">
        <v>-22833.7</v>
      </c>
      <c r="M726" s="183">
        <v>-22743.67</v>
      </c>
      <c r="N726" s="183">
        <v>-22653.64</v>
      </c>
      <c r="O726" s="183">
        <v>-22563.599999999999</v>
      </c>
      <c r="P726" s="183">
        <v>-22473.57</v>
      </c>
      <c r="Q726" s="183">
        <v>-22383.53</v>
      </c>
      <c r="R726" s="183">
        <v>-22293.5</v>
      </c>
      <c r="S726" s="184">
        <f t="shared" si="121"/>
        <v>-22833.695833333335</v>
      </c>
      <c r="U726" s="65"/>
      <c r="W726" s="103"/>
      <c r="X726" s="103">
        <f t="shared" si="144"/>
        <v>-22833.695833333335</v>
      </c>
      <c r="Y726" s="103"/>
      <c r="Z726" s="103">
        <f>+X726</f>
        <v>-22833.695833333335</v>
      </c>
      <c r="AA726" s="65"/>
      <c r="AB726" s="103"/>
      <c r="AD726" s="42"/>
      <c r="AF726" s="6"/>
    </row>
    <row r="727" spans="1:32">
      <c r="A727" s="2">
        <f t="shared" si="145"/>
        <v>710</v>
      </c>
      <c r="B727" s="688" t="s">
        <v>2342</v>
      </c>
      <c r="C727" s="688" t="s">
        <v>2344</v>
      </c>
      <c r="D727" s="688" t="s">
        <v>2388</v>
      </c>
      <c r="E727" s="697" t="s">
        <v>3433</v>
      </c>
      <c r="F727" s="183">
        <v>14984.44</v>
      </c>
      <c r="G727" s="183">
        <v>14984.44</v>
      </c>
      <c r="H727" s="183">
        <v>14984.44</v>
      </c>
      <c r="I727" s="183">
        <v>14984.44</v>
      </c>
      <c r="J727" s="183">
        <v>14984.44</v>
      </c>
      <c r="K727" s="183">
        <v>14984.44</v>
      </c>
      <c r="L727" s="183">
        <v>14984.44</v>
      </c>
      <c r="M727" s="183">
        <v>0</v>
      </c>
      <c r="N727" s="183">
        <v>0</v>
      </c>
      <c r="O727" s="183">
        <v>0</v>
      </c>
      <c r="P727" s="183">
        <v>0</v>
      </c>
      <c r="Q727" s="183">
        <v>0</v>
      </c>
      <c r="R727" s="183">
        <v>0</v>
      </c>
      <c r="S727" s="184">
        <f t="shared" si="121"/>
        <v>8116.5716666666667</v>
      </c>
      <c r="U727" s="65"/>
      <c r="W727" s="103"/>
      <c r="X727" s="103">
        <f t="shared" si="144"/>
        <v>8116.5716666666667</v>
      </c>
      <c r="Y727" s="103"/>
      <c r="Z727" s="103"/>
      <c r="AA727" s="65"/>
      <c r="AB727" s="103">
        <f>+S727</f>
        <v>8116.5716666666667</v>
      </c>
      <c r="AD727" s="42"/>
      <c r="AF727" s="6"/>
    </row>
    <row r="728" spans="1:32">
      <c r="A728" s="2">
        <f t="shared" si="145"/>
        <v>711</v>
      </c>
      <c r="B728" s="688" t="s">
        <v>2342</v>
      </c>
      <c r="C728" s="688" t="s">
        <v>2344</v>
      </c>
      <c r="D728" s="688" t="s">
        <v>2390</v>
      </c>
      <c r="E728" s="697" t="s">
        <v>3434</v>
      </c>
      <c r="F728" s="183">
        <v>-3470412.08</v>
      </c>
      <c r="G728" s="183">
        <v>-5243617.3600000003</v>
      </c>
      <c r="H728" s="183">
        <v>-5312009.26</v>
      </c>
      <c r="I728" s="183">
        <v>-5600058.2800000003</v>
      </c>
      <c r="J728" s="183">
        <v>-5470906.9900000002</v>
      </c>
      <c r="K728" s="183">
        <v>-5449701.6200000001</v>
      </c>
      <c r="L728" s="183">
        <v>-5430415.4100000001</v>
      </c>
      <c r="M728" s="183">
        <v>-5541223.0300000003</v>
      </c>
      <c r="N728" s="183">
        <v>-5856216.2800000003</v>
      </c>
      <c r="O728" s="183">
        <v>-5938526.79</v>
      </c>
      <c r="P728" s="183">
        <v>-6028257.3200000003</v>
      </c>
      <c r="Q728" s="183">
        <v>-6662001.1699999999</v>
      </c>
      <c r="R728" s="183">
        <v>-6263989.5800000001</v>
      </c>
      <c r="S728" s="184">
        <f t="shared" si="121"/>
        <v>-5616677.8616666673</v>
      </c>
      <c r="U728" s="65"/>
      <c r="V728" s="103">
        <f>+S728</f>
        <v>-5616677.8616666673</v>
      </c>
      <c r="W728" s="103"/>
      <c r="X728" s="599"/>
      <c r="Y728" s="103"/>
      <c r="Z728" s="103"/>
      <c r="AA728" s="65"/>
      <c r="AB728" s="103"/>
      <c r="AD728" s="42">
        <f>+S728</f>
        <v>-5616677.8616666673</v>
      </c>
      <c r="AF728" s="6"/>
    </row>
    <row r="729" spans="1:32">
      <c r="A729" s="2">
        <f t="shared" si="145"/>
        <v>712</v>
      </c>
      <c r="B729" s="688" t="s">
        <v>2342</v>
      </c>
      <c r="C729" s="688" t="s">
        <v>2344</v>
      </c>
      <c r="D729" s="688" t="s">
        <v>2345</v>
      </c>
      <c r="E729" s="697" t="s">
        <v>3424</v>
      </c>
      <c r="F729" s="183">
        <v>-56828.18</v>
      </c>
      <c r="G729" s="183">
        <v>-55385.59</v>
      </c>
      <c r="H729" s="183">
        <v>-55171.43</v>
      </c>
      <c r="I729" s="183">
        <v>-54957.27</v>
      </c>
      <c r="J729" s="183">
        <v>-54743.11</v>
      </c>
      <c r="K729" s="183">
        <v>-54528.95</v>
      </c>
      <c r="L729" s="183">
        <v>-54314.79</v>
      </c>
      <c r="M729" s="183">
        <v>-54100.63</v>
      </c>
      <c r="N729" s="183">
        <v>-53886.47</v>
      </c>
      <c r="O729" s="183">
        <v>-53672.31</v>
      </c>
      <c r="P729" s="183">
        <v>-53458.15</v>
      </c>
      <c r="Q729" s="183">
        <v>-53243.99</v>
      </c>
      <c r="R729" s="183">
        <v>-53029.83</v>
      </c>
      <c r="S729" s="184">
        <f t="shared" si="121"/>
        <v>-54365.974583333329</v>
      </c>
      <c r="U729" s="65"/>
      <c r="V729" s="103"/>
      <c r="W729" s="103"/>
      <c r="X729" s="599">
        <f>+S729</f>
        <v>-54365.974583333329</v>
      </c>
      <c r="Y729" s="103"/>
      <c r="Z729" s="103">
        <f>+S729</f>
        <v>-54365.974583333329</v>
      </c>
      <c r="AA729" s="65"/>
      <c r="AB729" s="103"/>
      <c r="AD729" s="42"/>
      <c r="AF729" s="6"/>
    </row>
    <row r="730" spans="1:32">
      <c r="A730" s="2">
        <f t="shared" si="145"/>
        <v>713</v>
      </c>
      <c r="B730" s="688" t="s">
        <v>2324</v>
      </c>
      <c r="C730" s="688" t="s">
        <v>2340</v>
      </c>
      <c r="D730" s="688" t="s">
        <v>2341</v>
      </c>
      <c r="E730" s="697" t="s">
        <v>3422</v>
      </c>
      <c r="F730" s="183">
        <v>-77497377.159999996</v>
      </c>
      <c r="G730" s="183">
        <v>-77548632.900000006</v>
      </c>
      <c r="H730" s="183">
        <v>-77470515.060000002</v>
      </c>
      <c r="I730" s="183">
        <v>-77392397.219999999</v>
      </c>
      <c r="J730" s="183">
        <v>-77314279.390000001</v>
      </c>
      <c r="K730" s="183">
        <v>-77236161.560000002</v>
      </c>
      <c r="L730" s="183">
        <v>-77158043.719999999</v>
      </c>
      <c r="M730" s="183">
        <v>-77079925.890000001</v>
      </c>
      <c r="N730" s="183">
        <v>-77001808.060000002</v>
      </c>
      <c r="O730" s="183">
        <v>-76923690.219999999</v>
      </c>
      <c r="P730" s="183">
        <v>-76845572.390000001</v>
      </c>
      <c r="Q730" s="183">
        <v>-76971079.75</v>
      </c>
      <c r="R730" s="183">
        <v>-77502629.349999994</v>
      </c>
      <c r="S730" s="184">
        <f>((F730+R730)+((G730+H730+I730+J730+K730+L730+M730+N730+O730+P730+Q730)*2))/24</f>
        <v>-77203509.117916659</v>
      </c>
      <c r="U730" s="65"/>
      <c r="V730" s="103"/>
      <c r="W730" s="103"/>
      <c r="X730" s="599">
        <f>+S730</f>
        <v>-77203509.117916659</v>
      </c>
      <c r="Y730" s="103">
        <f>+S730</f>
        <v>-77203509.117916659</v>
      </c>
      <c r="Z730" s="103"/>
      <c r="AA730" s="65"/>
      <c r="AB730" s="103"/>
      <c r="AD730" s="42"/>
      <c r="AF730" s="6"/>
    </row>
    <row r="731" spans="1:32">
      <c r="A731" s="2">
        <f t="shared" si="145"/>
        <v>714</v>
      </c>
      <c r="B731" s="688" t="s">
        <v>2324</v>
      </c>
      <c r="C731" s="688" t="s">
        <v>2340</v>
      </c>
      <c r="D731" s="688" t="s">
        <v>2350</v>
      </c>
      <c r="E731" s="697" t="s">
        <v>3431</v>
      </c>
      <c r="F731" s="183">
        <v>0</v>
      </c>
      <c r="G731" s="183">
        <v>0</v>
      </c>
      <c r="H731" s="183">
        <v>0</v>
      </c>
      <c r="I731" s="183">
        <v>0</v>
      </c>
      <c r="J731" s="183">
        <v>0</v>
      </c>
      <c r="K731" s="183">
        <v>0</v>
      </c>
      <c r="L731" s="183">
        <v>0</v>
      </c>
      <c r="M731" s="183">
        <v>0</v>
      </c>
      <c r="N731" s="183">
        <v>0</v>
      </c>
      <c r="O731" s="183">
        <v>0</v>
      </c>
      <c r="P731" s="183">
        <v>0</v>
      </c>
      <c r="Q731" s="183">
        <v>0</v>
      </c>
      <c r="R731" s="183">
        <v>0</v>
      </c>
      <c r="S731" s="184">
        <f t="shared" si="121"/>
        <v>0</v>
      </c>
      <c r="U731" s="65"/>
      <c r="V731" s="103"/>
      <c r="W731" s="103"/>
      <c r="X731" s="599">
        <f>+S731</f>
        <v>0</v>
      </c>
      <c r="Y731" s="103">
        <f>+X731</f>
        <v>0</v>
      </c>
      <c r="Z731" s="103"/>
      <c r="AA731" s="65"/>
      <c r="AB731" s="103"/>
      <c r="AD731" s="42"/>
      <c r="AF731" s="6"/>
    </row>
    <row r="732" spans="1:32">
      <c r="A732" s="2">
        <f t="shared" si="145"/>
        <v>715</v>
      </c>
      <c r="B732" s="688" t="s">
        <v>2324</v>
      </c>
      <c r="C732" s="688" t="s">
        <v>2344</v>
      </c>
      <c r="D732" s="688" t="s">
        <v>2345</v>
      </c>
      <c r="E732" s="697" t="s">
        <v>3424</v>
      </c>
      <c r="F732" s="183">
        <v>-210221.69</v>
      </c>
      <c r="G732" s="183">
        <v>-210635.65</v>
      </c>
      <c r="H732" s="183">
        <v>-209821.18</v>
      </c>
      <c r="I732" s="183">
        <v>-209006.71</v>
      </c>
      <c r="J732" s="183">
        <v>-208192.24</v>
      </c>
      <c r="K732" s="183">
        <v>-207377.77</v>
      </c>
      <c r="L732" s="183">
        <v>-206563.3</v>
      </c>
      <c r="M732" s="183">
        <v>-205748.83</v>
      </c>
      <c r="N732" s="183">
        <v>-204934.36</v>
      </c>
      <c r="O732" s="183">
        <v>-204119.89</v>
      </c>
      <c r="P732" s="183">
        <v>-203305.42</v>
      </c>
      <c r="Q732" s="183">
        <v>-202490.95</v>
      </c>
      <c r="R732" s="183">
        <v>-201676.48</v>
      </c>
      <c r="S732" s="184">
        <f t="shared" si="121"/>
        <v>-206512.1154166667</v>
      </c>
      <c r="U732" s="65"/>
      <c r="V732" s="103"/>
      <c r="W732" s="103"/>
      <c r="X732" s="599">
        <f>+S732</f>
        <v>-206512.1154166667</v>
      </c>
      <c r="Y732" s="103">
        <f>+X732</f>
        <v>-206512.1154166667</v>
      </c>
      <c r="Z732" s="103"/>
      <c r="AA732" s="65"/>
      <c r="AB732" s="103"/>
      <c r="AD732" s="42"/>
      <c r="AF732" s="6"/>
    </row>
    <row r="733" spans="1:32">
      <c r="A733" s="2">
        <f t="shared" si="145"/>
        <v>716</v>
      </c>
      <c r="E733" s="697" t="s">
        <v>3435</v>
      </c>
      <c r="F733" s="511">
        <f>SUM(F708:F732)</f>
        <v>-106082232.22</v>
      </c>
      <c r="G733" s="511">
        <f t="shared" ref="G733:P733" si="146">SUM(G708:G732)</f>
        <v>-128344203.84</v>
      </c>
      <c r="H733" s="511">
        <f t="shared" si="146"/>
        <v>-129426978</v>
      </c>
      <c r="I733" s="511">
        <f t="shared" si="146"/>
        <v>-133147683.11999999</v>
      </c>
      <c r="J733" s="511">
        <f t="shared" si="146"/>
        <v>-131769014.24999999</v>
      </c>
      <c r="K733" s="511">
        <f t="shared" si="146"/>
        <v>-131700652.17</v>
      </c>
      <c r="L733" s="511">
        <f t="shared" si="146"/>
        <v>-131677042.89999999</v>
      </c>
      <c r="M733" s="511">
        <f t="shared" si="146"/>
        <v>-133431307.23</v>
      </c>
      <c r="N733" s="511">
        <f t="shared" si="146"/>
        <v>-137573096.32000002</v>
      </c>
      <c r="O733" s="511">
        <f t="shared" si="146"/>
        <v>-138776569.69</v>
      </c>
      <c r="P733" s="511">
        <f t="shared" si="146"/>
        <v>-140088782.24999997</v>
      </c>
      <c r="Q733" s="511">
        <f>SUM(Q708:Q732)</f>
        <v>-148362855.64999998</v>
      </c>
      <c r="R733" s="511">
        <f>SUM(R708:R732)</f>
        <v>-144157997.56999996</v>
      </c>
      <c r="S733" s="512">
        <f>SUM(S708:S732)</f>
        <v>-134118191.69291665</v>
      </c>
      <c r="U733" s="65"/>
      <c r="V733" s="103"/>
      <c r="W733" s="103"/>
      <c r="X733" s="599"/>
      <c r="Y733" s="103"/>
      <c r="Z733" s="103"/>
      <c r="AA733" s="65"/>
      <c r="AB733" s="103"/>
      <c r="AF733" s="6"/>
    </row>
    <row r="734" spans="1:32">
      <c r="A734" s="2">
        <f t="shared" si="145"/>
        <v>717</v>
      </c>
      <c r="E734" s="697"/>
      <c r="F734" s="183"/>
      <c r="G734" s="198"/>
      <c r="H734" s="188"/>
      <c r="I734" s="188"/>
      <c r="J734" s="189"/>
      <c r="K734" s="190"/>
      <c r="L734" s="191"/>
      <c r="M734" s="192"/>
      <c r="N734" s="193"/>
      <c r="O734" s="689"/>
      <c r="P734" s="194"/>
      <c r="Q734" s="199"/>
      <c r="R734" s="183"/>
      <c r="S734" s="47"/>
      <c r="U734" s="65"/>
      <c r="V734" s="103"/>
      <c r="W734" s="103"/>
      <c r="X734" s="599"/>
      <c r="Y734" s="103"/>
      <c r="Z734" s="103"/>
      <c r="AA734" s="65"/>
      <c r="AB734" s="103"/>
      <c r="AF734" s="6"/>
    </row>
    <row r="735" spans="1:32">
      <c r="A735" s="2">
        <f t="shared" si="145"/>
        <v>718</v>
      </c>
      <c r="B735" s="688" t="s">
        <v>2330</v>
      </c>
      <c r="C735" s="688" t="s">
        <v>519</v>
      </c>
      <c r="D735" s="688" t="s">
        <v>3436</v>
      </c>
      <c r="E735" s="697" t="s">
        <v>3437</v>
      </c>
      <c r="F735" s="196">
        <v>0</v>
      </c>
      <c r="G735" s="196">
        <v>0</v>
      </c>
      <c r="H735" s="196">
        <v>0</v>
      </c>
      <c r="I735" s="196">
        <v>0</v>
      </c>
      <c r="J735" s="196">
        <v>0</v>
      </c>
      <c r="K735" s="196">
        <v>0</v>
      </c>
      <c r="L735" s="196">
        <v>-90872</v>
      </c>
      <c r="M735" s="196">
        <v>0</v>
      </c>
      <c r="N735" s="196">
        <v>0</v>
      </c>
      <c r="O735" s="196">
        <v>0</v>
      </c>
      <c r="P735" s="196">
        <v>0</v>
      </c>
      <c r="Q735" s="196">
        <v>0</v>
      </c>
      <c r="R735" s="196">
        <v>0</v>
      </c>
      <c r="S735" s="184">
        <f t="shared" si="121"/>
        <v>-7572.666666666667</v>
      </c>
      <c r="U735" s="65"/>
      <c r="V735" s="103"/>
      <c r="W735" s="103">
        <f t="shared" ref="W735:W812" si="147">+S735</f>
        <v>-7572.666666666667</v>
      </c>
      <c r="X735" s="599"/>
      <c r="Y735" s="103"/>
      <c r="Z735" s="103"/>
      <c r="AA735" s="65"/>
      <c r="AB735" s="103"/>
      <c r="AC735" s="42">
        <f>+S735</f>
        <v>-7572.666666666667</v>
      </c>
      <c r="AF735" s="6"/>
    </row>
    <row r="736" spans="1:32">
      <c r="A736" s="2">
        <f t="shared" si="145"/>
        <v>719</v>
      </c>
      <c r="B736" s="688" t="s">
        <v>2330</v>
      </c>
      <c r="C736" s="688" t="s">
        <v>519</v>
      </c>
      <c r="D736" s="688" t="s">
        <v>3438</v>
      </c>
      <c r="E736" s="697" t="s">
        <v>3437</v>
      </c>
      <c r="F736" s="196">
        <v>0</v>
      </c>
      <c r="G736" s="196">
        <v>0</v>
      </c>
      <c r="H736" s="196">
        <v>0</v>
      </c>
      <c r="I736" s="196">
        <v>0</v>
      </c>
      <c r="J736" s="196">
        <v>0</v>
      </c>
      <c r="K736" s="196">
        <v>0</v>
      </c>
      <c r="L736" s="196">
        <v>0</v>
      </c>
      <c r="M736" s="196">
        <v>-174740</v>
      </c>
      <c r="N736" s="196">
        <v>-233588</v>
      </c>
      <c r="O736" s="196">
        <v>-288323</v>
      </c>
      <c r="P736" s="196">
        <v>-334417</v>
      </c>
      <c r="Q736" s="196">
        <v>-379543</v>
      </c>
      <c r="R736" s="196">
        <v>-440136</v>
      </c>
      <c r="S736" s="184">
        <f t="shared" si="121"/>
        <v>-135889.91666666666</v>
      </c>
      <c r="U736" s="65"/>
      <c r="V736" s="103"/>
      <c r="W736" s="103">
        <f t="shared" si="147"/>
        <v>-135889.91666666666</v>
      </c>
      <c r="X736" s="599"/>
      <c r="Y736" s="103"/>
      <c r="Z736" s="103"/>
      <c r="AA736" s="65"/>
      <c r="AB736" s="103"/>
      <c r="AC736" s="42">
        <f t="shared" ref="AC736:AC811" si="148">+S736</f>
        <v>-135889.91666666666</v>
      </c>
      <c r="AF736" s="6"/>
    </row>
    <row r="737" spans="1:34">
      <c r="A737" s="2">
        <f t="shared" si="145"/>
        <v>720</v>
      </c>
      <c r="B737" s="688" t="s">
        <v>2330</v>
      </c>
      <c r="C737" s="688" t="s">
        <v>520</v>
      </c>
      <c r="D737" s="688"/>
      <c r="E737" s="697" t="s">
        <v>191</v>
      </c>
      <c r="F737" s="196">
        <v>0</v>
      </c>
      <c r="G737" s="196">
        <v>0</v>
      </c>
      <c r="H737" s="196">
        <v>0</v>
      </c>
      <c r="I737" s="196">
        <v>0</v>
      </c>
      <c r="J737" s="196">
        <v>0</v>
      </c>
      <c r="K737" s="196">
        <v>0</v>
      </c>
      <c r="L737" s="196">
        <v>0</v>
      </c>
      <c r="M737" s="196">
        <v>0</v>
      </c>
      <c r="N737" s="196">
        <v>0</v>
      </c>
      <c r="O737" s="196">
        <v>0</v>
      </c>
      <c r="P737" s="196">
        <v>0</v>
      </c>
      <c r="Q737" s="196">
        <v>0</v>
      </c>
      <c r="R737" s="196">
        <v>0</v>
      </c>
      <c r="S737" s="184">
        <f t="shared" si="121"/>
        <v>0</v>
      </c>
      <c r="U737" s="65"/>
      <c r="V737" s="103"/>
      <c r="W737" s="103">
        <f t="shared" si="147"/>
        <v>0</v>
      </c>
      <c r="X737" s="599"/>
      <c r="Y737" s="103"/>
      <c r="Z737" s="103"/>
      <c r="AA737" s="65"/>
      <c r="AB737" s="103"/>
      <c r="AC737" s="42">
        <f t="shared" si="148"/>
        <v>0</v>
      </c>
      <c r="AF737" s="6"/>
    </row>
    <row r="738" spans="1:34">
      <c r="A738" s="2">
        <f t="shared" si="145"/>
        <v>721</v>
      </c>
      <c r="B738" s="688" t="s">
        <v>2330</v>
      </c>
      <c r="C738" s="688" t="s">
        <v>520</v>
      </c>
      <c r="D738" s="688" t="s">
        <v>3439</v>
      </c>
      <c r="E738" s="697" t="s">
        <v>3440</v>
      </c>
      <c r="F738" s="196">
        <v>-20640</v>
      </c>
      <c r="G738" s="196">
        <v>-1720</v>
      </c>
      <c r="H738" s="196">
        <v>-3524</v>
      </c>
      <c r="I738" s="196">
        <v>-5286</v>
      </c>
      <c r="J738" s="196">
        <v>-7048</v>
      </c>
      <c r="K738" s="196">
        <v>-8810</v>
      </c>
      <c r="L738" s="196">
        <v>-10572</v>
      </c>
      <c r="M738" s="196">
        <v>-12334</v>
      </c>
      <c r="N738" s="196">
        <v>-14096</v>
      </c>
      <c r="O738" s="196">
        <v>-15858</v>
      </c>
      <c r="P738" s="196">
        <v>-17620</v>
      </c>
      <c r="Q738" s="196">
        <v>-19382</v>
      </c>
      <c r="R738" s="196">
        <v>-21144</v>
      </c>
      <c r="S738" s="184">
        <f t="shared" si="121"/>
        <v>-11428.5</v>
      </c>
      <c r="U738" s="65"/>
      <c r="V738" s="103"/>
      <c r="W738" s="103">
        <f t="shared" si="147"/>
        <v>-11428.5</v>
      </c>
      <c r="X738" s="599"/>
      <c r="Y738" s="103"/>
      <c r="Z738" s="103"/>
      <c r="AA738" s="65"/>
      <c r="AB738" s="103"/>
      <c r="AC738" s="42">
        <f t="shared" si="148"/>
        <v>-11428.5</v>
      </c>
      <c r="AF738" s="6"/>
    </row>
    <row r="739" spans="1:34">
      <c r="A739" s="2">
        <f t="shared" si="145"/>
        <v>722</v>
      </c>
      <c r="B739" s="688" t="s">
        <v>2330</v>
      </c>
      <c r="C739" s="688" t="s">
        <v>520</v>
      </c>
      <c r="D739" s="688" t="s">
        <v>3441</v>
      </c>
      <c r="E739" s="697" t="s">
        <v>3442</v>
      </c>
      <c r="F739" s="196">
        <v>-81684</v>
      </c>
      <c r="G739" s="196">
        <v>-6807</v>
      </c>
      <c r="H739" s="196">
        <v>-14301</v>
      </c>
      <c r="I739" s="196">
        <v>-21108</v>
      </c>
      <c r="J739" s="196">
        <v>-28144</v>
      </c>
      <c r="K739" s="196">
        <v>-35180</v>
      </c>
      <c r="L739" s="196">
        <v>-42216</v>
      </c>
      <c r="M739" s="196">
        <v>-49252</v>
      </c>
      <c r="N739" s="196">
        <v>-56288</v>
      </c>
      <c r="O739" s="196">
        <v>-63324</v>
      </c>
      <c r="P739" s="196">
        <v>-70360</v>
      </c>
      <c r="Q739" s="196">
        <v>-77396</v>
      </c>
      <c r="R739" s="196">
        <v>-84432</v>
      </c>
      <c r="S739" s="184">
        <f t="shared" si="121"/>
        <v>-45619.5</v>
      </c>
      <c r="U739" s="65"/>
      <c r="V739" s="103"/>
      <c r="W739" s="103">
        <f t="shared" si="147"/>
        <v>-45619.5</v>
      </c>
      <c r="X739" s="599"/>
      <c r="Y739" s="103"/>
      <c r="Z739" s="103"/>
      <c r="AA739" s="65"/>
      <c r="AB739" s="103"/>
      <c r="AC739" s="42">
        <f t="shared" si="148"/>
        <v>-45619.5</v>
      </c>
      <c r="AF739" s="6"/>
    </row>
    <row r="740" spans="1:34">
      <c r="A740" s="2">
        <f t="shared" si="145"/>
        <v>723</v>
      </c>
      <c r="B740" s="688" t="s">
        <v>2330</v>
      </c>
      <c r="C740" s="688" t="s">
        <v>520</v>
      </c>
      <c r="D740" s="688" t="s">
        <v>3443</v>
      </c>
      <c r="E740" s="697" t="s">
        <v>3444</v>
      </c>
      <c r="F740" s="196">
        <v>-22188</v>
      </c>
      <c r="G740" s="196">
        <v>-1849</v>
      </c>
      <c r="H740" s="196">
        <v>-3862</v>
      </c>
      <c r="I740" s="196">
        <v>-5793</v>
      </c>
      <c r="J740" s="196">
        <v>-7724</v>
      </c>
      <c r="K740" s="196">
        <v>-9655</v>
      </c>
      <c r="L740" s="196">
        <v>-11586</v>
      </c>
      <c r="M740" s="196">
        <v>-13517</v>
      </c>
      <c r="N740" s="196">
        <v>-15448</v>
      </c>
      <c r="O740" s="196">
        <v>-17379</v>
      </c>
      <c r="P740" s="196">
        <v>-19310</v>
      </c>
      <c r="Q740" s="196">
        <v>-21241</v>
      </c>
      <c r="R740" s="196">
        <v>-23172</v>
      </c>
      <c r="S740" s="184">
        <f t="shared" si="121"/>
        <v>-12503.666666666666</v>
      </c>
      <c r="U740" s="65"/>
      <c r="V740" s="103"/>
      <c r="W740" s="103">
        <f t="shared" si="147"/>
        <v>-12503.666666666666</v>
      </c>
      <c r="X740" s="599"/>
      <c r="Y740" s="103"/>
      <c r="Z740" s="103"/>
      <c r="AA740" s="65"/>
      <c r="AB740" s="103"/>
      <c r="AC740" s="42">
        <f t="shared" si="148"/>
        <v>-12503.666666666666</v>
      </c>
      <c r="AF740" s="6"/>
    </row>
    <row r="741" spans="1:34">
      <c r="A741" s="2">
        <f t="shared" si="145"/>
        <v>724</v>
      </c>
      <c r="B741" s="688" t="s">
        <v>2330</v>
      </c>
      <c r="C741" s="688" t="s">
        <v>521</v>
      </c>
      <c r="D741" s="688" t="s">
        <v>3445</v>
      </c>
      <c r="E741" s="697" t="s">
        <v>3446</v>
      </c>
      <c r="F741" s="196">
        <v>-5752.18</v>
      </c>
      <c r="G741" s="196">
        <v>0</v>
      </c>
      <c r="H741" s="196">
        <v>0</v>
      </c>
      <c r="I741" s="196">
        <v>-400</v>
      </c>
      <c r="J741" s="196">
        <v>-400</v>
      </c>
      <c r="K741" s="196">
        <v>-400</v>
      </c>
      <c r="L741" s="196">
        <v>-400</v>
      </c>
      <c r="M741" s="196">
        <v>-538.79</v>
      </c>
      <c r="N741" s="196">
        <v>-538.79</v>
      </c>
      <c r="O741" s="196">
        <v>-538.79</v>
      </c>
      <c r="P741" s="196">
        <v>-622.49</v>
      </c>
      <c r="Q741" s="196">
        <v>-622.49</v>
      </c>
      <c r="R741" s="196">
        <v>-622.49</v>
      </c>
      <c r="S741" s="184">
        <f t="shared" si="121"/>
        <v>-637.39041666666662</v>
      </c>
      <c r="U741" s="65"/>
      <c r="V741" s="103"/>
      <c r="W741" s="103">
        <f t="shared" si="147"/>
        <v>-637.39041666666662</v>
      </c>
      <c r="X741" s="599"/>
      <c r="Y741" s="103"/>
      <c r="Z741" s="103"/>
      <c r="AA741" s="65"/>
      <c r="AB741" s="103"/>
      <c r="AC741" s="42">
        <f t="shared" si="148"/>
        <v>-637.39041666666662</v>
      </c>
      <c r="AF741" s="6"/>
    </row>
    <row r="742" spans="1:34">
      <c r="A742" s="2">
        <f t="shared" si="145"/>
        <v>725</v>
      </c>
      <c r="B742" s="688" t="s">
        <v>2342</v>
      </c>
      <c r="C742" s="688" t="s">
        <v>3447</v>
      </c>
      <c r="D742" s="688" t="s">
        <v>3448</v>
      </c>
      <c r="E742" s="697" t="s">
        <v>3449</v>
      </c>
      <c r="F742" s="196">
        <v>-54739350.729999997</v>
      </c>
      <c r="G742" s="196">
        <v>-10855998.98</v>
      </c>
      <c r="H742" s="196">
        <v>-19878061.859999999</v>
      </c>
      <c r="I742" s="196">
        <v>-30115797.489999998</v>
      </c>
      <c r="J742" s="196">
        <v>-37567025.259999998</v>
      </c>
      <c r="K742" s="196">
        <v>-41997661.93</v>
      </c>
      <c r="L742" s="196">
        <v>-44403539.93</v>
      </c>
      <c r="M742" s="196">
        <v>-46197542.950000003</v>
      </c>
      <c r="N742" s="196">
        <v>-47871374.710000001</v>
      </c>
      <c r="O742" s="196">
        <v>-49524895.329999998</v>
      </c>
      <c r="P742" s="196">
        <v>-52456590.630000003</v>
      </c>
      <c r="Q742" s="196">
        <v>-57710700.969999999</v>
      </c>
      <c r="R742" s="196">
        <v>-66407139.210000001</v>
      </c>
      <c r="S742" s="184">
        <f t="shared" si="121"/>
        <v>-41596036.250833333</v>
      </c>
      <c r="U742" s="65"/>
      <c r="V742" s="103"/>
      <c r="W742" s="103">
        <f t="shared" si="147"/>
        <v>-41596036.250833333</v>
      </c>
      <c r="X742" s="599"/>
      <c r="Y742" s="103"/>
      <c r="Z742" s="103"/>
      <c r="AA742" s="65"/>
      <c r="AB742" s="103"/>
      <c r="AC742" s="42">
        <f t="shared" si="148"/>
        <v>-41596036.250833333</v>
      </c>
      <c r="AF742" s="6"/>
    </row>
    <row r="743" spans="1:34">
      <c r="A743" s="2">
        <f t="shared" si="145"/>
        <v>726</v>
      </c>
      <c r="B743" s="688" t="s">
        <v>2342</v>
      </c>
      <c r="C743" s="688" t="s">
        <v>3447</v>
      </c>
      <c r="D743" s="688" t="s">
        <v>3450</v>
      </c>
      <c r="E743" s="697" t="s">
        <v>3451</v>
      </c>
      <c r="F743" s="196">
        <v>1240369.6399999999</v>
      </c>
      <c r="G743" s="196">
        <v>-343636.44</v>
      </c>
      <c r="H743" s="196">
        <v>171117.64</v>
      </c>
      <c r="I743" s="196">
        <v>730120.33</v>
      </c>
      <c r="J743" s="196">
        <v>1326276.3500000001</v>
      </c>
      <c r="K743" s="196">
        <v>950781.84</v>
      </c>
      <c r="L743" s="196">
        <v>968306.19</v>
      </c>
      <c r="M743" s="196">
        <v>747205.57</v>
      </c>
      <c r="N743" s="196">
        <v>670919.16</v>
      </c>
      <c r="O743" s="196">
        <v>582978.1</v>
      </c>
      <c r="P743" s="196">
        <v>735039.2</v>
      </c>
      <c r="Q743" s="196">
        <v>689523.39</v>
      </c>
      <c r="R743" s="196">
        <v>-90766.979999999894</v>
      </c>
      <c r="S743" s="184">
        <f t="shared" si="121"/>
        <v>650286.05500000005</v>
      </c>
      <c r="U743" s="65"/>
      <c r="V743" s="103"/>
      <c r="W743" s="103">
        <f t="shared" si="147"/>
        <v>650286.05500000005</v>
      </c>
      <c r="X743" s="599"/>
      <c r="Y743" s="103"/>
      <c r="Z743" s="103"/>
      <c r="AA743" s="65"/>
      <c r="AB743" s="103"/>
      <c r="AC743" s="42">
        <f t="shared" si="148"/>
        <v>650286.05500000005</v>
      </c>
      <c r="AF743" s="6"/>
    </row>
    <row r="744" spans="1:34">
      <c r="A744" s="2">
        <f t="shared" si="145"/>
        <v>727</v>
      </c>
      <c r="B744" s="688" t="s">
        <v>2342</v>
      </c>
      <c r="C744" s="688" t="s">
        <v>3447</v>
      </c>
      <c r="D744" s="688" t="s">
        <v>3452</v>
      </c>
      <c r="E744" s="697" t="s">
        <v>3453</v>
      </c>
      <c r="F744" s="196">
        <v>-3662172.57</v>
      </c>
      <c r="G744" s="196">
        <v>-688172.67</v>
      </c>
      <c r="H744" s="196">
        <v>-1212254</v>
      </c>
      <c r="I744" s="196">
        <v>-1833638.77</v>
      </c>
      <c r="J744" s="196">
        <v>-2307507.87</v>
      </c>
      <c r="K744" s="196">
        <v>-2625803.7000000002</v>
      </c>
      <c r="L744" s="196">
        <v>-2844336.82</v>
      </c>
      <c r="M744" s="196">
        <v>-3023482.89</v>
      </c>
      <c r="N744" s="196">
        <v>-3214300.91</v>
      </c>
      <c r="O744" s="196">
        <v>-3432570.65</v>
      </c>
      <c r="P744" s="196">
        <v>-3789743.63</v>
      </c>
      <c r="Q744" s="196">
        <v>-4257255.2</v>
      </c>
      <c r="R744" s="196">
        <v>-4874163.53</v>
      </c>
      <c r="S744" s="184">
        <f t="shared" si="121"/>
        <v>-2791436.2633333332</v>
      </c>
      <c r="U744" s="65"/>
      <c r="V744" s="103"/>
      <c r="W744" s="103">
        <f t="shared" si="147"/>
        <v>-2791436.2633333332</v>
      </c>
      <c r="X744" s="599"/>
      <c r="Y744" s="103"/>
      <c r="Z744" s="103"/>
      <c r="AA744" s="65"/>
      <c r="AB744" s="103"/>
      <c r="AC744" s="42">
        <f t="shared" si="148"/>
        <v>-2791436.2633333332</v>
      </c>
      <c r="AF744" s="6"/>
    </row>
    <row r="745" spans="1:34">
      <c r="A745" s="2">
        <f t="shared" si="145"/>
        <v>728</v>
      </c>
      <c r="B745" s="688" t="s">
        <v>2342</v>
      </c>
      <c r="C745" s="688" t="s">
        <v>3447</v>
      </c>
      <c r="D745" s="688" t="s">
        <v>3454</v>
      </c>
      <c r="E745" s="697" t="s">
        <v>3455</v>
      </c>
      <c r="F745" s="196">
        <v>0</v>
      </c>
      <c r="G745" s="196">
        <v>0</v>
      </c>
      <c r="H745" s="196">
        <v>0</v>
      </c>
      <c r="I745" s="196">
        <v>0</v>
      </c>
      <c r="J745" s="196">
        <v>0</v>
      </c>
      <c r="K745" s="196">
        <v>0</v>
      </c>
      <c r="L745" s="196">
        <v>0</v>
      </c>
      <c r="M745" s="196">
        <v>0</v>
      </c>
      <c r="N745" s="196">
        <v>0</v>
      </c>
      <c r="O745" s="196">
        <v>0</v>
      </c>
      <c r="P745" s="196">
        <v>0</v>
      </c>
      <c r="Q745" s="196">
        <v>0</v>
      </c>
      <c r="R745" s="196">
        <v>0</v>
      </c>
      <c r="S745" s="184">
        <f t="shared" si="121"/>
        <v>0</v>
      </c>
      <c r="U745" s="65"/>
      <c r="V745" s="103"/>
      <c r="W745" s="103">
        <f t="shared" si="147"/>
        <v>0</v>
      </c>
      <c r="X745" s="599"/>
      <c r="Y745" s="103"/>
      <c r="Z745" s="103"/>
      <c r="AA745" s="65"/>
      <c r="AB745" s="103"/>
      <c r="AC745" s="42">
        <f t="shared" si="148"/>
        <v>0</v>
      </c>
      <c r="AF745" s="6"/>
    </row>
    <row r="746" spans="1:34">
      <c r="A746" s="2">
        <f t="shared" si="145"/>
        <v>729</v>
      </c>
      <c r="B746" s="688" t="s">
        <v>2342</v>
      </c>
      <c r="C746" s="688" t="s">
        <v>3447</v>
      </c>
      <c r="D746" s="688" t="s">
        <v>3456</v>
      </c>
      <c r="E746" s="697" t="s">
        <v>3457</v>
      </c>
      <c r="F746" s="196">
        <v>-30820662.489999998</v>
      </c>
      <c r="G746" s="196">
        <v>-6285177.8899999997</v>
      </c>
      <c r="H746" s="196">
        <v>-11406920.18</v>
      </c>
      <c r="I746" s="196">
        <v>-17222290.039999999</v>
      </c>
      <c r="J746" s="196">
        <v>-21469296.829999998</v>
      </c>
      <c r="K746" s="196">
        <v>-24116521.93</v>
      </c>
      <c r="L746" s="196">
        <v>-25662267.32</v>
      </c>
      <c r="M746" s="196">
        <v>-26832456.420000002</v>
      </c>
      <c r="N746" s="196">
        <v>-27956594.760000002</v>
      </c>
      <c r="O746" s="196">
        <v>-29057511.949999999</v>
      </c>
      <c r="P746" s="196">
        <v>-30769111.469999999</v>
      </c>
      <c r="Q746" s="196">
        <v>-33656212.009999998</v>
      </c>
      <c r="R746" s="196">
        <v>-38470505.020000003</v>
      </c>
      <c r="S746" s="184">
        <f t="shared" si="121"/>
        <v>-24089995.379583333</v>
      </c>
      <c r="U746" s="65"/>
      <c r="V746" s="103"/>
      <c r="W746" s="103">
        <f t="shared" si="147"/>
        <v>-24089995.379583333</v>
      </c>
      <c r="X746" s="599"/>
      <c r="Y746" s="103"/>
      <c r="Z746" s="103"/>
      <c r="AA746" s="65"/>
      <c r="AB746" s="103"/>
      <c r="AC746" s="42">
        <f t="shared" si="148"/>
        <v>-24089995.379583333</v>
      </c>
      <c r="AF746" s="6"/>
    </row>
    <row r="747" spans="1:34">
      <c r="A747" s="2">
        <f t="shared" si="145"/>
        <v>730</v>
      </c>
      <c r="B747" s="688" t="s">
        <v>2342</v>
      </c>
      <c r="C747" s="688" t="s">
        <v>3447</v>
      </c>
      <c r="D747" s="688" t="s">
        <v>3458</v>
      </c>
      <c r="E747" s="697" t="s">
        <v>3459</v>
      </c>
      <c r="F747" s="196">
        <v>939643.05</v>
      </c>
      <c r="G747" s="196">
        <v>-10616.65</v>
      </c>
      <c r="H747" s="196">
        <v>268496.53999999998</v>
      </c>
      <c r="I747" s="196">
        <v>590599.88</v>
      </c>
      <c r="J747" s="196">
        <v>922854.58</v>
      </c>
      <c r="K747" s="196">
        <v>792701.36</v>
      </c>
      <c r="L747" s="196">
        <v>828921.89</v>
      </c>
      <c r="M747" s="196">
        <v>710237.71</v>
      </c>
      <c r="N747" s="196">
        <v>669578.1</v>
      </c>
      <c r="O747" s="196">
        <v>666912.81999999995</v>
      </c>
      <c r="P747" s="196">
        <v>762063.3</v>
      </c>
      <c r="Q747" s="196">
        <v>651511.88</v>
      </c>
      <c r="R747" s="196">
        <v>405575.44</v>
      </c>
      <c r="S747" s="184">
        <f t="shared" si="121"/>
        <v>627155.88791666669</v>
      </c>
      <c r="U747" s="65"/>
      <c r="V747" s="103"/>
      <c r="W747" s="103">
        <f t="shared" si="147"/>
        <v>627155.88791666669</v>
      </c>
      <c r="X747" s="599"/>
      <c r="Y747" s="103"/>
      <c r="Z747" s="103"/>
      <c r="AA747" s="65"/>
      <c r="AB747" s="103"/>
      <c r="AC747" s="42">
        <f t="shared" si="148"/>
        <v>627155.88791666669</v>
      </c>
      <c r="AF747" s="6"/>
    </row>
    <row r="748" spans="1:34">
      <c r="A748" s="2">
        <f t="shared" si="145"/>
        <v>731</v>
      </c>
      <c r="B748" s="688" t="s">
        <v>2342</v>
      </c>
      <c r="C748" s="688" t="s">
        <v>3447</v>
      </c>
      <c r="D748" s="688" t="s">
        <v>3460</v>
      </c>
      <c r="E748" s="697" t="s">
        <v>3461</v>
      </c>
      <c r="F748" s="196">
        <v>0</v>
      </c>
      <c r="G748" s="196">
        <v>0</v>
      </c>
      <c r="H748" s="196">
        <v>0</v>
      </c>
      <c r="I748" s="196">
        <v>0</v>
      </c>
      <c r="J748" s="196">
        <v>0</v>
      </c>
      <c r="K748" s="196">
        <v>0</v>
      </c>
      <c r="L748" s="196">
        <v>0</v>
      </c>
      <c r="M748" s="196">
        <v>0</v>
      </c>
      <c r="N748" s="196">
        <v>0</v>
      </c>
      <c r="O748" s="196">
        <v>0</v>
      </c>
      <c r="P748" s="196">
        <v>0</v>
      </c>
      <c r="Q748" s="196">
        <v>0</v>
      </c>
      <c r="R748" s="196">
        <v>0</v>
      </c>
      <c r="S748" s="184">
        <f t="shared" si="121"/>
        <v>0</v>
      </c>
      <c r="U748" s="65"/>
      <c r="V748" s="103"/>
      <c r="W748" s="103">
        <f t="shared" si="147"/>
        <v>0</v>
      </c>
      <c r="X748" s="599"/>
      <c r="Y748" s="103"/>
      <c r="Z748" s="103"/>
      <c r="AA748" s="65"/>
      <c r="AB748" s="103"/>
      <c r="AC748" s="42">
        <f t="shared" si="148"/>
        <v>0</v>
      </c>
      <c r="AF748" s="6"/>
      <c r="AH748" s="42"/>
    </row>
    <row r="749" spans="1:34">
      <c r="A749" s="2">
        <f t="shared" si="145"/>
        <v>732</v>
      </c>
      <c r="B749" s="688" t="s">
        <v>2342</v>
      </c>
      <c r="C749" s="688" t="s">
        <v>3447</v>
      </c>
      <c r="D749" s="688" t="s">
        <v>3462</v>
      </c>
      <c r="E749" s="697" t="s">
        <v>3463</v>
      </c>
      <c r="F749" s="196">
        <v>-1716076.87</v>
      </c>
      <c r="G749" s="196">
        <v>-351464.83</v>
      </c>
      <c r="H749" s="196">
        <v>-669683.57999999996</v>
      </c>
      <c r="I749" s="196">
        <v>-958158.56</v>
      </c>
      <c r="J749" s="196">
        <v>-1227706.6000000001</v>
      </c>
      <c r="K749" s="196">
        <v>-1418627.5</v>
      </c>
      <c r="L749" s="196">
        <v>-1531209.36</v>
      </c>
      <c r="M749" s="196">
        <v>-1633104.53</v>
      </c>
      <c r="N749" s="196">
        <v>-1729698.16</v>
      </c>
      <c r="O749" s="196">
        <v>-1820978.34</v>
      </c>
      <c r="P749" s="196">
        <v>-1920366.59</v>
      </c>
      <c r="Q749" s="196">
        <v>-2083253.86</v>
      </c>
      <c r="R749" s="196">
        <v>-2352928.5699999998</v>
      </c>
      <c r="S749" s="184">
        <f t="shared" si="121"/>
        <v>-1448229.5525</v>
      </c>
      <c r="U749" s="65"/>
      <c r="V749" s="103"/>
      <c r="W749" s="103">
        <f t="shared" si="147"/>
        <v>-1448229.5525</v>
      </c>
      <c r="X749" s="599"/>
      <c r="Y749" s="103"/>
      <c r="Z749" s="103"/>
      <c r="AA749" s="65"/>
      <c r="AB749" s="103"/>
      <c r="AC749" s="42">
        <f t="shared" si="148"/>
        <v>-1448229.5525</v>
      </c>
      <c r="AF749" s="6"/>
      <c r="AH749" s="42"/>
    </row>
    <row r="750" spans="1:34">
      <c r="A750" s="2">
        <f t="shared" si="145"/>
        <v>733</v>
      </c>
      <c r="B750" s="688" t="s">
        <v>2342</v>
      </c>
      <c r="C750" s="688" t="s">
        <v>3464</v>
      </c>
      <c r="D750" s="688" t="s">
        <v>3448</v>
      </c>
      <c r="E750" s="697" t="s">
        <v>3465</v>
      </c>
      <c r="F750" s="196">
        <v>-2195877.3199999998</v>
      </c>
      <c r="G750" s="196">
        <v>1781056.19</v>
      </c>
      <c r="H750" s="196">
        <v>1029752.15</v>
      </c>
      <c r="I750" s="196">
        <v>3152948.36</v>
      </c>
      <c r="J750" s="196">
        <v>4103133.39</v>
      </c>
      <c r="K750" s="196">
        <v>6361827.29</v>
      </c>
      <c r="L750" s="196">
        <v>6348958.8099999996</v>
      </c>
      <c r="M750" s="196">
        <v>6946497.3600000003</v>
      </c>
      <c r="N750" s="196">
        <v>7033105.9400000004</v>
      </c>
      <c r="O750" s="196">
        <v>6507427.6500000004</v>
      </c>
      <c r="P750" s="196">
        <v>4361676.18</v>
      </c>
      <c r="Q750" s="196">
        <v>1604450</v>
      </c>
      <c r="R750" s="196">
        <v>1395994.35</v>
      </c>
      <c r="S750" s="184">
        <f t="shared" si="121"/>
        <v>4069240.9862499996</v>
      </c>
      <c r="U750" s="65"/>
      <c r="V750" s="103"/>
      <c r="W750" s="103">
        <f t="shared" si="147"/>
        <v>4069240.9862499996</v>
      </c>
      <c r="X750" s="599"/>
      <c r="Y750" s="103"/>
      <c r="Z750" s="103"/>
      <c r="AA750" s="65"/>
      <c r="AB750" s="103"/>
      <c r="AC750" s="42">
        <f t="shared" si="148"/>
        <v>4069240.9862499996</v>
      </c>
      <c r="AF750" s="6"/>
    </row>
    <row r="751" spans="1:34">
      <c r="A751" s="2">
        <f t="shared" si="145"/>
        <v>734</v>
      </c>
      <c r="B751" s="688" t="s">
        <v>2342</v>
      </c>
      <c r="C751" s="688" t="s">
        <v>3464</v>
      </c>
      <c r="D751" s="688" t="s">
        <v>3452</v>
      </c>
      <c r="E751" s="697" t="s">
        <v>3466</v>
      </c>
      <c r="F751" s="196">
        <v>0</v>
      </c>
      <c r="G751" s="196">
        <v>0</v>
      </c>
      <c r="H751" s="196">
        <v>0</v>
      </c>
      <c r="I751" s="196">
        <v>0</v>
      </c>
      <c r="J751" s="196">
        <v>0</v>
      </c>
      <c r="K751" s="196">
        <v>0</v>
      </c>
      <c r="L751" s="196">
        <v>-2796.2</v>
      </c>
      <c r="M751" s="196">
        <v>-2796.2</v>
      </c>
      <c r="N751" s="196">
        <v>-2796.2</v>
      </c>
      <c r="O751" s="196">
        <v>-2796.2</v>
      </c>
      <c r="P751" s="196">
        <v>-2796.2</v>
      </c>
      <c r="Q751" s="196">
        <v>-2796.2</v>
      </c>
      <c r="R751" s="196">
        <v>-2796.2</v>
      </c>
      <c r="S751" s="184">
        <f t="shared" si="121"/>
        <v>-1514.6083333333333</v>
      </c>
      <c r="U751" s="65"/>
      <c r="V751" s="103"/>
      <c r="W751" s="103">
        <f t="shared" si="147"/>
        <v>-1514.6083333333333</v>
      </c>
      <c r="X751" s="599"/>
      <c r="Y751" s="103"/>
      <c r="Z751" s="103"/>
      <c r="AA751" s="65"/>
      <c r="AB751" s="103"/>
      <c r="AC751" s="42">
        <f t="shared" si="148"/>
        <v>-1514.6083333333333</v>
      </c>
      <c r="AF751" s="6"/>
    </row>
    <row r="752" spans="1:34">
      <c r="A752" s="2">
        <f t="shared" si="145"/>
        <v>735</v>
      </c>
      <c r="B752" s="688" t="s">
        <v>2342</v>
      </c>
      <c r="C752" s="688" t="s">
        <v>3464</v>
      </c>
      <c r="D752" s="688" t="s">
        <v>3456</v>
      </c>
      <c r="E752" s="697" t="s">
        <v>3467</v>
      </c>
      <c r="F752" s="196">
        <v>-1359959.93</v>
      </c>
      <c r="G752" s="196">
        <v>997467.07</v>
      </c>
      <c r="H752" s="196">
        <v>610934.75</v>
      </c>
      <c r="I752" s="196">
        <v>1917402.51</v>
      </c>
      <c r="J752" s="196">
        <v>2467880.87</v>
      </c>
      <c r="K752" s="196">
        <v>3800089.59</v>
      </c>
      <c r="L752" s="196">
        <v>3747865.2</v>
      </c>
      <c r="M752" s="196">
        <v>4153002.6</v>
      </c>
      <c r="N752" s="196">
        <v>4200149.58</v>
      </c>
      <c r="O752" s="196">
        <v>3759140.08</v>
      </c>
      <c r="P752" s="196">
        <v>2344130.0299999998</v>
      </c>
      <c r="Q752" s="196">
        <v>945961.71</v>
      </c>
      <c r="R752" s="196">
        <v>961990.38</v>
      </c>
      <c r="S752" s="184">
        <f t="shared" si="121"/>
        <v>2395419.9345833338</v>
      </c>
      <c r="U752" s="65"/>
      <c r="V752" s="103"/>
      <c r="W752" s="103">
        <f t="shared" si="147"/>
        <v>2395419.9345833338</v>
      </c>
      <c r="X752" s="599"/>
      <c r="Y752" s="103"/>
      <c r="Z752" s="103"/>
      <c r="AA752" s="65"/>
      <c r="AB752" s="103"/>
      <c r="AC752" s="42">
        <f t="shared" si="148"/>
        <v>2395419.9345833338</v>
      </c>
      <c r="AF752" s="6"/>
    </row>
    <row r="753" spans="1:32">
      <c r="A753" s="2">
        <f t="shared" si="145"/>
        <v>736</v>
      </c>
      <c r="B753" s="688" t="s">
        <v>2342</v>
      </c>
      <c r="C753" s="688" t="s">
        <v>3464</v>
      </c>
      <c r="D753" s="688" t="s">
        <v>3462</v>
      </c>
      <c r="E753" s="697" t="s">
        <v>3468</v>
      </c>
      <c r="F753" s="196">
        <v>-131650.22</v>
      </c>
      <c r="G753" s="196">
        <v>33530.93</v>
      </c>
      <c r="H753" s="196">
        <v>63285.77</v>
      </c>
      <c r="I753" s="196">
        <v>82259.33</v>
      </c>
      <c r="J753" s="196">
        <v>160932.87</v>
      </c>
      <c r="K753" s="196">
        <v>239278.32</v>
      </c>
      <c r="L753" s="196">
        <v>249968.52</v>
      </c>
      <c r="M753" s="196">
        <v>255273.08</v>
      </c>
      <c r="N753" s="196">
        <v>260581.72</v>
      </c>
      <c r="O753" s="196">
        <v>252436.42</v>
      </c>
      <c r="P753" s="196">
        <v>188946.87</v>
      </c>
      <c r="Q753" s="196">
        <v>82144.63</v>
      </c>
      <c r="R753" s="196">
        <v>35505.430000000102</v>
      </c>
      <c r="S753" s="184">
        <f t="shared" si="121"/>
        <v>151713.83875</v>
      </c>
      <c r="U753" s="65"/>
      <c r="V753" s="103"/>
      <c r="W753" s="103">
        <f t="shared" si="147"/>
        <v>151713.83875</v>
      </c>
      <c r="X753" s="599"/>
      <c r="Y753" s="103"/>
      <c r="Z753" s="103"/>
      <c r="AA753" s="65"/>
      <c r="AB753" s="103"/>
      <c r="AC753" s="42">
        <f t="shared" si="148"/>
        <v>151713.83875</v>
      </c>
      <c r="AF753" s="6"/>
    </row>
    <row r="754" spans="1:32">
      <c r="A754" s="2">
        <f t="shared" si="145"/>
        <v>737</v>
      </c>
      <c r="B754" s="688" t="s">
        <v>2342</v>
      </c>
      <c r="C754" s="688" t="s">
        <v>3469</v>
      </c>
      <c r="D754" s="688" t="s">
        <v>3470</v>
      </c>
      <c r="E754" s="697" t="s">
        <v>3471</v>
      </c>
      <c r="F754" s="196">
        <v>-130800.97</v>
      </c>
      <c r="G754" s="196">
        <v>-32859.97</v>
      </c>
      <c r="H754" s="196">
        <v>-74242.41</v>
      </c>
      <c r="I754" s="196">
        <v>-110657.95</v>
      </c>
      <c r="J754" s="196">
        <v>-146890.01</v>
      </c>
      <c r="K754" s="196">
        <v>-177899.45</v>
      </c>
      <c r="L754" s="196">
        <v>-911738.5</v>
      </c>
      <c r="M754" s="196">
        <v>-927407.98</v>
      </c>
      <c r="N754" s="196">
        <v>-942549.21</v>
      </c>
      <c r="O754" s="196">
        <v>-956307.35</v>
      </c>
      <c r="P754" s="196">
        <v>-971075.05</v>
      </c>
      <c r="Q754" s="196">
        <v>-984352.37</v>
      </c>
      <c r="R754" s="196">
        <v>-1005898.57</v>
      </c>
      <c r="S754" s="184">
        <f t="shared" si="121"/>
        <v>-567027.50166666659</v>
      </c>
      <c r="U754" s="65"/>
      <c r="V754" s="103"/>
      <c r="W754" s="103">
        <f t="shared" si="147"/>
        <v>-567027.50166666659</v>
      </c>
      <c r="X754" s="599"/>
      <c r="Y754" s="103"/>
      <c r="Z754" s="103"/>
      <c r="AA754" s="65"/>
      <c r="AB754" s="103"/>
      <c r="AC754" s="42">
        <f t="shared" si="148"/>
        <v>-567027.50166666659</v>
      </c>
      <c r="AF754" s="6"/>
    </row>
    <row r="755" spans="1:32">
      <c r="A755" s="2">
        <f t="shared" si="145"/>
        <v>738</v>
      </c>
      <c r="B755" s="688" t="s">
        <v>2342</v>
      </c>
      <c r="C755" s="688" t="s">
        <v>3469</v>
      </c>
      <c r="D755" s="688" t="s">
        <v>3472</v>
      </c>
      <c r="E755" s="697" t="s">
        <v>3473</v>
      </c>
      <c r="F755" s="196">
        <v>-41453.83</v>
      </c>
      <c r="G755" s="196">
        <v>-2837.73</v>
      </c>
      <c r="H755" s="196">
        <v>-5857.05</v>
      </c>
      <c r="I755" s="196">
        <v>-9434.39</v>
      </c>
      <c r="J755" s="196">
        <v>-12547.9</v>
      </c>
      <c r="K755" s="196">
        <v>-14260.42</v>
      </c>
      <c r="L755" s="196">
        <v>-16473.830000000002</v>
      </c>
      <c r="M755" s="196">
        <v>-18929</v>
      </c>
      <c r="N755" s="196">
        <v>-23451.74</v>
      </c>
      <c r="O755" s="196">
        <v>-25265.23</v>
      </c>
      <c r="P755" s="196">
        <v>-28783.87</v>
      </c>
      <c r="Q755" s="196">
        <v>-32540.93</v>
      </c>
      <c r="R755" s="196">
        <v>-33462.14</v>
      </c>
      <c r="S755" s="184">
        <f t="shared" si="121"/>
        <v>-18986.672916666666</v>
      </c>
      <c r="U755" s="65"/>
      <c r="V755" s="103"/>
      <c r="W755" s="103">
        <f t="shared" si="147"/>
        <v>-18986.672916666666</v>
      </c>
      <c r="X755" s="599"/>
      <c r="Y755" s="103"/>
      <c r="Z755" s="103"/>
      <c r="AA755" s="65"/>
      <c r="AB755" s="103"/>
      <c r="AC755" s="42">
        <f t="shared" si="148"/>
        <v>-18986.672916666666</v>
      </c>
      <c r="AF755" s="6"/>
    </row>
    <row r="756" spans="1:32">
      <c r="A756" s="2">
        <f t="shared" si="145"/>
        <v>739</v>
      </c>
      <c r="B756" s="1" t="s">
        <v>2342</v>
      </c>
      <c r="C756" s="688" t="s">
        <v>517</v>
      </c>
      <c r="D756" s="688" t="s">
        <v>3474</v>
      </c>
      <c r="E756" s="697" t="s">
        <v>3475</v>
      </c>
      <c r="F756" s="196">
        <v>-2966029.64</v>
      </c>
      <c r="G756" s="196">
        <v>-167514.26</v>
      </c>
      <c r="H756" s="196">
        <v>-409008.85</v>
      </c>
      <c r="I756" s="196">
        <v>-649414.93000000005</v>
      </c>
      <c r="J756" s="196">
        <v>-917818.45</v>
      </c>
      <c r="K756" s="196">
        <v>-1160685.0900000001</v>
      </c>
      <c r="L756" s="196">
        <v>-1384646.82</v>
      </c>
      <c r="M756" s="196">
        <v>-1591139.92</v>
      </c>
      <c r="N756" s="196">
        <v>-1816353.28</v>
      </c>
      <c r="O756" s="196">
        <v>-2046658.89</v>
      </c>
      <c r="P756" s="196">
        <v>-2292559</v>
      </c>
      <c r="Q756" s="196">
        <v>-2564056.4300000002</v>
      </c>
      <c r="R756" s="196">
        <v>-2837817.07</v>
      </c>
      <c r="S756" s="184">
        <f t="shared" si="121"/>
        <v>-1491814.9395833332</v>
      </c>
      <c r="U756" s="65"/>
      <c r="V756" s="103"/>
      <c r="W756" s="103">
        <f t="shared" si="147"/>
        <v>-1491814.9395833332</v>
      </c>
      <c r="X756" s="599"/>
      <c r="Y756" s="103"/>
      <c r="Z756" s="103"/>
      <c r="AA756" s="65"/>
      <c r="AB756" s="103"/>
      <c r="AC756" s="42">
        <f t="shared" si="148"/>
        <v>-1491814.9395833332</v>
      </c>
      <c r="AF756" s="6"/>
    </row>
    <row r="757" spans="1:32">
      <c r="A757" s="2">
        <f t="shared" si="145"/>
        <v>740</v>
      </c>
      <c r="B757" s="1" t="s">
        <v>2342</v>
      </c>
      <c r="C757" s="688" t="s">
        <v>517</v>
      </c>
      <c r="D757" s="688" t="s">
        <v>3476</v>
      </c>
      <c r="E757" s="697" t="s">
        <v>3477</v>
      </c>
      <c r="F757" s="196">
        <v>-819289.27</v>
      </c>
      <c r="G757" s="196">
        <v>-93444.96</v>
      </c>
      <c r="H757" s="196">
        <v>-186899.02</v>
      </c>
      <c r="I757" s="196">
        <v>-275258.05</v>
      </c>
      <c r="J757" s="196">
        <v>-359340.32</v>
      </c>
      <c r="K757" s="196">
        <v>-449538.02</v>
      </c>
      <c r="L757" s="196">
        <v>-507631.87</v>
      </c>
      <c r="M757" s="196">
        <v>-594221.14</v>
      </c>
      <c r="N757" s="196">
        <v>-685228.26</v>
      </c>
      <c r="O757" s="196">
        <v>-777286.12</v>
      </c>
      <c r="P757" s="196">
        <v>-866367.7</v>
      </c>
      <c r="Q757" s="196">
        <v>-947755.06</v>
      </c>
      <c r="R757" s="196">
        <v>-1006779.4</v>
      </c>
      <c r="S757" s="184">
        <f t="shared" si="121"/>
        <v>-554667.07125000015</v>
      </c>
      <c r="U757" s="65"/>
      <c r="V757" s="103"/>
      <c r="W757" s="103">
        <f t="shared" si="147"/>
        <v>-554667.07125000015</v>
      </c>
      <c r="X757" s="599"/>
      <c r="Y757" s="103"/>
      <c r="Z757" s="103"/>
      <c r="AA757" s="65"/>
      <c r="AB757" s="103"/>
      <c r="AC757" s="42">
        <f t="shared" si="148"/>
        <v>-554667.07125000015</v>
      </c>
      <c r="AF757" s="6"/>
    </row>
    <row r="758" spans="1:32">
      <c r="A758" s="2">
        <f t="shared" si="145"/>
        <v>741</v>
      </c>
      <c r="B758" s="1" t="s">
        <v>2342</v>
      </c>
      <c r="C758" s="688" t="s">
        <v>3478</v>
      </c>
      <c r="D758" s="688" t="s">
        <v>3474</v>
      </c>
      <c r="E758" s="697" t="s">
        <v>3479</v>
      </c>
      <c r="F758" s="196">
        <v>87745.87</v>
      </c>
      <c r="G758" s="196">
        <v>-71283.58</v>
      </c>
      <c r="H758" s="196">
        <v>-71654.64</v>
      </c>
      <c r="I758" s="196">
        <v>-98116.79</v>
      </c>
      <c r="J758" s="196">
        <v>-71040.2</v>
      </c>
      <c r="K758" s="196">
        <v>-53208.12</v>
      </c>
      <c r="L758" s="196">
        <v>-36023.599999999999</v>
      </c>
      <c r="M758" s="196">
        <v>-54767.22</v>
      </c>
      <c r="N758" s="196">
        <v>-60072.69</v>
      </c>
      <c r="O758" s="196">
        <v>-75925.100000000006</v>
      </c>
      <c r="P758" s="196">
        <v>-100679.62</v>
      </c>
      <c r="Q758" s="196">
        <v>-82476.27</v>
      </c>
      <c r="R758" s="196">
        <v>-90010.35</v>
      </c>
      <c r="S758" s="184">
        <f t="shared" si="121"/>
        <v>-64698.339166666672</v>
      </c>
      <c r="U758" s="65"/>
      <c r="V758" s="103"/>
      <c r="W758" s="103">
        <f t="shared" si="147"/>
        <v>-64698.339166666672</v>
      </c>
      <c r="X758" s="599"/>
      <c r="Y758" s="103"/>
      <c r="Z758" s="103"/>
      <c r="AA758" s="65"/>
      <c r="AB758" s="103"/>
      <c r="AC758" s="42">
        <f t="shared" si="148"/>
        <v>-64698.339166666672</v>
      </c>
      <c r="AF758" s="6"/>
    </row>
    <row r="759" spans="1:32">
      <c r="A759" s="2">
        <f t="shared" si="145"/>
        <v>742</v>
      </c>
      <c r="B759" s="688" t="s">
        <v>2342</v>
      </c>
      <c r="C759" s="688" t="s">
        <v>3478</v>
      </c>
      <c r="D759" s="688" t="s">
        <v>3476</v>
      </c>
      <c r="E759" s="697" t="s">
        <v>3480</v>
      </c>
      <c r="F759" s="196">
        <v>-12573.28</v>
      </c>
      <c r="G759" s="196">
        <v>-9.1</v>
      </c>
      <c r="H759" s="196">
        <v>5085.93</v>
      </c>
      <c r="I759" s="196">
        <v>9362.69</v>
      </c>
      <c r="J759" s="196">
        <v>3247.26</v>
      </c>
      <c r="K759" s="196">
        <v>35351.11</v>
      </c>
      <c r="L759" s="196">
        <v>6855.69</v>
      </c>
      <c r="M759" s="196">
        <v>2437.84</v>
      </c>
      <c r="N759" s="196">
        <v>1387.1</v>
      </c>
      <c r="O759" s="196">
        <v>4363.38</v>
      </c>
      <c r="P759" s="196">
        <v>12057.6</v>
      </c>
      <c r="Q759" s="196">
        <v>34420.620000000003</v>
      </c>
      <c r="R759" s="196">
        <v>25487.93</v>
      </c>
      <c r="S759" s="184">
        <f t="shared" si="121"/>
        <v>10084.787083333333</v>
      </c>
      <c r="U759" s="65"/>
      <c r="V759" s="103"/>
      <c r="W759" s="103">
        <f t="shared" si="147"/>
        <v>10084.787083333333</v>
      </c>
      <c r="X759" s="599"/>
      <c r="Y759" s="103"/>
      <c r="Z759" s="103"/>
      <c r="AA759" s="65"/>
      <c r="AB759" s="103"/>
      <c r="AC759" s="42">
        <f t="shared" si="148"/>
        <v>10084.787083333333</v>
      </c>
      <c r="AF759" s="6"/>
    </row>
    <row r="760" spans="1:32">
      <c r="A760" s="2">
        <f t="shared" si="145"/>
        <v>743</v>
      </c>
      <c r="B760" s="688" t="s">
        <v>2342</v>
      </c>
      <c r="C760" s="688" t="s">
        <v>519</v>
      </c>
      <c r="D760" s="688"/>
      <c r="E760" s="697" t="s">
        <v>3481</v>
      </c>
      <c r="F760" s="196">
        <v>-12000</v>
      </c>
      <c r="G760" s="196">
        <v>-1000</v>
      </c>
      <c r="H760" s="196">
        <v>-2000</v>
      </c>
      <c r="I760" s="196">
        <v>-2000</v>
      </c>
      <c r="J760" s="196">
        <v>-2000</v>
      </c>
      <c r="K760" s="196">
        <v>-4000</v>
      </c>
      <c r="L760" s="196">
        <v>-5000</v>
      </c>
      <c r="M760" s="196">
        <v>-8100</v>
      </c>
      <c r="N760" s="196">
        <v>-9300</v>
      </c>
      <c r="O760" s="196">
        <v>-9300</v>
      </c>
      <c r="P760" s="196">
        <v>-10524</v>
      </c>
      <c r="Q760" s="196">
        <v>-10524</v>
      </c>
      <c r="R760" s="196">
        <v>-11748</v>
      </c>
      <c r="S760" s="184">
        <f t="shared" si="121"/>
        <v>-6301.833333333333</v>
      </c>
      <c r="U760" s="65"/>
      <c r="V760" s="103"/>
      <c r="W760" s="103">
        <f t="shared" si="147"/>
        <v>-6301.833333333333</v>
      </c>
      <c r="X760" s="599"/>
      <c r="Y760" s="103"/>
      <c r="Z760" s="103"/>
      <c r="AA760" s="65"/>
      <c r="AB760" s="103"/>
      <c r="AC760" s="42">
        <f t="shared" si="148"/>
        <v>-6301.833333333333</v>
      </c>
      <c r="AF760" s="6"/>
    </row>
    <row r="761" spans="1:32">
      <c r="A761" s="2">
        <f t="shared" si="145"/>
        <v>744</v>
      </c>
      <c r="B761" s="688" t="s">
        <v>2342</v>
      </c>
      <c r="C761" s="688" t="s">
        <v>521</v>
      </c>
      <c r="D761" s="688" t="s">
        <v>3482</v>
      </c>
      <c r="E761" s="697" t="s">
        <v>3483</v>
      </c>
      <c r="F761" s="196">
        <v>0</v>
      </c>
      <c r="G761" s="196">
        <v>0</v>
      </c>
      <c r="H761" s="196">
        <v>0</v>
      </c>
      <c r="I761" s="196">
        <v>0</v>
      </c>
      <c r="J761" s="196">
        <v>0</v>
      </c>
      <c r="K761" s="196">
        <v>0</v>
      </c>
      <c r="L761" s="196">
        <v>0</v>
      </c>
      <c r="M761" s="196">
        <v>0</v>
      </c>
      <c r="N761" s="196">
        <v>0</v>
      </c>
      <c r="O761" s="196">
        <v>0</v>
      </c>
      <c r="P761" s="196">
        <v>0</v>
      </c>
      <c r="Q761" s="196">
        <v>0</v>
      </c>
      <c r="R761" s="196">
        <v>0</v>
      </c>
      <c r="S761" s="184">
        <f t="shared" si="121"/>
        <v>0</v>
      </c>
      <c r="U761" s="65"/>
      <c r="V761" s="103"/>
      <c r="W761" s="103">
        <f t="shared" si="147"/>
        <v>0</v>
      </c>
      <c r="X761" s="599"/>
      <c r="Y761" s="103"/>
      <c r="Z761" s="103"/>
      <c r="AA761" s="65"/>
      <c r="AB761" s="103"/>
      <c r="AC761" s="42">
        <f t="shared" si="148"/>
        <v>0</v>
      </c>
      <c r="AF761" s="6"/>
    </row>
    <row r="762" spans="1:32">
      <c r="A762" s="2">
        <f t="shared" si="145"/>
        <v>745</v>
      </c>
      <c r="B762" s="688" t="s">
        <v>2342</v>
      </c>
      <c r="C762" s="688" t="s">
        <v>521</v>
      </c>
      <c r="D762" s="688" t="s">
        <v>3445</v>
      </c>
      <c r="E762" s="697" t="s">
        <v>3446</v>
      </c>
      <c r="F762" s="196">
        <v>0</v>
      </c>
      <c r="G762" s="196">
        <v>0</v>
      </c>
      <c r="H762" s="196">
        <v>0</v>
      </c>
      <c r="I762" s="196">
        <v>0</v>
      </c>
      <c r="J762" s="196">
        <v>-13.25</v>
      </c>
      <c r="K762" s="196">
        <v>-13.25</v>
      </c>
      <c r="L762" s="196">
        <v>-13.25</v>
      </c>
      <c r="M762" s="196">
        <v>-13.25</v>
      </c>
      <c r="N762" s="196">
        <v>-13.25</v>
      </c>
      <c r="O762" s="196">
        <v>-13.25</v>
      </c>
      <c r="P762" s="196">
        <v>-13.25</v>
      </c>
      <c r="Q762" s="196">
        <v>-288.19</v>
      </c>
      <c r="R762" s="196">
        <v>-288.19</v>
      </c>
      <c r="S762" s="184">
        <f t="shared" si="121"/>
        <v>-43.752916666666664</v>
      </c>
      <c r="U762" s="65"/>
      <c r="V762" s="103"/>
      <c r="W762" s="103">
        <f t="shared" si="147"/>
        <v>-43.752916666666664</v>
      </c>
      <c r="X762" s="599"/>
      <c r="Y762" s="103"/>
      <c r="Z762" s="103"/>
      <c r="AA762" s="65"/>
      <c r="AB762" s="103"/>
      <c r="AC762" s="42">
        <f t="shared" si="148"/>
        <v>-43.752916666666664</v>
      </c>
      <c r="AF762" s="6"/>
    </row>
    <row r="763" spans="1:32">
      <c r="A763" s="2">
        <f t="shared" si="145"/>
        <v>746</v>
      </c>
      <c r="B763" s="1" t="s">
        <v>2342</v>
      </c>
      <c r="C763" s="688" t="s">
        <v>521</v>
      </c>
      <c r="D763" s="688" t="s">
        <v>3484</v>
      </c>
      <c r="E763" s="697" t="s">
        <v>3485</v>
      </c>
      <c r="F763" s="196">
        <v>-1086.72</v>
      </c>
      <c r="G763" s="196">
        <v>0</v>
      </c>
      <c r="H763" s="196">
        <v>-95.9</v>
      </c>
      <c r="I763" s="196">
        <v>-95.9</v>
      </c>
      <c r="J763" s="196">
        <v>-340.7</v>
      </c>
      <c r="K763" s="196">
        <v>-340.7</v>
      </c>
      <c r="L763" s="196">
        <v>-340.7</v>
      </c>
      <c r="M763" s="196">
        <v>-490.5</v>
      </c>
      <c r="N763" s="196">
        <v>-524</v>
      </c>
      <c r="O763" s="196">
        <v>-524</v>
      </c>
      <c r="P763" s="196">
        <v>-524</v>
      </c>
      <c r="Q763" s="196">
        <v>-524</v>
      </c>
      <c r="R763" s="196">
        <v>-618.95000000000005</v>
      </c>
      <c r="S763" s="184">
        <f t="shared" si="121"/>
        <v>-387.7695833333334</v>
      </c>
      <c r="U763" s="65"/>
      <c r="V763" s="103"/>
      <c r="W763" s="103">
        <f t="shared" si="147"/>
        <v>-387.7695833333334</v>
      </c>
      <c r="X763" s="599"/>
      <c r="Y763" s="103"/>
      <c r="Z763" s="103"/>
      <c r="AA763" s="65"/>
      <c r="AB763" s="103"/>
      <c r="AC763" s="42">
        <f t="shared" si="148"/>
        <v>-387.7695833333334</v>
      </c>
      <c r="AF763" s="6"/>
    </row>
    <row r="764" spans="1:32">
      <c r="A764" s="2">
        <f t="shared" si="145"/>
        <v>747</v>
      </c>
      <c r="B764" s="1" t="s">
        <v>2342</v>
      </c>
      <c r="C764" s="688" t="s">
        <v>521</v>
      </c>
      <c r="D764" s="688" t="s">
        <v>3472</v>
      </c>
      <c r="E764" s="697" t="s">
        <v>3486</v>
      </c>
      <c r="F764" s="196">
        <v>0</v>
      </c>
      <c r="G764" s="196">
        <v>0</v>
      </c>
      <c r="H764" s="196">
        <v>0</v>
      </c>
      <c r="I764" s="196">
        <v>0</v>
      </c>
      <c r="J764" s="196">
        <v>0</v>
      </c>
      <c r="K764" s="196">
        <v>0</v>
      </c>
      <c r="L764" s="196">
        <v>0</v>
      </c>
      <c r="M764" s="196">
        <v>0</v>
      </c>
      <c r="N764" s="196">
        <v>0</v>
      </c>
      <c r="O764" s="196">
        <v>0</v>
      </c>
      <c r="P764" s="196">
        <v>0</v>
      </c>
      <c r="Q764" s="196">
        <v>0</v>
      </c>
      <c r="R764" s="196">
        <v>0</v>
      </c>
      <c r="S764" s="184">
        <f t="shared" si="121"/>
        <v>0</v>
      </c>
      <c r="U764" s="65"/>
      <c r="V764" s="103"/>
      <c r="W764" s="103">
        <f t="shared" si="147"/>
        <v>0</v>
      </c>
      <c r="X764" s="599"/>
      <c r="Y764" s="103"/>
      <c r="Z764" s="103"/>
      <c r="AA764" s="65"/>
      <c r="AB764" s="103"/>
      <c r="AC764" s="42">
        <f t="shared" si="148"/>
        <v>0</v>
      </c>
      <c r="AF764" s="6"/>
    </row>
    <row r="765" spans="1:32">
      <c r="A765" s="2">
        <f t="shared" si="145"/>
        <v>748</v>
      </c>
      <c r="B765" s="688" t="s">
        <v>2342</v>
      </c>
      <c r="C765" s="688" t="s">
        <v>3487</v>
      </c>
      <c r="D765" s="688"/>
      <c r="E765" s="697" t="s">
        <v>3488</v>
      </c>
      <c r="F765" s="196">
        <v>-52803.78</v>
      </c>
      <c r="G765" s="196">
        <v>-36119.57</v>
      </c>
      <c r="H765" s="196">
        <v>-77551.13</v>
      </c>
      <c r="I765" s="196">
        <v>-103849.04</v>
      </c>
      <c r="J765" s="196">
        <v>-283670.39</v>
      </c>
      <c r="K765" s="196">
        <v>-299854.21999999997</v>
      </c>
      <c r="L765" s="196">
        <v>-317703.57</v>
      </c>
      <c r="M765" s="196">
        <v>-325409.27</v>
      </c>
      <c r="N765" s="196">
        <v>-337078.84</v>
      </c>
      <c r="O765" s="196">
        <v>-354660.19</v>
      </c>
      <c r="P765" s="196">
        <v>-397468.38</v>
      </c>
      <c r="Q765" s="196">
        <v>-460255.92</v>
      </c>
      <c r="R765" s="196">
        <v>-530395.82999999996</v>
      </c>
      <c r="S765" s="184">
        <f t="shared" si="121"/>
        <v>-273768.36041666666</v>
      </c>
      <c r="U765" s="65"/>
      <c r="V765" s="103"/>
      <c r="W765" s="103">
        <f t="shared" si="147"/>
        <v>-273768.36041666666</v>
      </c>
      <c r="X765" s="599"/>
      <c r="Y765" s="103"/>
      <c r="Z765" s="103"/>
      <c r="AA765" s="65"/>
      <c r="AB765" s="103"/>
      <c r="AC765" s="42">
        <f t="shared" si="148"/>
        <v>-273768.36041666666</v>
      </c>
      <c r="AF765" s="6"/>
    </row>
    <row r="766" spans="1:32">
      <c r="A766" s="2">
        <f t="shared" si="145"/>
        <v>749</v>
      </c>
      <c r="B766" s="688" t="s">
        <v>2342</v>
      </c>
      <c r="C766" s="688" t="s">
        <v>3487</v>
      </c>
      <c r="D766" s="688" t="s">
        <v>2303</v>
      </c>
      <c r="E766" s="697" t="s">
        <v>3489</v>
      </c>
      <c r="F766" s="196">
        <v>-41235.57</v>
      </c>
      <c r="G766" s="196">
        <v>-1409.93</v>
      </c>
      <c r="H766" s="196">
        <v>-5210.07</v>
      </c>
      <c r="I766" s="196">
        <v>-9432.89</v>
      </c>
      <c r="J766" s="196">
        <v>-13064.9</v>
      </c>
      <c r="K766" s="196">
        <v>-16401.240000000002</v>
      </c>
      <c r="L766" s="196">
        <v>-18996.78</v>
      </c>
      <c r="M766" s="196">
        <v>-22223.07</v>
      </c>
      <c r="N766" s="196">
        <v>-25501.21</v>
      </c>
      <c r="O766" s="196">
        <v>-29252.71</v>
      </c>
      <c r="P766" s="196">
        <v>-33576.769999999997</v>
      </c>
      <c r="Q766" s="196">
        <v>-37806.160000000003</v>
      </c>
      <c r="R766" s="196">
        <v>-42793.74</v>
      </c>
      <c r="S766" s="184">
        <f t="shared" si="121"/>
        <v>-21240.865416666664</v>
      </c>
      <c r="U766" s="65"/>
      <c r="V766" s="103"/>
      <c r="W766" s="103">
        <f t="shared" si="147"/>
        <v>-21240.865416666664</v>
      </c>
      <c r="X766" s="599"/>
      <c r="Y766" s="103"/>
      <c r="Z766" s="103"/>
      <c r="AA766" s="65"/>
      <c r="AB766" s="103"/>
      <c r="AC766" s="42">
        <f t="shared" si="148"/>
        <v>-21240.865416666664</v>
      </c>
      <c r="AF766" s="6"/>
    </row>
    <row r="767" spans="1:32">
      <c r="A767" s="2">
        <f t="shared" si="145"/>
        <v>750</v>
      </c>
      <c r="B767" s="688" t="s">
        <v>2324</v>
      </c>
      <c r="C767" s="688" t="s">
        <v>3447</v>
      </c>
      <c r="D767" s="688" t="s">
        <v>3448</v>
      </c>
      <c r="E767" s="697" t="s">
        <v>3449</v>
      </c>
      <c r="F767" s="196">
        <v>-166014605.81</v>
      </c>
      <c r="G767" s="196">
        <v>-33111203.219999999</v>
      </c>
      <c r="H767" s="196">
        <v>-57873404.799999997</v>
      </c>
      <c r="I767" s="196">
        <v>-86807430.209999993</v>
      </c>
      <c r="J767" s="196">
        <v>-105468227.28</v>
      </c>
      <c r="K767" s="196">
        <v>-118452325.26000001</v>
      </c>
      <c r="L767" s="196">
        <v>-125014040.93000001</v>
      </c>
      <c r="M767" s="196">
        <v>-130200454.73</v>
      </c>
      <c r="N767" s="196">
        <v>-134906257.59999999</v>
      </c>
      <c r="O767" s="196">
        <v>-139450396.78</v>
      </c>
      <c r="P767" s="196">
        <v>-146312698.31</v>
      </c>
      <c r="Q767" s="196">
        <v>-159964129.53</v>
      </c>
      <c r="R767" s="196">
        <v>-183674239.13</v>
      </c>
      <c r="S767" s="184">
        <f t="shared" si="121"/>
        <v>-117700415.92666666</v>
      </c>
      <c r="U767" s="65"/>
      <c r="V767" s="103"/>
      <c r="W767" s="103">
        <f t="shared" si="147"/>
        <v>-117700415.92666666</v>
      </c>
      <c r="X767" s="599"/>
      <c r="Y767" s="103"/>
      <c r="Z767" s="103"/>
      <c r="AA767" s="65"/>
      <c r="AB767" s="103"/>
      <c r="AC767" s="42">
        <f t="shared" si="148"/>
        <v>-117700415.92666666</v>
      </c>
      <c r="AF767" s="6"/>
    </row>
    <row r="768" spans="1:32">
      <c r="A768" s="2">
        <f t="shared" si="145"/>
        <v>751</v>
      </c>
      <c r="B768" s="688" t="s">
        <v>2324</v>
      </c>
      <c r="C768" s="688" t="s">
        <v>3447</v>
      </c>
      <c r="D768" s="688" t="s">
        <v>3450</v>
      </c>
      <c r="E768" s="697" t="s">
        <v>3490</v>
      </c>
      <c r="F768" s="196">
        <v>1366408.79</v>
      </c>
      <c r="G768" s="196">
        <v>-173245.53</v>
      </c>
      <c r="H768" s="196">
        <v>100358.56</v>
      </c>
      <c r="I768" s="196">
        <v>696558.88</v>
      </c>
      <c r="J768" s="196">
        <v>861287.07</v>
      </c>
      <c r="K768" s="196">
        <v>416833</v>
      </c>
      <c r="L768" s="196">
        <v>316159.53999999998</v>
      </c>
      <c r="M768" s="196">
        <v>-152144.89000000001</v>
      </c>
      <c r="N768" s="196">
        <v>-388981.79</v>
      </c>
      <c r="O768" s="196">
        <v>-364938.46</v>
      </c>
      <c r="P768" s="196">
        <v>-593601.75</v>
      </c>
      <c r="Q768" s="196">
        <v>-731593.37</v>
      </c>
      <c r="R768" s="196">
        <v>-2181346.73</v>
      </c>
      <c r="S768" s="184">
        <f t="shared" si="121"/>
        <v>-35064.809166666673</v>
      </c>
      <c r="U768" s="65"/>
      <c r="V768" s="103"/>
      <c r="W768" s="103">
        <f t="shared" si="147"/>
        <v>-35064.809166666673</v>
      </c>
      <c r="X768" s="599"/>
      <c r="Y768" s="103"/>
      <c r="Z768" s="103"/>
      <c r="AA768" s="65"/>
      <c r="AB768" s="103"/>
      <c r="AC768" s="42">
        <f t="shared" si="148"/>
        <v>-35064.809166666673</v>
      </c>
      <c r="AF768" s="6"/>
    </row>
    <row r="769" spans="1:32">
      <c r="A769" s="2">
        <f t="shared" si="145"/>
        <v>752</v>
      </c>
      <c r="B769" s="688" t="s">
        <v>2324</v>
      </c>
      <c r="C769" s="688" t="s">
        <v>3447</v>
      </c>
      <c r="D769" s="688" t="s">
        <v>3491</v>
      </c>
      <c r="E769" s="697" t="s">
        <v>3492</v>
      </c>
      <c r="F769" s="196">
        <v>-4137731.56</v>
      </c>
      <c r="G769" s="196">
        <v>-735278.05</v>
      </c>
      <c r="H769" s="196">
        <v>-1280668.22</v>
      </c>
      <c r="I769" s="196">
        <v>-1920064.86</v>
      </c>
      <c r="J769" s="196">
        <v>-2323583.6800000002</v>
      </c>
      <c r="K769" s="196">
        <v>-2596083.96</v>
      </c>
      <c r="L769" s="196">
        <v>-2722312.07</v>
      </c>
      <c r="M769" s="196">
        <v>-2816336.41</v>
      </c>
      <c r="N769" s="196">
        <v>-2899718.4</v>
      </c>
      <c r="O769" s="196">
        <v>-2980216.52</v>
      </c>
      <c r="P769" s="196">
        <v>-3115525.46</v>
      </c>
      <c r="Q769" s="196">
        <v>-3457337.32</v>
      </c>
      <c r="R769" s="196">
        <v>-4247714.45</v>
      </c>
      <c r="S769" s="184">
        <f t="shared" si="121"/>
        <v>-2586653.9962499999</v>
      </c>
      <c r="U769" s="65"/>
      <c r="V769" s="103"/>
      <c r="W769" s="103">
        <f t="shared" si="147"/>
        <v>-2586653.9962499999</v>
      </c>
      <c r="X769" s="599"/>
      <c r="Y769" s="103"/>
      <c r="Z769" s="103"/>
      <c r="AA769" s="65"/>
      <c r="AB769" s="103"/>
      <c r="AC769" s="42">
        <f t="shared" si="148"/>
        <v>-2586653.9962499999</v>
      </c>
      <c r="AF769" s="6"/>
    </row>
    <row r="770" spans="1:32">
      <c r="A770" s="2">
        <f t="shared" si="145"/>
        <v>753</v>
      </c>
      <c r="B770" s="688" t="s">
        <v>2324</v>
      </c>
      <c r="C770" s="688" t="s">
        <v>3447</v>
      </c>
      <c r="D770" s="688" t="s">
        <v>3452</v>
      </c>
      <c r="E770" s="697" t="s">
        <v>3453</v>
      </c>
      <c r="F770" s="196">
        <v>-16353033.18</v>
      </c>
      <c r="G770" s="196">
        <v>-2694629.97</v>
      </c>
      <c r="H770" s="196">
        <v>-4917726.3</v>
      </c>
      <c r="I770" s="196">
        <v>-7318128.4500000002</v>
      </c>
      <c r="J770" s="196">
        <v>-8966134.8699999992</v>
      </c>
      <c r="K770" s="196">
        <v>-10323186.630000001</v>
      </c>
      <c r="L770" s="196">
        <v>-11262164.199999999</v>
      </c>
      <c r="M770" s="196">
        <v>-12395865.33</v>
      </c>
      <c r="N770" s="196">
        <v>-13571408.119999999</v>
      </c>
      <c r="O770" s="196">
        <v>-14432614.609999999</v>
      </c>
      <c r="P770" s="196">
        <v>-15839019.699999999</v>
      </c>
      <c r="Q770" s="196">
        <v>-17293934.940000001</v>
      </c>
      <c r="R770" s="196">
        <v>-19263294.460000001</v>
      </c>
      <c r="S770" s="184">
        <f t="shared" si="121"/>
        <v>-11401914.744999999</v>
      </c>
      <c r="U770" s="65"/>
      <c r="V770" s="103"/>
      <c r="W770" s="103">
        <f t="shared" si="147"/>
        <v>-11401914.744999999</v>
      </c>
      <c r="X770" s="599"/>
      <c r="Y770" s="103"/>
      <c r="Z770" s="103"/>
      <c r="AA770" s="65"/>
      <c r="AB770" s="103"/>
      <c r="AC770" s="42">
        <f t="shared" si="148"/>
        <v>-11401914.744999999</v>
      </c>
      <c r="AF770" s="6"/>
    </row>
    <row r="771" spans="1:32">
      <c r="A771" s="2">
        <f t="shared" si="145"/>
        <v>754</v>
      </c>
      <c r="B771" s="1" t="s">
        <v>2324</v>
      </c>
      <c r="C771" s="688" t="s">
        <v>3447</v>
      </c>
      <c r="D771" s="688" t="s">
        <v>3493</v>
      </c>
      <c r="E771" s="697" t="s">
        <v>3494</v>
      </c>
      <c r="F771" s="196">
        <v>138937.04999999999</v>
      </c>
      <c r="G771" s="196">
        <v>35352.1</v>
      </c>
      <c r="H771" s="196">
        <v>25385.919999999998</v>
      </c>
      <c r="I771" s="196">
        <v>69918.23</v>
      </c>
      <c r="J771" s="196">
        <v>34575.910000000003</v>
      </c>
      <c r="K771" s="196">
        <v>64611.1</v>
      </c>
      <c r="L771" s="196">
        <v>39325.760000000002</v>
      </c>
      <c r="M771" s="196">
        <v>35587.870000000003</v>
      </c>
      <c r="N771" s="196">
        <v>56472.89</v>
      </c>
      <c r="O771" s="196">
        <v>38551.58</v>
      </c>
      <c r="P771" s="196">
        <v>34053.54</v>
      </c>
      <c r="Q771" s="196">
        <v>57960.71</v>
      </c>
      <c r="R771" s="196">
        <v>39077.620000000003</v>
      </c>
      <c r="S771" s="184">
        <f t="shared" si="121"/>
        <v>48400.245416666672</v>
      </c>
      <c r="U771" s="65"/>
      <c r="V771" s="103"/>
      <c r="W771" s="103">
        <f t="shared" si="147"/>
        <v>48400.245416666672</v>
      </c>
      <c r="X771" s="599"/>
      <c r="Y771" s="103"/>
      <c r="Z771" s="103"/>
      <c r="AA771" s="65"/>
      <c r="AB771" s="103"/>
      <c r="AC771" s="42">
        <f t="shared" si="148"/>
        <v>48400.245416666672</v>
      </c>
      <c r="AF771" s="6"/>
    </row>
    <row r="772" spans="1:32">
      <c r="A772" s="2">
        <f t="shared" si="145"/>
        <v>755</v>
      </c>
      <c r="B772" s="1" t="s">
        <v>2324</v>
      </c>
      <c r="C772" s="688" t="s">
        <v>3447</v>
      </c>
      <c r="D772" s="688" t="s">
        <v>3495</v>
      </c>
      <c r="E772" s="697" t="s">
        <v>3496</v>
      </c>
      <c r="F772" s="196">
        <v>-529113.27</v>
      </c>
      <c r="G772" s="196">
        <v>-72519.86</v>
      </c>
      <c r="H772" s="196">
        <v>-133010.85</v>
      </c>
      <c r="I772" s="196">
        <v>-197310.22</v>
      </c>
      <c r="J772" s="196">
        <v>-241008.43</v>
      </c>
      <c r="K772" s="196">
        <v>-276957.58</v>
      </c>
      <c r="L772" s="196">
        <v>-301830.84999999998</v>
      </c>
      <c r="M772" s="196">
        <v>-333548.13</v>
      </c>
      <c r="N772" s="196">
        <v>-366457.25</v>
      </c>
      <c r="O772" s="196">
        <v>-389299.26</v>
      </c>
      <c r="P772" s="196">
        <v>-427365.97</v>
      </c>
      <c r="Q772" s="196">
        <v>-474002.4</v>
      </c>
      <c r="R772" s="196">
        <v>-553578.03</v>
      </c>
      <c r="S772" s="184">
        <f t="shared" si="121"/>
        <v>-312888.03749999992</v>
      </c>
      <c r="U772" s="65"/>
      <c r="V772" s="103"/>
      <c r="W772" s="103">
        <f t="shared" si="147"/>
        <v>-312888.03749999992</v>
      </c>
      <c r="X772" s="599"/>
      <c r="Y772" s="103"/>
      <c r="Z772" s="103"/>
      <c r="AA772" s="65"/>
      <c r="AB772" s="103"/>
      <c r="AC772" s="42">
        <f t="shared" si="148"/>
        <v>-312888.03749999992</v>
      </c>
      <c r="AF772" s="6"/>
    </row>
    <row r="773" spans="1:32">
      <c r="A773" s="2">
        <f t="shared" si="145"/>
        <v>756</v>
      </c>
      <c r="B773" s="688" t="s">
        <v>2324</v>
      </c>
      <c r="C773" s="688" t="s">
        <v>3447</v>
      </c>
      <c r="D773" s="688" t="s">
        <v>3454</v>
      </c>
      <c r="E773" s="697" t="s">
        <v>3455</v>
      </c>
      <c r="F773" s="196">
        <v>0</v>
      </c>
      <c r="G773" s="196">
        <v>0</v>
      </c>
      <c r="H773" s="196">
        <v>0</v>
      </c>
      <c r="I773" s="196">
        <v>0</v>
      </c>
      <c r="J773" s="196">
        <v>0</v>
      </c>
      <c r="K773" s="196">
        <v>0</v>
      </c>
      <c r="L773" s="196">
        <v>0</v>
      </c>
      <c r="M773" s="196">
        <v>0</v>
      </c>
      <c r="N773" s="196">
        <v>0</v>
      </c>
      <c r="O773" s="196">
        <v>0</v>
      </c>
      <c r="P773" s="196">
        <v>0</v>
      </c>
      <c r="Q773" s="196">
        <v>0</v>
      </c>
      <c r="R773" s="196">
        <v>0</v>
      </c>
      <c r="S773" s="184">
        <f t="shared" si="121"/>
        <v>0</v>
      </c>
      <c r="U773" s="65"/>
      <c r="V773" s="103"/>
      <c r="W773" s="103">
        <f t="shared" si="147"/>
        <v>0</v>
      </c>
      <c r="X773" s="599"/>
      <c r="Y773" s="103"/>
      <c r="Z773" s="103"/>
      <c r="AA773" s="65"/>
      <c r="AB773" s="103"/>
      <c r="AC773" s="42">
        <f t="shared" si="148"/>
        <v>0</v>
      </c>
      <c r="AF773" s="6"/>
    </row>
    <row r="774" spans="1:32">
      <c r="A774" s="2">
        <f t="shared" si="145"/>
        <v>757</v>
      </c>
      <c r="B774" s="688" t="s">
        <v>2324</v>
      </c>
      <c r="C774" s="688" t="s">
        <v>3447</v>
      </c>
      <c r="D774" s="688" t="s">
        <v>3456</v>
      </c>
      <c r="E774" s="697" t="s">
        <v>3457</v>
      </c>
      <c r="F774" s="196">
        <v>-119497660.37</v>
      </c>
      <c r="G774" s="196">
        <v>-24578454.75</v>
      </c>
      <c r="H774" s="196">
        <v>-42756761.479999997</v>
      </c>
      <c r="I774" s="196">
        <v>-63706109.049999997</v>
      </c>
      <c r="J774" s="196">
        <v>-77377841.409999996</v>
      </c>
      <c r="K774" s="196">
        <v>-87349023.719999999</v>
      </c>
      <c r="L774" s="196">
        <v>-92749881.890000001</v>
      </c>
      <c r="M774" s="196">
        <v>-97099008.689999998</v>
      </c>
      <c r="N774" s="196">
        <v>-101320144.83</v>
      </c>
      <c r="O774" s="196">
        <v>-105228465.04000001</v>
      </c>
      <c r="P774" s="196">
        <v>-110713835.8</v>
      </c>
      <c r="Q774" s="196">
        <v>-120592893.93000001</v>
      </c>
      <c r="R774" s="196">
        <v>-137573872.87</v>
      </c>
      <c r="S774" s="184">
        <f t="shared" si="121"/>
        <v>-87667348.934166655</v>
      </c>
      <c r="U774" s="65"/>
      <c r="V774" s="103"/>
      <c r="W774" s="103">
        <f t="shared" si="147"/>
        <v>-87667348.934166655</v>
      </c>
      <c r="X774" s="599"/>
      <c r="Y774" s="103"/>
      <c r="Z774" s="103"/>
      <c r="AA774" s="65"/>
      <c r="AB774" s="103"/>
      <c r="AC774" s="42">
        <f t="shared" si="148"/>
        <v>-87667348.934166655</v>
      </c>
      <c r="AF774" s="6"/>
    </row>
    <row r="775" spans="1:32">
      <c r="A775" s="2">
        <f t="shared" si="145"/>
        <v>758</v>
      </c>
      <c r="B775" s="688" t="s">
        <v>2324</v>
      </c>
      <c r="C775" s="688" t="s">
        <v>3447</v>
      </c>
      <c r="D775" s="688" t="s">
        <v>3458</v>
      </c>
      <c r="E775" s="697" t="s">
        <v>3497</v>
      </c>
      <c r="F775" s="196">
        <v>1995570.52</v>
      </c>
      <c r="G775" s="196">
        <v>332904.65999999997</v>
      </c>
      <c r="H775" s="196">
        <v>618915.96</v>
      </c>
      <c r="I775" s="196">
        <v>1096198.83</v>
      </c>
      <c r="J775" s="196">
        <v>1393839.74</v>
      </c>
      <c r="K775" s="196">
        <v>1256449.3899999999</v>
      </c>
      <c r="L775" s="196">
        <v>1366072.45</v>
      </c>
      <c r="M775" s="196">
        <v>959493.72</v>
      </c>
      <c r="N775" s="196">
        <v>828489.3</v>
      </c>
      <c r="O775" s="196">
        <v>797928.31</v>
      </c>
      <c r="P775" s="196">
        <v>691256.26</v>
      </c>
      <c r="Q775" s="196">
        <v>774121.11</v>
      </c>
      <c r="R775" s="196">
        <v>413946.96</v>
      </c>
      <c r="S775" s="184">
        <f t="shared" si="121"/>
        <v>943369.03916666657</v>
      </c>
      <c r="U775" s="65"/>
      <c r="V775" s="103"/>
      <c r="W775" s="103">
        <f t="shared" si="147"/>
        <v>943369.03916666657</v>
      </c>
      <c r="X775" s="599"/>
      <c r="Y775" s="103"/>
      <c r="Z775" s="103"/>
      <c r="AA775" s="65"/>
      <c r="AB775" s="103"/>
      <c r="AC775" s="42">
        <f t="shared" si="148"/>
        <v>943369.03916666657</v>
      </c>
      <c r="AF775" s="6"/>
    </row>
    <row r="776" spans="1:32">
      <c r="A776" s="2">
        <f t="shared" si="145"/>
        <v>759</v>
      </c>
      <c r="B776" s="1" t="s">
        <v>2324</v>
      </c>
      <c r="C776" s="688" t="s">
        <v>3447</v>
      </c>
      <c r="D776" s="688" t="s">
        <v>3498</v>
      </c>
      <c r="E776" s="697" t="s">
        <v>3499</v>
      </c>
      <c r="F776" s="196">
        <v>-3320967.61</v>
      </c>
      <c r="G776" s="196">
        <v>-585906.43000000005</v>
      </c>
      <c r="H776" s="196">
        <v>-1018449.69</v>
      </c>
      <c r="I776" s="196">
        <v>-1513235</v>
      </c>
      <c r="J776" s="196">
        <v>-1834286.38</v>
      </c>
      <c r="K776" s="196">
        <v>-2065193.38</v>
      </c>
      <c r="L776" s="196">
        <v>-2187022.7599999998</v>
      </c>
      <c r="M776" s="196">
        <v>-2282417.59</v>
      </c>
      <c r="N776" s="196">
        <v>-2375591.34</v>
      </c>
      <c r="O776" s="196">
        <v>-2462223.6</v>
      </c>
      <c r="P776" s="196">
        <v>-2588945.34</v>
      </c>
      <c r="Q776" s="196">
        <v>-2852116.56</v>
      </c>
      <c r="R776" s="196">
        <v>-3463386.58</v>
      </c>
      <c r="S776" s="184">
        <f t="shared" si="121"/>
        <v>-2096463.7637499997</v>
      </c>
      <c r="U776" s="65"/>
      <c r="V776" s="103"/>
      <c r="W776" s="103">
        <f t="shared" si="147"/>
        <v>-2096463.7637499997</v>
      </c>
      <c r="X776" s="599"/>
      <c r="Y776" s="103"/>
      <c r="Z776" s="103"/>
      <c r="AA776" s="65"/>
      <c r="AB776" s="103"/>
      <c r="AC776" s="42">
        <f t="shared" si="148"/>
        <v>-2096463.7637499997</v>
      </c>
      <c r="AF776" s="6"/>
    </row>
    <row r="777" spans="1:32">
      <c r="A777" s="2">
        <f t="shared" si="145"/>
        <v>760</v>
      </c>
      <c r="B777" s="688" t="s">
        <v>2324</v>
      </c>
      <c r="C777" s="688" t="s">
        <v>3447</v>
      </c>
      <c r="D777" s="688" t="s">
        <v>3460</v>
      </c>
      <c r="E777" s="697" t="s">
        <v>3461</v>
      </c>
      <c r="F777" s="196">
        <v>-80860.75</v>
      </c>
      <c r="G777" s="196">
        <v>0</v>
      </c>
      <c r="H777" s="196">
        <v>0</v>
      </c>
      <c r="I777" s="196">
        <v>-6420.45</v>
      </c>
      <c r="J777" s="196">
        <v>-6420.45</v>
      </c>
      <c r="K777" s="196">
        <v>-6420.45</v>
      </c>
      <c r="L777" s="196">
        <v>-6420.45</v>
      </c>
      <c r="M777" s="196">
        <v>-23208.33</v>
      </c>
      <c r="N777" s="196">
        <v>-23208.33</v>
      </c>
      <c r="O777" s="196">
        <v>-26020.46</v>
      </c>
      <c r="P777" s="196">
        <v>-26020.46</v>
      </c>
      <c r="Q777" s="196">
        <v>-26020.46</v>
      </c>
      <c r="R777" s="196">
        <v>-26020.46</v>
      </c>
      <c r="S777" s="184">
        <f t="shared" si="121"/>
        <v>-16966.703750000001</v>
      </c>
      <c r="U777" s="65"/>
      <c r="V777" s="103"/>
      <c r="W777" s="103">
        <f t="shared" si="147"/>
        <v>-16966.703750000001</v>
      </c>
      <c r="X777" s="599"/>
      <c r="Y777" s="103"/>
      <c r="Z777" s="103"/>
      <c r="AA777" s="65"/>
      <c r="AB777" s="103"/>
      <c r="AC777" s="42">
        <f t="shared" si="148"/>
        <v>-16966.703750000001</v>
      </c>
      <c r="AF777" s="6"/>
    </row>
    <row r="778" spans="1:32">
      <c r="A778" s="2">
        <f t="shared" si="145"/>
        <v>761</v>
      </c>
      <c r="B778" s="688" t="s">
        <v>2324</v>
      </c>
      <c r="C778" s="688" t="s">
        <v>3447</v>
      </c>
      <c r="D778" s="688" t="s">
        <v>3500</v>
      </c>
      <c r="E778" s="697" t="s">
        <v>3501</v>
      </c>
      <c r="F778" s="196">
        <v>-240</v>
      </c>
      <c r="G778" s="196">
        <v>0</v>
      </c>
      <c r="H778" s="196">
        <v>0</v>
      </c>
      <c r="I778" s="196">
        <v>0</v>
      </c>
      <c r="J778" s="196">
        <v>0</v>
      </c>
      <c r="K778" s="196">
        <v>0</v>
      </c>
      <c r="L778" s="196">
        <v>0</v>
      </c>
      <c r="M778" s="196">
        <v>0</v>
      </c>
      <c r="N778" s="196">
        <v>0</v>
      </c>
      <c r="O778" s="196">
        <v>0</v>
      </c>
      <c r="P778" s="196">
        <v>0</v>
      </c>
      <c r="Q778" s="196">
        <v>0</v>
      </c>
      <c r="R778" s="196">
        <v>0</v>
      </c>
      <c r="S778" s="184">
        <f t="shared" si="121"/>
        <v>-10</v>
      </c>
      <c r="U778" s="65"/>
      <c r="V778" s="103"/>
      <c r="W778" s="103">
        <f t="shared" si="147"/>
        <v>-10</v>
      </c>
      <c r="X778" s="599"/>
      <c r="Y778" s="103"/>
      <c r="Z778" s="103"/>
      <c r="AA778" s="65"/>
      <c r="AB778" s="103"/>
      <c r="AC778" s="42">
        <f t="shared" si="148"/>
        <v>-10</v>
      </c>
      <c r="AF778" s="6"/>
    </row>
    <row r="779" spans="1:32">
      <c r="A779" s="2">
        <f t="shared" si="145"/>
        <v>762</v>
      </c>
      <c r="B779" s="1" t="s">
        <v>2324</v>
      </c>
      <c r="C779" s="688" t="s">
        <v>3447</v>
      </c>
      <c r="D779" s="688" t="s">
        <v>3502</v>
      </c>
      <c r="E779" s="697" t="s">
        <v>3503</v>
      </c>
      <c r="F779" s="196">
        <v>-1671.04</v>
      </c>
      <c r="G779" s="196">
        <v>0</v>
      </c>
      <c r="H779" s="196">
        <v>0</v>
      </c>
      <c r="I779" s="196">
        <v>0</v>
      </c>
      <c r="J779" s="196">
        <v>0</v>
      </c>
      <c r="K779" s="196">
        <v>0</v>
      </c>
      <c r="L779" s="196">
        <v>0</v>
      </c>
      <c r="M779" s="196">
        <v>0</v>
      </c>
      <c r="N779" s="196">
        <v>0</v>
      </c>
      <c r="O779" s="196">
        <v>0</v>
      </c>
      <c r="P779" s="196">
        <v>0</v>
      </c>
      <c r="Q779" s="196">
        <v>0</v>
      </c>
      <c r="R779" s="196">
        <v>0</v>
      </c>
      <c r="S779" s="184">
        <f t="shared" si="121"/>
        <v>-69.626666666666665</v>
      </c>
      <c r="U779" s="65"/>
      <c r="V779" s="103"/>
      <c r="W779" s="103">
        <f t="shared" si="147"/>
        <v>-69.626666666666665</v>
      </c>
      <c r="X779" s="599"/>
      <c r="Y779" s="103"/>
      <c r="Z779" s="103"/>
      <c r="AA779" s="65"/>
      <c r="AB779" s="103"/>
      <c r="AC779" s="42">
        <f t="shared" si="148"/>
        <v>-69.626666666666665</v>
      </c>
      <c r="AF779" s="6"/>
    </row>
    <row r="780" spans="1:32">
      <c r="A780" s="2">
        <f t="shared" si="145"/>
        <v>763</v>
      </c>
      <c r="B780" s="1" t="s">
        <v>2324</v>
      </c>
      <c r="C780" s="688" t="s">
        <v>3447</v>
      </c>
      <c r="D780" s="688" t="s">
        <v>3504</v>
      </c>
      <c r="E780" s="697" t="s">
        <v>3505</v>
      </c>
      <c r="F780" s="196">
        <v>0</v>
      </c>
      <c r="G780" s="196">
        <v>0</v>
      </c>
      <c r="H780" s="196">
        <v>0</v>
      </c>
      <c r="I780" s="196">
        <v>0</v>
      </c>
      <c r="J780" s="196">
        <v>0</v>
      </c>
      <c r="K780" s="196">
        <v>0</v>
      </c>
      <c r="L780" s="196">
        <v>0</v>
      </c>
      <c r="M780" s="196">
        <v>0</v>
      </c>
      <c r="N780" s="196">
        <v>0</v>
      </c>
      <c r="O780" s="196">
        <v>0</v>
      </c>
      <c r="P780" s="196">
        <v>0</v>
      </c>
      <c r="Q780" s="196">
        <v>0</v>
      </c>
      <c r="R780" s="196">
        <v>0</v>
      </c>
      <c r="S780" s="184">
        <f t="shared" si="121"/>
        <v>0</v>
      </c>
      <c r="U780" s="65"/>
      <c r="V780" s="103"/>
      <c r="W780" s="103">
        <f t="shared" si="147"/>
        <v>0</v>
      </c>
      <c r="X780" s="599"/>
      <c r="Y780" s="103"/>
      <c r="Z780" s="103"/>
      <c r="AA780" s="65"/>
      <c r="AB780" s="103"/>
      <c r="AC780" s="42">
        <f t="shared" si="148"/>
        <v>0</v>
      </c>
      <c r="AF780" s="6"/>
    </row>
    <row r="781" spans="1:32">
      <c r="A781" s="2">
        <f t="shared" si="145"/>
        <v>764</v>
      </c>
      <c r="B781" s="1" t="s">
        <v>2324</v>
      </c>
      <c r="C781" s="688" t="s">
        <v>3447</v>
      </c>
      <c r="D781" s="688" t="s">
        <v>3506</v>
      </c>
      <c r="E781" s="697" t="s">
        <v>3507</v>
      </c>
      <c r="F781" s="196">
        <v>0</v>
      </c>
      <c r="G781" s="196">
        <v>0</v>
      </c>
      <c r="H781" s="196">
        <v>0</v>
      </c>
      <c r="I781" s="196">
        <v>0</v>
      </c>
      <c r="J781" s="196">
        <v>0</v>
      </c>
      <c r="K781" s="196">
        <v>0</v>
      </c>
      <c r="L781" s="196">
        <v>0</v>
      </c>
      <c r="M781" s="196">
        <v>0</v>
      </c>
      <c r="N781" s="196">
        <v>0</v>
      </c>
      <c r="O781" s="196">
        <v>0</v>
      </c>
      <c r="P781" s="196">
        <v>0</v>
      </c>
      <c r="Q781" s="196">
        <v>0</v>
      </c>
      <c r="R781" s="196">
        <v>0</v>
      </c>
      <c r="S781" s="184">
        <f t="shared" si="121"/>
        <v>0</v>
      </c>
      <c r="U781" s="65"/>
      <c r="V781" s="103"/>
      <c r="W781" s="103">
        <f t="shared" si="147"/>
        <v>0</v>
      </c>
      <c r="X781" s="599"/>
      <c r="Y781" s="103"/>
      <c r="Z781" s="103"/>
      <c r="AA781" s="65"/>
      <c r="AB781" s="103"/>
      <c r="AC781" s="42">
        <f t="shared" si="148"/>
        <v>0</v>
      </c>
      <c r="AF781" s="6"/>
    </row>
    <row r="782" spans="1:32">
      <c r="A782" s="2">
        <f t="shared" si="145"/>
        <v>765</v>
      </c>
      <c r="B782" s="1" t="s">
        <v>2324</v>
      </c>
      <c r="C782" s="688" t="s">
        <v>3447</v>
      </c>
      <c r="D782" s="688" t="s">
        <v>3462</v>
      </c>
      <c r="E782" s="697" t="s">
        <v>3463</v>
      </c>
      <c r="F782" s="196">
        <v>-1676377.26</v>
      </c>
      <c r="G782" s="196">
        <v>-268996.62</v>
      </c>
      <c r="H782" s="196">
        <v>-511181.67</v>
      </c>
      <c r="I782" s="196">
        <v>-733431.46</v>
      </c>
      <c r="J782" s="196">
        <v>-965659.83</v>
      </c>
      <c r="K782" s="196">
        <v>-1163439.26</v>
      </c>
      <c r="L782" s="196">
        <v>-1283495.71</v>
      </c>
      <c r="M782" s="196">
        <v>-1379738.48</v>
      </c>
      <c r="N782" s="196">
        <v>-1464268.14</v>
      </c>
      <c r="O782" s="196">
        <v>-1548190.36</v>
      </c>
      <c r="P782" s="196">
        <v>-1653220.31</v>
      </c>
      <c r="Q782" s="196">
        <v>-1815738.16</v>
      </c>
      <c r="R782" s="196">
        <v>-2041054.23</v>
      </c>
      <c r="S782" s="184">
        <f t="shared" si="121"/>
        <v>-1220506.3120833335</v>
      </c>
      <c r="U782" s="65"/>
      <c r="V782" s="103"/>
      <c r="W782" s="103">
        <f t="shared" si="147"/>
        <v>-1220506.3120833335</v>
      </c>
      <c r="X782" s="599"/>
      <c r="Y782" s="103"/>
      <c r="Z782" s="103"/>
      <c r="AA782" s="65"/>
      <c r="AB782" s="103"/>
      <c r="AC782" s="42">
        <f t="shared" si="148"/>
        <v>-1220506.3120833335</v>
      </c>
      <c r="AF782" s="6"/>
    </row>
    <row r="783" spans="1:32">
      <c r="A783" s="2">
        <f t="shared" si="145"/>
        <v>766</v>
      </c>
      <c r="B783" s="1" t="s">
        <v>2324</v>
      </c>
      <c r="C783" s="688" t="s">
        <v>3447</v>
      </c>
      <c r="D783" s="688" t="s">
        <v>3508</v>
      </c>
      <c r="E783" s="697" t="s">
        <v>3509</v>
      </c>
      <c r="F783" s="196">
        <v>7745.95</v>
      </c>
      <c r="G783" s="196">
        <v>153.68</v>
      </c>
      <c r="H783" s="196">
        <v>-917.57</v>
      </c>
      <c r="I783" s="196">
        <v>61.3900000000001</v>
      </c>
      <c r="J783" s="196">
        <v>-633.16</v>
      </c>
      <c r="K783" s="196">
        <v>-2557.83</v>
      </c>
      <c r="L783" s="196">
        <v>-3480.47</v>
      </c>
      <c r="M783" s="196">
        <v>-3833.83</v>
      </c>
      <c r="N783" s="196">
        <v>-3874.55</v>
      </c>
      <c r="O783" s="196">
        <v>-2176.92</v>
      </c>
      <c r="P783" s="196">
        <v>2963.41</v>
      </c>
      <c r="Q783" s="196">
        <v>4927.87</v>
      </c>
      <c r="R783" s="196">
        <v>4698.41</v>
      </c>
      <c r="S783" s="184">
        <f t="shared" si="121"/>
        <v>-262.15000000000026</v>
      </c>
      <c r="U783" s="65"/>
      <c r="V783" s="103"/>
      <c r="W783" s="103">
        <f t="shared" si="147"/>
        <v>-262.15000000000026</v>
      </c>
      <c r="X783" s="599"/>
      <c r="Y783" s="103"/>
      <c r="Z783" s="103"/>
      <c r="AA783" s="65"/>
      <c r="AB783" s="103"/>
      <c r="AC783" s="42">
        <f t="shared" si="148"/>
        <v>-262.15000000000026</v>
      </c>
      <c r="AF783" s="6"/>
    </row>
    <row r="784" spans="1:32">
      <c r="A784" s="2">
        <f t="shared" si="145"/>
        <v>767</v>
      </c>
      <c r="B784" s="1" t="s">
        <v>2324</v>
      </c>
      <c r="C784" s="688" t="s">
        <v>3447</v>
      </c>
      <c r="D784" s="688" t="s">
        <v>3510</v>
      </c>
      <c r="E784" s="697" t="s">
        <v>3511</v>
      </c>
      <c r="F784" s="196">
        <v>-65845.37</v>
      </c>
      <c r="G784" s="196">
        <v>-8559.09</v>
      </c>
      <c r="H784" s="196">
        <v>-16262.27</v>
      </c>
      <c r="I784" s="196">
        <v>-23317.599999999999</v>
      </c>
      <c r="J784" s="196">
        <v>-30714.7</v>
      </c>
      <c r="K784" s="196">
        <v>-37001.440000000002</v>
      </c>
      <c r="L784" s="196">
        <v>-40742.67</v>
      </c>
      <c r="M784" s="196">
        <v>-43727</v>
      </c>
      <c r="N784" s="196">
        <v>-46333.760000000002</v>
      </c>
      <c r="O784" s="196">
        <v>-48908.11</v>
      </c>
      <c r="P784" s="196">
        <v>-52152.05</v>
      </c>
      <c r="Q784" s="196">
        <v>-57281</v>
      </c>
      <c r="R784" s="196">
        <v>-68310.929999999993</v>
      </c>
      <c r="S784" s="184">
        <f t="shared" si="121"/>
        <v>-39339.82</v>
      </c>
      <c r="U784" s="65"/>
      <c r="V784" s="103"/>
      <c r="W784" s="103">
        <f t="shared" si="147"/>
        <v>-39339.82</v>
      </c>
      <c r="X784" s="599"/>
      <c r="Y784" s="103"/>
      <c r="Z784" s="103"/>
      <c r="AA784" s="65"/>
      <c r="AB784" s="103"/>
      <c r="AC784" s="42">
        <f t="shared" si="148"/>
        <v>-39339.82</v>
      </c>
      <c r="AF784" s="6"/>
    </row>
    <row r="785" spans="1:32">
      <c r="A785" s="2">
        <f t="shared" si="145"/>
        <v>768</v>
      </c>
      <c r="B785" s="1" t="s">
        <v>2324</v>
      </c>
      <c r="C785" s="688" t="s">
        <v>3512</v>
      </c>
      <c r="D785" s="688" t="s">
        <v>3448</v>
      </c>
      <c r="E785" s="697" t="s">
        <v>3513</v>
      </c>
      <c r="F785" s="196">
        <v>0</v>
      </c>
      <c r="G785" s="196">
        <v>0</v>
      </c>
      <c r="H785" s="196">
        <v>0</v>
      </c>
      <c r="I785" s="196">
        <v>0</v>
      </c>
      <c r="J785" s="196">
        <v>0</v>
      </c>
      <c r="K785" s="196">
        <v>0</v>
      </c>
      <c r="L785" s="196">
        <v>0</v>
      </c>
      <c r="M785" s="196">
        <v>0</v>
      </c>
      <c r="N785" s="196">
        <v>0</v>
      </c>
      <c r="O785" s="196">
        <v>0</v>
      </c>
      <c r="P785" s="196">
        <v>0</v>
      </c>
      <c r="Q785" s="196">
        <v>0</v>
      </c>
      <c r="R785" s="196">
        <v>0</v>
      </c>
      <c r="S785" s="184">
        <f t="shared" si="121"/>
        <v>0</v>
      </c>
      <c r="U785" s="65"/>
      <c r="V785" s="103"/>
      <c r="W785" s="103">
        <f t="shared" si="147"/>
        <v>0</v>
      </c>
      <c r="X785" s="599"/>
      <c r="Y785" s="103"/>
      <c r="Z785" s="103"/>
      <c r="AA785" s="65"/>
      <c r="AB785" s="103"/>
      <c r="AC785" s="42">
        <f t="shared" si="148"/>
        <v>0</v>
      </c>
      <c r="AF785" s="6"/>
    </row>
    <row r="786" spans="1:32">
      <c r="A786" s="2">
        <f t="shared" si="145"/>
        <v>769</v>
      </c>
      <c r="B786" s="1" t="s">
        <v>2324</v>
      </c>
      <c r="C786" s="688" t="s">
        <v>3512</v>
      </c>
      <c r="D786" s="688" t="s">
        <v>3452</v>
      </c>
      <c r="E786" s="697" t="s">
        <v>3514</v>
      </c>
      <c r="F786" s="196">
        <v>0</v>
      </c>
      <c r="G786" s="196">
        <v>0</v>
      </c>
      <c r="H786" s="196">
        <v>0</v>
      </c>
      <c r="I786" s="196">
        <v>0</v>
      </c>
      <c r="J786" s="196">
        <v>0</v>
      </c>
      <c r="K786" s="196">
        <v>0</v>
      </c>
      <c r="L786" s="196">
        <v>0</v>
      </c>
      <c r="M786" s="196">
        <v>0</v>
      </c>
      <c r="N786" s="196">
        <v>0</v>
      </c>
      <c r="O786" s="196">
        <v>0</v>
      </c>
      <c r="P786" s="196">
        <v>0</v>
      </c>
      <c r="Q786" s="196">
        <v>0</v>
      </c>
      <c r="R786" s="196">
        <v>0</v>
      </c>
      <c r="S786" s="184">
        <f t="shared" si="121"/>
        <v>0</v>
      </c>
      <c r="U786" s="65"/>
      <c r="V786" s="103"/>
      <c r="W786" s="103">
        <f t="shared" si="147"/>
        <v>0</v>
      </c>
      <c r="X786" s="599"/>
      <c r="Y786" s="103"/>
      <c r="Z786" s="103"/>
      <c r="AA786" s="65"/>
      <c r="AB786" s="103"/>
      <c r="AC786" s="42">
        <f t="shared" si="148"/>
        <v>0</v>
      </c>
      <c r="AF786" s="6"/>
    </row>
    <row r="787" spans="1:32">
      <c r="A787" s="2">
        <f t="shared" si="145"/>
        <v>770</v>
      </c>
      <c r="B787" s="1" t="s">
        <v>2324</v>
      </c>
      <c r="C787" s="688" t="s">
        <v>3512</v>
      </c>
      <c r="D787" s="688" t="s">
        <v>3456</v>
      </c>
      <c r="E787" s="697" t="s">
        <v>3515</v>
      </c>
      <c r="F787" s="196">
        <v>0</v>
      </c>
      <c r="G787" s="196">
        <v>0</v>
      </c>
      <c r="H787" s="196">
        <v>0</v>
      </c>
      <c r="I787" s="196">
        <v>0</v>
      </c>
      <c r="J787" s="196">
        <v>0</v>
      </c>
      <c r="K787" s="196">
        <v>0</v>
      </c>
      <c r="L787" s="196">
        <v>0</v>
      </c>
      <c r="M787" s="196">
        <v>0</v>
      </c>
      <c r="N787" s="196">
        <v>0</v>
      </c>
      <c r="O787" s="196">
        <v>0</v>
      </c>
      <c r="P787" s="196">
        <v>0</v>
      </c>
      <c r="Q787" s="196">
        <v>0</v>
      </c>
      <c r="R787" s="196">
        <v>0</v>
      </c>
      <c r="S787" s="184">
        <f t="shared" si="121"/>
        <v>0</v>
      </c>
      <c r="U787" s="65"/>
      <c r="V787" s="103"/>
      <c r="W787" s="103">
        <f t="shared" si="147"/>
        <v>0</v>
      </c>
      <c r="X787" s="599"/>
      <c r="Y787" s="103"/>
      <c r="Z787" s="103"/>
      <c r="AA787" s="65"/>
      <c r="AB787" s="103"/>
      <c r="AC787" s="42">
        <f t="shared" si="148"/>
        <v>0</v>
      </c>
      <c r="AF787" s="6"/>
    </row>
    <row r="788" spans="1:32">
      <c r="A788" s="2">
        <f t="shared" ref="A788:A838" si="149">MAX(A787:A787)+1</f>
        <v>771</v>
      </c>
      <c r="B788" s="1" t="s">
        <v>2324</v>
      </c>
      <c r="C788" s="688" t="s">
        <v>3512</v>
      </c>
      <c r="D788" s="688" t="s">
        <v>3462</v>
      </c>
      <c r="E788" s="697" t="s">
        <v>3516</v>
      </c>
      <c r="F788" s="196">
        <v>0</v>
      </c>
      <c r="G788" s="196">
        <v>0</v>
      </c>
      <c r="H788" s="196">
        <v>0</v>
      </c>
      <c r="I788" s="196">
        <v>0</v>
      </c>
      <c r="J788" s="196">
        <v>0</v>
      </c>
      <c r="K788" s="196">
        <v>0</v>
      </c>
      <c r="L788" s="196">
        <v>0</v>
      </c>
      <c r="M788" s="196">
        <v>0</v>
      </c>
      <c r="N788" s="196">
        <v>0</v>
      </c>
      <c r="O788" s="196">
        <v>0</v>
      </c>
      <c r="P788" s="196">
        <v>0</v>
      </c>
      <c r="Q788" s="196">
        <v>0</v>
      </c>
      <c r="R788" s="196">
        <v>0</v>
      </c>
      <c r="S788" s="184">
        <f t="shared" si="121"/>
        <v>0</v>
      </c>
      <c r="U788" s="65"/>
      <c r="V788" s="103"/>
      <c r="W788" s="103">
        <f t="shared" si="147"/>
        <v>0</v>
      </c>
      <c r="X788" s="599"/>
      <c r="Y788" s="103"/>
      <c r="Z788" s="103"/>
      <c r="AA788" s="65"/>
      <c r="AB788" s="103"/>
      <c r="AC788" s="42">
        <f t="shared" si="148"/>
        <v>0</v>
      </c>
      <c r="AF788" s="6"/>
    </row>
    <row r="789" spans="1:32">
      <c r="A789" s="2">
        <f t="shared" si="149"/>
        <v>772</v>
      </c>
      <c r="B789" s="1" t="s">
        <v>2324</v>
      </c>
      <c r="C789" s="688" t="s">
        <v>3464</v>
      </c>
      <c r="D789" s="688" t="s">
        <v>3448</v>
      </c>
      <c r="E789" s="697" t="s">
        <v>3465</v>
      </c>
      <c r="F789" s="196">
        <v>-3989958.01</v>
      </c>
      <c r="G789" s="196">
        <v>4362552.47</v>
      </c>
      <c r="H789" s="196">
        <v>4162438.42</v>
      </c>
      <c r="I789" s="196">
        <v>10003653.119999999</v>
      </c>
      <c r="J789" s="196">
        <v>14114977.27</v>
      </c>
      <c r="K789" s="196">
        <v>19405076.210000001</v>
      </c>
      <c r="L789" s="196">
        <v>19636737.260000002</v>
      </c>
      <c r="M789" s="196">
        <v>21251924.710000001</v>
      </c>
      <c r="N789" s="196">
        <v>21548668.5</v>
      </c>
      <c r="O789" s="196">
        <v>19877079.039999999</v>
      </c>
      <c r="P789" s="196">
        <v>15027938.130000001</v>
      </c>
      <c r="Q789" s="196">
        <v>6204657.9100000001</v>
      </c>
      <c r="R789" s="196">
        <v>5405417.6799999997</v>
      </c>
      <c r="S789" s="184">
        <f t="shared" si="121"/>
        <v>13025286.072916666</v>
      </c>
      <c r="U789" s="65"/>
      <c r="V789" s="103"/>
      <c r="W789" s="103">
        <f t="shared" si="147"/>
        <v>13025286.072916666</v>
      </c>
      <c r="X789" s="599"/>
      <c r="Y789" s="103"/>
      <c r="Z789" s="103"/>
      <c r="AA789" s="65"/>
      <c r="AB789" s="103"/>
      <c r="AC789" s="42">
        <f t="shared" si="148"/>
        <v>13025286.072916666</v>
      </c>
      <c r="AF789" s="6"/>
    </row>
    <row r="790" spans="1:32">
      <c r="A790" s="2">
        <f t="shared" si="149"/>
        <v>773</v>
      </c>
      <c r="B790" s="1" t="s">
        <v>2324</v>
      </c>
      <c r="C790" s="688" t="s">
        <v>3464</v>
      </c>
      <c r="D790" s="688" t="s">
        <v>3491</v>
      </c>
      <c r="E790" s="697" t="s">
        <v>3517</v>
      </c>
      <c r="F790" s="196">
        <v>2444.7600000000102</v>
      </c>
      <c r="G790" s="196">
        <v>99188.71</v>
      </c>
      <c r="H790" s="196">
        <v>94638.83</v>
      </c>
      <c r="I790" s="196">
        <v>227592.24</v>
      </c>
      <c r="J790" s="196">
        <v>321024.82</v>
      </c>
      <c r="K790" s="196">
        <v>441245.83</v>
      </c>
      <c r="L790" s="196">
        <v>456576.57</v>
      </c>
      <c r="M790" s="196">
        <v>493282.78</v>
      </c>
      <c r="N790" s="196">
        <v>500026.47</v>
      </c>
      <c r="O790" s="196">
        <v>462038.49</v>
      </c>
      <c r="P790" s="196">
        <v>351838.55</v>
      </c>
      <c r="Q790" s="196">
        <v>-62386.97</v>
      </c>
      <c r="R790" s="196">
        <v>-90658.54</v>
      </c>
      <c r="S790" s="184">
        <f t="shared" si="121"/>
        <v>278413.28583333333</v>
      </c>
      <c r="U790" s="65"/>
      <c r="V790" s="103"/>
      <c r="W790" s="103">
        <f t="shared" si="147"/>
        <v>278413.28583333333</v>
      </c>
      <c r="X790" s="599"/>
      <c r="Y790" s="103"/>
      <c r="Z790" s="103"/>
      <c r="AA790" s="65"/>
      <c r="AB790" s="103"/>
      <c r="AC790" s="42">
        <f t="shared" si="148"/>
        <v>278413.28583333333</v>
      </c>
      <c r="AF790" s="6"/>
    </row>
    <row r="791" spans="1:32">
      <c r="A791" s="2">
        <f t="shared" si="149"/>
        <v>774</v>
      </c>
      <c r="B791" s="1" t="s">
        <v>2324</v>
      </c>
      <c r="C791" s="688" t="s">
        <v>3464</v>
      </c>
      <c r="D791" s="688" t="s">
        <v>3452</v>
      </c>
      <c r="E791" s="697" t="s">
        <v>3466</v>
      </c>
      <c r="F791" s="196">
        <v>0</v>
      </c>
      <c r="G791" s="196">
        <v>0</v>
      </c>
      <c r="H791" s="196">
        <v>0</v>
      </c>
      <c r="I791" s="196">
        <v>0</v>
      </c>
      <c r="J791" s="196">
        <v>0</v>
      </c>
      <c r="K791" s="196">
        <v>0</v>
      </c>
      <c r="L791" s="196">
        <v>-12936</v>
      </c>
      <c r="M791" s="196">
        <v>-12936</v>
      </c>
      <c r="N791" s="196">
        <v>-12936</v>
      </c>
      <c r="O791" s="196">
        <v>-12936</v>
      </c>
      <c r="P791" s="196">
        <v>-12936</v>
      </c>
      <c r="Q791" s="196">
        <v>-12936</v>
      </c>
      <c r="R791" s="196">
        <v>-12936</v>
      </c>
      <c r="S791" s="184">
        <f t="shared" si="121"/>
        <v>-7007</v>
      </c>
      <c r="U791" s="65"/>
      <c r="V791" s="103"/>
      <c r="W791" s="103">
        <f t="shared" si="147"/>
        <v>-7007</v>
      </c>
      <c r="X791" s="599"/>
      <c r="Y791" s="103"/>
      <c r="Z791" s="103"/>
      <c r="AA791" s="65"/>
      <c r="AB791" s="103"/>
      <c r="AC791" s="42">
        <f t="shared" si="148"/>
        <v>-7007</v>
      </c>
      <c r="AF791" s="6"/>
    </row>
    <row r="792" spans="1:32">
      <c r="A792" s="2">
        <f t="shared" si="149"/>
        <v>775</v>
      </c>
      <c r="B792" s="688" t="s">
        <v>2324</v>
      </c>
      <c r="C792" s="688" t="s">
        <v>3464</v>
      </c>
      <c r="D792" s="1" t="s">
        <v>3456</v>
      </c>
      <c r="E792" s="697" t="s">
        <v>3467</v>
      </c>
      <c r="F792" s="196">
        <v>-3857403.05</v>
      </c>
      <c r="G792" s="196">
        <v>2546956.7400000002</v>
      </c>
      <c r="H792" s="196">
        <v>2429648.5</v>
      </c>
      <c r="I792" s="196">
        <v>7105908.7199999997</v>
      </c>
      <c r="J792" s="196">
        <v>9971815.7799999993</v>
      </c>
      <c r="K792" s="196">
        <v>13868138.960000001</v>
      </c>
      <c r="L792" s="196">
        <v>13866398.720000001</v>
      </c>
      <c r="M792" s="196">
        <v>15238937.84</v>
      </c>
      <c r="N792" s="196">
        <v>15377614.029999999</v>
      </c>
      <c r="O792" s="196">
        <v>13756822.140000001</v>
      </c>
      <c r="P792" s="196">
        <v>9874355.0099999998</v>
      </c>
      <c r="Q792" s="196">
        <v>4719603.32</v>
      </c>
      <c r="R792" s="196">
        <v>4171055.91</v>
      </c>
      <c r="S792" s="184">
        <f t="shared" si="121"/>
        <v>9076085.515833335</v>
      </c>
      <c r="U792" s="65"/>
      <c r="V792" s="103"/>
      <c r="W792" s="103">
        <f t="shared" si="147"/>
        <v>9076085.515833335</v>
      </c>
      <c r="X792" s="599"/>
      <c r="Y792" s="103"/>
      <c r="Z792" s="103"/>
      <c r="AA792" s="65"/>
      <c r="AB792" s="103"/>
      <c r="AC792" s="42">
        <f t="shared" si="148"/>
        <v>9076085.515833335</v>
      </c>
      <c r="AF792" s="6"/>
    </row>
    <row r="793" spans="1:32">
      <c r="A793" s="2">
        <f t="shared" si="149"/>
        <v>776</v>
      </c>
      <c r="B793" s="688" t="s">
        <v>2324</v>
      </c>
      <c r="C793" s="688" t="s">
        <v>3464</v>
      </c>
      <c r="D793" s="1" t="s">
        <v>3498</v>
      </c>
      <c r="E793" s="696" t="s">
        <v>3518</v>
      </c>
      <c r="F793" s="196">
        <v>-14520.63</v>
      </c>
      <c r="G793" s="196">
        <v>60080.88</v>
      </c>
      <c r="H793" s="196">
        <v>56433.96</v>
      </c>
      <c r="I793" s="196">
        <v>167846.61</v>
      </c>
      <c r="J793" s="196">
        <v>235136.53</v>
      </c>
      <c r="K793" s="196">
        <v>326981.57</v>
      </c>
      <c r="L793" s="196">
        <v>330350.15000000002</v>
      </c>
      <c r="M793" s="196">
        <v>363271.01</v>
      </c>
      <c r="N793" s="196">
        <v>366504.08</v>
      </c>
      <c r="O793" s="196">
        <v>327902.38</v>
      </c>
      <c r="P793" s="196">
        <v>235870.91</v>
      </c>
      <c r="Q793" s="196">
        <v>-57748.930000000102</v>
      </c>
      <c r="R793" s="196">
        <v>-77531.240000000107</v>
      </c>
      <c r="S793" s="184">
        <f t="shared" si="121"/>
        <v>197216.93458333335</v>
      </c>
      <c r="U793" s="65"/>
      <c r="V793" s="103"/>
      <c r="W793" s="103">
        <f t="shared" si="147"/>
        <v>197216.93458333335</v>
      </c>
      <c r="X793" s="599"/>
      <c r="Y793" s="103"/>
      <c r="Z793" s="103"/>
      <c r="AA793" s="65"/>
      <c r="AB793" s="103"/>
      <c r="AC793" s="42">
        <f t="shared" si="148"/>
        <v>197216.93458333335</v>
      </c>
      <c r="AF793" s="6"/>
    </row>
    <row r="794" spans="1:32">
      <c r="A794" s="2">
        <f t="shared" si="149"/>
        <v>777</v>
      </c>
      <c r="B794" s="688" t="s">
        <v>2324</v>
      </c>
      <c r="C794" s="688" t="s">
        <v>3464</v>
      </c>
      <c r="D794" s="1" t="s">
        <v>3500</v>
      </c>
      <c r="E794" s="696" t="s">
        <v>3519</v>
      </c>
      <c r="F794" s="196">
        <v>60</v>
      </c>
      <c r="G794" s="196">
        <v>0</v>
      </c>
      <c r="H794" s="196">
        <v>0</v>
      </c>
      <c r="I794" s="196">
        <v>0</v>
      </c>
      <c r="J794" s="196">
        <v>0</v>
      </c>
      <c r="K794" s="196">
        <v>0</v>
      </c>
      <c r="L794" s="196">
        <v>0</v>
      </c>
      <c r="M794" s="196">
        <v>0</v>
      </c>
      <c r="N794" s="196">
        <v>0</v>
      </c>
      <c r="O794" s="196">
        <v>0</v>
      </c>
      <c r="P794" s="196">
        <v>0</v>
      </c>
      <c r="Q794" s="196">
        <v>0</v>
      </c>
      <c r="R794" s="196">
        <v>0</v>
      </c>
      <c r="S794" s="184">
        <f t="shared" si="121"/>
        <v>2.5</v>
      </c>
      <c r="U794" s="65"/>
      <c r="V794" s="103"/>
      <c r="W794" s="103">
        <f t="shared" si="147"/>
        <v>2.5</v>
      </c>
      <c r="X794" s="599"/>
      <c r="Y794" s="103"/>
      <c r="Z794" s="103"/>
      <c r="AA794" s="65"/>
      <c r="AB794" s="103"/>
      <c r="AC794" s="42">
        <f t="shared" si="148"/>
        <v>2.5</v>
      </c>
      <c r="AF794" s="6"/>
    </row>
    <row r="795" spans="1:32">
      <c r="A795" s="2">
        <f t="shared" si="149"/>
        <v>778</v>
      </c>
      <c r="B795" s="688" t="s">
        <v>2324</v>
      </c>
      <c r="C795" s="688" t="s">
        <v>3464</v>
      </c>
      <c r="D795" s="1" t="s">
        <v>3462</v>
      </c>
      <c r="E795" s="696" t="s">
        <v>3468</v>
      </c>
      <c r="F795" s="196">
        <v>-59082.45</v>
      </c>
      <c r="G795" s="196">
        <v>27551.37</v>
      </c>
      <c r="H795" s="196">
        <v>48195.73</v>
      </c>
      <c r="I795" s="196">
        <v>37676.370000000003</v>
      </c>
      <c r="J795" s="196">
        <v>72779.429999999993</v>
      </c>
      <c r="K795" s="196">
        <v>152912.26</v>
      </c>
      <c r="L795" s="196">
        <v>177415.16</v>
      </c>
      <c r="M795" s="196">
        <v>189500.03</v>
      </c>
      <c r="N795" s="196">
        <v>190259.9</v>
      </c>
      <c r="O795" s="196">
        <v>168820.44</v>
      </c>
      <c r="P795" s="196">
        <v>109016.26</v>
      </c>
      <c r="Q795" s="196">
        <v>40343.08</v>
      </c>
      <c r="R795" s="196">
        <v>27723.13</v>
      </c>
      <c r="S795" s="184">
        <f t="shared" si="121"/>
        <v>99899.197500000024</v>
      </c>
      <c r="U795" s="65"/>
      <c r="V795" s="103"/>
      <c r="W795" s="103">
        <f t="shared" si="147"/>
        <v>99899.197500000024</v>
      </c>
      <c r="X795" s="599"/>
      <c r="Y795" s="103"/>
      <c r="Z795" s="103"/>
      <c r="AA795" s="65"/>
      <c r="AB795" s="103"/>
      <c r="AC795" s="42">
        <f t="shared" si="148"/>
        <v>99899.197500000024</v>
      </c>
      <c r="AF795" s="6"/>
    </row>
    <row r="796" spans="1:32">
      <c r="A796" s="2">
        <f t="shared" si="149"/>
        <v>779</v>
      </c>
      <c r="B796" s="688" t="s">
        <v>2324</v>
      </c>
      <c r="C796" s="688" t="s">
        <v>3469</v>
      </c>
      <c r="D796" s="1" t="s">
        <v>3482</v>
      </c>
      <c r="E796" s="696" t="s">
        <v>3520</v>
      </c>
      <c r="F796" s="196">
        <v>-2818.86</v>
      </c>
      <c r="G796" s="196">
        <v>0</v>
      </c>
      <c r="H796" s="196">
        <v>0</v>
      </c>
      <c r="I796" s="196">
        <v>0</v>
      </c>
      <c r="J796" s="196">
        <v>0</v>
      </c>
      <c r="K796" s="196">
        <v>0</v>
      </c>
      <c r="L796" s="196">
        <v>0</v>
      </c>
      <c r="M796" s="196">
        <v>0</v>
      </c>
      <c r="N796" s="196">
        <v>-1480.24</v>
      </c>
      <c r="O796" s="196">
        <v>-1480.24</v>
      </c>
      <c r="P796" s="196">
        <v>-1848.1</v>
      </c>
      <c r="Q796" s="196">
        <v>-1848.1</v>
      </c>
      <c r="R796" s="196">
        <v>-1848.1</v>
      </c>
      <c r="S796" s="184">
        <f t="shared" si="121"/>
        <v>-749.18</v>
      </c>
      <c r="U796" s="65"/>
      <c r="V796" s="103"/>
      <c r="W796" s="103">
        <f t="shared" si="147"/>
        <v>-749.18</v>
      </c>
      <c r="X796" s="599"/>
      <c r="Y796" s="103"/>
      <c r="Z796" s="103"/>
      <c r="AA796" s="65"/>
      <c r="AB796" s="103"/>
      <c r="AC796" s="42">
        <f t="shared" si="148"/>
        <v>-749.18</v>
      </c>
      <c r="AF796" s="6"/>
    </row>
    <row r="797" spans="1:32">
      <c r="A797" s="2">
        <f t="shared" si="149"/>
        <v>780</v>
      </c>
      <c r="B797" s="688" t="s">
        <v>2324</v>
      </c>
      <c r="C797" s="688" t="s">
        <v>3469</v>
      </c>
      <c r="D797" s="1" t="s">
        <v>3484</v>
      </c>
      <c r="E797" s="696" t="s">
        <v>3521</v>
      </c>
      <c r="F797" s="196">
        <v>-190.85</v>
      </c>
      <c r="G797" s="196">
        <v>0</v>
      </c>
      <c r="H797" s="196">
        <v>0</v>
      </c>
      <c r="I797" s="196">
        <v>0</v>
      </c>
      <c r="J797" s="196">
        <v>0</v>
      </c>
      <c r="K797" s="196">
        <v>0</v>
      </c>
      <c r="L797" s="196">
        <v>0</v>
      </c>
      <c r="M797" s="196">
        <v>0</v>
      </c>
      <c r="N797" s="196">
        <v>0</v>
      </c>
      <c r="O797" s="196">
        <v>0</v>
      </c>
      <c r="P797" s="196">
        <v>0</v>
      </c>
      <c r="Q797" s="196">
        <v>0</v>
      </c>
      <c r="R797" s="196">
        <v>0</v>
      </c>
      <c r="S797" s="184">
        <f t="shared" si="121"/>
        <v>-7.9520833333333334</v>
      </c>
      <c r="U797" s="65"/>
      <c r="V797" s="103"/>
      <c r="W797" s="103">
        <f t="shared" si="147"/>
        <v>-7.9520833333333334</v>
      </c>
      <c r="X797" s="599"/>
      <c r="Y797" s="103"/>
      <c r="Z797" s="103"/>
      <c r="AA797" s="65"/>
      <c r="AB797" s="103"/>
      <c r="AC797" s="42">
        <f t="shared" si="148"/>
        <v>-7.9520833333333334</v>
      </c>
      <c r="AF797" s="6"/>
    </row>
    <row r="798" spans="1:32">
      <c r="A798" s="2">
        <f t="shared" si="149"/>
        <v>781</v>
      </c>
      <c r="B798" s="688" t="s">
        <v>2324</v>
      </c>
      <c r="C798" s="688" t="s">
        <v>3469</v>
      </c>
      <c r="D798" s="1" t="s">
        <v>3470</v>
      </c>
      <c r="E798" s="696" t="s">
        <v>3471</v>
      </c>
      <c r="F798" s="196">
        <v>-174798.17</v>
      </c>
      <c r="G798" s="196">
        <v>-23731.97</v>
      </c>
      <c r="H798" s="196">
        <v>-47875.91</v>
      </c>
      <c r="I798" s="196">
        <v>-68811.62</v>
      </c>
      <c r="J798" s="196">
        <v>-90713.26</v>
      </c>
      <c r="K798" s="196">
        <v>-110950.88</v>
      </c>
      <c r="L798" s="196">
        <v>-129704.09</v>
      </c>
      <c r="M798" s="196">
        <v>-143978.29999999999</v>
      </c>
      <c r="N798" s="196">
        <v>-159057.15</v>
      </c>
      <c r="O798" s="196">
        <v>-174436.4</v>
      </c>
      <c r="P798" s="196">
        <v>-189972.34</v>
      </c>
      <c r="Q798" s="196">
        <v>-206918.83</v>
      </c>
      <c r="R798" s="196">
        <v>-226770.78</v>
      </c>
      <c r="S798" s="184">
        <f t="shared" si="121"/>
        <v>-128911.26875000003</v>
      </c>
      <c r="U798" s="65"/>
      <c r="V798" s="103"/>
      <c r="W798" s="103">
        <f t="shared" si="147"/>
        <v>-128911.26875000003</v>
      </c>
      <c r="X798" s="599"/>
      <c r="Y798" s="103"/>
      <c r="Z798" s="103"/>
      <c r="AA798" s="65"/>
      <c r="AB798" s="103"/>
      <c r="AC798" s="42">
        <f t="shared" si="148"/>
        <v>-128911.26875000003</v>
      </c>
      <c r="AF798" s="6"/>
    </row>
    <row r="799" spans="1:32">
      <c r="A799" s="2">
        <f t="shared" si="149"/>
        <v>782</v>
      </c>
      <c r="B799" s="688" t="s">
        <v>2324</v>
      </c>
      <c r="C799" s="688" t="s">
        <v>3469</v>
      </c>
      <c r="D799" s="688" t="s">
        <v>3472</v>
      </c>
      <c r="E799" s="697" t="s">
        <v>3522</v>
      </c>
      <c r="F799" s="196">
        <v>-82020.63</v>
      </c>
      <c r="G799" s="196">
        <v>140.83000000000001</v>
      </c>
      <c r="H799" s="196">
        <v>-6711.1</v>
      </c>
      <c r="I799" s="196">
        <v>-21183.08</v>
      </c>
      <c r="J799" s="196">
        <v>-80316.03</v>
      </c>
      <c r="K799" s="196">
        <v>-73718.02</v>
      </c>
      <c r="L799" s="196">
        <v>-83951.65</v>
      </c>
      <c r="M799" s="196">
        <v>-94417.07</v>
      </c>
      <c r="N799" s="196">
        <v>-108800.26</v>
      </c>
      <c r="O799" s="196">
        <v>-115159.07</v>
      </c>
      <c r="P799" s="196">
        <v>-127595.25</v>
      </c>
      <c r="Q799" s="196">
        <v>-130522.75</v>
      </c>
      <c r="R799" s="196">
        <v>-134620.97</v>
      </c>
      <c r="S799" s="184">
        <f t="shared" si="121"/>
        <v>-79212.854166666672</v>
      </c>
      <c r="U799" s="65"/>
      <c r="V799" s="103"/>
      <c r="W799" s="103">
        <f t="shared" si="147"/>
        <v>-79212.854166666672</v>
      </c>
      <c r="X799" s="599"/>
      <c r="Y799" s="103"/>
      <c r="Z799" s="103"/>
      <c r="AA799" s="65"/>
      <c r="AB799" s="103"/>
      <c r="AC799" s="42">
        <f t="shared" si="148"/>
        <v>-79212.854166666672</v>
      </c>
      <c r="AF799" s="6"/>
    </row>
    <row r="800" spans="1:32">
      <c r="A800" s="2">
        <f t="shared" si="149"/>
        <v>783</v>
      </c>
      <c r="B800" s="1" t="s">
        <v>2324</v>
      </c>
      <c r="C800" s="688" t="s">
        <v>517</v>
      </c>
      <c r="D800" s="688" t="s">
        <v>3474</v>
      </c>
      <c r="E800" s="697" t="s">
        <v>3475</v>
      </c>
      <c r="F800" s="196">
        <v>-18325056.370000001</v>
      </c>
      <c r="G800" s="196">
        <v>-1457181.42</v>
      </c>
      <c r="H800" s="196">
        <v>-3043899.74</v>
      </c>
      <c r="I800" s="196">
        <v>-4590190.28</v>
      </c>
      <c r="J800" s="196">
        <v>-6172142.6200000001</v>
      </c>
      <c r="K800" s="196">
        <v>-7643637.9299999997</v>
      </c>
      <c r="L800" s="196">
        <v>-9046174.2699999996</v>
      </c>
      <c r="M800" s="196">
        <v>-10442109.65</v>
      </c>
      <c r="N800" s="196">
        <v>-11810196.84</v>
      </c>
      <c r="O800" s="196">
        <v>-13244077.84</v>
      </c>
      <c r="P800" s="196">
        <v>-14770996.6</v>
      </c>
      <c r="Q800" s="196">
        <v>-16394333.82</v>
      </c>
      <c r="R800" s="196">
        <v>-18066848.960000001</v>
      </c>
      <c r="S800" s="184">
        <f t="shared" si="121"/>
        <v>-9734241.1395833325</v>
      </c>
      <c r="U800" s="65"/>
      <c r="V800" s="103"/>
      <c r="W800" s="103">
        <f t="shared" si="147"/>
        <v>-9734241.1395833325</v>
      </c>
      <c r="X800" s="599"/>
      <c r="Y800" s="103"/>
      <c r="Z800" s="103"/>
      <c r="AA800" s="65"/>
      <c r="AB800" s="103"/>
      <c r="AC800" s="42">
        <f t="shared" si="148"/>
        <v>-9734241.1395833325</v>
      </c>
      <c r="AF800" s="6"/>
    </row>
    <row r="801" spans="1:32">
      <c r="A801" s="2">
        <f t="shared" si="149"/>
        <v>784</v>
      </c>
      <c r="B801" s="1" t="s">
        <v>2324</v>
      </c>
      <c r="C801" s="688" t="s">
        <v>517</v>
      </c>
      <c r="D801" s="688" t="s">
        <v>3476</v>
      </c>
      <c r="E801" s="697" t="s">
        <v>3477</v>
      </c>
      <c r="F801" s="196">
        <v>-9264331.5399999991</v>
      </c>
      <c r="G801" s="196">
        <v>-918177.25</v>
      </c>
      <c r="H801" s="196">
        <v>-1855806.19</v>
      </c>
      <c r="I801" s="196">
        <v>-2689057.52</v>
      </c>
      <c r="J801" s="196">
        <v>-3852051.6</v>
      </c>
      <c r="K801" s="196">
        <v>-4932682.32</v>
      </c>
      <c r="L801" s="196">
        <v>-5494062.1900000004</v>
      </c>
      <c r="M801" s="196">
        <v>-6226753.6600000001</v>
      </c>
      <c r="N801" s="196">
        <v>-7409656.4699999997</v>
      </c>
      <c r="O801" s="196">
        <v>-8653087.6799999997</v>
      </c>
      <c r="P801" s="196">
        <v>-9943744.7599999998</v>
      </c>
      <c r="Q801" s="196">
        <v>-10938500.800000001</v>
      </c>
      <c r="R801" s="196">
        <v>-12138951.109999999</v>
      </c>
      <c r="S801" s="184">
        <f t="shared" si="121"/>
        <v>-6134601.8137499997</v>
      </c>
      <c r="U801" s="65"/>
      <c r="V801" s="103"/>
      <c r="W801" s="103">
        <f t="shared" si="147"/>
        <v>-6134601.8137499997</v>
      </c>
      <c r="X801" s="599"/>
      <c r="Y801" s="103"/>
      <c r="Z801" s="103"/>
      <c r="AA801" s="65"/>
      <c r="AB801" s="103"/>
      <c r="AC801" s="42">
        <f t="shared" si="148"/>
        <v>-6134601.8137499997</v>
      </c>
      <c r="AF801" s="6"/>
    </row>
    <row r="802" spans="1:32">
      <c r="A802" s="2">
        <f t="shared" si="149"/>
        <v>785</v>
      </c>
      <c r="B802" s="1" t="s">
        <v>2324</v>
      </c>
      <c r="C802" s="688" t="s">
        <v>3478</v>
      </c>
      <c r="D802" s="688" t="s">
        <v>3474</v>
      </c>
      <c r="E802" s="697" t="s">
        <v>3479</v>
      </c>
      <c r="F802" s="196">
        <v>163079.1</v>
      </c>
      <c r="G802" s="196">
        <v>-214372.87</v>
      </c>
      <c r="H802" s="196">
        <v>-173511.74</v>
      </c>
      <c r="I802" s="196">
        <v>-208476.15</v>
      </c>
      <c r="J802" s="196">
        <v>-98028.59</v>
      </c>
      <c r="K802" s="196">
        <v>-29529.93</v>
      </c>
      <c r="L802" s="196">
        <v>-23060.45</v>
      </c>
      <c r="M802" s="196">
        <v>4564.2800000000097</v>
      </c>
      <c r="N802" s="196">
        <v>-62250.96</v>
      </c>
      <c r="O802" s="196">
        <v>-157136.76999999999</v>
      </c>
      <c r="P802" s="196">
        <v>-283375.87</v>
      </c>
      <c r="Q802" s="196">
        <v>-340293.99</v>
      </c>
      <c r="R802" s="196">
        <v>-297570.38</v>
      </c>
      <c r="S802" s="184">
        <f t="shared" si="121"/>
        <v>-137726.55666666664</v>
      </c>
      <c r="U802" s="65"/>
      <c r="V802" s="103"/>
      <c r="W802" s="103">
        <f t="shared" si="147"/>
        <v>-137726.55666666664</v>
      </c>
      <c r="X802" s="599"/>
      <c r="Y802" s="103"/>
      <c r="Z802" s="103"/>
      <c r="AA802" s="65"/>
      <c r="AB802" s="103"/>
      <c r="AC802" s="42">
        <f t="shared" si="148"/>
        <v>-137726.55666666664</v>
      </c>
      <c r="AF802" s="6"/>
    </row>
    <row r="803" spans="1:32">
      <c r="A803" s="2">
        <f t="shared" si="149"/>
        <v>786</v>
      </c>
      <c r="B803" s="1" t="s">
        <v>2324</v>
      </c>
      <c r="C803" s="688" t="s">
        <v>3478</v>
      </c>
      <c r="D803" s="688" t="s">
        <v>3476</v>
      </c>
      <c r="E803" s="697" t="s">
        <v>3480</v>
      </c>
      <c r="F803" s="196">
        <v>-109621.4</v>
      </c>
      <c r="G803" s="196">
        <v>-16510.12</v>
      </c>
      <c r="H803" s="196">
        <v>81938.55</v>
      </c>
      <c r="I803" s="196">
        <v>-246342.1</v>
      </c>
      <c r="J803" s="196">
        <v>-152152.29</v>
      </c>
      <c r="K803" s="196">
        <v>366466.65</v>
      </c>
      <c r="L803" s="196">
        <v>184422.67</v>
      </c>
      <c r="M803" s="196">
        <v>-269043.77</v>
      </c>
      <c r="N803" s="196">
        <v>-329771.38</v>
      </c>
      <c r="O803" s="196">
        <v>-374735.42</v>
      </c>
      <c r="P803" s="196">
        <v>-118823.48</v>
      </c>
      <c r="Q803" s="196">
        <v>-327496.64</v>
      </c>
      <c r="R803" s="196">
        <v>-388815.84</v>
      </c>
      <c r="S803" s="184">
        <f t="shared" si="121"/>
        <v>-120938.82916666668</v>
      </c>
      <c r="U803" s="65"/>
      <c r="V803" s="103"/>
      <c r="W803" s="103">
        <f t="shared" si="147"/>
        <v>-120938.82916666668</v>
      </c>
      <c r="X803" s="599"/>
      <c r="Y803" s="103"/>
      <c r="Z803" s="103"/>
      <c r="AA803" s="65"/>
      <c r="AB803" s="103"/>
      <c r="AC803" s="42">
        <f t="shared" si="148"/>
        <v>-120938.82916666668</v>
      </c>
      <c r="AF803" s="6"/>
    </row>
    <row r="804" spans="1:32">
      <c r="A804" s="2">
        <f t="shared" si="149"/>
        <v>787</v>
      </c>
      <c r="B804" s="1" t="s">
        <v>2324</v>
      </c>
      <c r="C804" s="688" t="s">
        <v>3523</v>
      </c>
      <c r="D804" s="688" t="s">
        <v>3474</v>
      </c>
      <c r="E804" s="697" t="s">
        <v>3524</v>
      </c>
      <c r="F804" s="196">
        <v>0</v>
      </c>
      <c r="G804" s="196">
        <v>0</v>
      </c>
      <c r="H804" s="196">
        <v>0</v>
      </c>
      <c r="I804" s="196">
        <v>0</v>
      </c>
      <c r="J804" s="196">
        <v>0</v>
      </c>
      <c r="K804" s="196">
        <v>0</v>
      </c>
      <c r="L804" s="196">
        <v>0</v>
      </c>
      <c r="M804" s="196">
        <v>0</v>
      </c>
      <c r="N804" s="196">
        <v>0</v>
      </c>
      <c r="O804" s="196">
        <v>0</v>
      </c>
      <c r="P804" s="196">
        <v>0</v>
      </c>
      <c r="Q804" s="196">
        <v>0</v>
      </c>
      <c r="R804" s="196">
        <v>0</v>
      </c>
      <c r="S804" s="184">
        <f t="shared" si="121"/>
        <v>0</v>
      </c>
      <c r="U804" s="65"/>
      <c r="V804" s="103"/>
      <c r="W804" s="103">
        <f t="shared" si="147"/>
        <v>0</v>
      </c>
      <c r="X804" s="599"/>
      <c r="Y804" s="103"/>
      <c r="Z804" s="103"/>
      <c r="AA804" s="65"/>
      <c r="AB804" s="103"/>
      <c r="AC804" s="42">
        <f t="shared" si="148"/>
        <v>0</v>
      </c>
      <c r="AF804" s="6"/>
    </row>
    <row r="805" spans="1:32">
      <c r="A805" s="2">
        <f t="shared" si="149"/>
        <v>788</v>
      </c>
      <c r="B805" s="1" t="s">
        <v>2324</v>
      </c>
      <c r="C805" s="688" t="s">
        <v>3523</v>
      </c>
      <c r="D805" s="688" t="s">
        <v>3476</v>
      </c>
      <c r="E805" s="697" t="s">
        <v>3525</v>
      </c>
      <c r="F805" s="196">
        <v>0</v>
      </c>
      <c r="G805" s="196">
        <v>0</v>
      </c>
      <c r="H805" s="196">
        <v>0</v>
      </c>
      <c r="I805" s="196">
        <v>0</v>
      </c>
      <c r="J805" s="196">
        <v>0</v>
      </c>
      <c r="K805" s="196">
        <v>0</v>
      </c>
      <c r="L805" s="196">
        <v>0</v>
      </c>
      <c r="M805" s="196">
        <v>0</v>
      </c>
      <c r="N805" s="196">
        <v>0</v>
      </c>
      <c r="O805" s="196">
        <v>0</v>
      </c>
      <c r="P805" s="196">
        <v>0</v>
      </c>
      <c r="Q805" s="196">
        <v>0</v>
      </c>
      <c r="R805" s="196">
        <v>0</v>
      </c>
      <c r="S805" s="184">
        <f t="shared" si="121"/>
        <v>0</v>
      </c>
      <c r="U805" s="65"/>
      <c r="V805" s="103"/>
      <c r="W805" s="103">
        <f t="shared" si="147"/>
        <v>0</v>
      </c>
      <c r="X805" s="599"/>
      <c r="Y805" s="103"/>
      <c r="Z805" s="103"/>
      <c r="AA805" s="65"/>
      <c r="AB805" s="103"/>
      <c r="AC805" s="42">
        <f t="shared" si="148"/>
        <v>0</v>
      </c>
      <c r="AF805" s="6"/>
    </row>
    <row r="806" spans="1:32">
      <c r="A806" s="2">
        <f t="shared" si="149"/>
        <v>789</v>
      </c>
      <c r="B806" s="1" t="s">
        <v>2324</v>
      </c>
      <c r="C806" s="688" t="s">
        <v>519</v>
      </c>
      <c r="D806" s="688" t="s">
        <v>31</v>
      </c>
      <c r="E806" s="697" t="s">
        <v>3481</v>
      </c>
      <c r="F806" s="196">
        <v>-100</v>
      </c>
      <c r="G806" s="196">
        <v>0</v>
      </c>
      <c r="H806" s="196">
        <v>0</v>
      </c>
      <c r="I806" s="196">
        <v>0</v>
      </c>
      <c r="J806" s="196">
        <v>0</v>
      </c>
      <c r="K806" s="196">
        <v>0</v>
      </c>
      <c r="L806" s="196">
        <v>0</v>
      </c>
      <c r="M806" s="196">
        <v>-100</v>
      </c>
      <c r="N806" s="196">
        <v>-100</v>
      </c>
      <c r="O806" s="196">
        <v>-100</v>
      </c>
      <c r="P806" s="196">
        <v>-100</v>
      </c>
      <c r="Q806" s="196">
        <v>-100</v>
      </c>
      <c r="R806" s="196">
        <v>-100</v>
      </c>
      <c r="S806" s="184">
        <f t="shared" si="121"/>
        <v>-50</v>
      </c>
      <c r="U806" s="65"/>
      <c r="V806" s="103"/>
      <c r="W806" s="103">
        <f t="shared" si="147"/>
        <v>-50</v>
      </c>
      <c r="X806" s="599"/>
      <c r="Y806" s="103"/>
      <c r="Z806" s="103"/>
      <c r="AA806" s="65"/>
      <c r="AB806" s="103"/>
      <c r="AC806" s="42">
        <f t="shared" si="148"/>
        <v>-50</v>
      </c>
      <c r="AF806" s="6"/>
    </row>
    <row r="807" spans="1:32">
      <c r="A807" s="2">
        <f t="shared" si="149"/>
        <v>790</v>
      </c>
      <c r="B807" s="1" t="s">
        <v>2324</v>
      </c>
      <c r="C807" s="688" t="s">
        <v>521</v>
      </c>
      <c r="D807" s="688" t="s">
        <v>3482</v>
      </c>
      <c r="E807" s="697" t="s">
        <v>3483</v>
      </c>
      <c r="F807" s="196">
        <v>-11448.74</v>
      </c>
      <c r="G807" s="196">
        <v>-3134.24</v>
      </c>
      <c r="H807" s="196">
        <v>-6964.03</v>
      </c>
      <c r="I807" s="196">
        <v>-14502.35</v>
      </c>
      <c r="J807" s="196">
        <v>-11072.01</v>
      </c>
      <c r="K807" s="196">
        <v>-11072.01</v>
      </c>
      <c r="L807" s="196">
        <v>-11072.01</v>
      </c>
      <c r="M807" s="196">
        <v>-11072.01</v>
      </c>
      <c r="N807" s="196">
        <v>-11484.87</v>
      </c>
      <c r="O807" s="196">
        <v>-29357.29</v>
      </c>
      <c r="P807" s="196">
        <v>-27506.39</v>
      </c>
      <c r="Q807" s="196">
        <v>-31857.03</v>
      </c>
      <c r="R807" s="196">
        <v>-42794.85</v>
      </c>
      <c r="S807" s="184">
        <f t="shared" si="121"/>
        <v>-16351.336250000002</v>
      </c>
      <c r="U807" s="65"/>
      <c r="V807" s="103"/>
      <c r="W807" s="103">
        <f t="shared" si="147"/>
        <v>-16351.336250000002</v>
      </c>
      <c r="X807" s="599"/>
      <c r="Y807" s="103"/>
      <c r="Z807" s="103"/>
      <c r="AA807" s="65"/>
      <c r="AB807" s="103"/>
      <c r="AC807" s="42">
        <f t="shared" si="148"/>
        <v>-16351.336250000002</v>
      </c>
      <c r="AF807" s="6"/>
    </row>
    <row r="808" spans="1:32">
      <c r="A808" s="2">
        <f t="shared" si="149"/>
        <v>791</v>
      </c>
      <c r="B808" s="1" t="s">
        <v>2324</v>
      </c>
      <c r="C808" s="688" t="s">
        <v>521</v>
      </c>
      <c r="D808" s="688" t="s">
        <v>3445</v>
      </c>
      <c r="E808" s="697" t="s">
        <v>3446</v>
      </c>
      <c r="F808" s="196">
        <v>-3240</v>
      </c>
      <c r="G808" s="196">
        <v>0</v>
      </c>
      <c r="H808" s="196">
        <v>-42.75</v>
      </c>
      <c r="I808" s="196">
        <v>-42.75</v>
      </c>
      <c r="J808" s="196">
        <v>-602.73</v>
      </c>
      <c r="K808" s="196">
        <v>-602.73</v>
      </c>
      <c r="L808" s="196">
        <v>-602.73</v>
      </c>
      <c r="M808" s="196">
        <v>-1813.88</v>
      </c>
      <c r="N808" s="196">
        <v>-1813.88</v>
      </c>
      <c r="O808" s="196">
        <v>-1813.88</v>
      </c>
      <c r="P808" s="196">
        <v>-2093.88</v>
      </c>
      <c r="Q808" s="196">
        <v>-2093.88</v>
      </c>
      <c r="R808" s="196">
        <v>-2093.88</v>
      </c>
      <c r="S808" s="184">
        <f t="shared" si="121"/>
        <v>-1182.5025000000001</v>
      </c>
      <c r="U808" s="65"/>
      <c r="V808" s="103"/>
      <c r="W808" s="103">
        <f t="shared" si="147"/>
        <v>-1182.5025000000001</v>
      </c>
      <c r="X808" s="599"/>
      <c r="Y808" s="103"/>
      <c r="Z808" s="103"/>
      <c r="AA808" s="65"/>
      <c r="AB808" s="103"/>
      <c r="AC808" s="42">
        <f t="shared" si="148"/>
        <v>-1182.5025000000001</v>
      </c>
      <c r="AF808" s="6"/>
    </row>
    <row r="809" spans="1:32">
      <c r="A809" s="2">
        <f t="shared" si="149"/>
        <v>792</v>
      </c>
      <c r="B809" s="1" t="s">
        <v>2324</v>
      </c>
      <c r="C809" s="688" t="s">
        <v>521</v>
      </c>
      <c r="D809" s="688" t="s">
        <v>3484</v>
      </c>
      <c r="E809" s="697" t="s">
        <v>3485</v>
      </c>
      <c r="F809" s="196">
        <v>-2628.28</v>
      </c>
      <c r="G809" s="196">
        <v>0</v>
      </c>
      <c r="H809" s="196">
        <v>-109.33</v>
      </c>
      <c r="I809" s="196">
        <v>-320.27</v>
      </c>
      <c r="J809" s="196">
        <v>-361.41</v>
      </c>
      <c r="K809" s="196">
        <v>-568.4</v>
      </c>
      <c r="L809" s="196">
        <v>-2273.1799999999998</v>
      </c>
      <c r="M809" s="196">
        <v>-3099.22</v>
      </c>
      <c r="N809" s="196">
        <v>-4151.93</v>
      </c>
      <c r="O809" s="196">
        <v>-4151.93</v>
      </c>
      <c r="P809" s="196">
        <v>-4151.93</v>
      </c>
      <c r="Q809" s="196">
        <v>-4197.57</v>
      </c>
      <c r="R809" s="196">
        <v>-5141.51</v>
      </c>
      <c r="S809" s="184">
        <f t="shared" si="121"/>
        <v>-2272.5054166666664</v>
      </c>
      <c r="U809" s="65"/>
      <c r="V809" s="103"/>
      <c r="W809" s="103">
        <f t="shared" si="147"/>
        <v>-2272.5054166666664</v>
      </c>
      <c r="X809" s="599"/>
      <c r="Y809" s="103"/>
      <c r="Z809" s="103"/>
      <c r="AA809" s="65"/>
      <c r="AB809" s="103"/>
      <c r="AC809" s="42">
        <f t="shared" si="148"/>
        <v>-2272.5054166666664</v>
      </c>
      <c r="AF809" s="6"/>
    </row>
    <row r="810" spans="1:32">
      <c r="A810" s="2">
        <f t="shared" si="149"/>
        <v>793</v>
      </c>
      <c r="B810" s="1" t="s">
        <v>2324</v>
      </c>
      <c r="C810" s="688" t="s">
        <v>521</v>
      </c>
      <c r="D810" s="1" t="s">
        <v>3472</v>
      </c>
      <c r="E810" s="697" t="s">
        <v>3486</v>
      </c>
      <c r="F810" s="196">
        <v>-6000.36</v>
      </c>
      <c r="G810" s="196">
        <v>0</v>
      </c>
      <c r="H810" s="196">
        <v>-1447.14</v>
      </c>
      <c r="I810" s="196">
        <v>-1447.14</v>
      </c>
      <c r="J810" s="196">
        <v>-187676.91</v>
      </c>
      <c r="K810" s="196">
        <v>-187676.91</v>
      </c>
      <c r="L810" s="196">
        <v>-188128.86</v>
      </c>
      <c r="M810" s="196">
        <v>-188128.86</v>
      </c>
      <c r="N810" s="196">
        <v>-190293.26</v>
      </c>
      <c r="O810" s="196">
        <v>-190293.26</v>
      </c>
      <c r="P810" s="196">
        <v>-90387.91</v>
      </c>
      <c r="Q810" s="196">
        <v>-90387.91</v>
      </c>
      <c r="R810" s="196">
        <v>-90387.91</v>
      </c>
      <c r="S810" s="184">
        <f>((F810+R810)+((G810+H810+I810+J810+K810+L810+M810+N810+O810+P810+Q810)*2))/24</f>
        <v>-113671.85791666665</v>
      </c>
      <c r="U810" s="65"/>
      <c r="V810" s="103"/>
      <c r="W810" s="103">
        <f t="shared" si="147"/>
        <v>-113671.85791666665</v>
      </c>
      <c r="X810" s="599"/>
      <c r="Y810" s="103"/>
      <c r="Z810" s="103"/>
      <c r="AA810" s="65"/>
      <c r="AB810" s="103"/>
      <c r="AC810" s="42">
        <f t="shared" si="148"/>
        <v>-113671.85791666665</v>
      </c>
      <c r="AF810" s="6"/>
    </row>
    <row r="811" spans="1:32">
      <c r="A811" s="2">
        <f t="shared" si="149"/>
        <v>794</v>
      </c>
      <c r="B811" s="1" t="s">
        <v>2324</v>
      </c>
      <c r="C811" s="688" t="s">
        <v>3487</v>
      </c>
      <c r="E811" s="697" t="s">
        <v>3488</v>
      </c>
      <c r="F811" s="196">
        <v>754884.8</v>
      </c>
      <c r="G811" s="196">
        <v>-90696.7</v>
      </c>
      <c r="H811" s="196">
        <v>-130369.27</v>
      </c>
      <c r="I811" s="196">
        <v>-1216664.95</v>
      </c>
      <c r="J811" s="196">
        <v>-1194708.24</v>
      </c>
      <c r="K811" s="196">
        <v>-1148387.6000000001</v>
      </c>
      <c r="L811" s="196">
        <v>-1096823.48</v>
      </c>
      <c r="M811" s="196">
        <v>-1035824.48</v>
      </c>
      <c r="N811" s="196">
        <v>-979054.99</v>
      </c>
      <c r="O811" s="196">
        <v>-929197.41</v>
      </c>
      <c r="P811" s="196">
        <v>-900284.13</v>
      </c>
      <c r="Q811" s="196">
        <v>-902030.06</v>
      </c>
      <c r="R811" s="196">
        <v>-911738.96</v>
      </c>
      <c r="S811" s="184">
        <f>((F811+R811)+((G811+H811+I811+J811+K811+L811+M811+N811+O811+P811+Q811)*2))/24</f>
        <v>-808539.0325000002</v>
      </c>
      <c r="U811" s="65"/>
      <c r="V811" s="103"/>
      <c r="W811" s="103">
        <f t="shared" si="147"/>
        <v>-808539.0325000002</v>
      </c>
      <c r="X811" s="599"/>
      <c r="Y811" s="103"/>
      <c r="Z811" s="103"/>
      <c r="AA811" s="65"/>
      <c r="AB811" s="103"/>
      <c r="AC811" s="42">
        <f t="shared" si="148"/>
        <v>-808539.0325000002</v>
      </c>
      <c r="AF811" s="6"/>
    </row>
    <row r="812" spans="1:32">
      <c r="A812" s="2">
        <f t="shared" si="149"/>
        <v>795</v>
      </c>
      <c r="B812" s="1" t="s">
        <v>2324</v>
      </c>
      <c r="C812" s="688" t="s">
        <v>3487</v>
      </c>
      <c r="D812" s="1" t="s">
        <v>2303</v>
      </c>
      <c r="E812" s="697" t="s">
        <v>3489</v>
      </c>
      <c r="F812" s="313">
        <v>-565380.31000000006</v>
      </c>
      <c r="G812" s="313">
        <v>-62581.96</v>
      </c>
      <c r="H812" s="313">
        <v>-118178.52</v>
      </c>
      <c r="I812" s="313">
        <v>-138961.21</v>
      </c>
      <c r="J812" s="313">
        <v>-157500.69</v>
      </c>
      <c r="K812" s="313">
        <v>-167261.85</v>
      </c>
      <c r="L812" s="313">
        <v>-177887.41</v>
      </c>
      <c r="M812" s="313">
        <v>-196530.23</v>
      </c>
      <c r="N812" s="313">
        <v>-217757.1</v>
      </c>
      <c r="O812" s="313">
        <v>-239890.74</v>
      </c>
      <c r="P812" s="313">
        <v>-261717</v>
      </c>
      <c r="Q812" s="313">
        <v>-281891.49</v>
      </c>
      <c r="R812" s="313">
        <v>-302624.25</v>
      </c>
      <c r="S812" s="184">
        <f t="shared" si="121"/>
        <v>-204513.37333333332</v>
      </c>
      <c r="U812" s="65"/>
      <c r="V812" s="103"/>
      <c r="W812" s="103">
        <f t="shared" si="147"/>
        <v>-204513.37333333332</v>
      </c>
      <c r="X812" s="599"/>
      <c r="Y812" s="103"/>
      <c r="Z812" s="103"/>
      <c r="AA812" s="65"/>
      <c r="AB812" s="103"/>
      <c r="AC812" s="42">
        <f>+S812</f>
        <v>-204513.37333333332</v>
      </c>
      <c r="AF812" s="6"/>
    </row>
    <row r="813" spans="1:32">
      <c r="A813" s="2">
        <f t="shared" si="149"/>
        <v>796</v>
      </c>
      <c r="E813" s="697" t="s">
        <v>3526</v>
      </c>
      <c r="F813" s="511">
        <f>SUM(F735:F812)</f>
        <v>-440283103.71000004</v>
      </c>
      <c r="G813" s="511">
        <f t="shared" ref="G813:R813" si="150">SUM(G735:G812)</f>
        <v>-73690166.980000019</v>
      </c>
      <c r="H813" s="511">
        <f t="shared" si="150"/>
        <v>-138147797.04999998</v>
      </c>
      <c r="I813" s="511">
        <f t="shared" si="150"/>
        <v>-196954071.02999997</v>
      </c>
      <c r="J813" s="511">
        <f t="shared" si="150"/>
        <v>-237643653.37999997</v>
      </c>
      <c r="K813" s="511">
        <f t="shared" si="150"/>
        <v>-260488394.17999995</v>
      </c>
      <c r="L813" s="511">
        <f t="shared" si="150"/>
        <v>-281112098.29000008</v>
      </c>
      <c r="M813" s="511">
        <f t="shared" si="150"/>
        <v>-295487340.2700001</v>
      </c>
      <c r="N813" s="511">
        <f t="shared" si="150"/>
        <v>-311956088.67999995</v>
      </c>
      <c r="O813" s="511">
        <f t="shared" si="150"/>
        <v>-332358271.32000005</v>
      </c>
      <c r="P813" s="511">
        <f t="shared" si="150"/>
        <v>-367409223.19</v>
      </c>
      <c r="Q813" s="511">
        <f t="shared" si="150"/>
        <v>-424569948.27000004</v>
      </c>
      <c r="R813" s="511">
        <f t="shared" si="150"/>
        <v>-491325396.14999992</v>
      </c>
      <c r="S813" s="512">
        <f>SUM(S735:S812)</f>
        <v>-282135108.54749995</v>
      </c>
      <c r="U813" s="65"/>
      <c r="V813" s="103"/>
      <c r="W813" s="103"/>
      <c r="X813" s="599"/>
      <c r="Y813" s="103"/>
      <c r="Z813" s="103"/>
      <c r="AA813" s="65"/>
      <c r="AB813" s="103"/>
      <c r="AF813" s="6"/>
    </row>
    <row r="814" spans="1:32">
      <c r="A814" s="2">
        <f t="shared" si="149"/>
        <v>797</v>
      </c>
      <c r="E814" s="697"/>
      <c r="F814" s="183"/>
      <c r="G814" s="198"/>
      <c r="H814" s="188"/>
      <c r="I814" s="188"/>
      <c r="J814" s="189"/>
      <c r="K814" s="190"/>
      <c r="L814" s="191"/>
      <c r="M814" s="192"/>
      <c r="N814" s="193"/>
      <c r="O814" s="689"/>
      <c r="P814" s="194"/>
      <c r="Q814" s="199"/>
      <c r="R814" s="183"/>
      <c r="S814" s="47"/>
      <c r="U814" s="65"/>
      <c r="V814" s="103"/>
      <c r="W814" s="103"/>
      <c r="X814" s="599"/>
      <c r="Y814" s="103"/>
      <c r="Z814" s="103"/>
      <c r="AA814" s="65"/>
      <c r="AB814" s="103"/>
      <c r="AF814" s="6"/>
    </row>
    <row r="815" spans="1:32">
      <c r="A815" s="2">
        <f t="shared" si="149"/>
        <v>798</v>
      </c>
      <c r="B815" s="1" t="s">
        <v>2330</v>
      </c>
      <c r="C815" s="1" t="s">
        <v>3527</v>
      </c>
      <c r="E815" s="697" t="s">
        <v>3528</v>
      </c>
      <c r="F815" s="183">
        <v>-30268.91</v>
      </c>
      <c r="G815" s="198">
        <v>-454.98</v>
      </c>
      <c r="H815" s="188">
        <v>-2156.19</v>
      </c>
      <c r="I815" s="188">
        <v>-4537.26</v>
      </c>
      <c r="J815" s="189">
        <v>-6321.21</v>
      </c>
      <c r="K815" s="190">
        <v>-6785.42</v>
      </c>
      <c r="L815" s="191">
        <v>-7091.56</v>
      </c>
      <c r="M815" s="192">
        <v>-6238.34</v>
      </c>
      <c r="N815" s="193">
        <v>-9742.0400000000009</v>
      </c>
      <c r="O815" s="689">
        <v>-9742.0400000000009</v>
      </c>
      <c r="P815" s="194">
        <v>-9931.35</v>
      </c>
      <c r="Q815" s="199">
        <v>-10232.030000000001</v>
      </c>
      <c r="R815" s="183">
        <v>-10501</v>
      </c>
      <c r="S815" s="184">
        <f t="shared" ref="S815:S827" si="151">((F815+R815)+((G815+H815+I815+J815+K815+L815+M815+N815+O815+P815+Q815)*2))/24</f>
        <v>-7801.447916666667</v>
      </c>
      <c r="U815" s="65"/>
      <c r="V815" s="103"/>
      <c r="W815" s="103">
        <f>+S815</f>
        <v>-7801.447916666667</v>
      </c>
      <c r="X815" s="599"/>
      <c r="Y815" s="103"/>
      <c r="Z815" s="103"/>
      <c r="AA815" s="65"/>
      <c r="AB815" s="103"/>
      <c r="AC815" s="42">
        <f>+S815</f>
        <v>-7801.447916666667</v>
      </c>
      <c r="AF815" s="6"/>
    </row>
    <row r="816" spans="1:32">
      <c r="A816" s="2">
        <f t="shared" si="149"/>
        <v>799</v>
      </c>
      <c r="B816" s="688" t="s">
        <v>2330</v>
      </c>
      <c r="C816" s="688" t="s">
        <v>3529</v>
      </c>
      <c r="D816" s="688" t="s">
        <v>3530</v>
      </c>
      <c r="E816" s="696" t="s">
        <v>988</v>
      </c>
      <c r="F816" s="196">
        <v>-6663.91</v>
      </c>
      <c r="G816" s="196">
        <v>-2283.73</v>
      </c>
      <c r="H816" s="196">
        <v>-4189.3100000000004</v>
      </c>
      <c r="I816" s="196">
        <v>-5939.68</v>
      </c>
      <c r="J816" s="196">
        <v>-5939.68</v>
      </c>
      <c r="K816" s="196">
        <v>-5939.68</v>
      </c>
      <c r="L816" s="196">
        <v>-5939.68</v>
      </c>
      <c r="M816" s="196">
        <v>-5939.68</v>
      </c>
      <c r="N816" s="196">
        <v>-5939.68</v>
      </c>
      <c r="O816" s="196">
        <v>-5939.68</v>
      </c>
      <c r="P816" s="196">
        <v>-5939.68</v>
      </c>
      <c r="Q816" s="196">
        <v>-5939.68</v>
      </c>
      <c r="R816" s="196">
        <v>-5939.7</v>
      </c>
      <c r="S816" s="184">
        <f t="shared" si="151"/>
        <v>-5519.3304166666667</v>
      </c>
      <c r="U816" s="65"/>
      <c r="V816" s="103"/>
      <c r="W816" s="103">
        <f>+S816</f>
        <v>-5519.3304166666667</v>
      </c>
      <c r="X816" s="599"/>
      <c r="Y816" s="103"/>
      <c r="Z816" s="103"/>
      <c r="AA816" s="65"/>
      <c r="AB816" s="103"/>
      <c r="AC816" s="42">
        <f t="shared" ref="AC816:AC827" si="152">+S816</f>
        <v>-5519.3304166666667</v>
      </c>
      <c r="AF816" s="6"/>
    </row>
    <row r="817" spans="1:32">
      <c r="A817" s="2">
        <f t="shared" si="149"/>
        <v>800</v>
      </c>
      <c r="B817" s="688" t="s">
        <v>2330</v>
      </c>
      <c r="C817" s="688" t="s">
        <v>3529</v>
      </c>
      <c r="D817" s="688" t="s">
        <v>934</v>
      </c>
      <c r="E817" s="696" t="s">
        <v>3531</v>
      </c>
      <c r="F817" s="196">
        <v>-14852.54</v>
      </c>
      <c r="G817" s="196">
        <v>-5623.64</v>
      </c>
      <c r="H817" s="196">
        <v>-497816.16</v>
      </c>
      <c r="I817" s="196">
        <v>-540478.73</v>
      </c>
      <c r="J817" s="196">
        <v>-546939.80000000005</v>
      </c>
      <c r="K817" s="196">
        <v>-606213.49</v>
      </c>
      <c r="L817" s="196">
        <v>-696528.76</v>
      </c>
      <c r="M817" s="196">
        <v>-778191.92</v>
      </c>
      <c r="N817" s="196">
        <v>-783004.41</v>
      </c>
      <c r="O817" s="196">
        <v>-790120.12</v>
      </c>
      <c r="P817" s="196">
        <v>-793909.35</v>
      </c>
      <c r="Q817" s="196">
        <v>-844011.85</v>
      </c>
      <c r="R817" s="196">
        <v>-973807.35</v>
      </c>
      <c r="S817" s="184">
        <f t="shared" si="151"/>
        <v>-614764.01458333328</v>
      </c>
      <c r="U817" s="65"/>
      <c r="V817" s="103"/>
      <c r="W817" s="103">
        <f>+S817</f>
        <v>-614764.01458333328</v>
      </c>
      <c r="X817" s="599"/>
      <c r="Y817" s="103"/>
      <c r="Z817" s="103"/>
      <c r="AA817" s="65"/>
      <c r="AB817" s="103"/>
      <c r="AC817" s="42">
        <f t="shared" si="152"/>
        <v>-614764.01458333328</v>
      </c>
      <c r="AF817" s="6"/>
    </row>
    <row r="818" spans="1:32">
      <c r="A818" s="2">
        <f t="shared" si="149"/>
        <v>801</v>
      </c>
      <c r="B818" s="688" t="s">
        <v>2330</v>
      </c>
      <c r="C818" s="688" t="s">
        <v>3532</v>
      </c>
      <c r="D818" s="688"/>
      <c r="E818" s="696" t="s">
        <v>3533</v>
      </c>
      <c r="F818" s="196">
        <v>0</v>
      </c>
      <c r="G818" s="196">
        <v>0</v>
      </c>
      <c r="H818" s="196">
        <v>0</v>
      </c>
      <c r="I818" s="196">
        <v>0</v>
      </c>
      <c r="J818" s="196">
        <v>0</v>
      </c>
      <c r="K818" s="196">
        <v>0</v>
      </c>
      <c r="L818" s="196">
        <v>0</v>
      </c>
      <c r="M818" s="196">
        <v>0</v>
      </c>
      <c r="N818" s="196">
        <v>0</v>
      </c>
      <c r="O818" s="196">
        <v>0</v>
      </c>
      <c r="P818" s="196">
        <v>0</v>
      </c>
      <c r="Q818" s="196">
        <v>0</v>
      </c>
      <c r="R818" s="196">
        <v>0</v>
      </c>
      <c r="S818" s="184">
        <f t="shared" si="151"/>
        <v>0</v>
      </c>
      <c r="U818" s="65"/>
      <c r="V818" s="103"/>
      <c r="W818" s="103">
        <f>+S818</f>
        <v>0</v>
      </c>
      <c r="X818" s="599"/>
      <c r="Y818" s="103"/>
      <c r="Z818" s="103"/>
      <c r="AA818" s="65"/>
      <c r="AB818" s="103"/>
      <c r="AC818" s="42">
        <f t="shared" si="152"/>
        <v>0</v>
      </c>
      <c r="AF818" s="6"/>
    </row>
    <row r="819" spans="1:32">
      <c r="A819" s="2">
        <f t="shared" si="149"/>
        <v>802</v>
      </c>
      <c r="B819" s="688" t="s">
        <v>2330</v>
      </c>
      <c r="C819" s="688" t="s">
        <v>3534</v>
      </c>
      <c r="D819" s="688"/>
      <c r="E819" s="696" t="s">
        <v>3535</v>
      </c>
      <c r="F819" s="196">
        <v>-574.54</v>
      </c>
      <c r="G819" s="196">
        <v>-890.84</v>
      </c>
      <c r="H819" s="196">
        <v>-1075.49</v>
      </c>
      <c r="I819" s="196">
        <v>-1075.49</v>
      </c>
      <c r="J819" s="196">
        <v>-1340.63</v>
      </c>
      <c r="K819" s="196">
        <v>-1340.63</v>
      </c>
      <c r="L819" s="196">
        <v>-1340.63</v>
      </c>
      <c r="M819" s="196">
        <v>-1340.94</v>
      </c>
      <c r="N819" s="196">
        <v>-1340.94</v>
      </c>
      <c r="O819" s="196">
        <v>-1341.25</v>
      </c>
      <c r="P819" s="196">
        <v>-1341.25</v>
      </c>
      <c r="Q819" s="196">
        <v>-1341.25</v>
      </c>
      <c r="R819" s="196">
        <v>-1341.56</v>
      </c>
      <c r="S819" s="184">
        <f t="shared" si="151"/>
        <v>-1227.2825</v>
      </c>
      <c r="U819" s="65"/>
      <c r="V819" s="103"/>
      <c r="W819" s="103">
        <f>+S819</f>
        <v>-1227.2825</v>
      </c>
      <c r="X819" s="599"/>
      <c r="Y819" s="103"/>
      <c r="Z819" s="103"/>
      <c r="AA819" s="65"/>
      <c r="AB819" s="103"/>
      <c r="AC819" s="42">
        <f t="shared" si="152"/>
        <v>-1227.2825</v>
      </c>
      <c r="AF819" s="6"/>
    </row>
    <row r="820" spans="1:32">
      <c r="A820" s="2">
        <f t="shared" si="149"/>
        <v>803</v>
      </c>
      <c r="B820" s="688" t="s">
        <v>2330</v>
      </c>
      <c r="C820" s="688" t="s">
        <v>3534</v>
      </c>
      <c r="D820" s="688" t="s">
        <v>3536</v>
      </c>
      <c r="E820" s="696" t="s">
        <v>3537</v>
      </c>
      <c r="F820" s="196">
        <v>-6266.61</v>
      </c>
      <c r="G820" s="196">
        <v>-93.58</v>
      </c>
      <c r="H820" s="196">
        <v>-283.14</v>
      </c>
      <c r="I820" s="196">
        <v>-419.52</v>
      </c>
      <c r="J820" s="196">
        <v>-736.01</v>
      </c>
      <c r="K820" s="196">
        <v>-924.45</v>
      </c>
      <c r="L820" s="196">
        <v>-1211.21</v>
      </c>
      <c r="M820" s="196">
        <v>-1245.81</v>
      </c>
      <c r="N820" s="196">
        <v>-1327.03</v>
      </c>
      <c r="O820" s="196">
        <v>-1543.46</v>
      </c>
      <c r="P820" s="196">
        <v>-1551.84</v>
      </c>
      <c r="Q820" s="196">
        <v>-1637.1</v>
      </c>
      <c r="R820" s="196">
        <v>-1645.1</v>
      </c>
      <c r="S820" s="184">
        <f t="shared" si="151"/>
        <v>-1244.08375</v>
      </c>
      <c r="U820" s="65"/>
      <c r="V820" s="103"/>
      <c r="W820" s="103">
        <f t="shared" ref="W820:W827" si="153">+S820</f>
        <v>-1244.08375</v>
      </c>
      <c r="X820" s="599"/>
      <c r="Y820" s="103"/>
      <c r="Z820" s="103"/>
      <c r="AA820" s="65"/>
      <c r="AB820" s="103"/>
      <c r="AC820" s="42">
        <f t="shared" si="152"/>
        <v>-1244.08375</v>
      </c>
      <c r="AF820" s="6"/>
    </row>
    <row r="821" spans="1:32">
      <c r="A821" s="2">
        <f t="shared" si="149"/>
        <v>804</v>
      </c>
      <c r="B821" s="688" t="s">
        <v>2330</v>
      </c>
      <c r="C821" s="688" t="s">
        <v>3538</v>
      </c>
      <c r="D821" s="688"/>
      <c r="E821" s="696" t="s">
        <v>3539</v>
      </c>
      <c r="F821" s="196">
        <v>-601621.01</v>
      </c>
      <c r="G821" s="196">
        <v>-141638.42000000001</v>
      </c>
      <c r="H821" s="196">
        <v>-279757.90999999997</v>
      </c>
      <c r="I821" s="196">
        <v>-416021.1</v>
      </c>
      <c r="J821" s="196">
        <v>-545969.52</v>
      </c>
      <c r="K821" s="196">
        <v>-686636.77</v>
      </c>
      <c r="L821" s="196">
        <v>-849931.47</v>
      </c>
      <c r="M821" s="196">
        <v>-1047200.18</v>
      </c>
      <c r="N821" s="196">
        <v>-1190191.18</v>
      </c>
      <c r="O821" s="196">
        <v>-1268009.6200000001</v>
      </c>
      <c r="P821" s="196">
        <v>-1377343.5</v>
      </c>
      <c r="Q821" s="196">
        <v>-1547768.74</v>
      </c>
      <c r="R821" s="196">
        <v>-1708711.77</v>
      </c>
      <c r="S821" s="184">
        <f t="shared" si="151"/>
        <v>-875469.56666666677</v>
      </c>
      <c r="U821" s="65"/>
      <c r="V821" s="103"/>
      <c r="W821" s="103">
        <f t="shared" si="153"/>
        <v>-875469.56666666677</v>
      </c>
      <c r="X821" s="599"/>
      <c r="Y821" s="103"/>
      <c r="Z821" s="103"/>
      <c r="AA821" s="65"/>
      <c r="AB821" s="103"/>
      <c r="AC821" s="42">
        <f t="shared" si="152"/>
        <v>-875469.56666666677</v>
      </c>
      <c r="AF821" s="6"/>
    </row>
    <row r="822" spans="1:32">
      <c r="A822" s="2">
        <f t="shared" si="149"/>
        <v>805</v>
      </c>
      <c r="B822" s="688" t="s">
        <v>2342</v>
      </c>
      <c r="C822" s="688" t="s">
        <v>3529</v>
      </c>
      <c r="D822" s="688" t="s">
        <v>2638</v>
      </c>
      <c r="E822" s="696" t="s">
        <v>3540</v>
      </c>
      <c r="F822" s="196">
        <v>-61230.65</v>
      </c>
      <c r="G822" s="196">
        <v>-2093.88</v>
      </c>
      <c r="H822" s="196">
        <v>-3259.1</v>
      </c>
      <c r="I822" s="196">
        <v>-6424.2</v>
      </c>
      <c r="J822" s="196">
        <v>-7213.42</v>
      </c>
      <c r="K822" s="196">
        <v>-8684.6299999999992</v>
      </c>
      <c r="L822" s="196">
        <v>-11004.31</v>
      </c>
      <c r="M822" s="196">
        <v>-12152.83</v>
      </c>
      <c r="N822" s="196">
        <v>-14781.82</v>
      </c>
      <c r="O822" s="196">
        <v>-27601.52</v>
      </c>
      <c r="P822" s="196">
        <v>-32038.31</v>
      </c>
      <c r="Q822" s="196">
        <v>-39043.480000000003</v>
      </c>
      <c r="R822" s="196">
        <v>-41716.959999999999</v>
      </c>
      <c r="S822" s="184">
        <f t="shared" si="151"/>
        <v>-17980.942083333332</v>
      </c>
      <c r="U822" s="65"/>
      <c r="V822" s="103"/>
      <c r="W822" s="103">
        <f t="shared" si="153"/>
        <v>-17980.942083333332</v>
      </c>
      <c r="X822" s="599"/>
      <c r="Y822" s="103"/>
      <c r="Z822" s="103"/>
      <c r="AA822" s="65"/>
      <c r="AB822" s="103"/>
      <c r="AC822" s="42">
        <f t="shared" si="152"/>
        <v>-17980.942083333332</v>
      </c>
      <c r="AF822" s="6"/>
    </row>
    <row r="823" spans="1:32">
      <c r="A823" s="2">
        <f t="shared" si="149"/>
        <v>806</v>
      </c>
      <c r="B823" s="688" t="s">
        <v>2342</v>
      </c>
      <c r="C823" s="688" t="s">
        <v>3529</v>
      </c>
      <c r="D823" s="688" t="s">
        <v>3541</v>
      </c>
      <c r="E823" s="696" t="s">
        <v>3542</v>
      </c>
      <c r="F823" s="196">
        <v>-806005.41</v>
      </c>
      <c r="G823" s="196">
        <v>-76783.149999999994</v>
      </c>
      <c r="H823" s="196">
        <v>-235900.16</v>
      </c>
      <c r="I823" s="196">
        <v>-421369.26</v>
      </c>
      <c r="J823" s="196">
        <v>-567778.05000000005</v>
      </c>
      <c r="K823" s="196">
        <v>-735646.67</v>
      </c>
      <c r="L823" s="196">
        <v>-896932.24</v>
      </c>
      <c r="M823" s="196">
        <v>-1062694.8400000001</v>
      </c>
      <c r="N823" s="196">
        <v>-1232399.93</v>
      </c>
      <c r="O823" s="196">
        <v>-1398042.57</v>
      </c>
      <c r="P823" s="196">
        <v>-1568901.66</v>
      </c>
      <c r="Q823" s="196">
        <v>-1678119.75</v>
      </c>
      <c r="R823" s="196">
        <v>-1783773.01</v>
      </c>
      <c r="S823" s="184">
        <f t="shared" si="151"/>
        <v>-930788.12416666688</v>
      </c>
      <c r="U823" s="65"/>
      <c r="V823" s="103"/>
      <c r="W823" s="103">
        <f t="shared" si="153"/>
        <v>-930788.12416666688</v>
      </c>
      <c r="X823" s="599"/>
      <c r="Y823" s="103"/>
      <c r="Z823" s="103"/>
      <c r="AA823" s="65"/>
      <c r="AB823" s="103"/>
      <c r="AC823" s="42">
        <f t="shared" si="152"/>
        <v>-930788.12416666688</v>
      </c>
      <c r="AF823" s="6"/>
    </row>
    <row r="824" spans="1:32">
      <c r="A824" s="2">
        <f t="shared" si="149"/>
        <v>807</v>
      </c>
      <c r="B824" s="688" t="s">
        <v>2342</v>
      </c>
      <c r="C824" s="688" t="s">
        <v>3529</v>
      </c>
      <c r="D824" s="1" t="s">
        <v>3543</v>
      </c>
      <c r="E824" s="697" t="s">
        <v>3544</v>
      </c>
      <c r="F824" s="196">
        <v>0</v>
      </c>
      <c r="G824" s="196">
        <v>0</v>
      </c>
      <c r="H824" s="196">
        <v>0</v>
      </c>
      <c r="I824" s="196">
        <v>0</v>
      </c>
      <c r="J824" s="196">
        <v>-29687.34</v>
      </c>
      <c r="K824" s="196">
        <v>-35029.1</v>
      </c>
      <c r="L824" s="196">
        <v>-64529.45</v>
      </c>
      <c r="M824" s="196">
        <v>-71413.87</v>
      </c>
      <c r="N824" s="196">
        <v>-78715.759999999995</v>
      </c>
      <c r="O824" s="196">
        <v>-85630.41</v>
      </c>
      <c r="P824" s="196">
        <v>-110394.95</v>
      </c>
      <c r="Q824" s="196">
        <v>-131308.74</v>
      </c>
      <c r="R824" s="196">
        <v>-155619.62</v>
      </c>
      <c r="S824" s="184">
        <f t="shared" si="151"/>
        <v>-57043.28583333335</v>
      </c>
      <c r="U824" s="65"/>
      <c r="V824" s="103"/>
      <c r="W824" s="103">
        <f t="shared" si="153"/>
        <v>-57043.28583333335</v>
      </c>
      <c r="X824" s="599"/>
      <c r="Y824" s="103"/>
      <c r="Z824" s="103"/>
      <c r="AA824" s="65"/>
      <c r="AB824" s="103"/>
      <c r="AC824" s="42">
        <f t="shared" si="152"/>
        <v>-57043.28583333335</v>
      </c>
      <c r="AF824" s="6"/>
    </row>
    <row r="825" spans="1:32">
      <c r="A825" s="2">
        <f t="shared" si="149"/>
        <v>808</v>
      </c>
      <c r="B825" s="688" t="s">
        <v>2324</v>
      </c>
      <c r="C825" s="688" t="s">
        <v>3529</v>
      </c>
      <c r="D825" s="688" t="s">
        <v>2638</v>
      </c>
      <c r="E825" s="697" t="s">
        <v>3540</v>
      </c>
      <c r="F825" s="196">
        <v>-711913.71</v>
      </c>
      <c r="G825" s="196">
        <v>-4467.6400000000003</v>
      </c>
      <c r="H825" s="196">
        <v>-8017.01</v>
      </c>
      <c r="I825" s="196">
        <v>-52143.74</v>
      </c>
      <c r="J825" s="196">
        <v>-58993.05</v>
      </c>
      <c r="K825" s="196">
        <v>-77781.990000000005</v>
      </c>
      <c r="L825" s="196">
        <v>-89932.09</v>
      </c>
      <c r="M825" s="196">
        <v>-116661.8</v>
      </c>
      <c r="N825" s="196">
        <v>-122136.19</v>
      </c>
      <c r="O825" s="196">
        <v>-131084.54</v>
      </c>
      <c r="P825" s="196">
        <v>-145691.43</v>
      </c>
      <c r="Q825" s="196">
        <v>-150401.82</v>
      </c>
      <c r="R825" s="196">
        <v>-164124.54</v>
      </c>
      <c r="S825" s="184">
        <f t="shared" si="151"/>
        <v>-116277.53541666667</v>
      </c>
      <c r="U825" s="65"/>
      <c r="V825" s="103"/>
      <c r="W825" s="103">
        <f t="shared" si="153"/>
        <v>-116277.53541666667</v>
      </c>
      <c r="X825" s="599"/>
      <c r="Y825" s="103"/>
      <c r="Z825" s="103"/>
      <c r="AA825" s="65"/>
      <c r="AB825" s="103"/>
      <c r="AC825" s="42">
        <f t="shared" si="152"/>
        <v>-116277.53541666667</v>
      </c>
      <c r="AF825" s="6"/>
    </row>
    <row r="826" spans="1:32">
      <c r="A826" s="2">
        <f t="shared" si="149"/>
        <v>809</v>
      </c>
      <c r="B826" s="688" t="s">
        <v>2324</v>
      </c>
      <c r="C826" s="688" t="s">
        <v>3529</v>
      </c>
      <c r="D826" s="1" t="s">
        <v>3541</v>
      </c>
      <c r="E826" s="697" t="s">
        <v>3542</v>
      </c>
      <c r="F826" s="196">
        <v>-2369548.42</v>
      </c>
      <c r="G826" s="196">
        <v>-400266.64</v>
      </c>
      <c r="H826" s="196">
        <v>-1165218.1599999999</v>
      </c>
      <c r="I826" s="196">
        <v>-2024017.87</v>
      </c>
      <c r="J826" s="196">
        <v>-2795644.31</v>
      </c>
      <c r="K826" s="196">
        <v>-3699583.54</v>
      </c>
      <c r="L826" s="196">
        <v>-4562587.8600000003</v>
      </c>
      <c r="M826" s="196">
        <v>-5510184.1600000001</v>
      </c>
      <c r="N826" s="196">
        <v>-6474270.9800000004</v>
      </c>
      <c r="O826" s="196">
        <v>-7415125.8899999997</v>
      </c>
      <c r="P826" s="196">
        <v>-8422916.4900000002</v>
      </c>
      <c r="Q826" s="196">
        <v>-9373167.5600000005</v>
      </c>
      <c r="R826" s="196">
        <v>-10314128.32</v>
      </c>
      <c r="S826" s="184">
        <f t="shared" si="151"/>
        <v>-4848735.1524999999</v>
      </c>
      <c r="U826" s="65"/>
      <c r="V826" s="103"/>
      <c r="W826" s="103">
        <f t="shared" si="153"/>
        <v>-4848735.1524999999</v>
      </c>
      <c r="X826" s="599"/>
      <c r="Y826" s="103"/>
      <c r="Z826" s="103"/>
      <c r="AA826" s="65"/>
      <c r="AB826" s="103"/>
      <c r="AC826" s="42">
        <f t="shared" si="152"/>
        <v>-4848735.1524999999</v>
      </c>
      <c r="AF826" s="6"/>
    </row>
    <row r="827" spans="1:32">
      <c r="A827" s="2">
        <f t="shared" si="149"/>
        <v>810</v>
      </c>
      <c r="B827" s="688" t="s">
        <v>2324</v>
      </c>
      <c r="C827" s="688" t="s">
        <v>3529</v>
      </c>
      <c r="D827" s="1" t="s">
        <v>3543</v>
      </c>
      <c r="E827" s="697" t="s">
        <v>3544</v>
      </c>
      <c r="F827" s="196">
        <v>0</v>
      </c>
      <c r="G827" s="196">
        <v>0</v>
      </c>
      <c r="H827" s="196">
        <v>0</v>
      </c>
      <c r="I827" s="196">
        <v>0</v>
      </c>
      <c r="J827" s="196">
        <v>-212107.22</v>
      </c>
      <c r="K827" s="196">
        <v>-287773.55</v>
      </c>
      <c r="L827" s="196">
        <v>-367805.06</v>
      </c>
      <c r="M827" s="196">
        <v>-487415.71</v>
      </c>
      <c r="N827" s="196">
        <v>-620745.72</v>
      </c>
      <c r="O827" s="196">
        <v>-701724.88</v>
      </c>
      <c r="P827" s="196">
        <v>-798038.71</v>
      </c>
      <c r="Q827" s="196">
        <v>-896029.95</v>
      </c>
      <c r="R827" s="196">
        <v>-1047187.25</v>
      </c>
      <c r="S827" s="184">
        <f t="shared" si="151"/>
        <v>-407936.20208333334</v>
      </c>
      <c r="U827" s="65"/>
      <c r="V827" s="103"/>
      <c r="W827" s="103">
        <f t="shared" si="153"/>
        <v>-407936.20208333334</v>
      </c>
      <c r="X827" s="599"/>
      <c r="Y827" s="103"/>
      <c r="Z827" s="103"/>
      <c r="AA827" s="65"/>
      <c r="AB827" s="103"/>
      <c r="AC827" s="42">
        <f t="shared" si="152"/>
        <v>-407936.20208333334</v>
      </c>
      <c r="AF827" s="6"/>
    </row>
    <row r="828" spans="1:32">
      <c r="A828" s="2">
        <f t="shared" si="149"/>
        <v>811</v>
      </c>
      <c r="E828" s="697" t="s">
        <v>3545</v>
      </c>
      <c r="F828" s="512">
        <f t="shared" ref="F828:S828" si="154">SUM(F815:F827)</f>
        <v>-4608945.71</v>
      </c>
      <c r="G828" s="512">
        <f t="shared" si="154"/>
        <v>-634596.5</v>
      </c>
      <c r="H828" s="512">
        <f t="shared" si="154"/>
        <v>-2197672.63</v>
      </c>
      <c r="I828" s="512">
        <f t="shared" si="154"/>
        <v>-3472426.8499999996</v>
      </c>
      <c r="J828" s="512">
        <f t="shared" si="154"/>
        <v>-4778670.24</v>
      </c>
      <c r="K828" s="512">
        <f t="shared" si="154"/>
        <v>-6152339.9199999999</v>
      </c>
      <c r="L828" s="512">
        <f t="shared" si="154"/>
        <v>-7554834.3200000003</v>
      </c>
      <c r="M828" s="512">
        <f t="shared" si="154"/>
        <v>-9100680.0800000019</v>
      </c>
      <c r="N828" s="512">
        <f t="shared" si="154"/>
        <v>-10534595.680000002</v>
      </c>
      <c r="O828" s="512">
        <f t="shared" si="154"/>
        <v>-11835905.98</v>
      </c>
      <c r="P828" s="512">
        <f t="shared" si="154"/>
        <v>-13267998.52</v>
      </c>
      <c r="Q828" s="512">
        <f t="shared" si="154"/>
        <v>-14679001.949999999</v>
      </c>
      <c r="R828" s="512">
        <f t="shared" si="154"/>
        <v>-16208496.18</v>
      </c>
      <c r="S828" s="512">
        <f t="shared" si="154"/>
        <v>-7884786.9679166665</v>
      </c>
      <c r="U828" s="65"/>
      <c r="V828" s="103"/>
      <c r="W828" s="103"/>
      <c r="X828" s="599"/>
      <c r="Y828" s="103"/>
      <c r="Z828" s="103"/>
      <c r="AA828" s="65"/>
      <c r="AB828" s="103"/>
    </row>
    <row r="829" spans="1:32">
      <c r="A829" s="2">
        <f t="shared" si="149"/>
        <v>812</v>
      </c>
      <c r="E829" s="697"/>
      <c r="F829" s="183"/>
      <c r="G829" s="198"/>
      <c r="H829" s="188"/>
      <c r="I829" s="188"/>
      <c r="J829" s="189"/>
      <c r="K829" s="190"/>
      <c r="L829" s="191"/>
      <c r="M829" s="192"/>
      <c r="N829" s="193"/>
      <c r="O829" s="689"/>
      <c r="P829" s="194"/>
      <c r="Q829" s="199"/>
      <c r="R829" s="183"/>
      <c r="S829" s="47"/>
      <c r="U829" s="65"/>
      <c r="V829" s="103"/>
      <c r="W829" s="103"/>
      <c r="X829" s="599"/>
      <c r="Y829" s="103"/>
      <c r="Z829" s="103"/>
      <c r="AA829" s="65"/>
      <c r="AB829" s="103"/>
    </row>
    <row r="830" spans="1:32" ht="15.75" thickBot="1">
      <c r="A830" s="2">
        <f t="shared" si="149"/>
        <v>813</v>
      </c>
      <c r="B830" s="10"/>
      <c r="C830" s="10"/>
      <c r="D830" s="10"/>
      <c r="E830" s="830" t="s">
        <v>3546</v>
      </c>
      <c r="F830" s="694">
        <f>+F828+F813+F733+F706+F660+F557+F514+F490+SUM(F560:F603)</f>
        <v>-1598981862.5400002</v>
      </c>
      <c r="G830" s="694">
        <f t="shared" ref="G830:Q830" si="155">+G828+G813+G733+G706+G660+G557+G514+G490+SUM(G560:G603)</f>
        <v>-1455475630.5699997</v>
      </c>
      <c r="H830" s="694">
        <f t="shared" si="155"/>
        <v>-1399887155.3099999</v>
      </c>
      <c r="I830" s="694">
        <f t="shared" si="155"/>
        <v>-1476062573.55</v>
      </c>
      <c r="J830" s="694">
        <f t="shared" si="155"/>
        <v>-1486708023.5599999</v>
      </c>
      <c r="K830" s="694">
        <f t="shared" si="155"/>
        <v>-1486861551.95</v>
      </c>
      <c r="L830" s="694">
        <f t="shared" si="155"/>
        <v>-1503981229.9099998</v>
      </c>
      <c r="M830" s="694">
        <f t="shared" si="155"/>
        <v>-1519520814.3899999</v>
      </c>
      <c r="N830" s="694">
        <f t="shared" si="155"/>
        <v>-1617879493.0699997</v>
      </c>
      <c r="O830" s="694">
        <f t="shared" si="155"/>
        <v>-1621168070.5399997</v>
      </c>
      <c r="P830" s="694">
        <f t="shared" si="155"/>
        <v>-1683928311.9699998</v>
      </c>
      <c r="Q830" s="694">
        <f t="shared" si="155"/>
        <v>-1865842889.2499998</v>
      </c>
      <c r="R830" s="694">
        <f>+R828+R813+R733+R706+R660+R557+R514+R490+SUM(R560:R604)</f>
        <v>-1899214861.3399997</v>
      </c>
      <c r="S830" s="694">
        <f>+S828+S813+S733+S706+S660+S557+S514+S490+SUM(S560:S604)</f>
        <v>-1572201175.500833</v>
      </c>
      <c r="T830" s="10"/>
      <c r="U830" s="338"/>
      <c r="V830" s="827"/>
      <c r="W830" s="827"/>
      <c r="X830" s="828"/>
      <c r="Y830" s="827"/>
      <c r="Z830" s="827"/>
      <c r="AA830" s="338"/>
      <c r="AB830" s="827"/>
      <c r="AC830" s="10"/>
      <c r="AD830" s="10"/>
      <c r="AE830" s="10"/>
    </row>
    <row r="831" spans="1:32" ht="15.75" thickTop="1">
      <c r="A831" s="2">
        <f t="shared" si="149"/>
        <v>814</v>
      </c>
      <c r="F831" s="42"/>
      <c r="G831" s="42"/>
      <c r="H831" s="42"/>
      <c r="I831" s="42"/>
      <c r="J831" s="42"/>
      <c r="K831" s="42"/>
      <c r="L831" s="42"/>
      <c r="M831" s="42"/>
      <c r="N831" s="42"/>
      <c r="O831" s="42"/>
      <c r="S831" s="47"/>
      <c r="U831" s="679"/>
      <c r="V831" s="314"/>
      <c r="W831" s="314"/>
      <c r="X831" s="314"/>
      <c r="Y831" s="314"/>
      <c r="Z831" s="314"/>
      <c r="AA831" s="679"/>
      <c r="AB831" s="314"/>
      <c r="AC831" s="831"/>
      <c r="AD831" s="831"/>
      <c r="AE831" s="831"/>
    </row>
    <row r="832" spans="1:32">
      <c r="A832" s="2">
        <f t="shared" si="149"/>
        <v>815</v>
      </c>
      <c r="F832" s="42"/>
      <c r="G832" s="42"/>
      <c r="H832" s="42"/>
      <c r="I832" s="42"/>
      <c r="J832" s="42"/>
      <c r="K832" s="42"/>
      <c r="L832" s="42"/>
      <c r="M832" s="42"/>
      <c r="N832" s="42"/>
      <c r="O832" s="42"/>
      <c r="R832" s="42"/>
      <c r="S832" s="47"/>
      <c r="U832" s="47"/>
      <c r="V832" s="184"/>
      <c r="W832" s="184"/>
      <c r="X832" s="184"/>
      <c r="Y832" s="184"/>
      <c r="Z832" s="184"/>
      <c r="AA832" s="47"/>
      <c r="AB832" s="184"/>
    </row>
    <row r="833" spans="1:31">
      <c r="A833" s="2">
        <f t="shared" si="149"/>
        <v>816</v>
      </c>
      <c r="E833" s="10" t="s">
        <v>3547</v>
      </c>
      <c r="S833" s="47"/>
      <c r="U833" s="777">
        <f t="shared" ref="U833:AC833" si="156">SUM(U18:U828)</f>
        <v>233727723.84333333</v>
      </c>
      <c r="V833" s="587">
        <f t="shared" si="156"/>
        <v>-170749869.9341667</v>
      </c>
      <c r="W833" s="587">
        <f t="shared" si="156"/>
        <v>-965563828.22249985</v>
      </c>
      <c r="X833" s="587">
        <f>SUM(X18:X828)</f>
        <v>902585974.31374979</v>
      </c>
      <c r="Y833" s="587">
        <f t="shared" si="156"/>
        <v>545461063.66750002</v>
      </c>
      <c r="Z833" s="587">
        <f t="shared" si="156"/>
        <v>151121199.70624995</v>
      </c>
      <c r="AA833" s="777">
        <f t="shared" si="156"/>
        <v>0</v>
      </c>
      <c r="AB833" s="587">
        <f t="shared" si="156"/>
        <v>206003710.93999997</v>
      </c>
      <c r="AC833" s="832">
        <f t="shared" si="156"/>
        <v>-965563828.22249985</v>
      </c>
      <c r="AD833" s="832">
        <f>SUM(AD18:AD828)</f>
        <v>62977853.909166649</v>
      </c>
      <c r="AE833" s="42">
        <f>+AB833+Z833+Y833</f>
        <v>902585974.31374991</v>
      </c>
    </row>
    <row r="834" spans="1:31">
      <c r="A834" s="2">
        <f t="shared" si="149"/>
        <v>817</v>
      </c>
      <c r="E834" s="1" t="s">
        <v>3548</v>
      </c>
      <c r="S834" s="47"/>
      <c r="U834" s="339" t="s">
        <v>3549</v>
      </c>
      <c r="V834" s="587">
        <f>+U833+V833</f>
        <v>62977853.909166634</v>
      </c>
      <c r="W834" s="809" t="s">
        <v>3550</v>
      </c>
      <c r="X834" s="184">
        <f>-W833-X833</f>
        <v>62977853.908750057</v>
      </c>
      <c r="Y834" s="184"/>
      <c r="Z834" s="184"/>
      <c r="AA834" s="47"/>
      <c r="AB834" s="184"/>
      <c r="AC834" s="42">
        <f>+AB833+Z833+Y833</f>
        <v>902585974.31374991</v>
      </c>
      <c r="AE834" s="42">
        <f>+AE833-X833</f>
        <v>0</v>
      </c>
    </row>
    <row r="835" spans="1:31">
      <c r="A835" s="2">
        <f t="shared" si="149"/>
        <v>818</v>
      </c>
      <c r="S835" s="47"/>
      <c r="U835" s="47"/>
      <c r="V835" s="184"/>
      <c r="W835" s="184"/>
      <c r="X835" s="587">
        <f>+X834-V834</f>
        <v>-4.1657686233520508E-4</v>
      </c>
      <c r="Y835" s="184"/>
      <c r="Z835" s="184"/>
      <c r="AA835" s="47"/>
      <c r="AB835" s="184"/>
      <c r="AC835" s="42"/>
      <c r="AD835" s="42"/>
    </row>
    <row r="836" spans="1:31">
      <c r="A836" s="2">
        <f t="shared" si="149"/>
        <v>819</v>
      </c>
      <c r="E836" s="1" t="s">
        <v>3551</v>
      </c>
      <c r="S836" s="47"/>
      <c r="U836" s="47"/>
      <c r="V836" s="184"/>
      <c r="W836" s="184"/>
      <c r="X836" s="184">
        <f>+X833-Y833-Z833-AB833</f>
        <v>0</v>
      </c>
      <c r="Y836" s="55">
        <f>+Y833/AC834</f>
        <v>0.60433142015332386</v>
      </c>
      <c r="Z836" s="55">
        <f>+Z833/AC834</f>
        <v>0.16743136278086942</v>
      </c>
      <c r="AA836" s="55"/>
      <c r="AB836" s="55">
        <f>+AB833/AC834</f>
        <v>0.22823721706580669</v>
      </c>
    </row>
    <row r="837" spans="1:31">
      <c r="A837" s="2">
        <f t="shared" si="149"/>
        <v>820</v>
      </c>
      <c r="S837" s="47"/>
      <c r="U837" s="47"/>
      <c r="V837" s="184"/>
      <c r="W837" s="184"/>
      <c r="X837" s="184"/>
      <c r="Y837" s="184"/>
      <c r="Z837" s="184"/>
      <c r="AA837" s="47"/>
      <c r="AB837" s="184"/>
    </row>
    <row r="838" spans="1:31">
      <c r="A838" s="2">
        <f t="shared" si="149"/>
        <v>821</v>
      </c>
      <c r="E838" s="1" t="s">
        <v>3552</v>
      </c>
      <c r="S838" s="47"/>
      <c r="U838" s="47"/>
      <c r="V838" s="184"/>
      <c r="W838" s="184"/>
      <c r="X838" s="184"/>
      <c r="Y838" s="833">
        <f>+AD833*Y836</f>
        <v>38059495.891135238</v>
      </c>
      <c r="Z838" s="184">
        <f>+AD833*Z836</f>
        <v>10544467.905026278</v>
      </c>
      <c r="AA838" s="47"/>
      <c r="AB838" s="184">
        <f>+AD833*AB836</f>
        <v>14373890.113005131</v>
      </c>
    </row>
    <row r="839" spans="1:31">
      <c r="S839" s="47"/>
      <c r="U839" s="47"/>
      <c r="V839" s="184"/>
      <c r="W839" s="184"/>
      <c r="X839" s="184"/>
      <c r="Y839" s="184"/>
      <c r="Z839" s="184"/>
      <c r="AA839" s="47"/>
      <c r="AB839" s="184"/>
    </row>
    <row r="840" spans="1:31">
      <c r="S840" s="47"/>
      <c r="U840" s="47"/>
      <c r="V840" s="184"/>
      <c r="W840" s="184"/>
      <c r="X840" s="184"/>
      <c r="Y840" s="184"/>
      <c r="Z840" s="184"/>
      <c r="AA840" s="47"/>
      <c r="AB840" s="184"/>
      <c r="AC840" s="42"/>
    </row>
    <row r="841" spans="1:31">
      <c r="S841" s="47"/>
      <c r="U841" s="47"/>
      <c r="V841" s="184"/>
      <c r="W841" s="184"/>
      <c r="X841" s="184"/>
      <c r="Y841" s="184"/>
      <c r="Z841" s="184"/>
      <c r="AA841" s="47"/>
      <c r="AB841" s="184"/>
    </row>
    <row r="842" spans="1:31">
      <c r="S842" s="47"/>
      <c r="U842" s="47"/>
      <c r="V842" s="184"/>
      <c r="W842" s="184"/>
      <c r="X842" s="184"/>
      <c r="Y842" s="184"/>
      <c r="Z842" s="184"/>
      <c r="AA842" s="47"/>
      <c r="AB842" s="184"/>
    </row>
    <row r="843" spans="1:31">
      <c r="S843" s="47"/>
      <c r="U843" s="47"/>
      <c r="V843" s="184"/>
      <c r="W843" s="184"/>
      <c r="X843" s="184"/>
      <c r="Y843" s="184"/>
      <c r="Z843" s="184"/>
      <c r="AA843" s="47"/>
      <c r="AB843" s="184"/>
    </row>
    <row r="844" spans="1:31">
      <c r="S844" s="47"/>
      <c r="U844" s="47"/>
      <c r="V844" s="184"/>
      <c r="W844" s="184"/>
      <c r="X844" s="184"/>
      <c r="Y844" s="184"/>
      <c r="Z844" s="184"/>
      <c r="AA844" s="47"/>
      <c r="AB844" s="184"/>
    </row>
    <row r="845" spans="1:31">
      <c r="S845" s="47"/>
      <c r="U845" s="47"/>
      <c r="V845" s="184"/>
      <c r="W845" s="184"/>
      <c r="X845" s="184"/>
      <c r="Y845" s="184"/>
      <c r="Z845" s="184"/>
      <c r="AA845" s="47"/>
      <c r="AB845" s="184"/>
    </row>
    <row r="846" spans="1:31">
      <c r="S846" s="47"/>
      <c r="U846" s="47"/>
      <c r="V846" s="184"/>
      <c r="W846" s="184"/>
      <c r="X846" s="184"/>
      <c r="Y846" s="184"/>
      <c r="Z846" s="184"/>
      <c r="AA846" s="47"/>
      <c r="AB846" s="184"/>
    </row>
    <row r="847" spans="1:31">
      <c r="S847" s="47"/>
      <c r="U847" s="47"/>
      <c r="V847" s="184"/>
      <c r="W847" s="184"/>
      <c r="X847" s="184"/>
      <c r="Y847" s="184"/>
      <c r="Z847" s="184"/>
      <c r="AA847" s="47"/>
      <c r="AB847" s="184"/>
    </row>
    <row r="848" spans="1:31">
      <c r="S848" s="47"/>
      <c r="U848" s="47"/>
      <c r="V848" s="184"/>
      <c r="W848" s="184"/>
      <c r="X848" s="184"/>
      <c r="Y848" s="184"/>
      <c r="Z848" s="184"/>
      <c r="AA848" s="47"/>
      <c r="AB848" s="184"/>
    </row>
    <row r="849" spans="19:28">
      <c r="S849" s="47"/>
      <c r="U849" s="47"/>
      <c r="V849" s="184"/>
      <c r="W849" s="184"/>
      <c r="X849" s="184"/>
      <c r="Y849" s="184"/>
      <c r="Z849" s="184"/>
      <c r="AA849" s="47"/>
      <c r="AB849" s="184"/>
    </row>
    <row r="850" spans="19:28">
      <c r="S850" s="47"/>
      <c r="U850" s="47"/>
      <c r="V850" s="184"/>
      <c r="W850" s="184"/>
      <c r="X850" s="184"/>
      <c r="Y850" s="184"/>
      <c r="Z850" s="184"/>
      <c r="AA850" s="47"/>
      <c r="AB850" s="184"/>
    </row>
    <row r="851" spans="19:28">
      <c r="S851" s="47"/>
      <c r="U851" s="47"/>
      <c r="V851" s="184"/>
      <c r="W851" s="184"/>
      <c r="X851" s="184"/>
      <c r="Y851" s="184"/>
      <c r="Z851" s="184"/>
      <c r="AA851" s="47"/>
      <c r="AB851" s="184"/>
    </row>
    <row r="852" spans="19:28">
      <c r="S852" s="47"/>
      <c r="U852" s="47"/>
      <c r="V852" s="184"/>
      <c r="W852" s="184"/>
      <c r="X852" s="184"/>
      <c r="Y852" s="184"/>
      <c r="Z852" s="184"/>
      <c r="AA852" s="47"/>
      <c r="AB852" s="184"/>
    </row>
    <row r="853" spans="19:28">
      <c r="S853" s="47"/>
      <c r="U853" s="47"/>
      <c r="V853" s="184"/>
      <c r="W853" s="184"/>
      <c r="X853" s="184"/>
      <c r="Y853" s="184"/>
      <c r="Z853" s="184"/>
      <c r="AA853" s="47"/>
      <c r="AB853" s="184"/>
    </row>
    <row r="854" spans="19:28">
      <c r="S854" s="47"/>
      <c r="U854" s="47"/>
      <c r="V854" s="184"/>
      <c r="W854" s="184"/>
      <c r="X854" s="184"/>
      <c r="Y854" s="184"/>
      <c r="Z854" s="184"/>
      <c r="AA854" s="47"/>
      <c r="AB854" s="184"/>
    </row>
    <row r="855" spans="19:28">
      <c r="S855" s="47"/>
      <c r="U855" s="47"/>
      <c r="V855" s="184"/>
      <c r="W855" s="184"/>
      <c r="X855" s="184"/>
      <c r="Y855" s="184"/>
      <c r="Z855" s="184"/>
      <c r="AA855" s="47"/>
      <c r="AB855" s="184"/>
    </row>
    <row r="856" spans="19:28">
      <c r="S856" s="47"/>
      <c r="U856" s="47"/>
      <c r="V856" s="184"/>
      <c r="W856" s="184"/>
      <c r="X856" s="184"/>
      <c r="Y856" s="184"/>
      <c r="Z856" s="184"/>
      <c r="AA856" s="47"/>
      <c r="AB856" s="184"/>
    </row>
    <row r="857" spans="19:28">
      <c r="S857" s="47"/>
      <c r="U857" s="47"/>
      <c r="V857" s="184"/>
      <c r="W857" s="184"/>
      <c r="X857" s="184"/>
      <c r="Y857" s="184"/>
      <c r="Z857" s="184"/>
      <c r="AA857" s="47"/>
      <c r="AB857" s="184"/>
    </row>
    <row r="858" spans="19:28">
      <c r="S858" s="47"/>
      <c r="U858" s="47"/>
      <c r="V858" s="184"/>
      <c r="W858" s="184"/>
      <c r="X858" s="184"/>
      <c r="Y858" s="184"/>
      <c r="Z858" s="184"/>
      <c r="AA858" s="47"/>
      <c r="AB858" s="184"/>
    </row>
    <row r="859" spans="19:28">
      <c r="S859" s="47"/>
      <c r="U859" s="47"/>
      <c r="V859" s="184"/>
      <c r="W859" s="184"/>
      <c r="X859" s="184"/>
      <c r="Y859" s="184"/>
      <c r="Z859" s="184"/>
      <c r="AA859" s="47"/>
      <c r="AB859" s="184"/>
    </row>
    <row r="860" spans="19:28">
      <c r="S860" s="47"/>
      <c r="U860" s="47"/>
      <c r="V860" s="184"/>
      <c r="W860" s="184"/>
      <c r="X860" s="184"/>
      <c r="Y860" s="184"/>
      <c r="Z860" s="184"/>
      <c r="AA860" s="47"/>
      <c r="AB860" s="184"/>
    </row>
    <row r="861" spans="19:28">
      <c r="S861" s="47"/>
      <c r="U861" s="47"/>
      <c r="V861" s="184"/>
      <c r="W861" s="184"/>
      <c r="X861" s="184"/>
      <c r="Y861" s="184"/>
      <c r="Z861" s="184"/>
      <c r="AA861" s="47"/>
      <c r="AB861" s="184"/>
    </row>
    <row r="862" spans="19:28">
      <c r="S862" s="47"/>
      <c r="U862" s="47"/>
      <c r="V862" s="184"/>
      <c r="W862" s="184"/>
      <c r="X862" s="184"/>
      <c r="Y862" s="184"/>
      <c r="Z862" s="184"/>
      <c r="AA862" s="47"/>
      <c r="AB862" s="184"/>
    </row>
    <row r="863" spans="19:28">
      <c r="S863" s="47"/>
      <c r="U863" s="47"/>
      <c r="V863" s="184"/>
      <c r="W863" s="184"/>
      <c r="X863" s="184"/>
      <c r="Y863" s="184"/>
      <c r="Z863" s="184"/>
      <c r="AA863" s="47"/>
      <c r="AB863" s="184"/>
    </row>
    <row r="864" spans="19:28">
      <c r="S864" s="47"/>
      <c r="U864" s="47"/>
      <c r="V864" s="184"/>
      <c r="W864" s="184"/>
      <c r="X864" s="184"/>
      <c r="Y864" s="184"/>
      <c r="Z864" s="184"/>
      <c r="AA864" s="47"/>
      <c r="AB864" s="184"/>
    </row>
    <row r="865" spans="19:28">
      <c r="S865" s="47"/>
      <c r="U865" s="47"/>
      <c r="V865" s="184"/>
      <c r="W865" s="184"/>
      <c r="X865" s="184"/>
      <c r="Y865" s="184"/>
      <c r="Z865" s="184"/>
      <c r="AA865" s="47"/>
      <c r="AB865" s="184"/>
    </row>
    <row r="866" spans="19:28">
      <c r="S866" s="47"/>
      <c r="U866" s="47"/>
      <c r="V866" s="184"/>
      <c r="W866" s="184"/>
      <c r="X866" s="184"/>
      <c r="Y866" s="184"/>
      <c r="Z866" s="184"/>
      <c r="AA866" s="47"/>
      <c r="AB866" s="184"/>
    </row>
    <row r="867" spans="19:28">
      <c r="S867" s="47"/>
      <c r="U867" s="47"/>
      <c r="V867" s="184"/>
      <c r="W867" s="184"/>
      <c r="X867" s="184"/>
      <c r="Y867" s="184"/>
      <c r="Z867" s="184"/>
      <c r="AA867" s="47"/>
      <c r="AB867" s="184"/>
    </row>
    <row r="868" spans="19:28">
      <c r="S868" s="47"/>
      <c r="U868" s="47"/>
      <c r="V868" s="184"/>
      <c r="W868" s="184"/>
      <c r="X868" s="184"/>
      <c r="Y868" s="184"/>
      <c r="Z868" s="184"/>
      <c r="AA868" s="47"/>
      <c r="AB868" s="184"/>
    </row>
    <row r="869" spans="19:28">
      <c r="S869" s="47"/>
      <c r="U869" s="47"/>
      <c r="V869" s="184"/>
      <c r="W869" s="184"/>
      <c r="X869" s="184"/>
      <c r="Y869" s="184"/>
      <c r="Z869" s="184"/>
      <c r="AA869" s="47"/>
      <c r="AB869" s="184"/>
    </row>
    <row r="870" spans="19:28">
      <c r="S870" s="47"/>
      <c r="U870" s="47"/>
      <c r="V870" s="184"/>
      <c r="W870" s="184"/>
      <c r="X870" s="184"/>
      <c r="Y870" s="184"/>
      <c r="Z870" s="184"/>
      <c r="AA870" s="47"/>
      <c r="AB870" s="184"/>
    </row>
    <row r="871" spans="19:28">
      <c r="S871" s="47"/>
      <c r="U871" s="47"/>
      <c r="V871" s="184"/>
      <c r="W871" s="184"/>
      <c r="X871" s="184"/>
      <c r="Y871" s="184"/>
      <c r="Z871" s="184"/>
      <c r="AA871" s="47"/>
      <c r="AB871" s="184"/>
    </row>
    <row r="872" spans="19:28">
      <c r="S872" s="47"/>
      <c r="U872" s="47"/>
      <c r="V872" s="184"/>
      <c r="W872" s="184"/>
      <c r="X872" s="184"/>
      <c r="Y872" s="184"/>
      <c r="Z872" s="184"/>
      <c r="AA872" s="47"/>
      <c r="AB872" s="184"/>
    </row>
    <row r="873" spans="19:28">
      <c r="S873" s="47"/>
      <c r="U873" s="47"/>
      <c r="V873" s="184"/>
      <c r="W873" s="184"/>
      <c r="X873" s="184"/>
      <c r="Y873" s="184"/>
      <c r="Z873" s="184"/>
      <c r="AA873" s="47"/>
      <c r="AB873" s="184"/>
    </row>
    <row r="874" spans="19:28">
      <c r="S874" s="47"/>
      <c r="U874" s="47"/>
      <c r="V874" s="184"/>
      <c r="W874" s="184"/>
      <c r="X874" s="184"/>
      <c r="Y874" s="184"/>
      <c r="Z874" s="184"/>
      <c r="AA874" s="47"/>
      <c r="AB874" s="184"/>
    </row>
    <row r="875" spans="19:28">
      <c r="S875" s="47"/>
      <c r="U875" s="47"/>
      <c r="V875" s="184"/>
      <c r="W875" s="184"/>
      <c r="X875" s="184"/>
      <c r="Y875" s="184"/>
      <c r="Z875" s="184"/>
      <c r="AA875" s="47"/>
      <c r="AB875" s="184"/>
    </row>
    <row r="876" spans="19:28">
      <c r="S876" s="47"/>
      <c r="U876" s="47"/>
      <c r="V876" s="184"/>
      <c r="W876" s="184"/>
      <c r="X876" s="184"/>
      <c r="Y876" s="184"/>
      <c r="Z876" s="184"/>
      <c r="AA876" s="47"/>
      <c r="AB876" s="184"/>
    </row>
    <row r="877" spans="19:28">
      <c r="S877" s="47"/>
      <c r="U877" s="47"/>
      <c r="V877" s="184"/>
      <c r="W877" s="184"/>
      <c r="X877" s="184"/>
      <c r="Y877" s="184"/>
      <c r="Z877" s="184"/>
      <c r="AA877" s="47"/>
      <c r="AB877" s="184"/>
    </row>
    <row r="878" spans="19:28">
      <c r="S878" s="47"/>
      <c r="U878" s="47"/>
      <c r="V878" s="184"/>
      <c r="W878" s="184"/>
      <c r="X878" s="184"/>
      <c r="Y878" s="184"/>
      <c r="Z878" s="184"/>
      <c r="AA878" s="47"/>
      <c r="AB878" s="184"/>
    </row>
    <row r="879" spans="19:28">
      <c r="S879" s="47"/>
      <c r="U879" s="47"/>
      <c r="V879" s="184"/>
      <c r="W879" s="184"/>
      <c r="X879" s="184"/>
      <c r="Y879" s="184"/>
      <c r="Z879" s="184"/>
      <c r="AA879" s="47"/>
      <c r="AB879" s="184"/>
    </row>
    <row r="880" spans="19:28">
      <c r="S880" s="47"/>
      <c r="U880" s="47"/>
      <c r="V880" s="184"/>
      <c r="W880" s="184"/>
      <c r="X880" s="184"/>
      <c r="Y880" s="184"/>
      <c r="Z880" s="184"/>
      <c r="AA880" s="47"/>
      <c r="AB880" s="184"/>
    </row>
    <row r="881" spans="19:28">
      <c r="S881" s="47"/>
      <c r="U881" s="47"/>
      <c r="V881" s="184"/>
      <c r="W881" s="184"/>
      <c r="X881" s="184"/>
      <c r="Y881" s="184"/>
      <c r="Z881" s="184"/>
      <c r="AA881" s="47"/>
      <c r="AB881" s="184"/>
    </row>
    <row r="882" spans="19:28">
      <c r="S882" s="47"/>
      <c r="U882" s="47"/>
      <c r="V882" s="184"/>
      <c r="W882" s="184"/>
      <c r="X882" s="184"/>
      <c r="Y882" s="184"/>
      <c r="Z882" s="184"/>
      <c r="AA882" s="47"/>
      <c r="AB882" s="184"/>
    </row>
    <row r="883" spans="19:28">
      <c r="S883" s="47"/>
      <c r="U883" s="47"/>
      <c r="V883" s="184"/>
      <c r="W883" s="184"/>
      <c r="X883" s="184"/>
      <c r="Y883" s="184"/>
      <c r="Z883" s="184"/>
      <c r="AA883" s="47"/>
      <c r="AB883" s="184"/>
    </row>
    <row r="884" spans="19:28">
      <c r="S884" s="47"/>
      <c r="U884" s="47"/>
      <c r="V884" s="184"/>
      <c r="W884" s="184"/>
      <c r="X884" s="184"/>
      <c r="Y884" s="184"/>
      <c r="Z884" s="184"/>
      <c r="AA884" s="47"/>
      <c r="AB884" s="184"/>
    </row>
    <row r="885" spans="19:28">
      <c r="S885" s="47"/>
      <c r="U885" s="47"/>
      <c r="V885" s="184"/>
      <c r="W885" s="184"/>
      <c r="X885" s="184"/>
      <c r="Y885" s="184"/>
      <c r="Z885" s="184"/>
      <c r="AA885" s="47"/>
      <c r="AB885" s="184"/>
    </row>
    <row r="886" spans="19:28">
      <c r="S886" s="47"/>
      <c r="U886" s="47"/>
      <c r="V886" s="184"/>
      <c r="W886" s="184"/>
      <c r="X886" s="184"/>
      <c r="Y886" s="184"/>
      <c r="Z886" s="184"/>
      <c r="AA886" s="47"/>
      <c r="AB886" s="184"/>
    </row>
    <row r="887" spans="19:28">
      <c r="S887" s="47"/>
      <c r="U887" s="47"/>
      <c r="V887" s="184"/>
      <c r="W887" s="184"/>
      <c r="X887" s="184"/>
      <c r="Y887" s="184"/>
      <c r="Z887" s="184"/>
      <c r="AA887" s="47"/>
      <c r="AB887" s="184"/>
    </row>
    <row r="888" spans="19:28">
      <c r="S888" s="47"/>
      <c r="U888" s="47"/>
      <c r="V888" s="184"/>
      <c r="W888" s="184"/>
      <c r="X888" s="184"/>
      <c r="Y888" s="184"/>
      <c r="Z888" s="184"/>
      <c r="AA888" s="47"/>
      <c r="AB888" s="184"/>
    </row>
    <row r="889" spans="19:28">
      <c r="S889" s="47"/>
      <c r="U889" s="47"/>
      <c r="V889" s="184"/>
      <c r="W889" s="184"/>
      <c r="X889" s="184"/>
      <c r="Y889" s="184"/>
      <c r="Z889" s="184"/>
      <c r="AA889" s="47"/>
      <c r="AB889" s="184"/>
    </row>
    <row r="890" spans="19:28">
      <c r="S890" s="47"/>
      <c r="U890" s="47"/>
      <c r="V890" s="184"/>
      <c r="W890" s="184"/>
      <c r="X890" s="184"/>
      <c r="Y890" s="184"/>
      <c r="Z890" s="184"/>
      <c r="AA890" s="47"/>
      <c r="AB890" s="184"/>
    </row>
    <row r="891" spans="19:28">
      <c r="S891" s="47"/>
      <c r="U891" s="47"/>
      <c r="V891" s="184"/>
      <c r="W891" s="184"/>
      <c r="X891" s="184"/>
      <c r="Y891" s="184"/>
      <c r="Z891" s="184"/>
      <c r="AA891" s="47"/>
      <c r="AB891" s="184"/>
    </row>
    <row r="892" spans="19:28">
      <c r="S892" s="47"/>
      <c r="U892" s="47"/>
      <c r="V892" s="184"/>
      <c r="W892" s="184"/>
      <c r="X892" s="184"/>
      <c r="Y892" s="184"/>
      <c r="Z892" s="184"/>
      <c r="AA892" s="47"/>
      <c r="AB892" s="184"/>
    </row>
    <row r="893" spans="19:28">
      <c r="S893" s="47"/>
      <c r="U893" s="47"/>
      <c r="V893" s="184"/>
      <c r="W893" s="184"/>
      <c r="X893" s="184"/>
      <c r="Y893" s="184"/>
      <c r="Z893" s="184"/>
      <c r="AA893" s="47"/>
      <c r="AB893" s="184"/>
    </row>
    <row r="894" spans="19:28">
      <c r="S894" s="47"/>
      <c r="U894" s="47"/>
      <c r="V894" s="184"/>
      <c r="W894" s="184"/>
      <c r="X894" s="184"/>
      <c r="Y894" s="184"/>
      <c r="Z894" s="184"/>
      <c r="AA894" s="47"/>
      <c r="AB894" s="184"/>
    </row>
    <row r="895" spans="19:28">
      <c r="S895" s="47"/>
      <c r="U895" s="47"/>
      <c r="V895" s="184"/>
      <c r="W895" s="184"/>
      <c r="X895" s="184"/>
      <c r="Y895" s="184"/>
      <c r="Z895" s="184"/>
      <c r="AA895" s="47"/>
      <c r="AB895" s="184"/>
    </row>
    <row r="896" spans="19:28">
      <c r="S896" s="47"/>
      <c r="U896" s="47"/>
      <c r="V896" s="184"/>
      <c r="W896" s="184"/>
      <c r="X896" s="184"/>
      <c r="Y896" s="184"/>
      <c r="Z896" s="184"/>
      <c r="AA896" s="47"/>
      <c r="AB896" s="184"/>
    </row>
    <row r="897" spans="19:28">
      <c r="S897" s="47"/>
      <c r="U897" s="47"/>
      <c r="V897" s="184"/>
      <c r="W897" s="184"/>
      <c r="X897" s="184"/>
      <c r="Y897" s="184"/>
      <c r="Z897" s="184"/>
      <c r="AA897" s="47"/>
      <c r="AB897" s="184"/>
    </row>
    <row r="898" spans="19:28">
      <c r="S898" s="47"/>
      <c r="U898" s="47"/>
      <c r="V898" s="184"/>
      <c r="W898" s="184"/>
      <c r="X898" s="184"/>
      <c r="Y898" s="184"/>
      <c r="Z898" s="184"/>
      <c r="AA898" s="47"/>
      <c r="AB898" s="184"/>
    </row>
    <row r="899" spans="19:28">
      <c r="S899" s="47"/>
      <c r="U899" s="47"/>
      <c r="V899" s="184"/>
      <c r="W899" s="184"/>
      <c r="X899" s="184"/>
      <c r="Y899" s="184"/>
      <c r="Z899" s="184"/>
      <c r="AA899" s="47"/>
      <c r="AB899" s="184"/>
    </row>
    <row r="900" spans="19:28">
      <c r="S900" s="47"/>
      <c r="U900" s="47"/>
      <c r="V900" s="184"/>
      <c r="W900" s="184"/>
      <c r="X900" s="184"/>
      <c r="Y900" s="184"/>
      <c r="Z900" s="184"/>
      <c r="AA900" s="47"/>
      <c r="AB900" s="184"/>
    </row>
    <row r="901" spans="19:28">
      <c r="S901" s="47"/>
      <c r="U901" s="47"/>
      <c r="V901" s="184"/>
      <c r="W901" s="184"/>
      <c r="X901" s="184"/>
      <c r="Y901" s="184"/>
      <c r="Z901" s="184"/>
      <c r="AA901" s="47"/>
      <c r="AB901" s="184"/>
    </row>
    <row r="902" spans="19:28">
      <c r="S902" s="47"/>
      <c r="U902" s="47"/>
      <c r="V902" s="184"/>
      <c r="W902" s="184"/>
      <c r="X902" s="184"/>
      <c r="Y902" s="184"/>
      <c r="Z902" s="184"/>
      <c r="AA902" s="47"/>
      <c r="AB902" s="184"/>
    </row>
    <row r="903" spans="19:28">
      <c r="S903" s="47"/>
      <c r="U903" s="47"/>
      <c r="V903" s="184"/>
      <c r="W903" s="184"/>
      <c r="X903" s="184"/>
      <c r="Y903" s="184"/>
      <c r="Z903" s="184"/>
      <c r="AA903" s="47"/>
      <c r="AB903" s="184"/>
    </row>
    <row r="904" spans="19:28">
      <c r="S904" s="47"/>
      <c r="U904" s="47"/>
      <c r="V904" s="184"/>
      <c r="W904" s="184"/>
      <c r="X904" s="184"/>
      <c r="Y904" s="184"/>
      <c r="Z904" s="184"/>
      <c r="AA904" s="47"/>
      <c r="AB904" s="184"/>
    </row>
    <row r="905" spans="19:28">
      <c r="S905" s="47"/>
      <c r="U905" s="47"/>
      <c r="V905" s="184"/>
      <c r="W905" s="184"/>
      <c r="X905" s="184"/>
      <c r="Y905" s="184"/>
      <c r="Z905" s="184"/>
      <c r="AA905" s="47"/>
      <c r="AB905" s="184"/>
    </row>
    <row r="906" spans="19:28">
      <c r="S906" s="47"/>
      <c r="U906" s="47"/>
      <c r="V906" s="184"/>
      <c r="W906" s="184"/>
      <c r="X906" s="184"/>
      <c r="Y906" s="184"/>
      <c r="Z906" s="184"/>
      <c r="AA906" s="47"/>
      <c r="AB906" s="184"/>
    </row>
    <row r="907" spans="19:28">
      <c r="S907" s="47"/>
      <c r="U907" s="47"/>
      <c r="V907" s="184"/>
      <c r="W907" s="184"/>
      <c r="X907" s="184"/>
      <c r="Y907" s="184"/>
      <c r="Z907" s="184"/>
      <c r="AA907" s="47"/>
      <c r="AB907" s="184"/>
    </row>
    <row r="908" spans="19:28">
      <c r="S908" s="47"/>
      <c r="U908" s="47"/>
      <c r="V908" s="184"/>
      <c r="W908" s="184"/>
      <c r="X908" s="184"/>
      <c r="Y908" s="184"/>
      <c r="Z908" s="184"/>
      <c r="AA908" s="47"/>
      <c r="AB908" s="184"/>
    </row>
    <row r="909" spans="19:28">
      <c r="S909" s="47"/>
      <c r="U909" s="47"/>
      <c r="V909" s="184"/>
      <c r="W909" s="184"/>
      <c r="X909" s="184"/>
      <c r="Y909" s="184"/>
      <c r="Z909" s="184"/>
      <c r="AA909" s="47"/>
      <c r="AB909" s="184"/>
    </row>
    <row r="910" spans="19:28">
      <c r="S910" s="47"/>
      <c r="U910" s="47"/>
      <c r="V910" s="184"/>
      <c r="W910" s="184"/>
      <c r="X910" s="184"/>
      <c r="Y910" s="184"/>
      <c r="Z910" s="184"/>
      <c r="AA910" s="47"/>
      <c r="AB910" s="184"/>
    </row>
    <row r="911" spans="19:28">
      <c r="S911" s="47"/>
      <c r="U911" s="47"/>
      <c r="V911" s="184"/>
      <c r="W911" s="184"/>
      <c r="X911" s="184"/>
      <c r="Y911" s="184"/>
      <c r="Z911" s="184"/>
      <c r="AA911" s="47"/>
      <c r="AB911" s="184"/>
    </row>
    <row r="912" spans="19:28">
      <c r="S912" s="47"/>
      <c r="U912" s="47"/>
      <c r="V912" s="184"/>
      <c r="W912" s="184"/>
      <c r="X912" s="184"/>
      <c r="Y912" s="184"/>
      <c r="Z912" s="184"/>
      <c r="AA912" s="47"/>
      <c r="AB912" s="184"/>
    </row>
    <row r="913" spans="19:28">
      <c r="S913" s="47"/>
      <c r="U913" s="47"/>
      <c r="V913" s="184"/>
      <c r="W913" s="184"/>
      <c r="X913" s="184"/>
      <c r="Y913" s="184"/>
      <c r="Z913" s="184"/>
      <c r="AA913" s="47"/>
      <c r="AB913" s="184"/>
    </row>
    <row r="914" spans="19:28">
      <c r="S914" s="47"/>
      <c r="U914" s="47"/>
      <c r="V914" s="184"/>
      <c r="W914" s="184"/>
      <c r="X914" s="184"/>
      <c r="Y914" s="184"/>
      <c r="Z914" s="184"/>
      <c r="AA914" s="47"/>
      <c r="AB914" s="184"/>
    </row>
    <row r="915" spans="19:28">
      <c r="S915" s="47"/>
      <c r="U915" s="47"/>
      <c r="V915" s="184"/>
      <c r="W915" s="184"/>
      <c r="X915" s="184"/>
      <c r="Y915" s="184"/>
      <c r="Z915" s="184"/>
      <c r="AA915" s="47"/>
      <c r="AB915" s="184"/>
    </row>
    <row r="916" spans="19:28">
      <c r="S916" s="47"/>
      <c r="U916" s="47"/>
      <c r="V916" s="184"/>
      <c r="W916" s="184"/>
      <c r="X916" s="184"/>
      <c r="Y916" s="184"/>
      <c r="Z916" s="184"/>
      <c r="AA916" s="47"/>
      <c r="AB916" s="184"/>
    </row>
    <row r="917" spans="19:28">
      <c r="S917" s="47"/>
      <c r="U917" s="47"/>
      <c r="V917" s="184"/>
      <c r="W917" s="184"/>
      <c r="X917" s="184"/>
      <c r="Y917" s="184"/>
      <c r="Z917" s="184"/>
      <c r="AA917" s="47"/>
      <c r="AB917" s="184"/>
    </row>
    <row r="918" spans="19:28">
      <c r="S918" s="47"/>
      <c r="U918" s="47"/>
      <c r="V918" s="184"/>
      <c r="W918" s="184"/>
      <c r="X918" s="184"/>
      <c r="Y918" s="184"/>
      <c r="Z918" s="184"/>
      <c r="AA918" s="47"/>
      <c r="AB918" s="184"/>
    </row>
    <row r="919" spans="19:28">
      <c r="S919" s="47"/>
      <c r="U919" s="47"/>
      <c r="V919" s="184"/>
      <c r="W919" s="184"/>
      <c r="X919" s="184"/>
      <c r="Y919" s="184"/>
      <c r="Z919" s="184"/>
      <c r="AA919" s="47"/>
      <c r="AB919" s="184"/>
    </row>
    <row r="920" spans="19:28">
      <c r="S920" s="47"/>
      <c r="U920" s="47"/>
      <c r="V920" s="184"/>
      <c r="W920" s="184"/>
      <c r="X920" s="184"/>
      <c r="Y920" s="184"/>
      <c r="Z920" s="184"/>
      <c r="AA920" s="47"/>
      <c r="AB920" s="184"/>
    </row>
    <row r="921" spans="19:28">
      <c r="S921" s="47"/>
      <c r="U921" s="47"/>
      <c r="V921" s="184"/>
      <c r="W921" s="184"/>
      <c r="X921" s="184"/>
      <c r="Y921" s="184"/>
      <c r="Z921" s="184"/>
      <c r="AA921" s="47"/>
      <c r="AB921" s="184"/>
    </row>
    <row r="922" spans="19:28">
      <c r="S922" s="47"/>
      <c r="U922" s="47"/>
      <c r="V922" s="184"/>
      <c r="W922" s="184"/>
      <c r="X922" s="184"/>
      <c r="Y922" s="184"/>
      <c r="Z922" s="184"/>
      <c r="AA922" s="47"/>
      <c r="AB922" s="184"/>
    </row>
    <row r="923" spans="19:28">
      <c r="S923" s="47"/>
      <c r="U923" s="47"/>
      <c r="V923" s="184"/>
      <c r="W923" s="184"/>
      <c r="X923" s="184"/>
      <c r="Y923" s="184"/>
      <c r="Z923" s="184"/>
      <c r="AA923" s="47"/>
      <c r="AB923" s="184"/>
    </row>
    <row r="924" spans="19:28">
      <c r="S924" s="47"/>
      <c r="U924" s="47"/>
      <c r="V924" s="184"/>
      <c r="W924" s="184"/>
      <c r="X924" s="184"/>
      <c r="Y924" s="184"/>
      <c r="Z924" s="184"/>
      <c r="AA924" s="47"/>
      <c r="AB924" s="184"/>
    </row>
    <row r="925" spans="19:28">
      <c r="S925" s="47"/>
      <c r="U925" s="47"/>
      <c r="V925" s="184"/>
      <c r="W925" s="184"/>
      <c r="X925" s="184"/>
      <c r="Y925" s="184"/>
      <c r="Z925" s="184"/>
      <c r="AA925" s="47"/>
      <c r="AB925" s="184"/>
    </row>
    <row r="926" spans="19:28">
      <c r="S926" s="47"/>
      <c r="U926" s="47"/>
      <c r="V926" s="184"/>
      <c r="W926" s="184"/>
      <c r="X926" s="184"/>
      <c r="Y926" s="184"/>
      <c r="Z926" s="184"/>
      <c r="AA926" s="47"/>
      <c r="AB926" s="184"/>
    </row>
    <row r="927" spans="19:28">
      <c r="S927" s="47"/>
      <c r="U927" s="47"/>
      <c r="V927" s="184"/>
      <c r="W927" s="184"/>
      <c r="X927" s="184"/>
      <c r="Y927" s="184"/>
      <c r="Z927" s="184"/>
      <c r="AA927" s="47"/>
      <c r="AB927" s="184"/>
    </row>
    <row r="928" spans="19:28">
      <c r="S928" s="47"/>
      <c r="U928" s="47"/>
      <c r="V928" s="184"/>
      <c r="W928" s="184"/>
      <c r="X928" s="184"/>
      <c r="Y928" s="184"/>
      <c r="Z928" s="184"/>
      <c r="AA928" s="47"/>
      <c r="AB928" s="184"/>
    </row>
    <row r="929" spans="19:28">
      <c r="S929" s="47"/>
      <c r="U929" s="47"/>
      <c r="V929" s="184"/>
      <c r="W929" s="184"/>
      <c r="X929" s="184"/>
      <c r="Y929" s="184"/>
      <c r="Z929" s="184"/>
      <c r="AA929" s="47"/>
      <c r="AB929" s="184"/>
    </row>
    <row r="930" spans="19:28">
      <c r="S930" s="47"/>
      <c r="U930" s="47"/>
      <c r="V930" s="184"/>
      <c r="W930" s="184"/>
      <c r="X930" s="184"/>
      <c r="Y930" s="184"/>
      <c r="Z930" s="184"/>
      <c r="AA930" s="47"/>
      <c r="AB930" s="184"/>
    </row>
    <row r="931" spans="19:28">
      <c r="S931" s="47"/>
      <c r="U931" s="47"/>
      <c r="V931" s="184"/>
      <c r="W931" s="184"/>
      <c r="X931" s="184"/>
      <c r="Y931" s="184"/>
      <c r="Z931" s="184"/>
      <c r="AA931" s="47"/>
      <c r="AB931" s="184"/>
    </row>
    <row r="932" spans="19:28">
      <c r="S932" s="47"/>
      <c r="U932" s="47"/>
      <c r="V932" s="184"/>
      <c r="W932" s="184"/>
      <c r="X932" s="184"/>
      <c r="Y932" s="184"/>
      <c r="Z932" s="184"/>
      <c r="AA932" s="47"/>
      <c r="AB932" s="184"/>
    </row>
    <row r="933" spans="19:28">
      <c r="S933" s="47"/>
      <c r="U933" s="47"/>
      <c r="V933" s="184"/>
      <c r="W933" s="184"/>
      <c r="X933" s="184"/>
      <c r="Y933" s="184"/>
      <c r="Z933" s="184"/>
      <c r="AA933" s="47"/>
      <c r="AB933" s="184"/>
    </row>
    <row r="934" spans="19:28">
      <c r="S934" s="47"/>
      <c r="U934" s="47"/>
      <c r="V934" s="184"/>
      <c r="W934" s="184"/>
      <c r="X934" s="184"/>
      <c r="Y934" s="184"/>
      <c r="Z934" s="184"/>
      <c r="AA934" s="47"/>
      <c r="AB934" s="184"/>
    </row>
    <row r="935" spans="19:28">
      <c r="S935" s="47"/>
      <c r="U935" s="47"/>
      <c r="V935" s="184"/>
      <c r="W935" s="184"/>
      <c r="X935" s="184"/>
      <c r="Y935" s="184"/>
      <c r="Z935" s="184"/>
      <c r="AA935" s="47"/>
      <c r="AB935" s="184"/>
    </row>
    <row r="936" spans="19:28">
      <c r="S936" s="47"/>
      <c r="U936" s="47"/>
      <c r="V936" s="184"/>
      <c r="W936" s="184"/>
      <c r="X936" s="184"/>
      <c r="Y936" s="184"/>
      <c r="Z936" s="184"/>
      <c r="AA936" s="47"/>
      <c r="AB936" s="184"/>
    </row>
    <row r="937" spans="19:28">
      <c r="S937" s="47"/>
      <c r="U937" s="47"/>
      <c r="V937" s="184"/>
      <c r="W937" s="184"/>
      <c r="X937" s="184"/>
      <c r="Y937" s="184"/>
      <c r="Z937" s="184"/>
      <c r="AA937" s="47"/>
      <c r="AB937" s="184"/>
    </row>
    <row r="938" spans="19:28">
      <c r="S938" s="47"/>
      <c r="U938" s="47"/>
      <c r="V938" s="184"/>
      <c r="W938" s="184"/>
      <c r="X938" s="184"/>
      <c r="Y938" s="184"/>
      <c r="Z938" s="184"/>
      <c r="AA938" s="47"/>
      <c r="AB938" s="184"/>
    </row>
    <row r="939" spans="19:28">
      <c r="S939" s="47"/>
      <c r="U939" s="47"/>
      <c r="V939" s="184"/>
      <c r="W939" s="184"/>
      <c r="X939" s="184"/>
      <c r="Y939" s="184"/>
      <c r="Z939" s="184"/>
      <c r="AA939" s="47"/>
      <c r="AB939" s="184"/>
    </row>
    <row r="940" spans="19:28">
      <c r="S940" s="47"/>
      <c r="U940" s="47"/>
      <c r="V940" s="184"/>
      <c r="W940" s="184"/>
      <c r="X940" s="184"/>
      <c r="Y940" s="184"/>
      <c r="Z940" s="184"/>
      <c r="AA940" s="47"/>
      <c r="AB940" s="184"/>
    </row>
    <row r="941" spans="19:28">
      <c r="S941" s="47"/>
      <c r="U941" s="47"/>
      <c r="V941" s="184"/>
      <c r="W941" s="184"/>
      <c r="X941" s="184"/>
      <c r="Y941" s="184"/>
      <c r="Z941" s="184"/>
      <c r="AA941" s="47"/>
      <c r="AB941" s="184"/>
    </row>
    <row r="942" spans="19:28">
      <c r="S942" s="47"/>
      <c r="U942" s="47"/>
      <c r="V942" s="184"/>
      <c r="W942" s="184"/>
      <c r="X942" s="184"/>
      <c r="Y942" s="184"/>
      <c r="Z942" s="184"/>
      <c r="AA942" s="47"/>
      <c r="AB942" s="184"/>
    </row>
    <row r="943" spans="19:28">
      <c r="S943" s="47"/>
      <c r="U943" s="47"/>
      <c r="V943" s="184"/>
      <c r="W943" s="184"/>
      <c r="X943" s="184"/>
      <c r="Y943" s="184"/>
      <c r="Z943" s="184"/>
      <c r="AA943" s="47"/>
      <c r="AB943" s="184"/>
    </row>
    <row r="944" spans="19:28">
      <c r="S944" s="47"/>
      <c r="U944" s="47"/>
      <c r="V944" s="184"/>
      <c r="W944" s="184"/>
      <c r="X944" s="184"/>
      <c r="Y944" s="184"/>
      <c r="Z944" s="184"/>
      <c r="AA944" s="47"/>
      <c r="AB944" s="184"/>
    </row>
    <row r="945" spans="19:28">
      <c r="S945" s="47"/>
      <c r="U945" s="47"/>
      <c r="V945" s="184"/>
      <c r="W945" s="184"/>
      <c r="X945" s="184"/>
      <c r="Y945" s="184"/>
      <c r="Z945" s="184"/>
      <c r="AA945" s="47"/>
      <c r="AB945" s="184"/>
    </row>
    <row r="946" spans="19:28">
      <c r="S946" s="47"/>
      <c r="U946" s="47"/>
      <c r="V946" s="184"/>
      <c r="W946" s="184"/>
      <c r="X946" s="184"/>
      <c r="Y946" s="184"/>
      <c r="Z946" s="184"/>
      <c r="AA946" s="47"/>
      <c r="AB946" s="184"/>
    </row>
    <row r="947" spans="19:28">
      <c r="S947" s="47"/>
      <c r="U947" s="47"/>
      <c r="V947" s="184"/>
      <c r="W947" s="184"/>
      <c r="X947" s="184"/>
      <c r="Y947" s="184"/>
      <c r="Z947" s="184"/>
      <c r="AA947" s="47"/>
      <c r="AB947" s="184"/>
    </row>
    <row r="948" spans="19:28">
      <c r="S948" s="47"/>
      <c r="U948" s="47"/>
      <c r="V948" s="184"/>
      <c r="W948" s="184"/>
      <c r="X948" s="184"/>
      <c r="Y948" s="184"/>
      <c r="Z948" s="184"/>
      <c r="AA948" s="47"/>
      <c r="AB948" s="184"/>
    </row>
    <row r="949" spans="19:28">
      <c r="S949" s="47"/>
      <c r="U949" s="47"/>
      <c r="V949" s="184"/>
      <c r="W949" s="184"/>
      <c r="X949" s="184"/>
      <c r="Y949" s="184"/>
      <c r="Z949" s="184"/>
      <c r="AA949" s="47"/>
      <c r="AB949" s="184"/>
    </row>
    <row r="950" spans="19:28">
      <c r="S950" s="47"/>
      <c r="U950" s="47"/>
      <c r="V950" s="184"/>
      <c r="W950" s="184"/>
      <c r="X950" s="184"/>
      <c r="Y950" s="184"/>
      <c r="Z950" s="184"/>
      <c r="AA950" s="47"/>
      <c r="AB950" s="184"/>
    </row>
    <row r="951" spans="19:28">
      <c r="S951" s="47"/>
      <c r="U951" s="47"/>
      <c r="V951" s="184"/>
      <c r="W951" s="184"/>
      <c r="X951" s="184"/>
      <c r="Y951" s="184"/>
      <c r="Z951" s="184"/>
      <c r="AA951" s="47"/>
      <c r="AB951" s="184"/>
    </row>
    <row r="952" spans="19:28">
      <c r="S952" s="47"/>
      <c r="U952" s="47"/>
      <c r="V952" s="184"/>
      <c r="W952" s="184"/>
      <c r="X952" s="184"/>
      <c r="Y952" s="184"/>
      <c r="Z952" s="184"/>
      <c r="AA952" s="47"/>
      <c r="AB952" s="184"/>
    </row>
    <row r="953" spans="19:28">
      <c r="S953" s="47"/>
      <c r="U953" s="47"/>
      <c r="V953" s="184"/>
      <c r="W953" s="184"/>
      <c r="X953" s="184"/>
      <c r="Y953" s="184"/>
      <c r="Z953" s="184"/>
      <c r="AA953" s="47"/>
      <c r="AB953" s="184"/>
    </row>
    <row r="954" spans="19:28">
      <c r="S954" s="47"/>
      <c r="U954" s="47"/>
      <c r="V954" s="184"/>
      <c r="W954" s="184"/>
      <c r="X954" s="184"/>
      <c r="Y954" s="184"/>
      <c r="Z954" s="184"/>
      <c r="AA954" s="47"/>
      <c r="AB954" s="184"/>
    </row>
    <row r="955" spans="19:28">
      <c r="S955" s="47"/>
      <c r="U955" s="47"/>
      <c r="V955" s="184"/>
      <c r="W955" s="184"/>
      <c r="X955" s="184"/>
      <c r="Y955" s="184"/>
      <c r="Z955" s="184"/>
      <c r="AA955" s="47"/>
      <c r="AB955" s="184"/>
    </row>
    <row r="956" spans="19:28">
      <c r="S956" s="47"/>
      <c r="U956" s="47"/>
      <c r="V956" s="184"/>
      <c r="W956" s="184"/>
      <c r="X956" s="184"/>
      <c r="Y956" s="184"/>
      <c r="Z956" s="184"/>
      <c r="AA956" s="47"/>
      <c r="AB956" s="184"/>
    </row>
    <row r="957" spans="19:28">
      <c r="S957" s="47"/>
      <c r="U957" s="47"/>
      <c r="V957" s="184"/>
      <c r="W957" s="184"/>
      <c r="X957" s="184"/>
      <c r="Y957" s="184"/>
      <c r="Z957" s="184"/>
      <c r="AA957" s="47"/>
      <c r="AB957" s="184"/>
    </row>
    <row r="958" spans="19:28">
      <c r="S958" s="47"/>
      <c r="U958" s="47"/>
      <c r="V958" s="184"/>
      <c r="W958" s="184"/>
      <c r="X958" s="184"/>
      <c r="Y958" s="184"/>
      <c r="Z958" s="184"/>
      <c r="AA958" s="47"/>
      <c r="AB958" s="184"/>
    </row>
    <row r="959" spans="19:28">
      <c r="S959" s="47"/>
      <c r="U959" s="47"/>
      <c r="V959" s="184"/>
      <c r="W959" s="184"/>
      <c r="X959" s="184"/>
      <c r="Y959" s="184"/>
      <c r="Z959" s="184"/>
      <c r="AA959" s="47"/>
      <c r="AB959" s="184"/>
    </row>
    <row r="960" spans="19:28">
      <c r="S960" s="47"/>
      <c r="U960" s="47"/>
      <c r="V960" s="184"/>
      <c r="W960" s="184"/>
      <c r="X960" s="184"/>
      <c r="Y960" s="184"/>
      <c r="Z960" s="184"/>
      <c r="AA960" s="47"/>
      <c r="AB960" s="184"/>
    </row>
    <row r="961" spans="19:28">
      <c r="S961" s="47"/>
      <c r="U961" s="47"/>
      <c r="V961" s="184"/>
      <c r="W961" s="184"/>
      <c r="X961" s="184"/>
      <c r="Y961" s="184"/>
      <c r="Z961" s="184"/>
      <c r="AA961" s="47"/>
      <c r="AB961" s="184"/>
    </row>
    <row r="962" spans="19:28">
      <c r="S962" s="47"/>
      <c r="U962" s="47"/>
      <c r="V962" s="184"/>
      <c r="W962" s="184"/>
      <c r="X962" s="184"/>
      <c r="Y962" s="184"/>
      <c r="Z962" s="184"/>
      <c r="AA962" s="47"/>
      <c r="AB962" s="184"/>
    </row>
    <row r="963" spans="19:28">
      <c r="S963" s="47"/>
      <c r="U963" s="47"/>
      <c r="V963" s="184"/>
      <c r="W963" s="184"/>
      <c r="X963" s="184"/>
      <c r="Y963" s="184"/>
      <c r="Z963" s="184"/>
      <c r="AA963" s="47"/>
      <c r="AB963" s="184"/>
    </row>
    <row r="964" spans="19:28">
      <c r="S964" s="47"/>
      <c r="U964" s="47"/>
      <c r="V964" s="184"/>
      <c r="W964" s="184"/>
      <c r="X964" s="184"/>
      <c r="Y964" s="184"/>
      <c r="Z964" s="184"/>
      <c r="AA964" s="47"/>
      <c r="AB964" s="184"/>
    </row>
    <row r="965" spans="19:28">
      <c r="S965" s="47"/>
      <c r="U965" s="47"/>
      <c r="V965" s="184"/>
      <c r="W965" s="184"/>
      <c r="X965" s="184"/>
      <c r="Y965" s="184"/>
      <c r="Z965" s="184"/>
      <c r="AA965" s="47"/>
      <c r="AB965" s="184"/>
    </row>
    <row r="966" spans="19:28">
      <c r="S966" s="47"/>
      <c r="U966" s="47"/>
      <c r="V966" s="184"/>
      <c r="W966" s="184"/>
      <c r="X966" s="184"/>
      <c r="Y966" s="184"/>
      <c r="Z966" s="184"/>
      <c r="AA966" s="47"/>
      <c r="AB966" s="184"/>
    </row>
    <row r="967" spans="19:28">
      <c r="S967" s="47"/>
      <c r="U967" s="47"/>
      <c r="V967" s="184"/>
      <c r="W967" s="184"/>
      <c r="X967" s="184"/>
      <c r="Y967" s="184"/>
      <c r="Z967" s="184"/>
      <c r="AA967" s="47"/>
      <c r="AB967" s="184"/>
    </row>
    <row r="968" spans="19:28">
      <c r="S968" s="47"/>
      <c r="U968" s="47"/>
      <c r="V968" s="184"/>
      <c r="W968" s="184"/>
      <c r="X968" s="184"/>
      <c r="Y968" s="184"/>
      <c r="Z968" s="184"/>
      <c r="AA968" s="47"/>
      <c r="AB968" s="184"/>
    </row>
    <row r="969" spans="19:28">
      <c r="S969" s="47"/>
      <c r="U969" s="47"/>
      <c r="V969" s="184"/>
      <c r="W969" s="184"/>
      <c r="X969" s="184"/>
      <c r="Y969" s="184"/>
      <c r="Z969" s="184"/>
      <c r="AA969" s="47"/>
      <c r="AB969" s="184"/>
    </row>
    <row r="970" spans="19:28">
      <c r="S970" s="47"/>
      <c r="U970" s="47"/>
      <c r="V970" s="184"/>
      <c r="W970" s="184"/>
      <c r="X970" s="184"/>
      <c r="Y970" s="184"/>
      <c r="Z970" s="184"/>
      <c r="AA970" s="47"/>
      <c r="AB970" s="184"/>
    </row>
    <row r="971" spans="19:28">
      <c r="S971" s="47"/>
      <c r="U971" s="47"/>
      <c r="V971" s="184"/>
      <c r="W971" s="184"/>
      <c r="X971" s="184"/>
      <c r="Y971" s="184"/>
      <c r="Z971" s="184"/>
      <c r="AA971" s="47"/>
      <c r="AB971" s="184"/>
    </row>
    <row r="972" spans="19:28">
      <c r="S972" s="47"/>
      <c r="U972" s="47"/>
      <c r="V972" s="184"/>
      <c r="W972" s="184"/>
      <c r="X972" s="184"/>
      <c r="Y972" s="184"/>
      <c r="Z972" s="184"/>
      <c r="AA972" s="47"/>
      <c r="AB972" s="184"/>
    </row>
    <row r="973" spans="19:28">
      <c r="S973" s="47"/>
      <c r="U973" s="47"/>
      <c r="V973" s="184"/>
      <c r="W973" s="184"/>
      <c r="X973" s="184"/>
      <c r="Y973" s="184"/>
      <c r="Z973" s="184"/>
      <c r="AA973" s="47"/>
      <c r="AB973" s="184"/>
    </row>
    <row r="974" spans="19:28">
      <c r="S974" s="47"/>
      <c r="U974" s="47"/>
      <c r="V974" s="184"/>
      <c r="W974" s="184"/>
      <c r="X974" s="184"/>
      <c r="Y974" s="184"/>
      <c r="Z974" s="184"/>
      <c r="AA974" s="47"/>
      <c r="AB974" s="184"/>
    </row>
    <row r="975" spans="19:28">
      <c r="S975" s="47"/>
      <c r="U975" s="47"/>
      <c r="V975" s="184"/>
      <c r="W975" s="184"/>
      <c r="X975" s="184"/>
      <c r="Y975" s="184"/>
      <c r="Z975" s="184"/>
      <c r="AA975" s="47"/>
      <c r="AB975" s="184"/>
    </row>
    <row r="976" spans="19:28">
      <c r="S976" s="47"/>
      <c r="U976" s="47"/>
      <c r="V976" s="184"/>
      <c r="W976" s="184"/>
      <c r="X976" s="184"/>
      <c r="Y976" s="184"/>
      <c r="Z976" s="184"/>
      <c r="AA976" s="47"/>
      <c r="AB976" s="184"/>
    </row>
    <row r="977" spans="19:28">
      <c r="S977" s="47"/>
      <c r="U977" s="47"/>
      <c r="V977" s="184"/>
      <c r="W977" s="184"/>
      <c r="X977" s="184"/>
      <c r="Y977" s="184"/>
      <c r="Z977" s="184"/>
      <c r="AA977" s="47"/>
      <c r="AB977" s="184"/>
    </row>
    <row r="978" spans="19:28">
      <c r="S978" s="47"/>
      <c r="U978" s="47"/>
      <c r="V978" s="184"/>
      <c r="W978" s="184"/>
      <c r="X978" s="184"/>
      <c r="Y978" s="184"/>
      <c r="Z978" s="184"/>
      <c r="AA978" s="47"/>
      <c r="AB978" s="184"/>
    </row>
    <row r="979" spans="19:28">
      <c r="S979" s="47"/>
      <c r="U979" s="47"/>
      <c r="V979" s="184"/>
      <c r="W979" s="184"/>
      <c r="X979" s="184"/>
      <c r="Y979" s="184"/>
      <c r="Z979" s="184"/>
      <c r="AA979" s="47"/>
      <c r="AB979" s="184"/>
    </row>
    <row r="980" spans="19:28">
      <c r="S980" s="47"/>
      <c r="U980" s="47"/>
      <c r="V980" s="184"/>
      <c r="W980" s="184"/>
      <c r="X980" s="184"/>
      <c r="Y980" s="184"/>
      <c r="Z980" s="184"/>
      <c r="AA980" s="47"/>
      <c r="AB980" s="184"/>
    </row>
    <row r="981" spans="19:28">
      <c r="S981" s="47"/>
      <c r="U981" s="47"/>
      <c r="V981" s="184"/>
      <c r="W981" s="184"/>
      <c r="X981" s="184"/>
      <c r="Y981" s="184"/>
      <c r="Z981" s="184"/>
      <c r="AA981" s="47"/>
      <c r="AB981" s="184"/>
    </row>
    <row r="982" spans="19:28">
      <c r="S982" s="47"/>
      <c r="U982" s="47"/>
      <c r="V982" s="184"/>
      <c r="W982" s="184"/>
      <c r="X982" s="184"/>
      <c r="Y982" s="184"/>
      <c r="Z982" s="184"/>
      <c r="AA982" s="47"/>
      <c r="AB982" s="184"/>
    </row>
    <row r="983" spans="19:28">
      <c r="S983" s="47"/>
      <c r="U983" s="47"/>
      <c r="V983" s="184"/>
      <c r="W983" s="184"/>
      <c r="X983" s="184"/>
      <c r="Y983" s="184"/>
      <c r="Z983" s="184"/>
      <c r="AA983" s="47"/>
      <c r="AB983" s="184"/>
    </row>
    <row r="984" spans="19:28">
      <c r="S984" s="47"/>
      <c r="U984" s="47"/>
      <c r="V984" s="184"/>
      <c r="W984" s="184"/>
      <c r="X984" s="184"/>
      <c r="Y984" s="184"/>
      <c r="Z984" s="184"/>
      <c r="AA984" s="47"/>
      <c r="AB984" s="184"/>
    </row>
    <row r="985" spans="19:28">
      <c r="S985" s="47"/>
      <c r="U985" s="47"/>
      <c r="V985" s="184"/>
      <c r="W985" s="184"/>
      <c r="X985" s="184"/>
      <c r="Y985" s="184"/>
      <c r="Z985" s="184"/>
      <c r="AA985" s="47"/>
      <c r="AB985" s="184"/>
    </row>
    <row r="986" spans="19:28">
      <c r="S986" s="47"/>
      <c r="U986" s="47"/>
      <c r="V986" s="184"/>
      <c r="W986" s="184"/>
      <c r="X986" s="184"/>
      <c r="Y986" s="184"/>
      <c r="Z986" s="184"/>
      <c r="AA986" s="47"/>
      <c r="AB986" s="184"/>
    </row>
    <row r="987" spans="19:28">
      <c r="S987" s="47"/>
      <c r="U987" s="47"/>
      <c r="V987" s="184"/>
      <c r="W987" s="184"/>
      <c r="X987" s="184"/>
      <c r="Y987" s="184"/>
      <c r="Z987" s="184"/>
      <c r="AA987" s="47"/>
      <c r="AB987" s="184"/>
    </row>
    <row r="988" spans="19:28">
      <c r="S988" s="47"/>
      <c r="U988" s="47"/>
      <c r="V988" s="184"/>
      <c r="W988" s="184"/>
      <c r="X988" s="184"/>
      <c r="Y988" s="184"/>
      <c r="Z988" s="184"/>
      <c r="AA988" s="47"/>
      <c r="AB988" s="184"/>
    </row>
    <row r="989" spans="19:28">
      <c r="S989" s="47"/>
      <c r="U989" s="47"/>
      <c r="V989" s="184"/>
      <c r="W989" s="184"/>
      <c r="X989" s="184"/>
      <c r="Y989" s="184"/>
      <c r="Z989" s="184"/>
      <c r="AA989" s="47"/>
      <c r="AB989" s="184"/>
    </row>
    <row r="990" spans="19:28">
      <c r="S990" s="47"/>
      <c r="U990" s="47"/>
      <c r="V990" s="184"/>
      <c r="W990" s="184"/>
      <c r="X990" s="184"/>
      <c r="Y990" s="184"/>
      <c r="Z990" s="184"/>
      <c r="AA990" s="47"/>
      <c r="AB990" s="184"/>
    </row>
    <row r="991" spans="19:28">
      <c r="S991" s="47"/>
      <c r="U991" s="47"/>
      <c r="V991" s="184"/>
      <c r="W991" s="184"/>
      <c r="X991" s="184"/>
      <c r="Y991" s="184"/>
      <c r="Z991" s="184"/>
      <c r="AA991" s="47"/>
      <c r="AB991" s="184"/>
    </row>
    <row r="992" spans="19:28">
      <c r="S992" s="47"/>
      <c r="U992" s="47"/>
      <c r="V992" s="184"/>
      <c r="W992" s="184"/>
      <c r="X992" s="184"/>
      <c r="Y992" s="184"/>
      <c r="Z992" s="184"/>
      <c r="AA992" s="47"/>
      <c r="AB992" s="184"/>
    </row>
    <row r="993" spans="19:28">
      <c r="S993" s="47"/>
      <c r="U993" s="47"/>
      <c r="V993" s="184"/>
      <c r="W993" s="184"/>
      <c r="X993" s="184"/>
      <c r="Y993" s="184"/>
      <c r="Z993" s="184"/>
      <c r="AA993" s="47"/>
      <c r="AB993" s="184"/>
    </row>
    <row r="994" spans="19:28">
      <c r="S994" s="47"/>
      <c r="U994" s="47"/>
      <c r="V994" s="184"/>
      <c r="W994" s="184"/>
      <c r="X994" s="184"/>
      <c r="Y994" s="184"/>
      <c r="Z994" s="184"/>
      <c r="AA994" s="47"/>
      <c r="AB994" s="184"/>
    </row>
    <row r="995" spans="19:28">
      <c r="S995" s="47"/>
      <c r="U995" s="47"/>
      <c r="V995" s="184"/>
      <c r="W995" s="184"/>
      <c r="X995" s="184"/>
      <c r="Y995" s="184"/>
      <c r="Z995" s="184"/>
      <c r="AA995" s="47"/>
      <c r="AB995" s="184"/>
    </row>
    <row r="996" spans="19:28">
      <c r="S996" s="47"/>
      <c r="U996" s="47"/>
      <c r="V996" s="184"/>
      <c r="W996" s="184"/>
      <c r="X996" s="184"/>
      <c r="Y996" s="184"/>
      <c r="Z996" s="184"/>
      <c r="AA996" s="47"/>
      <c r="AB996" s="184"/>
    </row>
    <row r="997" spans="19:28">
      <c r="S997" s="47"/>
      <c r="U997" s="47"/>
      <c r="V997" s="184"/>
      <c r="W997" s="184"/>
      <c r="X997" s="184"/>
      <c r="Y997" s="184"/>
      <c r="Z997" s="184"/>
      <c r="AA997" s="47"/>
      <c r="AB997" s="184"/>
    </row>
    <row r="998" spans="19:28">
      <c r="S998" s="47"/>
      <c r="U998" s="47"/>
      <c r="V998" s="184"/>
      <c r="W998" s="184"/>
      <c r="X998" s="184"/>
      <c r="Y998" s="184"/>
      <c r="Z998" s="184"/>
      <c r="AA998" s="47"/>
      <c r="AB998" s="184"/>
    </row>
    <row r="999" spans="19:28">
      <c r="S999" s="47"/>
      <c r="U999" s="47"/>
      <c r="V999" s="184"/>
      <c r="W999" s="184"/>
      <c r="X999" s="184"/>
      <c r="Y999" s="184"/>
      <c r="Z999" s="184"/>
      <c r="AA999" s="47"/>
      <c r="AB999" s="184"/>
    </row>
    <row r="1000" spans="19:28">
      <c r="S1000" s="47"/>
      <c r="U1000" s="47"/>
      <c r="V1000" s="184"/>
      <c r="W1000" s="184"/>
      <c r="X1000" s="184"/>
      <c r="Y1000" s="184"/>
      <c r="Z1000" s="184"/>
      <c r="AA1000" s="47"/>
      <c r="AB1000" s="184"/>
    </row>
    <row r="1001" spans="19:28">
      <c r="S1001" s="47"/>
      <c r="U1001" s="47"/>
      <c r="V1001" s="184"/>
      <c r="W1001" s="184"/>
      <c r="X1001" s="184"/>
      <c r="Y1001" s="184"/>
      <c r="Z1001" s="184"/>
      <c r="AA1001" s="47"/>
      <c r="AB1001" s="184"/>
    </row>
    <row r="1002" spans="19:28">
      <c r="S1002" s="47"/>
      <c r="U1002" s="47"/>
      <c r="V1002" s="184"/>
      <c r="W1002" s="184"/>
      <c r="X1002" s="184"/>
      <c r="Y1002" s="184"/>
      <c r="Z1002" s="184"/>
      <c r="AA1002" s="47"/>
      <c r="AB1002" s="184"/>
    </row>
    <row r="1003" spans="19:28">
      <c r="S1003" s="47"/>
      <c r="U1003" s="47"/>
      <c r="V1003" s="184"/>
      <c r="W1003" s="184"/>
      <c r="X1003" s="184"/>
      <c r="Y1003" s="184"/>
      <c r="Z1003" s="184"/>
      <c r="AA1003" s="47"/>
      <c r="AB1003" s="184"/>
    </row>
    <row r="1004" spans="19:28">
      <c r="S1004" s="47"/>
      <c r="U1004" s="47"/>
      <c r="V1004" s="184"/>
      <c r="W1004" s="184"/>
      <c r="X1004" s="184"/>
      <c r="Y1004" s="184"/>
      <c r="Z1004" s="184"/>
      <c r="AA1004" s="47"/>
      <c r="AB1004" s="184"/>
    </row>
    <row r="1005" spans="19:28">
      <c r="S1005" s="47"/>
      <c r="U1005" s="47"/>
      <c r="V1005" s="184"/>
      <c r="W1005" s="184"/>
      <c r="X1005" s="184"/>
      <c r="Y1005" s="184"/>
      <c r="Z1005" s="184"/>
      <c r="AA1005" s="47"/>
      <c r="AB1005" s="184"/>
    </row>
    <row r="1006" spans="19:28">
      <c r="S1006" s="47"/>
      <c r="U1006" s="47"/>
      <c r="V1006" s="184"/>
      <c r="W1006" s="184"/>
      <c r="X1006" s="184"/>
      <c r="Y1006" s="184"/>
      <c r="Z1006" s="184"/>
      <c r="AA1006" s="47"/>
      <c r="AB1006" s="184"/>
    </row>
    <row r="1007" spans="19:28">
      <c r="S1007" s="47"/>
      <c r="U1007" s="47"/>
      <c r="V1007" s="184"/>
      <c r="W1007" s="184"/>
      <c r="X1007" s="184"/>
      <c r="Y1007" s="184"/>
      <c r="Z1007" s="184"/>
      <c r="AA1007" s="47"/>
      <c r="AB1007" s="184"/>
    </row>
    <row r="1008" spans="19:28">
      <c r="S1008" s="47"/>
      <c r="U1008" s="47"/>
      <c r="V1008" s="184"/>
      <c r="W1008" s="184"/>
      <c r="X1008" s="184"/>
      <c r="Y1008" s="184"/>
      <c r="Z1008" s="184"/>
      <c r="AA1008" s="47"/>
      <c r="AB1008" s="184"/>
    </row>
    <row r="1009" spans="19:28">
      <c r="S1009" s="47"/>
      <c r="U1009" s="47"/>
      <c r="V1009" s="184"/>
      <c r="W1009" s="184"/>
      <c r="X1009" s="184"/>
      <c r="Y1009" s="184"/>
      <c r="Z1009" s="184"/>
      <c r="AA1009" s="47"/>
      <c r="AB1009" s="184"/>
    </row>
    <row r="1010" spans="19:28">
      <c r="S1010" s="47"/>
      <c r="U1010" s="47"/>
      <c r="V1010" s="184"/>
      <c r="W1010" s="184"/>
      <c r="X1010" s="184"/>
      <c r="Y1010" s="184"/>
      <c r="Z1010" s="184"/>
      <c r="AA1010" s="47"/>
      <c r="AB1010" s="184"/>
    </row>
    <row r="1011" spans="19:28">
      <c r="S1011" s="47"/>
      <c r="U1011" s="47"/>
      <c r="V1011" s="184"/>
      <c r="W1011" s="184"/>
      <c r="X1011" s="184"/>
      <c r="Y1011" s="184"/>
      <c r="Z1011" s="184"/>
      <c r="AA1011" s="47"/>
      <c r="AB1011" s="184"/>
    </row>
    <row r="1012" spans="19:28">
      <c r="S1012" s="47"/>
      <c r="U1012" s="47"/>
      <c r="V1012" s="184"/>
      <c r="W1012" s="184"/>
      <c r="X1012" s="184"/>
      <c r="Y1012" s="184"/>
      <c r="Z1012" s="184"/>
      <c r="AA1012" s="47"/>
      <c r="AB1012" s="184"/>
    </row>
    <row r="1013" spans="19:28">
      <c r="S1013" s="47"/>
      <c r="U1013" s="47"/>
      <c r="V1013" s="184"/>
      <c r="W1013" s="184"/>
      <c r="X1013" s="184"/>
      <c r="Y1013" s="184"/>
      <c r="Z1013" s="184"/>
      <c r="AA1013" s="47"/>
      <c r="AB1013" s="184"/>
    </row>
    <row r="1014" spans="19:28">
      <c r="S1014" s="47"/>
      <c r="U1014" s="47"/>
      <c r="V1014" s="184"/>
      <c r="W1014" s="184"/>
      <c r="X1014" s="184"/>
      <c r="Y1014" s="184"/>
      <c r="Z1014" s="184"/>
      <c r="AA1014" s="47"/>
      <c r="AB1014" s="184"/>
    </row>
    <row r="1015" spans="19:28">
      <c r="S1015" s="47"/>
      <c r="U1015" s="47"/>
      <c r="V1015" s="184"/>
      <c r="W1015" s="184"/>
      <c r="X1015" s="184"/>
      <c r="Y1015" s="184"/>
      <c r="Z1015" s="184"/>
      <c r="AA1015" s="47"/>
      <c r="AB1015" s="184"/>
    </row>
    <row r="1016" spans="19:28">
      <c r="S1016" s="47"/>
      <c r="U1016" s="47"/>
      <c r="V1016" s="184"/>
      <c r="W1016" s="184"/>
      <c r="X1016" s="184"/>
      <c r="Y1016" s="184"/>
      <c r="Z1016" s="184"/>
      <c r="AA1016" s="47"/>
      <c r="AB1016" s="184"/>
    </row>
    <row r="1017" spans="19:28">
      <c r="S1017" s="47"/>
      <c r="U1017" s="47"/>
      <c r="V1017" s="184"/>
      <c r="W1017" s="184"/>
      <c r="X1017" s="184"/>
      <c r="Y1017" s="184"/>
      <c r="Z1017" s="184"/>
      <c r="AA1017" s="47"/>
      <c r="AB1017" s="184"/>
    </row>
    <row r="1018" spans="19:28">
      <c r="S1018" s="47"/>
      <c r="U1018" s="47"/>
      <c r="V1018" s="184"/>
      <c r="W1018" s="184"/>
      <c r="X1018" s="184"/>
      <c r="Y1018" s="184"/>
      <c r="Z1018" s="184"/>
      <c r="AA1018" s="47"/>
      <c r="AB1018" s="184"/>
    </row>
    <row r="1019" spans="19:28">
      <c r="S1019" s="47"/>
      <c r="U1019" s="47"/>
      <c r="V1019" s="184"/>
      <c r="W1019" s="184"/>
      <c r="X1019" s="184"/>
      <c r="Y1019" s="184"/>
      <c r="Z1019" s="184"/>
      <c r="AA1019" s="47"/>
      <c r="AB1019" s="184"/>
    </row>
    <row r="1020" spans="19:28">
      <c r="S1020" s="47"/>
      <c r="U1020" s="47"/>
      <c r="V1020" s="184"/>
      <c r="W1020" s="184"/>
      <c r="X1020" s="184"/>
      <c r="Y1020" s="184"/>
      <c r="Z1020" s="184"/>
      <c r="AA1020" s="47"/>
      <c r="AB1020" s="184"/>
    </row>
    <row r="1021" spans="19:28">
      <c r="S1021" s="47"/>
      <c r="U1021" s="47"/>
      <c r="V1021" s="184"/>
      <c r="W1021" s="184"/>
      <c r="X1021" s="184"/>
      <c r="Y1021" s="184"/>
      <c r="Z1021" s="184"/>
      <c r="AA1021" s="47"/>
      <c r="AB1021" s="184"/>
    </row>
    <row r="1022" spans="19:28">
      <c r="S1022" s="47"/>
      <c r="U1022" s="47"/>
      <c r="V1022" s="184"/>
      <c r="W1022" s="184"/>
      <c r="X1022" s="184"/>
      <c r="Y1022" s="184"/>
      <c r="Z1022" s="184"/>
      <c r="AA1022" s="47"/>
      <c r="AB1022" s="184"/>
    </row>
    <row r="1023" spans="19:28">
      <c r="S1023" s="47"/>
      <c r="U1023" s="47"/>
      <c r="V1023" s="184"/>
      <c r="W1023" s="184"/>
      <c r="X1023" s="184"/>
      <c r="Y1023" s="184"/>
      <c r="Z1023" s="184"/>
      <c r="AA1023" s="47"/>
      <c r="AB1023" s="184"/>
    </row>
    <row r="1024" spans="19:28">
      <c r="S1024" s="47"/>
      <c r="U1024" s="47"/>
      <c r="V1024" s="184"/>
      <c r="W1024" s="184"/>
      <c r="X1024" s="184"/>
      <c r="Y1024" s="184"/>
      <c r="Z1024" s="184"/>
      <c r="AA1024" s="47"/>
      <c r="AB1024" s="184"/>
    </row>
    <row r="1025" spans="19:28">
      <c r="S1025" s="47"/>
      <c r="U1025" s="47"/>
      <c r="V1025" s="184"/>
      <c r="W1025" s="184"/>
      <c r="X1025" s="184"/>
      <c r="Y1025" s="184"/>
      <c r="Z1025" s="184"/>
      <c r="AA1025" s="47"/>
      <c r="AB1025" s="184"/>
    </row>
    <row r="1026" spans="19:28">
      <c r="S1026" s="47"/>
      <c r="U1026" s="47"/>
      <c r="V1026" s="184"/>
      <c r="W1026" s="184"/>
      <c r="X1026" s="184"/>
      <c r="Y1026" s="184"/>
      <c r="Z1026" s="184"/>
      <c r="AA1026" s="47"/>
      <c r="AB1026" s="184"/>
    </row>
    <row r="1027" spans="19:28">
      <c r="S1027" s="47"/>
      <c r="U1027" s="47"/>
      <c r="V1027" s="184"/>
      <c r="W1027" s="184"/>
      <c r="X1027" s="184"/>
      <c r="Y1027" s="184"/>
      <c r="Z1027" s="184"/>
      <c r="AA1027" s="47"/>
      <c r="AB1027" s="184"/>
    </row>
    <row r="1028" spans="19:28">
      <c r="S1028" s="47"/>
      <c r="U1028" s="47"/>
      <c r="V1028" s="184"/>
      <c r="W1028" s="184"/>
      <c r="X1028" s="184"/>
      <c r="Y1028" s="184"/>
      <c r="Z1028" s="184"/>
      <c r="AA1028" s="47"/>
      <c r="AB1028" s="184"/>
    </row>
    <row r="1029" spans="19:28">
      <c r="S1029" s="47"/>
      <c r="U1029" s="47"/>
      <c r="V1029" s="184"/>
      <c r="W1029" s="184"/>
      <c r="X1029" s="184"/>
      <c r="Y1029" s="184"/>
      <c r="Z1029" s="184"/>
      <c r="AA1029" s="47"/>
      <c r="AB1029" s="184"/>
    </row>
  </sheetData>
  <mergeCells count="2">
    <mergeCell ref="B14:B15"/>
    <mergeCell ref="D14:D15"/>
  </mergeCells>
  <phoneticPr fontId="122" type="noConversion"/>
  <printOptions horizontalCentered="1"/>
  <pageMargins left="0.31" right="0.3" top="1" bottom="1" header="0.5" footer="0.5"/>
  <pageSetup scale="35" fitToHeight="0" orientation="landscape" r:id="rId1"/>
  <headerFooter scaleWithDoc="0" alignWithMargins="0">
    <oddHeader>&amp;RPage &amp;P of &amp;N</oddHeader>
    <oddFooter>&amp;LElectronic Tab Name: &amp;A</oddFooter>
  </headerFooter>
  <colBreaks count="1" manualBreakCount="1">
    <brk id="16" max="744" man="1"/>
  </colBreaks>
  <ignoredErrors>
    <ignoredError sqref="F11:R1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D45BC-9AC2-4B7E-9D70-D6D1BB0485C1}">
  <sheetPr codeName="Sheet79"/>
  <dimension ref="A1"/>
  <sheetViews>
    <sheetView topLeftCell="A4" workbookViewId="0"/>
  </sheetViews>
  <sheetFormatPr defaultRowHeight="15"/>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3DF9-CE79-439E-83FB-DAB8AD196AC1}">
  <sheetPr codeName="Sheet80"/>
  <dimension ref="A1:X392"/>
  <sheetViews>
    <sheetView workbookViewId="0">
      <selection activeCell="X15" sqref="X15:X61"/>
    </sheetView>
  </sheetViews>
  <sheetFormatPr defaultColWidth="10.28515625" defaultRowHeight="15"/>
  <cols>
    <col min="1" max="1" width="4.42578125" bestFit="1" customWidth="1"/>
    <col min="2" max="2" width="67.85546875" bestFit="1" customWidth="1"/>
    <col min="3" max="3" width="11.28515625" bestFit="1" customWidth="1"/>
    <col min="4" max="4" width="18.5703125" bestFit="1" customWidth="1"/>
    <col min="5" max="5" width="18.5703125" customWidth="1"/>
    <col min="6" max="6" width="31.7109375" customWidth="1"/>
    <col min="7" max="7" width="15.140625" customWidth="1"/>
    <col min="8" max="8" width="13.85546875" customWidth="1"/>
    <col min="9" max="9" width="29.7109375" customWidth="1"/>
    <col min="10" max="10" width="21.85546875" customWidth="1"/>
    <col min="11" max="11" width="19.85546875" customWidth="1"/>
    <col min="12" max="12" width="35.5703125" bestFit="1" customWidth="1"/>
    <col min="13" max="13" width="12.42578125" customWidth="1"/>
    <col min="14" max="14" width="13.28515625" bestFit="1" customWidth="1"/>
    <col min="15" max="15" width="13.140625" bestFit="1" customWidth="1"/>
    <col min="16" max="16" width="14.85546875" customWidth="1"/>
    <col min="17" max="17" width="14.7109375" bestFit="1" customWidth="1"/>
    <col min="19" max="19" width="35.5703125" bestFit="1" customWidth="1"/>
    <col min="20" max="20" width="15" bestFit="1" customWidth="1"/>
    <col min="21" max="21" width="18.140625" bestFit="1" customWidth="1"/>
    <col min="22" max="22" width="16.28515625" bestFit="1" customWidth="1"/>
    <col min="23" max="24" width="14.85546875" bestFit="1" customWidth="1"/>
  </cols>
  <sheetData>
    <row r="1" spans="1:24">
      <c r="A1" s="449"/>
      <c r="B1" s="4" t="str">
        <f>Company</f>
        <v>Cascade Natural Gas Corp.</v>
      </c>
      <c r="C1" s="449"/>
    </row>
    <row r="2" spans="1:24">
      <c r="A2" s="449"/>
      <c r="B2" s="1066" t="str">
        <f>Title1</f>
        <v>Washington Jurisdiction</v>
      </c>
      <c r="C2" s="449"/>
      <c r="E2" s="1096"/>
    </row>
    <row r="3" spans="1:24">
      <c r="A3" s="449"/>
      <c r="B3" s="1066" t="str">
        <f>Title2</f>
        <v>Twelve-Months ended December 31, 2023</v>
      </c>
      <c r="C3" s="449"/>
      <c r="D3" s="522"/>
    </row>
    <row r="4" spans="1:24">
      <c r="A4" s="449"/>
      <c r="B4" s="4" t="str">
        <f>Title8</f>
        <v>UG-240008</v>
      </c>
      <c r="C4" s="449"/>
      <c r="D4" s="522"/>
    </row>
    <row r="5" spans="1:24">
      <c r="A5" s="449"/>
      <c r="B5" s="91" t="s">
        <v>3801</v>
      </c>
      <c r="C5" s="449"/>
      <c r="D5" s="522"/>
    </row>
    <row r="6" spans="1:24">
      <c r="A6" s="449"/>
      <c r="B6" s="91" t="s">
        <v>3800</v>
      </c>
      <c r="C6" s="449"/>
      <c r="D6" s="522"/>
    </row>
    <row r="7" spans="1:24">
      <c r="A7" s="449"/>
      <c r="B7" s="91"/>
      <c r="C7" s="449"/>
      <c r="D7" s="522"/>
    </row>
    <row r="8" spans="1:24">
      <c r="A8" s="449"/>
      <c r="B8" s="805" t="s">
        <v>439</v>
      </c>
      <c r="C8" s="805" t="s">
        <v>208</v>
      </c>
      <c r="D8" s="805" t="s">
        <v>209</v>
      </c>
      <c r="E8" s="806" t="s">
        <v>440</v>
      </c>
      <c r="F8" s="806" t="s">
        <v>441</v>
      </c>
      <c r="G8" s="805" t="s">
        <v>442</v>
      </c>
      <c r="H8" s="805" t="s">
        <v>443</v>
      </c>
      <c r="I8" s="807" t="s">
        <v>444</v>
      </c>
      <c r="J8" s="807" t="s">
        <v>445</v>
      </c>
      <c r="K8" s="807" t="s">
        <v>446</v>
      </c>
      <c r="L8" s="807" t="s">
        <v>447</v>
      </c>
      <c r="M8" s="807" t="s">
        <v>448</v>
      </c>
      <c r="N8" s="807" t="s">
        <v>449</v>
      </c>
      <c r="O8" s="807" t="s">
        <v>450</v>
      </c>
      <c r="P8" s="807" t="s">
        <v>451</v>
      </c>
      <c r="Q8" s="807" t="s">
        <v>452</v>
      </c>
      <c r="R8" s="807" t="s">
        <v>1502</v>
      </c>
      <c r="S8" s="807" t="s">
        <v>1503</v>
      </c>
      <c r="T8" s="807" t="s">
        <v>1504</v>
      </c>
      <c r="U8" s="807" t="s">
        <v>1505</v>
      </c>
      <c r="V8" s="807" t="s">
        <v>1506</v>
      </c>
      <c r="W8" s="807" t="s">
        <v>1507</v>
      </c>
    </row>
    <row r="9" spans="1:24" ht="45">
      <c r="A9" s="1067" t="s">
        <v>504</v>
      </c>
      <c r="B9" s="4" t="s">
        <v>3553</v>
      </c>
      <c r="C9" s="1067" t="s">
        <v>1457</v>
      </c>
      <c r="D9" s="1067" t="s">
        <v>3554</v>
      </c>
      <c r="E9" s="1067" t="s">
        <v>3555</v>
      </c>
      <c r="F9" s="1067" t="s">
        <v>3556</v>
      </c>
    </row>
    <row r="10" spans="1:24">
      <c r="A10" s="449" t="str">
        <f>IF(B10="","",MAX(A$1:A9)+1)</f>
        <v/>
      </c>
      <c r="C10" s="449"/>
      <c r="T10" s="449" t="s">
        <v>4089</v>
      </c>
      <c r="U10" s="449" t="s">
        <v>4090</v>
      </c>
      <c r="V10" s="449" t="s">
        <v>4077</v>
      </c>
      <c r="W10" t="s">
        <v>4078</v>
      </c>
    </row>
    <row r="11" spans="1:24">
      <c r="A11" s="449">
        <f>IF(B11="","",COUNTA(B$11:B11))</f>
        <v>1</v>
      </c>
      <c r="B11" s="4" t="s">
        <v>3557</v>
      </c>
      <c r="C11" s="449"/>
      <c r="J11" t="s">
        <v>3558</v>
      </c>
      <c r="K11" t="s">
        <v>3559</v>
      </c>
      <c r="L11" s="449" t="s">
        <v>4077</v>
      </c>
      <c r="M11" t="s">
        <v>4078</v>
      </c>
      <c r="P11" t="s">
        <v>4086</v>
      </c>
      <c r="Q11" t="s">
        <v>4087</v>
      </c>
      <c r="S11" s="4" t="s">
        <v>1752</v>
      </c>
      <c r="T11" s="4"/>
      <c r="U11" s="4"/>
    </row>
    <row r="12" spans="1:24">
      <c r="A12" s="449">
        <f>IF(B12="","",COUNTA(B$11:B12))</f>
        <v>2</v>
      </c>
      <c r="B12" s="4" t="s">
        <v>3560</v>
      </c>
      <c r="C12" s="449"/>
      <c r="I12" t="s">
        <v>1076</v>
      </c>
      <c r="J12" s="527">
        <v>114156.01000000001</v>
      </c>
      <c r="K12" s="527">
        <v>0</v>
      </c>
      <c r="L12" s="527">
        <v>114162.97958333335</v>
      </c>
      <c r="M12" s="527">
        <v>0</v>
      </c>
      <c r="P12" s="527"/>
      <c r="S12" t="s">
        <v>1076</v>
      </c>
      <c r="T12" s="532">
        <f>SUMIF($I$12:$I$170,S12,$J$12:$J$170)</f>
        <v>114156.01000000001</v>
      </c>
      <c r="U12" s="532">
        <f>SUMIF($I$12:$I$170,S12,$K$12:$K$170)</f>
        <v>0</v>
      </c>
      <c r="V12" s="532">
        <f>SUMIF($I$12:$I$170,S12,$L$12:$L$170)</f>
        <v>114162.97958333335</v>
      </c>
      <c r="W12" s="532">
        <f>SUMIF($I$12:$I$170,S12,$M$12:$M$170)</f>
        <v>0</v>
      </c>
      <c r="X12" s="527"/>
    </row>
    <row r="13" spans="1:24">
      <c r="A13" s="449">
        <f>IF(B13="","",COUNTA(B$11:B13))</f>
        <v>3</v>
      </c>
      <c r="B13" s="4" t="s">
        <v>2417</v>
      </c>
      <c r="C13" s="449"/>
      <c r="I13" t="s">
        <v>1077</v>
      </c>
      <c r="J13" s="527">
        <v>0</v>
      </c>
      <c r="K13" s="527">
        <v>0</v>
      </c>
      <c r="L13" s="527">
        <v>0</v>
      </c>
      <c r="M13" s="527">
        <v>0</v>
      </c>
      <c r="O13" t="s">
        <v>3561</v>
      </c>
      <c r="P13" s="527">
        <v>-39961.48000000001</v>
      </c>
      <c r="Q13" s="527">
        <v>-45198.084166666675</v>
      </c>
      <c r="S13" t="s">
        <v>1077</v>
      </c>
      <c r="T13" s="532">
        <f>SUMIF($I$12:$I$170,S13,$J$12:$J$170)</f>
        <v>138157.95000000001</v>
      </c>
      <c r="U13" s="532">
        <f>SUMIF($I$12:$I$170,S13,$K$12:$K$170)</f>
        <v>138157.95000000001</v>
      </c>
      <c r="V13" s="532">
        <f>SUMIF($I$12:$I$170,S13,$L$12:$L$170)</f>
        <v>138157.94999999998</v>
      </c>
      <c r="W13" s="532">
        <f>SUMIF($I$12:$I$170,S13,$M$12:$M$170)</f>
        <v>138157.94999999998</v>
      </c>
      <c r="X13" s="527"/>
    </row>
    <row r="14" spans="1:24">
      <c r="A14" s="449">
        <f>IF(B14="","",COUNTA(B$11:B14))</f>
        <v>4</v>
      </c>
      <c r="B14" s="1068" t="s">
        <v>3562</v>
      </c>
      <c r="C14" s="1069">
        <v>301</v>
      </c>
      <c r="D14" s="1070">
        <f>SUM(J12)</f>
        <v>114156.01000000001</v>
      </c>
      <c r="E14" s="1071"/>
      <c r="I14" t="s">
        <v>1077</v>
      </c>
      <c r="J14" s="527">
        <v>138157.95000000001</v>
      </c>
      <c r="K14" s="527">
        <v>138157.95000000001</v>
      </c>
      <c r="L14" s="527">
        <v>138157.94999999998</v>
      </c>
      <c r="M14" s="527">
        <v>138157.94999999998</v>
      </c>
      <c r="O14" t="s">
        <v>3563</v>
      </c>
      <c r="P14" s="527">
        <v>2282.2000000000003</v>
      </c>
      <c r="Q14" s="527">
        <v>2282.2000000000003</v>
      </c>
      <c r="S14" t="s">
        <v>1078</v>
      </c>
      <c r="T14" s="615">
        <f>SUMIF($I$12:$I$170,S14,$J$12:$J$170)</f>
        <v>57006600.719999999</v>
      </c>
      <c r="U14" s="615">
        <f>SUMIF($I$12:$I$170,S14,$K$12:$K$170)</f>
        <v>29785135.070000011</v>
      </c>
      <c r="V14" s="615">
        <f>SUMIF($I$12:$I$170,S14,$L$12:$L$170)</f>
        <v>55746947.270000011</v>
      </c>
      <c r="W14" s="615">
        <f>SUMIF($I$12:$I$170,S14,$M$12:$M$170)</f>
        <v>28112123.334166668</v>
      </c>
      <c r="X14" s="527"/>
    </row>
    <row r="15" spans="1:24">
      <c r="A15" s="449">
        <f>IF(B15="","",COUNTA(B$11:B15))</f>
        <v>5</v>
      </c>
      <c r="B15" s="1068" t="s">
        <v>3564</v>
      </c>
      <c r="C15" s="1069">
        <v>302</v>
      </c>
      <c r="D15" s="1070">
        <f>SUM(J13:J14)</f>
        <v>138157.95000000001</v>
      </c>
      <c r="E15" s="1071"/>
      <c r="I15" t="s">
        <v>1078</v>
      </c>
      <c r="J15" s="527">
        <v>0</v>
      </c>
      <c r="K15" s="527">
        <v>0</v>
      </c>
      <c r="L15" s="527">
        <v>0</v>
      </c>
      <c r="M15" s="527">
        <v>0</v>
      </c>
      <c r="O15" t="s">
        <v>3565</v>
      </c>
      <c r="P15" s="527">
        <v>331.98</v>
      </c>
      <c r="Q15" s="527">
        <v>618.07749999999987</v>
      </c>
      <c r="S15" s="4" t="s">
        <v>4082</v>
      </c>
      <c r="T15" s="522">
        <f>SUM(T12:T14)</f>
        <v>57258914.68</v>
      </c>
      <c r="U15" s="522">
        <f>SUM(U12:U14)</f>
        <v>29923293.020000011</v>
      </c>
      <c r="V15" s="522">
        <f>SUM(V12:V14)</f>
        <v>55999268.199583344</v>
      </c>
      <c r="W15" s="522">
        <f>SUM(W12:W14)</f>
        <v>28250281.284166668</v>
      </c>
      <c r="X15" s="527"/>
    </row>
    <row r="16" spans="1:24">
      <c r="A16" s="449">
        <f>IF(B16="","",COUNTA(B$11:B16))</f>
        <v>6</v>
      </c>
      <c r="B16" s="1068" t="s">
        <v>3566</v>
      </c>
      <c r="C16" s="1069">
        <v>303</v>
      </c>
      <c r="D16" s="1070">
        <f>SUM(J15:J76)</f>
        <v>57006600.719999999</v>
      </c>
      <c r="E16" s="1071"/>
      <c r="I16" t="s">
        <v>1078</v>
      </c>
      <c r="J16" s="527">
        <v>0</v>
      </c>
      <c r="K16" s="527">
        <v>0</v>
      </c>
      <c r="L16" s="527">
        <v>0</v>
      </c>
      <c r="M16" s="527">
        <v>0</v>
      </c>
      <c r="O16" t="s">
        <v>3567</v>
      </c>
      <c r="P16" s="527">
        <v>794064.83999999845</v>
      </c>
      <c r="Q16" s="527">
        <v>951593.91916666506</v>
      </c>
      <c r="S16" s="4" t="s">
        <v>4081</v>
      </c>
      <c r="T16" s="522"/>
      <c r="U16" s="522"/>
      <c r="V16" s="522"/>
      <c r="W16" s="522"/>
      <c r="X16" s="527"/>
    </row>
    <row r="17" spans="1:24">
      <c r="A17" s="449">
        <f>IF(B17="","",COUNTA(B$11:B17))</f>
        <v>7</v>
      </c>
      <c r="B17" t="str">
        <f>"Subtotal - "&amp;B13</f>
        <v>Subtotal - Intangible Plant</v>
      </c>
      <c r="C17" s="1072"/>
      <c r="D17" s="578">
        <f>SUBTOTAL(9,D14:D16)</f>
        <v>57258914.68</v>
      </c>
      <c r="E17" s="1071"/>
      <c r="I17" t="s">
        <v>1078</v>
      </c>
      <c r="J17" s="527">
        <v>0</v>
      </c>
      <c r="K17" s="527">
        <v>0</v>
      </c>
      <c r="L17" s="527">
        <v>0</v>
      </c>
      <c r="M17" s="527">
        <v>0</v>
      </c>
      <c r="O17" t="s">
        <v>3568</v>
      </c>
      <c r="P17" s="527">
        <v>1448.67</v>
      </c>
      <c r="Q17" s="527">
        <v>18996.171250000003</v>
      </c>
      <c r="S17" t="s">
        <v>1079</v>
      </c>
      <c r="T17" s="532">
        <f>SUMIF($I$12:$I$170,S17,$J$12:$J$170)</f>
        <v>338215.79</v>
      </c>
      <c r="U17" s="532">
        <f>SUMIF($I$12:$I$170,S17,$K$12:$K$170)</f>
        <v>0</v>
      </c>
      <c r="V17" s="532">
        <f>SUMIF($I$12:$I$170,S17,$L$12:$L$170)</f>
        <v>338215.79</v>
      </c>
      <c r="W17" s="532">
        <f>SUMIF($I$12:$I$170,S17,$M$12:$M$170)</f>
        <v>0</v>
      </c>
      <c r="X17" s="527"/>
    </row>
    <row r="18" spans="1:24">
      <c r="A18" s="449" t="str">
        <f>IF(B18="","",COUNTA(B$11:B18))</f>
        <v/>
      </c>
      <c r="C18" s="1072"/>
      <c r="D18" s="1071"/>
      <c r="E18" s="1071"/>
      <c r="I18" t="s">
        <v>1078</v>
      </c>
      <c r="J18" s="527">
        <v>0</v>
      </c>
      <c r="K18" s="527">
        <v>0</v>
      </c>
      <c r="L18" s="527">
        <v>0</v>
      </c>
      <c r="M18" s="527">
        <v>0</v>
      </c>
      <c r="O18" t="s">
        <v>3569</v>
      </c>
      <c r="P18" s="527">
        <v>113803.78999999995</v>
      </c>
      <c r="Q18" s="527">
        <v>113124.60166666663</v>
      </c>
      <c r="S18" t="s">
        <v>1080</v>
      </c>
      <c r="T18" s="532">
        <f>SUMIF($I$12:$I$170,S18,$J$12:$J$170)</f>
        <v>1071405.18</v>
      </c>
      <c r="U18" s="532">
        <f>SUMIF($I$12:$I$170,S18,$K$12:$K$170)</f>
        <v>853231.62</v>
      </c>
      <c r="V18" s="532">
        <f>SUMIF($I$12:$I$170,S18,$L$12:$L$170)</f>
        <v>1047149.2595833335</v>
      </c>
      <c r="W18" s="532">
        <f>SUMIF($I$12:$I$170,S18,$M$12:$M$170)</f>
        <v>849792.42000000027</v>
      </c>
      <c r="X18" s="527"/>
    </row>
    <row r="19" spans="1:24">
      <c r="A19" s="449">
        <f>IF(B19="","",COUNTA(B$11:B19))</f>
        <v>8</v>
      </c>
      <c r="B19" s="4" t="s">
        <v>3570</v>
      </c>
      <c r="C19" s="1072"/>
      <c r="D19" s="1071"/>
      <c r="E19" s="1071"/>
      <c r="I19" t="s">
        <v>1078</v>
      </c>
      <c r="J19" s="527">
        <v>12647.45</v>
      </c>
      <c r="K19" s="527">
        <v>4159.3100000000004</v>
      </c>
      <c r="L19" s="527">
        <v>12647.449999999999</v>
      </c>
      <c r="M19" s="527">
        <v>3843.1100000000006</v>
      </c>
      <c r="O19" t="s">
        <v>3571</v>
      </c>
      <c r="P19" s="527">
        <v>-27170.389999999992</v>
      </c>
      <c r="Q19" s="527">
        <v>-8359.6737499999908</v>
      </c>
      <c r="S19" t="s">
        <v>1081</v>
      </c>
      <c r="T19" s="532">
        <f>SUMIF($I$12:$I$170,S19,$J$12:$J$170)</f>
        <v>124315.06</v>
      </c>
      <c r="U19" s="532">
        <f>SUMIF($I$12:$I$170,S19,$K$12:$K$170)</f>
        <v>310.78000000000003</v>
      </c>
      <c r="V19" s="532">
        <f>SUMIF($I$12:$I$170,S19,$L$12:$L$170)</f>
        <v>25898.970833333336</v>
      </c>
      <c r="W19" s="532">
        <f>SUMIF($I$12:$I$170,S19,$M$12:$M$170)</f>
        <v>25.898333333333337</v>
      </c>
      <c r="X19" s="527"/>
    </row>
    <row r="20" spans="1:24">
      <c r="A20" s="449">
        <f>IF(B20="","",COUNTA(B$11:B20))</f>
        <v>9</v>
      </c>
      <c r="B20" s="1068" t="s">
        <v>3572</v>
      </c>
      <c r="C20" s="1069">
        <v>360</v>
      </c>
      <c r="D20" s="1070">
        <v>0</v>
      </c>
      <c r="E20" s="1071"/>
      <c r="I20" t="s">
        <v>1078</v>
      </c>
      <c r="J20" s="527">
        <v>45037.37</v>
      </c>
      <c r="K20" s="527">
        <v>10227.469999999999</v>
      </c>
      <c r="L20" s="527">
        <v>45037.37</v>
      </c>
      <c r="M20" s="527">
        <v>9664.49</v>
      </c>
      <c r="O20" t="s">
        <v>3573</v>
      </c>
      <c r="P20" s="527">
        <v>272367.63999999978</v>
      </c>
      <c r="Q20" s="527">
        <v>499481.71416666638</v>
      </c>
      <c r="S20" t="s">
        <v>1082</v>
      </c>
      <c r="T20" s="532">
        <f>SUMIF($I$12:$I$170,S20,$J$12:$J$170)</f>
        <v>17254526.629999999</v>
      </c>
      <c r="U20" s="532">
        <f>SUMIF($I$12:$I$170,S20,$K$12:$K$170)-P13</f>
        <v>12186427.92</v>
      </c>
      <c r="V20" s="532">
        <f>SUMIF($I$12:$I$170,S20,$L$12:$L$170)</f>
        <v>16970457.563750003</v>
      </c>
      <c r="W20" s="532">
        <f>SUMIF($I$12:$I$170,S20,$M$12:$M$170)-Q13</f>
        <v>12083280.897499999</v>
      </c>
      <c r="X20" s="527"/>
    </row>
    <row r="21" spans="1:24">
      <c r="A21" s="449">
        <f>IF(B21="","",COUNTA(B$11:B21))</f>
        <v>10</v>
      </c>
      <c r="B21" s="1068" t="s">
        <v>3574</v>
      </c>
      <c r="C21" s="1069">
        <v>361</v>
      </c>
      <c r="D21" s="1070">
        <v>0</v>
      </c>
      <c r="E21" s="1071"/>
      <c r="I21" t="s">
        <v>1078</v>
      </c>
      <c r="J21" s="527">
        <v>1218966.19</v>
      </c>
      <c r="K21" s="527">
        <v>248332.98</v>
      </c>
      <c r="L21" s="527">
        <v>1218966.1899999997</v>
      </c>
      <c r="M21" s="527">
        <v>233095.92</v>
      </c>
      <c r="O21" t="s">
        <v>3575</v>
      </c>
      <c r="P21" s="527">
        <v>5707.0900000002439</v>
      </c>
      <c r="Q21" s="527">
        <v>65449.111250000249</v>
      </c>
      <c r="S21" t="s">
        <v>1083</v>
      </c>
      <c r="T21" s="615">
        <f>SUMIF($I$12:$I$170,S21,$J$12:$J$170)</f>
        <v>135338.4</v>
      </c>
      <c r="U21" s="615">
        <f>SUMIF($I$12:$I$170,S21,$K$12:$K$170)-P14</f>
        <v>146590.03999999998</v>
      </c>
      <c r="V21" s="615">
        <f>SUMIF($I$12:$I$170,S21,$L$12:$L$170)</f>
        <v>135338.39999999997</v>
      </c>
      <c r="W21" s="615">
        <f>SUMIF($I$12:$I$170,S21,$M$12:$M$170)-Q14</f>
        <v>146590.03999999998</v>
      </c>
      <c r="X21" s="527"/>
    </row>
    <row r="22" spans="1:24">
      <c r="A22" s="449">
        <f>IF(B22="","",COUNTA(B$11:B22))</f>
        <v>11</v>
      </c>
      <c r="B22" s="1068" t="s">
        <v>3576</v>
      </c>
      <c r="C22" s="1069">
        <v>362</v>
      </c>
      <c r="D22" s="1070">
        <v>0</v>
      </c>
      <c r="E22" s="1071"/>
      <c r="I22" t="s">
        <v>1078</v>
      </c>
      <c r="J22" s="527">
        <v>2333239.5300000003</v>
      </c>
      <c r="K22" s="527">
        <v>348678.84</v>
      </c>
      <c r="L22" s="527">
        <v>2333239.5300000007</v>
      </c>
      <c r="M22" s="527">
        <v>319513.32</v>
      </c>
      <c r="O22" t="s">
        <v>3577</v>
      </c>
      <c r="P22" s="527">
        <v>11973.750000000004</v>
      </c>
      <c r="Q22" s="527">
        <v>5333.0033333333349</v>
      </c>
      <c r="S22" s="4" t="s">
        <v>4083</v>
      </c>
      <c r="T22" s="522">
        <f>SUM(T17:T21)</f>
        <v>18923801.059999999</v>
      </c>
      <c r="U22" s="522">
        <f>SUM(U17:U21)</f>
        <v>13186560.359999999</v>
      </c>
      <c r="V22" s="522">
        <f>SUM(V17:V21)</f>
        <v>18517059.984166667</v>
      </c>
      <c r="W22" s="522">
        <f>SUM(W17:W21)</f>
        <v>13079689.255833331</v>
      </c>
      <c r="X22" s="527"/>
    </row>
    <row r="23" spans="1:24">
      <c r="A23" s="449">
        <f>IF(B23="","",COUNTA(B$11:B23))</f>
        <v>12</v>
      </c>
      <c r="B23" s="1068" t="s">
        <v>3578</v>
      </c>
      <c r="C23" s="1069">
        <v>363</v>
      </c>
      <c r="D23" s="1070">
        <v>0</v>
      </c>
      <c r="E23" s="1071"/>
      <c r="I23" t="s">
        <v>1078</v>
      </c>
      <c r="J23" s="527">
        <v>8000.9000000000005</v>
      </c>
      <c r="K23" s="527">
        <v>1066.8800000000001</v>
      </c>
      <c r="L23" s="527">
        <v>8000.8999999999987</v>
      </c>
      <c r="M23" s="527">
        <v>966.86</v>
      </c>
      <c r="O23" t="s">
        <v>3579</v>
      </c>
      <c r="P23" s="527">
        <v>2428.0499999999956</v>
      </c>
      <c r="Q23" s="527">
        <v>14864.010416666664</v>
      </c>
      <c r="S23" s="4" t="s">
        <v>1799</v>
      </c>
      <c r="T23" s="522"/>
      <c r="U23" s="522"/>
      <c r="V23" s="522"/>
      <c r="W23" s="522"/>
      <c r="X23" s="527"/>
    </row>
    <row r="24" spans="1:24">
      <c r="A24" s="449">
        <f>IF(B24="","",COUNTA(B$11:B24))</f>
        <v>13</v>
      </c>
      <c r="B24" t="str">
        <f>"Subtotal - "&amp;B19</f>
        <v>Subtotal - Natural Gas Other Storage Plant</v>
      </c>
      <c r="C24" s="449"/>
      <c r="D24" s="578">
        <f>SUBTOTAL(9,D20:D23)</f>
        <v>0</v>
      </c>
      <c r="E24" s="1071"/>
      <c r="I24" t="s">
        <v>1078</v>
      </c>
      <c r="J24" s="527">
        <v>12319467.029999999</v>
      </c>
      <c r="K24" s="527">
        <v>939695.93</v>
      </c>
      <c r="L24" s="527">
        <v>12319467.029999999</v>
      </c>
      <c r="M24" s="527">
        <v>785702.57</v>
      </c>
      <c r="O24" t="s">
        <v>3580</v>
      </c>
      <c r="P24" s="527">
        <v>24865.080000000042</v>
      </c>
      <c r="Q24" s="527">
        <v>18275.831250000043</v>
      </c>
      <c r="S24" t="s">
        <v>1085</v>
      </c>
      <c r="T24" s="532">
        <f t="shared" ref="T24:T38" si="0">SUMIF($I$12:$I$170,S24,$J$12:$J$170)</f>
        <v>491868.5</v>
      </c>
      <c r="U24" s="532">
        <f>SUMIF($I$12:$I$170,S24,$K$12:$K$170)</f>
        <v>0</v>
      </c>
      <c r="V24" s="532">
        <f t="shared" ref="V24:V38" si="1">SUMIF($I$12:$I$170,S24,$L$12:$L$170)</f>
        <v>491872.84958333336</v>
      </c>
      <c r="W24" s="532">
        <f>SUMIF($I$12:$I$170,S24,$M$12:$M$170)</f>
        <v>0</v>
      </c>
      <c r="X24" s="527"/>
    </row>
    <row r="25" spans="1:24">
      <c r="A25" s="449" t="str">
        <f>IF(B25="","",COUNTA(B$11:B25))</f>
        <v/>
      </c>
      <c r="C25" s="449"/>
      <c r="D25" s="578"/>
      <c r="E25" s="1071"/>
      <c r="I25" t="s">
        <v>1078</v>
      </c>
      <c r="J25" s="527">
        <v>2839132.67</v>
      </c>
      <c r="K25" s="527">
        <v>141692.81</v>
      </c>
      <c r="L25" s="527">
        <v>2839575.5141666667</v>
      </c>
      <c r="M25" s="527">
        <v>106202.72749999999</v>
      </c>
      <c r="O25" t="s">
        <v>3581</v>
      </c>
      <c r="P25" s="527">
        <v>-24819.230000000025</v>
      </c>
      <c r="Q25" s="527">
        <v>-53261.86958333337</v>
      </c>
      <c r="S25" t="s">
        <v>1086</v>
      </c>
      <c r="T25" s="532">
        <f t="shared" si="0"/>
        <v>2140373.0699999998</v>
      </c>
      <c r="U25" s="532">
        <f>SUMIF($I$12:$I$170,S25,$K$12:$K$170)</f>
        <v>903300.28</v>
      </c>
      <c r="V25" s="532">
        <f t="shared" si="1"/>
        <v>2140373.0699999998</v>
      </c>
      <c r="W25" s="532">
        <f>SUMIF($I$12:$I$170,S25,$M$12:$M$170)</f>
        <v>885749.19999999984</v>
      </c>
      <c r="X25" s="527"/>
    </row>
    <row r="26" spans="1:24">
      <c r="A26" s="449">
        <f>IF(B26="","",COUNTA(B$11:B26))</f>
        <v>14</v>
      </c>
      <c r="B26" s="4" t="s">
        <v>3582</v>
      </c>
      <c r="C26" s="449"/>
      <c r="D26" s="1071"/>
      <c r="E26" s="1071"/>
      <c r="I26" t="s">
        <v>1078</v>
      </c>
      <c r="J26" s="527">
        <v>1584485.78</v>
      </c>
      <c r="K26" s="527">
        <v>26437.62</v>
      </c>
      <c r="L26" s="527">
        <v>1083853.4816666665</v>
      </c>
      <c r="M26" s="527">
        <v>12120.935000000003</v>
      </c>
      <c r="O26" s="520" t="s">
        <v>4088</v>
      </c>
      <c r="P26" s="527">
        <v>0</v>
      </c>
      <c r="Q26" s="527">
        <v>118.76999999999998</v>
      </c>
      <c r="S26" t="s">
        <v>1087</v>
      </c>
      <c r="T26" s="532">
        <f t="shared" si="0"/>
        <v>1093278.56</v>
      </c>
      <c r="U26" s="532">
        <f>SUMIF($I$12:$I$170,S26,$K$12:$K$170)-P15</f>
        <v>1008132.75</v>
      </c>
      <c r="V26" s="532">
        <f t="shared" si="1"/>
        <v>1051387.3987499999</v>
      </c>
      <c r="W26" s="532">
        <f>SUMIF($I$12:$I$170,S26,$M$12:$M$170)-Q15</f>
        <v>1005785.3524999999</v>
      </c>
      <c r="X26" s="527"/>
    </row>
    <row r="27" spans="1:24">
      <c r="A27" s="449">
        <f>IF(B27="","",COUNTA(B$11:B27))</f>
        <v>15</v>
      </c>
      <c r="B27" s="1068" t="s">
        <v>3584</v>
      </c>
      <c r="C27" s="1069">
        <v>365.1</v>
      </c>
      <c r="D27" s="1070">
        <f>SUM(J77:J80)</f>
        <v>1409620.97</v>
      </c>
      <c r="E27" s="1071"/>
      <c r="I27" t="s">
        <v>1078</v>
      </c>
      <c r="J27" s="527">
        <v>21280.38</v>
      </c>
      <c r="K27" s="527">
        <v>21280.36</v>
      </c>
      <c r="L27" s="527">
        <v>21281.679166666669</v>
      </c>
      <c r="M27" s="527">
        <v>21281.659166666665</v>
      </c>
      <c r="O27" t="s">
        <v>3583</v>
      </c>
      <c r="P27" s="527">
        <v>-1544855.1100000003</v>
      </c>
      <c r="Q27" s="527">
        <v>-446412.97625000012</v>
      </c>
      <c r="S27" t="s">
        <v>1088</v>
      </c>
      <c r="T27" s="532">
        <f t="shared" si="0"/>
        <v>271213270.13</v>
      </c>
      <c r="U27" s="532">
        <f>SUMIF($I$12:$I$170,S27,$K$12:$K$170)</f>
        <v>45979926.75</v>
      </c>
      <c r="V27" s="532">
        <f t="shared" si="1"/>
        <v>248177048.61083329</v>
      </c>
      <c r="W27" s="532">
        <f>SUMIF($I$12:$I$170,S27,$M$12:$M$170)</f>
        <v>44890165.793333329</v>
      </c>
      <c r="X27" s="527"/>
    </row>
    <row r="28" spans="1:24">
      <c r="A28" s="449">
        <f>IF(B28="","",COUNTA(B$11:B28))</f>
        <v>16</v>
      </c>
      <c r="B28" s="1068" t="s">
        <v>3586</v>
      </c>
      <c r="C28" s="1069">
        <v>366</v>
      </c>
      <c r="D28" s="1070">
        <f>SUM(J81)</f>
        <v>124315.06</v>
      </c>
      <c r="E28" s="1071"/>
      <c r="I28" t="s">
        <v>1078</v>
      </c>
      <c r="J28" s="527">
        <v>0</v>
      </c>
      <c r="K28" s="527">
        <v>-0.11</v>
      </c>
      <c r="L28" s="527">
        <v>0</v>
      </c>
      <c r="M28" s="527">
        <v>-0.11000000000000003</v>
      </c>
      <c r="O28" t="s">
        <v>3585</v>
      </c>
      <c r="P28" s="527">
        <v>12.980000000003201</v>
      </c>
      <c r="Q28" s="527">
        <v>196.37416666666988</v>
      </c>
      <c r="S28" t="s">
        <v>1089</v>
      </c>
      <c r="T28" s="532">
        <f t="shared" si="0"/>
        <v>205843994.93000001</v>
      </c>
      <c r="U28" s="532">
        <f>SUMIF($I$12:$I$170,S28,$K$12:$K$170)</f>
        <v>65430299.019999996</v>
      </c>
      <c r="V28" s="532">
        <f t="shared" si="1"/>
        <v>194457219.42124999</v>
      </c>
      <c r="W28" s="532">
        <f>SUMIF($I$12:$I$170,S28,$M$12:$M$170)</f>
        <v>62758510.848749995</v>
      </c>
      <c r="X28" s="527"/>
    </row>
    <row r="29" spans="1:24">
      <c r="A29" s="449">
        <f>IF(B29="","",COUNTA(B$11:B29))</f>
        <v>17</v>
      </c>
      <c r="B29" s="1068" t="s">
        <v>865</v>
      </c>
      <c r="C29" s="1069">
        <v>367</v>
      </c>
      <c r="D29" s="1070">
        <f>SUM(J82:J83)</f>
        <v>17254526.629999999</v>
      </c>
      <c r="E29" s="1071"/>
      <c r="I29" t="s">
        <v>1078</v>
      </c>
      <c r="J29" s="527">
        <v>1556675.26</v>
      </c>
      <c r="K29" s="527">
        <v>1278727.3</v>
      </c>
      <c r="L29" s="527">
        <v>1556770.3016666668</v>
      </c>
      <c r="M29" s="527">
        <v>1200962.1275000002</v>
      </c>
      <c r="S29" t="s">
        <v>1090</v>
      </c>
      <c r="T29" s="532">
        <f t="shared" si="0"/>
        <v>126733642.34999999</v>
      </c>
      <c r="U29" s="532">
        <f>SUMIF($I$12:$I$170,S29,$K$12:$K$170)-P16</f>
        <v>95887731.599999994</v>
      </c>
      <c r="V29" s="532">
        <f t="shared" si="1"/>
        <v>125316973.94250001</v>
      </c>
      <c r="W29" s="532">
        <f>SUMIF($I$12:$I$170,S29,$M$12:$M$170)-Q16+0.34</f>
        <v>94405321.982500002</v>
      </c>
      <c r="X29" s="527"/>
    </row>
    <row r="30" spans="1:24">
      <c r="A30" s="449">
        <f>IF(B30="","",COUNTA(B$11:B30))</f>
        <v>18</v>
      </c>
      <c r="B30" s="1068" t="s">
        <v>3587</v>
      </c>
      <c r="C30" s="1069">
        <v>368</v>
      </c>
      <c r="D30" s="1070">
        <v>0</v>
      </c>
      <c r="E30" s="1071"/>
      <c r="I30" t="s">
        <v>1078</v>
      </c>
      <c r="J30" s="527">
        <v>11008.300000000001</v>
      </c>
      <c r="K30" s="527">
        <v>7605.9800000000005</v>
      </c>
      <c r="L30" s="527">
        <v>11008.972083333334</v>
      </c>
      <c r="M30" s="527">
        <v>7055.9370833333351</v>
      </c>
      <c r="S30" t="s">
        <v>1091</v>
      </c>
      <c r="T30" s="532">
        <f t="shared" si="0"/>
        <v>2927915.23</v>
      </c>
      <c r="U30" s="532">
        <f>SUMIF($I$12:$I$170,S30,$K$12:$K$170)-P17</f>
        <v>1190619.0900000001</v>
      </c>
      <c r="V30" s="532">
        <f t="shared" si="1"/>
        <v>2514092.2129166666</v>
      </c>
      <c r="W30" s="532">
        <f>SUMIF($I$12:$I$170,S30,$M$12:$M$170)-Q17</f>
        <v>1331138.9458333333</v>
      </c>
      <c r="X30" s="527"/>
    </row>
    <row r="31" spans="1:24">
      <c r="A31" s="449">
        <f>IF(B31="","",COUNTA(B$11:B31))</f>
        <v>19</v>
      </c>
      <c r="B31" s="1068" t="s">
        <v>3588</v>
      </c>
      <c r="C31" s="1069">
        <v>369</v>
      </c>
      <c r="D31" s="1070">
        <f>SUM(J84:J85)</f>
        <v>135338.4</v>
      </c>
      <c r="E31" s="1071"/>
      <c r="I31" t="s">
        <v>1078</v>
      </c>
      <c r="J31" s="527">
        <v>423384.24</v>
      </c>
      <c r="K31" s="527">
        <v>240082.62</v>
      </c>
      <c r="L31" s="527">
        <v>423410.08916666679</v>
      </c>
      <c r="M31" s="527">
        <v>218925.49291666667</v>
      </c>
      <c r="Q31" s="530"/>
      <c r="S31" t="s">
        <v>1092</v>
      </c>
      <c r="T31" s="532">
        <f t="shared" si="0"/>
        <v>37152569.329999998</v>
      </c>
      <c r="U31" s="532">
        <f>SUMIF($I$12:$I$170,S31,$K$12:$K$170)-P18</f>
        <v>5868337.2199999997</v>
      </c>
      <c r="V31" s="532">
        <f t="shared" si="1"/>
        <v>36314845.541666664</v>
      </c>
      <c r="W31" s="532">
        <f>SUMIF($I$12:$I$170,S31,$M$12:$M$170)-Q18</f>
        <v>6120388.3383333338</v>
      </c>
      <c r="X31" s="527"/>
    </row>
    <row r="32" spans="1:24">
      <c r="A32" s="449">
        <f>IF(B32="","",COUNTA(B$11:B32))</f>
        <v>20</v>
      </c>
      <c r="B32" s="1068" t="s">
        <v>3589</v>
      </c>
      <c r="C32" s="1069">
        <v>370</v>
      </c>
      <c r="D32" s="1070">
        <v>0</v>
      </c>
      <c r="E32" s="1071"/>
      <c r="I32" t="s">
        <v>1078</v>
      </c>
      <c r="J32" s="527">
        <v>38105.94</v>
      </c>
      <c r="K32" s="527">
        <v>16084.81</v>
      </c>
      <c r="L32" s="527">
        <v>38108.26666666667</v>
      </c>
      <c r="M32" s="527">
        <v>14180.259583333334</v>
      </c>
      <c r="Q32" s="530"/>
      <c r="S32" t="s">
        <v>3607</v>
      </c>
      <c r="T32" s="532">
        <f t="shared" si="0"/>
        <v>4351552.2300000004</v>
      </c>
      <c r="U32" s="532">
        <f>SUMIF($I$12:$I$170,S32,$K$12:$K$170)-P19</f>
        <v>101401.66999999998</v>
      </c>
      <c r="V32" s="532">
        <f t="shared" si="1"/>
        <v>4683724.2270833338</v>
      </c>
      <c r="W32" s="532">
        <f>SUMIF($I$12:$I$170,S32,$M$12:$M$170)-Q19</f>
        <v>42920.53</v>
      </c>
      <c r="X32" s="527"/>
    </row>
    <row r="33" spans="1:24">
      <c r="A33" s="449">
        <f>IF(B33="","",COUNTA(B$11:B33))</f>
        <v>21</v>
      </c>
      <c r="B33" t="str">
        <f>"Subtotal - "&amp;B26</f>
        <v xml:space="preserve">Subtotal - Transmission plant </v>
      </c>
      <c r="C33" s="449"/>
      <c r="D33" s="578">
        <f>SUBTOTAL(9,D27:D32)</f>
        <v>18923801.059999999</v>
      </c>
      <c r="E33" s="1071"/>
      <c r="I33" t="s">
        <v>1078</v>
      </c>
      <c r="J33" s="527">
        <v>255036.32</v>
      </c>
      <c r="K33" s="527">
        <v>56946.53</v>
      </c>
      <c r="L33" s="527">
        <v>255051.89124999999</v>
      </c>
      <c r="M33" s="527">
        <v>44196.649583333339</v>
      </c>
      <c r="Q33" s="530"/>
      <c r="S33" t="s">
        <v>3608</v>
      </c>
      <c r="T33" s="532">
        <f t="shared" si="0"/>
        <v>184306198.66</v>
      </c>
      <c r="U33" s="532">
        <f>SUMIF($I$12:$I$170,S33,$K$12:$K$170)</f>
        <v>76820702.530000001</v>
      </c>
      <c r="V33" s="532">
        <f t="shared" si="1"/>
        <v>180128854.72666669</v>
      </c>
      <c r="W33" s="532">
        <f>SUMIF($I$12:$I$170,S33,$M$12:$M$170)</f>
        <v>74036886.840833321</v>
      </c>
      <c r="X33" s="527"/>
    </row>
    <row r="34" spans="1:24">
      <c r="A34" s="449" t="str">
        <f>IF(B34="","",COUNTA(B$11:B34))</f>
        <v/>
      </c>
      <c r="C34" s="449"/>
      <c r="D34" s="1071"/>
      <c r="I34" t="s">
        <v>1078</v>
      </c>
      <c r="J34" s="527">
        <v>88166.14</v>
      </c>
      <c r="K34" s="527">
        <v>8843.5</v>
      </c>
      <c r="L34" s="527">
        <v>88573.26416666666</v>
      </c>
      <c r="M34" s="527">
        <v>4426.8016666666672</v>
      </c>
      <c r="S34" t="s">
        <v>3609</v>
      </c>
      <c r="T34" s="532">
        <f t="shared" si="0"/>
        <v>61403371.700000003</v>
      </c>
      <c r="U34" s="532">
        <f>SUMIF($I$12:$I$170,S34,$K$12:$K$170)-P20</f>
        <v>97654803.150000006</v>
      </c>
      <c r="V34" s="532">
        <f t="shared" si="1"/>
        <v>61403822.374583334</v>
      </c>
      <c r="W34" s="532">
        <f>SUMIF($I$12:$I$170,S34,$M$12:$M$170)-Q20</f>
        <v>97118954.270416647</v>
      </c>
      <c r="X34" s="527"/>
    </row>
    <row r="35" spans="1:24">
      <c r="A35" s="449">
        <f>IF(B35="","",COUNTA(B$11:B35))</f>
        <v>22</v>
      </c>
      <c r="B35" s="4" t="s">
        <v>2419</v>
      </c>
      <c r="C35" s="449"/>
      <c r="D35" s="1071"/>
      <c r="E35" s="1071"/>
      <c r="I35" t="s">
        <v>1078</v>
      </c>
      <c r="J35" s="527">
        <v>614550.92000000004</v>
      </c>
      <c r="K35" s="527">
        <v>4286.87</v>
      </c>
      <c r="L35" s="527">
        <v>68475.019166666665</v>
      </c>
      <c r="M35" s="527">
        <v>178.61958333333334</v>
      </c>
      <c r="S35" t="s">
        <v>3610</v>
      </c>
      <c r="T35" s="532">
        <f t="shared" si="0"/>
        <v>50176.62</v>
      </c>
      <c r="U35" s="532">
        <f>SUMIF($I$12:$I$170,S35,$K$12:$K$170)</f>
        <v>21929.49</v>
      </c>
      <c r="V35" s="532">
        <f t="shared" si="1"/>
        <v>52332.662083333329</v>
      </c>
      <c r="W35" s="532">
        <f>SUMIF($I$12:$I$170,S35,$M$12:$M$170)</f>
        <v>21242.894166666661</v>
      </c>
      <c r="X35" s="527"/>
    </row>
    <row r="36" spans="1:24">
      <c r="A36" s="449">
        <f>IF(B36="","",COUNTA(B$11:B36))</f>
        <v>23</v>
      </c>
      <c r="B36" s="1068" t="s">
        <v>3590</v>
      </c>
      <c r="C36" s="1069">
        <v>374</v>
      </c>
      <c r="D36" s="1070">
        <f>SUM(J86:J90)</f>
        <v>2632241.5699999998</v>
      </c>
      <c r="E36" s="1071"/>
      <c r="I36" t="s">
        <v>1078</v>
      </c>
      <c r="J36" s="527">
        <v>0</v>
      </c>
      <c r="K36" s="527">
        <v>0</v>
      </c>
      <c r="L36" s="527">
        <v>0</v>
      </c>
      <c r="M36" s="527">
        <v>0</v>
      </c>
      <c r="S36" t="s">
        <v>3612</v>
      </c>
      <c r="T36" s="532">
        <f t="shared" si="0"/>
        <v>84694991.299999997</v>
      </c>
      <c r="U36" s="532">
        <f>SUMIF($I$12:$I$170,S36,$K$12:$K$170)-P21</f>
        <v>17477615.850000001</v>
      </c>
      <c r="V36" s="532">
        <f t="shared" si="1"/>
        <v>83943965.769166648</v>
      </c>
      <c r="W36" s="532">
        <f>SUMIF($I$12:$I$170,S36,$M$12:$M$170)-Q21</f>
        <v>17040957.737499997</v>
      </c>
      <c r="X36" s="527"/>
    </row>
    <row r="37" spans="1:24">
      <c r="A37" s="449">
        <f>IF(B37="","",COUNTA(B$11:B37))</f>
        <v>24</v>
      </c>
      <c r="B37" s="1068" t="s">
        <v>3586</v>
      </c>
      <c r="C37" s="1069">
        <v>375</v>
      </c>
      <c r="D37" s="1070">
        <f>SUM(J91:J93)</f>
        <v>1093278.56</v>
      </c>
      <c r="E37" s="1071"/>
      <c r="I37" t="s">
        <v>1078</v>
      </c>
      <c r="J37" s="527">
        <v>894273.69000000006</v>
      </c>
      <c r="K37" s="527">
        <v>307404.66000000003</v>
      </c>
      <c r="L37" s="527">
        <v>894328.28916666692</v>
      </c>
      <c r="M37" s="527">
        <v>270172.38041666674</v>
      </c>
      <c r="S37" t="s">
        <v>1098</v>
      </c>
      <c r="T37" s="532">
        <f t="shared" si="0"/>
        <v>10177783.800000001</v>
      </c>
      <c r="U37" s="532">
        <f>SUMIF($I$12:$I$170,S37,$K$12:$K$170)-P22</f>
        <v>3165403.14</v>
      </c>
      <c r="V37" s="532">
        <f t="shared" si="1"/>
        <v>9916763.0695833359</v>
      </c>
      <c r="W37" s="532">
        <f>SUMIF($I$12:$I$170,S37,$M$12:$M$170)-Q22</f>
        <v>3115337.4712499999</v>
      </c>
      <c r="X37" s="527"/>
    </row>
    <row r="38" spans="1:24">
      <c r="A38" s="449">
        <f>IF(B38="","",COUNTA(B$11:B38))</f>
        <v>25</v>
      </c>
      <c r="B38" s="1068" t="s">
        <v>865</v>
      </c>
      <c r="C38" s="1069">
        <v>376</v>
      </c>
      <c r="D38" s="1070">
        <f>SUM(J94:J104)</f>
        <v>603790907.40999997</v>
      </c>
      <c r="E38" s="1071"/>
      <c r="I38" t="s">
        <v>1078</v>
      </c>
      <c r="J38" s="527">
        <v>654180.17000000004</v>
      </c>
      <c r="K38" s="527">
        <v>200899.45</v>
      </c>
      <c r="L38" s="527">
        <v>654220.11041666672</v>
      </c>
      <c r="M38" s="527">
        <v>173661.78875000001</v>
      </c>
      <c r="S38" t="s">
        <v>1099</v>
      </c>
      <c r="T38" s="615">
        <f t="shared" si="0"/>
        <v>10604872.550000001</v>
      </c>
      <c r="U38" s="615">
        <f>SUMIF($I$12:$I$170,S38,$K$12:$K$170)-P23</f>
        <v>4676794.97</v>
      </c>
      <c r="V38" s="615">
        <f t="shared" si="1"/>
        <v>10316082.683333335</v>
      </c>
      <c r="W38" s="615">
        <f>SUMIF($I$12:$I$170,S38,$M$12:$M$170)-Q23</f>
        <v>4624023.6916666673</v>
      </c>
      <c r="X38" s="527"/>
    </row>
    <row r="39" spans="1:24">
      <c r="A39" s="449">
        <f>IF(B39="","",COUNTA(B$11:B39))</f>
        <v>26</v>
      </c>
      <c r="B39" s="1068" t="s">
        <v>3587</v>
      </c>
      <c r="C39" s="1069">
        <v>377</v>
      </c>
      <c r="D39" s="1070">
        <f>SUM(J105)</f>
        <v>2927915.23</v>
      </c>
      <c r="E39" s="1071"/>
      <c r="I39" t="s">
        <v>1078</v>
      </c>
      <c r="J39" s="527">
        <v>998133.99</v>
      </c>
      <c r="K39" s="527">
        <v>207861.41</v>
      </c>
      <c r="L39" s="527">
        <v>998194.93041666679</v>
      </c>
      <c r="M39" s="527">
        <v>166296.76458333334</v>
      </c>
      <c r="S39" s="4" t="s">
        <v>4084</v>
      </c>
      <c r="T39" s="522">
        <f>SUM(T24:T38)</f>
        <v>1003185858.9599999</v>
      </c>
      <c r="U39" s="522">
        <f>SUM(U24:U38)</f>
        <v>416186997.50999999</v>
      </c>
      <c r="V39" s="522">
        <f>SUM(V24:V38)</f>
        <v>960909358.55999994</v>
      </c>
      <c r="W39" s="522">
        <f>SUM(W24:W38)</f>
        <v>407397383.89708328</v>
      </c>
      <c r="X39" s="527"/>
    </row>
    <row r="40" spans="1:24">
      <c r="A40" s="449">
        <f>IF(B40="","",COUNTA(B$11:B40))</f>
        <v>27</v>
      </c>
      <c r="B40" s="1068" t="s">
        <v>3591</v>
      </c>
      <c r="C40" s="1069">
        <v>378</v>
      </c>
      <c r="D40" s="1070">
        <f>SUM(J106:J107)</f>
        <v>37152569.329999998</v>
      </c>
      <c r="E40" s="1071"/>
      <c r="I40" t="s">
        <v>1078</v>
      </c>
      <c r="J40" s="527">
        <v>3144041.9</v>
      </c>
      <c r="K40" s="527">
        <v>2729532.36</v>
      </c>
      <c r="L40" s="527">
        <v>3144233.856666666</v>
      </c>
      <c r="M40" s="527">
        <v>2608795.8279166664</v>
      </c>
      <c r="S40" s="4" t="s">
        <v>2096</v>
      </c>
      <c r="T40" s="522"/>
      <c r="U40" s="522"/>
      <c r="V40" s="522"/>
      <c r="W40" s="522"/>
      <c r="X40" s="527"/>
    </row>
    <row r="41" spans="1:24">
      <c r="A41" s="449">
        <f>IF(B41="","",COUNTA(B$11:B41))</f>
        <v>28</v>
      </c>
      <c r="B41" s="1068" t="s">
        <v>3592</v>
      </c>
      <c r="C41" s="1069">
        <v>379</v>
      </c>
      <c r="D41" s="1070">
        <f>SUM(J108:J109)</f>
        <v>4351552.2300000004</v>
      </c>
      <c r="E41" s="1071"/>
      <c r="I41" t="s">
        <v>1078</v>
      </c>
      <c r="J41" s="527">
        <v>521866.5</v>
      </c>
      <c r="K41" s="527">
        <v>476277.93</v>
      </c>
      <c r="L41" s="527">
        <v>521898.36208333331</v>
      </c>
      <c r="M41" s="527">
        <v>457674.07375000004</v>
      </c>
      <c r="S41" t="s">
        <v>1100</v>
      </c>
      <c r="T41" s="532">
        <f t="shared" ref="T41:T60" si="2">SUMIF($I$12:$I$170,S41,$J$12:$J$170)</f>
        <v>3224759.31</v>
      </c>
      <c r="U41" s="532">
        <f t="shared" ref="U41:U59" si="3">SUMIF($I$12:$I$170,S41,$K$12:$K$170)</f>
        <v>132.19</v>
      </c>
      <c r="V41" s="532">
        <f t="shared" ref="V41:V49" si="4">SUMIF($I$12:$I$170,S41,$L$12:$L$170)</f>
        <v>3224803.0679166666</v>
      </c>
      <c r="W41" s="532">
        <f t="shared" ref="W41:W59" si="5">SUMIF($I$12:$I$170,S41,$M$12:$M$170)</f>
        <v>132.19791666666671</v>
      </c>
      <c r="X41" s="527"/>
    </row>
    <row r="42" spans="1:24">
      <c r="A42" s="449">
        <f>IF(B42="","",COUNTA(B$11:B42))</f>
        <v>29</v>
      </c>
      <c r="B42" s="1068" t="s">
        <v>872</v>
      </c>
      <c r="C42" s="1069">
        <v>380</v>
      </c>
      <c r="D42" s="1070">
        <f>SUM(J110:J114)</f>
        <v>245709570.36000001</v>
      </c>
      <c r="E42" s="1071"/>
      <c r="I42" t="s">
        <v>1078</v>
      </c>
      <c r="J42" s="527">
        <v>1529904.72</v>
      </c>
      <c r="K42" s="527">
        <v>1339619.24</v>
      </c>
      <c r="L42" s="527">
        <v>1529998.1270833334</v>
      </c>
      <c r="M42" s="527">
        <v>1285076.72</v>
      </c>
      <c r="S42" t="s">
        <v>1101</v>
      </c>
      <c r="T42" s="532">
        <f t="shared" si="2"/>
        <v>7933.28</v>
      </c>
      <c r="U42" s="532">
        <f t="shared" si="3"/>
        <v>5489.28</v>
      </c>
      <c r="V42" s="532">
        <f t="shared" si="4"/>
        <v>7933.28</v>
      </c>
      <c r="W42" s="532">
        <f t="shared" si="5"/>
        <v>5432.16</v>
      </c>
      <c r="X42" s="527"/>
    </row>
    <row r="43" spans="1:24">
      <c r="A43" s="449">
        <f>IF(B43="","",COUNTA(B$11:B43))</f>
        <v>30</v>
      </c>
      <c r="B43" s="1068" t="s">
        <v>3593</v>
      </c>
      <c r="C43" s="1069">
        <v>381</v>
      </c>
      <c r="D43" s="1070">
        <f>SUM(J115:J116)</f>
        <v>84745167.920000002</v>
      </c>
      <c r="E43" s="1071"/>
      <c r="I43" t="s">
        <v>1078</v>
      </c>
      <c r="J43" s="527">
        <v>12809634.93</v>
      </c>
      <c r="K43" s="527">
        <v>10174642.99</v>
      </c>
      <c r="L43" s="527">
        <v>12810417.010833336</v>
      </c>
      <c r="M43" s="527">
        <v>9748010.7091666665</v>
      </c>
      <c r="S43" t="s">
        <v>1102</v>
      </c>
      <c r="T43" s="532">
        <f t="shared" si="2"/>
        <v>22357535.859999999</v>
      </c>
      <c r="U43" s="532">
        <f>SUMIF($I$12:$I$170,S43,$K$12:$K$170)-P24</f>
        <v>10270199.639999999</v>
      </c>
      <c r="V43" s="532">
        <f t="shared" si="4"/>
        <v>22113758.894166663</v>
      </c>
      <c r="W43" s="532">
        <f>SUMIF($I$12:$I$170,S43,$M$12:$M$170)-Q24</f>
        <v>10214309.56958333</v>
      </c>
      <c r="X43" s="527"/>
    </row>
    <row r="44" spans="1:24">
      <c r="A44" s="449">
        <f>IF(B44="","",COUNTA(B$11:B44))</f>
        <v>31</v>
      </c>
      <c r="B44" s="1068" t="s">
        <v>3594</v>
      </c>
      <c r="C44" s="1069">
        <v>382</v>
      </c>
      <c r="D44" s="1070">
        <v>0</v>
      </c>
      <c r="E44" s="1071"/>
      <c r="I44" t="s">
        <v>1078</v>
      </c>
      <c r="J44" s="527">
        <v>406309.31</v>
      </c>
      <c r="K44" s="527">
        <v>304566.23</v>
      </c>
      <c r="L44" s="527">
        <v>406334.11708333337</v>
      </c>
      <c r="M44" s="527">
        <v>291032.7104166667</v>
      </c>
      <c r="S44" t="s">
        <v>1104</v>
      </c>
      <c r="T44" s="532">
        <f t="shared" si="2"/>
        <v>1253926.46</v>
      </c>
      <c r="U44" s="532">
        <f t="shared" si="3"/>
        <v>933132.57000000007</v>
      </c>
      <c r="V44" s="532">
        <f t="shared" si="4"/>
        <v>1362047.6179166667</v>
      </c>
      <c r="W44" s="532">
        <f t="shared" si="5"/>
        <v>957026.04249999998</v>
      </c>
      <c r="X44" s="527"/>
    </row>
    <row r="45" spans="1:24">
      <c r="A45" s="449">
        <f>IF(B45="","",COUNTA(B$11:B45))</f>
        <v>32</v>
      </c>
      <c r="B45" s="1068" t="s">
        <v>3595</v>
      </c>
      <c r="C45" s="1069">
        <v>383</v>
      </c>
      <c r="D45" s="1070">
        <f>SUM(J117)</f>
        <v>10177783.800000001</v>
      </c>
      <c r="E45" s="1071"/>
      <c r="I45" t="s">
        <v>1078</v>
      </c>
      <c r="J45" s="527">
        <v>0</v>
      </c>
      <c r="K45" s="527">
        <v>-0.08</v>
      </c>
      <c r="L45" s="527">
        <v>0</v>
      </c>
      <c r="M45" s="527">
        <v>-7.9999999999999988E-2</v>
      </c>
      <c r="S45" t="s">
        <v>1105</v>
      </c>
      <c r="T45" s="532">
        <f t="shared" si="2"/>
        <v>191025.45</v>
      </c>
      <c r="U45" s="532">
        <f t="shared" si="3"/>
        <v>61457.35</v>
      </c>
      <c r="V45" s="532">
        <f t="shared" si="4"/>
        <v>191934.50499999998</v>
      </c>
      <c r="W45" s="532">
        <f t="shared" si="5"/>
        <v>46855.421666666633</v>
      </c>
      <c r="X45" s="527"/>
    </row>
    <row r="46" spans="1:24">
      <c r="A46" s="449">
        <f>IF(B46="","",COUNTA(B$11:B46))</f>
        <v>33</v>
      </c>
      <c r="B46" s="1068" t="s">
        <v>3596</v>
      </c>
      <c r="C46" s="1069">
        <v>385</v>
      </c>
      <c r="D46" s="1070">
        <f>SUM(J118:J119)</f>
        <v>10604872.550000001</v>
      </c>
      <c r="E46" s="1071"/>
      <c r="I46" t="s">
        <v>1078</v>
      </c>
      <c r="J46" s="527">
        <v>41712.31</v>
      </c>
      <c r="K46" s="527">
        <v>14141.24</v>
      </c>
      <c r="L46" s="527">
        <v>41714.856666666667</v>
      </c>
      <c r="M46" s="527">
        <v>12750.83333333333</v>
      </c>
      <c r="S46" t="s">
        <v>1107</v>
      </c>
      <c r="T46" s="532">
        <f t="shared" si="2"/>
        <v>1358674.56</v>
      </c>
      <c r="U46" s="532">
        <f t="shared" si="3"/>
        <v>864170.39</v>
      </c>
      <c r="V46" s="532">
        <f t="shared" si="4"/>
        <v>1365085.1154166665</v>
      </c>
      <c r="W46" s="532">
        <f t="shared" si="5"/>
        <v>743735.85625000007</v>
      </c>
      <c r="X46" s="527"/>
    </row>
    <row r="47" spans="1:24">
      <c r="A47" s="449">
        <f>IF(B47="","",COUNTA(B$11:B47))</f>
        <v>34</v>
      </c>
      <c r="B47" t="str">
        <f>"Subtotal - "&amp;B35</f>
        <v>Subtotal - Distribution Plant</v>
      </c>
      <c r="C47" s="449"/>
      <c r="D47" s="578">
        <f>SUBTOTAL(9,D36:D46)</f>
        <v>1003185858.9599999</v>
      </c>
      <c r="E47" s="1071"/>
      <c r="I47" t="s">
        <v>1078</v>
      </c>
      <c r="J47" s="527">
        <v>5795.57</v>
      </c>
      <c r="K47" s="527">
        <v>5795.57</v>
      </c>
      <c r="L47" s="527">
        <v>5795.923749999999</v>
      </c>
      <c r="M47" s="527">
        <v>5795.923749999999</v>
      </c>
      <c r="S47" t="s">
        <v>1108</v>
      </c>
      <c r="T47" s="532">
        <f t="shared" si="2"/>
        <v>0</v>
      </c>
      <c r="U47" s="532">
        <f t="shared" si="3"/>
        <v>0.01</v>
      </c>
      <c r="V47" s="532">
        <f t="shared" si="4"/>
        <v>0</v>
      </c>
      <c r="W47" s="532">
        <f t="shared" si="5"/>
        <v>9.9999999999999985E-3</v>
      </c>
      <c r="X47" s="527"/>
    </row>
    <row r="48" spans="1:24">
      <c r="A48" s="449" t="str">
        <f>IF(B48="","",COUNTA(B$11:B48))</f>
        <v/>
      </c>
      <c r="C48" s="449"/>
      <c r="D48" s="1071"/>
      <c r="E48" s="1071"/>
      <c r="I48" t="s">
        <v>1078</v>
      </c>
      <c r="J48" s="527">
        <v>22992.27</v>
      </c>
      <c r="K48" s="527">
        <v>22992.2</v>
      </c>
      <c r="L48" s="527">
        <v>22993.673749999998</v>
      </c>
      <c r="M48" s="527">
        <v>22993.603750000006</v>
      </c>
      <c r="S48" s="259" t="s">
        <v>1109</v>
      </c>
      <c r="T48" s="532">
        <f t="shared" si="2"/>
        <v>248494.31</v>
      </c>
      <c r="U48" s="532">
        <f t="shared" si="3"/>
        <v>107950.98</v>
      </c>
      <c r="V48" s="532">
        <f t="shared" si="4"/>
        <v>231077.51041666666</v>
      </c>
      <c r="W48" s="532">
        <f t="shared" si="5"/>
        <v>115911.79208333335</v>
      </c>
      <c r="X48" s="527"/>
    </row>
    <row r="49" spans="1:24">
      <c r="A49" s="449">
        <f>IF(B49="","",COUNTA(B$11:B49))</f>
        <v>35</v>
      </c>
      <c r="B49" s="4" t="s">
        <v>2420</v>
      </c>
      <c r="C49" s="449"/>
      <c r="D49" s="1071"/>
      <c r="E49" s="1071"/>
      <c r="I49" t="s">
        <v>1078</v>
      </c>
      <c r="J49" s="527">
        <v>0</v>
      </c>
      <c r="K49" s="527">
        <v>0</v>
      </c>
      <c r="L49" s="527">
        <v>0</v>
      </c>
      <c r="M49" s="527">
        <v>0</v>
      </c>
      <c r="S49" s="259" t="s">
        <v>1111</v>
      </c>
      <c r="T49" s="532">
        <f t="shared" si="2"/>
        <v>15261902.68</v>
      </c>
      <c r="U49" s="532">
        <f>SUMIF($I$12:$I$170,S49,$K$12:$K$170)-P25</f>
        <v>5258889.1300000008</v>
      </c>
      <c r="V49" s="532">
        <f t="shared" si="4"/>
        <v>14586818.677916666</v>
      </c>
      <c r="W49" s="532">
        <f>SUMIF($I$12:$I$170,S49,$M$12:$M$170)-Q25</f>
        <v>5192178.1837499999</v>
      </c>
      <c r="X49" s="527"/>
    </row>
    <row r="50" spans="1:24">
      <c r="A50" s="449">
        <f>IF(B50="","",COUNTA(B$11:B50))</f>
        <v>36</v>
      </c>
      <c r="B50" s="1068" t="s">
        <v>3584</v>
      </c>
      <c r="C50" s="1069">
        <v>389</v>
      </c>
      <c r="D50" s="1070">
        <f>SUM(J120:J122)</f>
        <v>3224759.31</v>
      </c>
      <c r="E50" s="1071"/>
      <c r="I50" t="s">
        <v>1078</v>
      </c>
      <c r="J50" s="527">
        <v>9249.76</v>
      </c>
      <c r="K50" s="527">
        <v>6165.88</v>
      </c>
      <c r="L50" s="527">
        <v>9250.3245833333331</v>
      </c>
      <c r="M50" s="527">
        <v>4624.6083333333336</v>
      </c>
      <c r="S50" t="s">
        <v>1112</v>
      </c>
      <c r="T50" s="532">
        <f t="shared" si="2"/>
        <v>99936.91</v>
      </c>
      <c r="U50" s="532">
        <f t="shared" si="3"/>
        <v>50733.22</v>
      </c>
      <c r="V50" s="532">
        <f t="shared" ref="V50:V60" si="6">SUMIF($I$12:$I$170,S50,$L$12:$L$170)</f>
        <v>70245.944166666668</v>
      </c>
      <c r="W50" s="532">
        <f t="shared" si="5"/>
        <v>49944.715833333335</v>
      </c>
      <c r="X50" s="527"/>
    </row>
    <row r="51" spans="1:24">
      <c r="A51" s="449">
        <f>IF(B51="","",COUNTA(B$11:B51))</f>
        <v>37</v>
      </c>
      <c r="B51" s="1068" t="s">
        <v>3597</v>
      </c>
      <c r="C51" s="1069">
        <v>390</v>
      </c>
      <c r="D51" s="1070">
        <f>SUM(J123:J126)</f>
        <v>22365469.140000001</v>
      </c>
      <c r="E51" s="1071"/>
      <c r="I51" t="s">
        <v>1078</v>
      </c>
      <c r="J51" s="527">
        <v>98074.32</v>
      </c>
      <c r="K51" s="527">
        <v>24488.760000000002</v>
      </c>
      <c r="L51" s="527">
        <v>77560.01916666668</v>
      </c>
      <c r="M51" s="527">
        <v>9178.6849999999995</v>
      </c>
      <c r="S51" t="s">
        <v>1114</v>
      </c>
      <c r="T51" s="532">
        <f t="shared" si="2"/>
        <v>8223108.1799999997</v>
      </c>
      <c r="U51" s="532">
        <f>SUMIF($I$12:$I$170,S51,$K$12:$K$170)-P26</f>
        <v>3306845.46</v>
      </c>
      <c r="V51" s="532">
        <f t="shared" si="6"/>
        <v>7736476.7995833326</v>
      </c>
      <c r="W51" s="532">
        <f>SUMIF($I$12:$I$170,S51,$M$12:$M$170)-Q26</f>
        <v>2940242.3737499998</v>
      </c>
      <c r="X51" s="527"/>
    </row>
    <row r="52" spans="1:24">
      <c r="A52" s="449">
        <f>IF(B52="","",COUNTA(B$11:B52))</f>
        <v>38</v>
      </c>
      <c r="B52" s="1068" t="s">
        <v>3598</v>
      </c>
      <c r="C52" s="1069">
        <v>391</v>
      </c>
      <c r="D52" s="1070">
        <f>SUM(J127:J135)</f>
        <v>2803626.47</v>
      </c>
      <c r="E52" s="1071"/>
      <c r="I52" t="s">
        <v>1078</v>
      </c>
      <c r="J52" s="527">
        <v>42212.25</v>
      </c>
      <c r="K52" s="527">
        <v>21991.850000000002</v>
      </c>
      <c r="L52" s="527">
        <v>42214.82708333333</v>
      </c>
      <c r="M52" s="527">
        <v>16716.028333333332</v>
      </c>
      <c r="S52" t="s">
        <v>1115</v>
      </c>
      <c r="T52" s="532">
        <f t="shared" si="2"/>
        <v>131231.01999999999</v>
      </c>
      <c r="U52" s="532">
        <f t="shared" si="3"/>
        <v>131231.01999999999</v>
      </c>
      <c r="V52" s="532">
        <f t="shared" si="6"/>
        <v>131231.01999999999</v>
      </c>
      <c r="W52" s="532">
        <f t="shared" si="5"/>
        <v>130721.18500000001</v>
      </c>
      <c r="X52" s="527"/>
    </row>
    <row r="53" spans="1:24">
      <c r="A53" s="449">
        <f>IF(B53="","",COUNTA(B$11:B53))</f>
        <v>39</v>
      </c>
      <c r="B53" s="1068" t="s">
        <v>3599</v>
      </c>
      <c r="C53" s="1069">
        <v>392</v>
      </c>
      <c r="D53" s="1070">
        <f>SUM(J136:J141)</f>
        <v>15510396.990000002</v>
      </c>
      <c r="E53" s="1071"/>
      <c r="I53" t="s">
        <v>1078</v>
      </c>
      <c r="J53" s="527">
        <v>10713.62</v>
      </c>
      <c r="K53" s="527">
        <v>10713.62</v>
      </c>
      <c r="L53" s="527">
        <v>10714.273749999998</v>
      </c>
      <c r="M53" s="527">
        <v>10714.274166666666</v>
      </c>
      <c r="S53" t="s">
        <v>1116</v>
      </c>
      <c r="T53" s="532">
        <f t="shared" si="2"/>
        <v>59304.43</v>
      </c>
      <c r="U53" s="532">
        <f t="shared" si="3"/>
        <v>50175.49</v>
      </c>
      <c r="V53" s="532">
        <f t="shared" si="6"/>
        <v>59308.050833333342</v>
      </c>
      <c r="W53" s="532">
        <f t="shared" si="5"/>
        <v>45863.606666666659</v>
      </c>
      <c r="X53" s="527"/>
    </row>
    <row r="54" spans="1:24">
      <c r="A54" s="449">
        <f>IF(B54="","",COUNTA(B$11:B54))</f>
        <v>40</v>
      </c>
      <c r="B54" s="1068" t="s">
        <v>3600</v>
      </c>
      <c r="C54" s="1069">
        <v>393</v>
      </c>
      <c r="D54" s="1070">
        <f>SUM(J142:J144)</f>
        <v>99936.91</v>
      </c>
      <c r="E54" s="1071"/>
      <c r="I54" t="s">
        <v>1078</v>
      </c>
      <c r="J54" s="527">
        <v>87730.51</v>
      </c>
      <c r="K54" s="527">
        <v>87730.53</v>
      </c>
      <c r="L54" s="527">
        <v>87735.866250000006</v>
      </c>
      <c r="M54" s="527">
        <v>87735.886250000025</v>
      </c>
      <c r="S54" s="259" t="s">
        <v>1117</v>
      </c>
      <c r="T54" s="532">
        <f t="shared" si="2"/>
        <v>4036030.7500000005</v>
      </c>
      <c r="U54" s="532">
        <f>SUMIF($I$12:$I$170,S54,$K$12:$K$170)-P27</f>
        <v>1014661.5100000002</v>
      </c>
      <c r="V54" s="532">
        <f t="shared" si="6"/>
        <v>2683118.5866666664</v>
      </c>
      <c r="W54" s="532">
        <f>SUMIF($I$12:$I$170,S54,$M$12:$M$170)-Q27</f>
        <v>-144398.02666666656</v>
      </c>
      <c r="X54" s="527"/>
    </row>
    <row r="55" spans="1:24">
      <c r="A55" s="449">
        <f>IF(B55="","",COUNTA(B$11:B55))</f>
        <v>41</v>
      </c>
      <c r="B55" s="1068" t="s">
        <v>3601</v>
      </c>
      <c r="C55" s="1069">
        <v>394</v>
      </c>
      <c r="D55" s="1070">
        <f>SUM(J145:J148)</f>
        <v>8354339.1999999993</v>
      </c>
      <c r="E55" s="1071"/>
      <c r="I55" t="s">
        <v>1078</v>
      </c>
      <c r="J55" s="527">
        <v>76870.42</v>
      </c>
      <c r="K55" s="527">
        <v>76870.3</v>
      </c>
      <c r="L55" s="527">
        <v>76875.113333333342</v>
      </c>
      <c r="M55" s="527">
        <v>76874.356666666674</v>
      </c>
      <c r="S55" s="259" t="s">
        <v>1118</v>
      </c>
      <c r="T55" s="532">
        <f t="shared" si="2"/>
        <v>539590.43000000005</v>
      </c>
      <c r="U55" s="532">
        <f t="shared" si="3"/>
        <v>213554.27000000002</v>
      </c>
      <c r="V55" s="532">
        <f t="shared" si="6"/>
        <v>541907.71333333326</v>
      </c>
      <c r="W55" s="532">
        <f t="shared" si="5"/>
        <v>207616.30166666667</v>
      </c>
      <c r="X55" s="527"/>
    </row>
    <row r="56" spans="1:24">
      <c r="A56" s="449">
        <f>IF(B56="","",COUNTA(B$11:B56))</f>
        <v>42</v>
      </c>
      <c r="B56" s="1068" t="s">
        <v>3602</v>
      </c>
      <c r="C56" s="1069">
        <v>395</v>
      </c>
      <c r="D56" s="1070">
        <f>SUM(J149:J150)</f>
        <v>59304.43</v>
      </c>
      <c r="E56" s="1071"/>
      <c r="I56" t="s">
        <v>1078</v>
      </c>
      <c r="J56" s="527">
        <v>672679.95000000007</v>
      </c>
      <c r="K56" s="527">
        <v>595033.56000000006</v>
      </c>
      <c r="L56" s="527">
        <v>672721.02000000014</v>
      </c>
      <c r="M56" s="527">
        <v>527793.69541666668</v>
      </c>
      <c r="S56" t="s">
        <v>1119</v>
      </c>
      <c r="T56" s="532">
        <f t="shared" si="2"/>
        <v>2658597.64</v>
      </c>
      <c r="U56" s="532">
        <f t="shared" si="3"/>
        <v>128071.69</v>
      </c>
      <c r="V56" s="532">
        <f t="shared" si="6"/>
        <v>893306.46083333355</v>
      </c>
      <c r="W56" s="532">
        <f t="shared" si="5"/>
        <v>106238.22083333334</v>
      </c>
      <c r="X56" s="527"/>
    </row>
    <row r="57" spans="1:24">
      <c r="A57" s="449">
        <f>IF(B57="","",COUNTA(B$11:B57))</f>
        <v>43</v>
      </c>
      <c r="B57" s="1068" t="s">
        <v>3603</v>
      </c>
      <c r="C57" s="1069">
        <v>396</v>
      </c>
      <c r="D57" s="1070">
        <f>SUM(J151:J155)</f>
        <v>4575621.1800000006</v>
      </c>
      <c r="E57" s="1071"/>
      <c r="I57" t="s">
        <v>1078</v>
      </c>
      <c r="J57" s="527">
        <v>12040.59</v>
      </c>
      <c r="K57" s="527">
        <v>9597.3000000000011</v>
      </c>
      <c r="L57" s="527">
        <v>12041.324999999999</v>
      </c>
      <c r="M57" s="527">
        <v>8393.6587500000005</v>
      </c>
      <c r="S57" t="s">
        <v>1120</v>
      </c>
      <c r="T57" s="532">
        <f t="shared" si="2"/>
        <v>961459.85000000009</v>
      </c>
      <c r="U57" s="532">
        <f t="shared" si="3"/>
        <v>653513.71</v>
      </c>
      <c r="V57" s="532">
        <f t="shared" si="6"/>
        <v>961036.12083333335</v>
      </c>
      <c r="W57" s="532">
        <f t="shared" si="5"/>
        <v>619897.80708333338</v>
      </c>
      <c r="X57" s="527"/>
    </row>
    <row r="58" spans="1:24">
      <c r="A58" s="449">
        <f>IF(B58="","",COUNTA(B$11:B58))</f>
        <v>44</v>
      </c>
      <c r="B58" s="1068" t="s">
        <v>3604</v>
      </c>
      <c r="C58" s="1069">
        <v>397</v>
      </c>
      <c r="D58" s="1070">
        <f>SUM(J156:J167)</f>
        <v>5320075.1100000003</v>
      </c>
      <c r="E58" s="1071"/>
      <c r="I58" t="s">
        <v>1078</v>
      </c>
      <c r="J58" s="527">
        <v>911691.43</v>
      </c>
      <c r="K58" s="527">
        <v>546023.92000000004</v>
      </c>
      <c r="L58" s="527">
        <v>911747.09249999991</v>
      </c>
      <c r="M58" s="527">
        <v>454876.96458333329</v>
      </c>
      <c r="S58" t="s">
        <v>1121</v>
      </c>
      <c r="T58" s="532">
        <f t="shared" si="2"/>
        <v>1644184.8900000001</v>
      </c>
      <c r="U58" s="532">
        <f t="shared" si="3"/>
        <v>515712.18000000005</v>
      </c>
      <c r="V58" s="532">
        <f t="shared" si="6"/>
        <v>1500391.9633333334</v>
      </c>
      <c r="W58" s="532">
        <f t="shared" si="5"/>
        <v>475493.96708333335</v>
      </c>
      <c r="X58" s="527"/>
    </row>
    <row r="59" spans="1:24">
      <c r="A59" s="449">
        <f>IF(B59="","",COUNTA(B$11:B59))</f>
        <v>45</v>
      </c>
      <c r="B59" s="1068" t="s">
        <v>3605</v>
      </c>
      <c r="C59" s="1069">
        <v>398</v>
      </c>
      <c r="D59" s="1070">
        <f>SUM(J168:J170)</f>
        <v>82980.73000000001</v>
      </c>
      <c r="E59" s="1071"/>
      <c r="I59" t="s">
        <v>1078</v>
      </c>
      <c r="J59" s="527">
        <v>171070.94</v>
      </c>
      <c r="K59" s="527">
        <v>73606.36</v>
      </c>
      <c r="L59" s="527">
        <v>171081.3845833333</v>
      </c>
      <c r="M59" s="527">
        <v>56501.685000000005</v>
      </c>
      <c r="S59" t="s">
        <v>1122</v>
      </c>
      <c r="T59" s="532">
        <f t="shared" si="2"/>
        <v>55832.73</v>
      </c>
      <c r="U59" s="532">
        <f t="shared" si="3"/>
        <v>-41533.89</v>
      </c>
      <c r="V59" s="532">
        <f t="shared" si="6"/>
        <v>55836.13916666666</v>
      </c>
      <c r="W59" s="532">
        <f t="shared" si="5"/>
        <v>-41836.02416666667</v>
      </c>
      <c r="X59" s="527"/>
    </row>
    <row r="60" spans="1:24">
      <c r="A60" s="449">
        <f>IF(B60="","",COUNTA(B$11:B60))</f>
        <v>46</v>
      </c>
      <c r="B60" t="str">
        <f>"Subtotal - "&amp;B49</f>
        <v>Subtotal - General Plant</v>
      </c>
      <c r="C60" s="449"/>
      <c r="D60" s="578">
        <f>SUBTOTAL(9,D50:D59)</f>
        <v>62396509.469999991</v>
      </c>
      <c r="E60" s="1071"/>
      <c r="I60" t="s">
        <v>1078</v>
      </c>
      <c r="J60" s="527">
        <v>408193.66000000003</v>
      </c>
      <c r="K60" s="527">
        <v>90293.47</v>
      </c>
      <c r="L60" s="527">
        <v>408031.92624999996</v>
      </c>
      <c r="M60" s="527">
        <v>49477.77166666666</v>
      </c>
      <c r="S60" t="s">
        <v>1123</v>
      </c>
      <c r="T60" s="615">
        <f t="shared" si="2"/>
        <v>82980.73000000001</v>
      </c>
      <c r="U60" s="615">
        <f>SUMIF($I$12:$I$170,S60,$K$12:$K$170)-P28</f>
        <v>34585.449999999997</v>
      </c>
      <c r="V60" s="615">
        <f t="shared" si="6"/>
        <v>82984.600833333359</v>
      </c>
      <c r="W60" s="615">
        <f>SUMIF($I$12:$I$170,S60,$M$12:$M$170)-Q28</f>
        <v>32598.839166666672</v>
      </c>
      <c r="X60" s="527"/>
    </row>
    <row r="61" spans="1:24">
      <c r="A61" s="449" t="str">
        <f>IF(B61="","",COUNTA(B$11:B61))</f>
        <v/>
      </c>
      <c r="C61" s="449"/>
      <c r="D61" s="1071"/>
      <c r="E61" s="1071"/>
      <c r="G61" s="1497" t="s">
        <v>353</v>
      </c>
      <c r="H61" s="1497"/>
      <c r="I61" t="s">
        <v>1078</v>
      </c>
      <c r="J61" s="527">
        <v>137657.44</v>
      </c>
      <c r="K61" s="527">
        <v>0</v>
      </c>
      <c r="L61" s="527">
        <v>5735.7266666666665</v>
      </c>
      <c r="M61" s="527">
        <v>0</v>
      </c>
      <c r="S61" s="4" t="s">
        <v>4085</v>
      </c>
      <c r="T61" s="522">
        <f>SUM(T41:T60)</f>
        <v>62396509.469999991</v>
      </c>
      <c r="U61" s="522">
        <f>SUM(U41:U60)</f>
        <v>23558971.649999999</v>
      </c>
      <c r="V61" s="522">
        <f>SUM(V41:V60)</f>
        <v>57799302.068333328</v>
      </c>
      <c r="W61" s="522">
        <f>SUM(W41:W60)</f>
        <v>21697964.199999999</v>
      </c>
      <c r="X61" s="527"/>
    </row>
    <row r="62" spans="1:24">
      <c r="A62" s="449">
        <f>IF(B62="","",COUNTA(B$11:B62))</f>
        <v>47</v>
      </c>
      <c r="B62" s="1073" t="str">
        <f>"Total "&amp;B12</f>
        <v>Total Plant in Service</v>
      </c>
      <c r="C62" s="449"/>
      <c r="D62" s="578">
        <f>SUBTOTAL(9,D14:D61)</f>
        <v>1141765084.1700003</v>
      </c>
      <c r="E62" s="1071"/>
      <c r="G62" s="1074">
        <f>'Rate Base'!D10</f>
        <v>1141765084.1700001</v>
      </c>
      <c r="H62" s="522">
        <f>D62-G62</f>
        <v>0</v>
      </c>
      <c r="I62" t="s">
        <v>1078</v>
      </c>
      <c r="J62" s="527">
        <v>98468.19</v>
      </c>
      <c r="K62" s="527">
        <v>98468.21</v>
      </c>
      <c r="L62" s="527">
        <v>98474.20166666666</v>
      </c>
      <c r="M62" s="527">
        <v>98474.222083333312</v>
      </c>
      <c r="T62" s="522">
        <f>T15+T22+T39+T61</f>
        <v>1141765084.1699998</v>
      </c>
      <c r="U62" s="522">
        <f>U15+U22+U39+U61</f>
        <v>482855822.53999996</v>
      </c>
      <c r="V62" s="522">
        <f>V15+V22+V39+V61</f>
        <v>1093224988.8120832</v>
      </c>
      <c r="W62" s="522">
        <f>W15+W22+W39+W61</f>
        <v>470425318.63708329</v>
      </c>
      <c r="X62" s="530"/>
    </row>
    <row r="63" spans="1:24">
      <c r="A63" s="449" t="str">
        <f>IF(B63="","",COUNTA(B$11:B63))</f>
        <v/>
      </c>
      <c r="C63" s="449"/>
      <c r="D63" s="1071"/>
      <c r="E63" s="1071"/>
      <c r="I63" t="s">
        <v>1078</v>
      </c>
      <c r="J63" s="527">
        <v>1891688.8399999999</v>
      </c>
      <c r="K63" s="527">
        <v>1891688.9500000002</v>
      </c>
      <c r="L63" s="527">
        <v>1891804.3354166665</v>
      </c>
      <c r="M63" s="527">
        <v>1891804.4454166663</v>
      </c>
      <c r="T63" s="522"/>
      <c r="U63" s="522"/>
      <c r="V63" s="530"/>
      <c r="W63" s="530"/>
    </row>
    <row r="64" spans="1:24">
      <c r="A64" s="449">
        <f>IF(B64="","",COUNTA(B$11:B64))</f>
        <v>48</v>
      </c>
      <c r="B64" s="4" t="s">
        <v>3606</v>
      </c>
      <c r="C64" s="449"/>
      <c r="D64" s="1071"/>
      <c r="E64" s="1071"/>
      <c r="I64" t="s">
        <v>1078</v>
      </c>
      <c r="J64" s="527">
        <v>439268.27</v>
      </c>
      <c r="K64" s="527">
        <v>439268.22000000003</v>
      </c>
      <c r="L64" s="527">
        <v>439295.08916666667</v>
      </c>
      <c r="M64" s="527">
        <v>439295.03916666674</v>
      </c>
    </row>
    <row r="65" spans="1:13">
      <c r="A65" s="449">
        <f>IF(B65="","",COUNTA(B$11:B65))</f>
        <v>49</v>
      </c>
      <c r="B65" s="4" t="str">
        <f>B13</f>
        <v>Intangible Plant</v>
      </c>
      <c r="C65" s="449"/>
      <c r="D65" s="1071"/>
      <c r="E65" s="1071"/>
      <c r="I65" t="s">
        <v>1078</v>
      </c>
      <c r="J65" s="527">
        <v>15434.880000000001</v>
      </c>
      <c r="K65" s="527">
        <v>15434.89</v>
      </c>
      <c r="L65" s="527">
        <v>15435.822500000002</v>
      </c>
      <c r="M65" s="527">
        <v>15435.832500000004</v>
      </c>
    </row>
    <row r="66" spans="1:13">
      <c r="A66" s="449">
        <f>IF(B66="","",COUNTA(B$11:B66))</f>
        <v>50</v>
      </c>
      <c r="B66" s="1068" t="str">
        <f>B14</f>
        <v>Organization</v>
      </c>
      <c r="C66" s="1075">
        <f>C14</f>
        <v>301</v>
      </c>
      <c r="D66" s="1070">
        <f>-SUM(K12)</f>
        <v>0</v>
      </c>
      <c r="E66" s="1071"/>
      <c r="I66" t="s">
        <v>1078</v>
      </c>
      <c r="J66" s="527">
        <v>1739177</v>
      </c>
      <c r="K66" s="527">
        <v>1686929.98</v>
      </c>
      <c r="L66" s="527">
        <v>1739283.1837499999</v>
      </c>
      <c r="M66" s="527">
        <v>1562753.6004166666</v>
      </c>
    </row>
    <row r="67" spans="1:13">
      <c r="A67" s="449">
        <f>IF(B67="","",COUNTA(B$11:B67))</f>
        <v>51</v>
      </c>
      <c r="B67" s="1068" t="str">
        <f>B15</f>
        <v>Franchises &amp; Consents</v>
      </c>
      <c r="C67" s="1075">
        <f>C15</f>
        <v>302</v>
      </c>
      <c r="D67" s="1070">
        <f>-SUM(K13:K14)</f>
        <v>-138157.95000000001</v>
      </c>
      <c r="E67" s="1071"/>
      <c r="I67" t="s">
        <v>1078</v>
      </c>
      <c r="J67" s="527">
        <v>491070.96</v>
      </c>
      <c r="K67" s="527">
        <v>421396.42</v>
      </c>
      <c r="L67" s="527">
        <v>491100.94208333339</v>
      </c>
      <c r="M67" s="527">
        <v>386330.82375000004</v>
      </c>
    </row>
    <row r="68" spans="1:13">
      <c r="A68" s="449">
        <f>IF(B68="","",COUNTA(B$11:B68))</f>
        <v>52</v>
      </c>
      <c r="B68" s="1068" t="str">
        <f>B16</f>
        <v>Misc. Intangible Plant</v>
      </c>
      <c r="C68" s="1075">
        <f>C16</f>
        <v>303</v>
      </c>
      <c r="D68" s="1070">
        <f>-SUM(K15:K76)</f>
        <v>-29785135.070000011</v>
      </c>
      <c r="E68" s="1071"/>
      <c r="I68" t="s">
        <v>1078</v>
      </c>
      <c r="J68" s="527">
        <v>92764.790000000008</v>
      </c>
      <c r="K68" s="527">
        <v>66280.710000000006</v>
      </c>
      <c r="L68" s="527">
        <v>92770.45375000003</v>
      </c>
      <c r="M68" s="527">
        <v>59655.8675</v>
      </c>
    </row>
    <row r="69" spans="1:13">
      <c r="A69" s="449">
        <f>IF(B69="","",COUNTA(B$11:B69))</f>
        <v>53</v>
      </c>
      <c r="B69" t="str">
        <f>B17</f>
        <v>Subtotal - Intangible Plant</v>
      </c>
      <c r="C69" s="1072"/>
      <c r="D69" s="578">
        <f>SUBTOTAL(9,D66:D68)</f>
        <v>-29923293.020000011</v>
      </c>
      <c r="E69" s="1071"/>
      <c r="I69" t="s">
        <v>1078</v>
      </c>
      <c r="J69" s="527">
        <v>293596.57</v>
      </c>
      <c r="K69" s="527">
        <v>165601.46</v>
      </c>
      <c r="L69" s="527">
        <v>293614.49541666661</v>
      </c>
      <c r="M69" s="527">
        <v>144631.56916666668</v>
      </c>
    </row>
    <row r="70" spans="1:13">
      <c r="A70" s="449" t="str">
        <f>IF(B70="","",COUNTA(B$11:B70))</f>
        <v/>
      </c>
      <c r="C70" s="1072"/>
      <c r="D70" s="1071"/>
      <c r="E70" s="1071"/>
      <c r="I70" t="s">
        <v>1078</v>
      </c>
      <c r="J70" s="527">
        <v>241563.41</v>
      </c>
      <c r="K70" s="527">
        <v>104393.96</v>
      </c>
      <c r="L70" s="527">
        <v>241578.15875000003</v>
      </c>
      <c r="M70" s="527">
        <v>87138.566249999989</v>
      </c>
    </row>
    <row r="71" spans="1:13">
      <c r="A71" s="449">
        <f>IF(B71="","",COUNTA(B$11:B71))</f>
        <v>54</v>
      </c>
      <c r="B71" s="4" t="str">
        <f t="shared" ref="B71:B76" si="7">B19</f>
        <v>Natural Gas Other Storage Plant</v>
      </c>
      <c r="C71" s="1072"/>
      <c r="D71" s="1071"/>
      <c r="E71" s="1071"/>
      <c r="I71" t="s">
        <v>1078</v>
      </c>
      <c r="J71" s="527">
        <v>241821.23</v>
      </c>
      <c r="K71" s="527">
        <v>69029.570000000007</v>
      </c>
      <c r="L71" s="527">
        <v>241835.99416666667</v>
      </c>
      <c r="M71" s="527">
        <v>51753.534583333334</v>
      </c>
    </row>
    <row r="72" spans="1:13">
      <c r="A72" s="449">
        <f>IF(B72="","",COUNTA(B$11:B72))</f>
        <v>55</v>
      </c>
      <c r="B72" s="1068" t="str">
        <f t="shared" si="7"/>
        <v>Land &amp; Land Rights - LNG</v>
      </c>
      <c r="C72" s="1075">
        <f>C20</f>
        <v>360</v>
      </c>
      <c r="D72" s="1070">
        <v>0</v>
      </c>
      <c r="E72" s="1071"/>
      <c r="I72" t="s">
        <v>1078</v>
      </c>
      <c r="J72" s="527">
        <v>19935.490000000002</v>
      </c>
      <c r="K72" s="527">
        <v>3323.05</v>
      </c>
      <c r="L72" s="527">
        <v>19936.707083333331</v>
      </c>
      <c r="M72" s="527">
        <v>1898.67875</v>
      </c>
    </row>
    <row r="73" spans="1:13">
      <c r="A73" s="449">
        <f>IF(B73="","",COUNTA(B$11:B73))</f>
        <v>56</v>
      </c>
      <c r="B73" s="1068" t="str">
        <f t="shared" si="7"/>
        <v>Structures &amp; improvement - LNG</v>
      </c>
      <c r="C73" s="1075">
        <f>C21</f>
        <v>361</v>
      </c>
      <c r="D73" s="1070">
        <v>0</v>
      </c>
      <c r="E73" s="1071"/>
      <c r="I73" t="s">
        <v>1078</v>
      </c>
      <c r="J73" s="527">
        <v>66102.87</v>
      </c>
      <c r="K73" s="527">
        <v>0</v>
      </c>
      <c r="L73" s="527">
        <v>2754.2862499999997</v>
      </c>
      <c r="M73" s="527">
        <v>0</v>
      </c>
    </row>
    <row r="74" spans="1:13">
      <c r="A74" s="449">
        <f>IF(B74="","",COUNTA(B$11:B74))</f>
        <v>57</v>
      </c>
      <c r="B74" s="1068" t="str">
        <f t="shared" si="7"/>
        <v>Gas Holders - LNG</v>
      </c>
      <c r="C74" s="1075">
        <f>C22</f>
        <v>362</v>
      </c>
      <c r="D74" s="1070">
        <v>0</v>
      </c>
      <c r="E74" s="1071"/>
      <c r="I74" t="s">
        <v>1078</v>
      </c>
      <c r="J74" s="527">
        <v>0</v>
      </c>
      <c r="K74" s="527">
        <v>-0.02</v>
      </c>
      <c r="L74" s="527">
        <v>0</v>
      </c>
      <c r="M74" s="527">
        <v>-1.9999999999999997E-2</v>
      </c>
    </row>
    <row r="75" spans="1:13">
      <c r="A75" s="449">
        <f>IF(B75="","",COUNTA(B$11:B75))</f>
        <v>58</v>
      </c>
      <c r="B75" s="1068" t="str">
        <f t="shared" si="7"/>
        <v>LNG Equipment</v>
      </c>
      <c r="C75" s="1075">
        <f>C23</f>
        <v>363</v>
      </c>
      <c r="D75" s="1070">
        <v>0</v>
      </c>
      <c r="E75" s="1071"/>
      <c r="I75" t="s">
        <v>1078</v>
      </c>
      <c r="J75" s="527">
        <v>2247903.29</v>
      </c>
      <c r="K75" s="527">
        <v>2248970.7000000002</v>
      </c>
      <c r="L75" s="527">
        <v>2248040.5337499995</v>
      </c>
      <c r="M75" s="527">
        <v>2249108.0087499996</v>
      </c>
    </row>
    <row r="76" spans="1:13">
      <c r="A76" s="449">
        <f>IF(B76="","",COUNTA(B$11:B76))</f>
        <v>59</v>
      </c>
      <c r="B76" t="str">
        <f t="shared" si="7"/>
        <v>Subtotal - Natural Gas Other Storage Plant</v>
      </c>
      <c r="C76" s="1072"/>
      <c r="D76" s="578">
        <f>SUBTOTAL(9,D72:D75)</f>
        <v>0</v>
      </c>
      <c r="E76" s="1071"/>
      <c r="I76" t="s">
        <v>1078</v>
      </c>
      <c r="J76" s="527">
        <v>2091590.26</v>
      </c>
      <c r="K76" s="527">
        <v>1893950.52</v>
      </c>
      <c r="L76" s="527">
        <v>2091717.9600000002</v>
      </c>
      <c r="M76" s="527">
        <v>1796376.9262500003</v>
      </c>
    </row>
    <row r="77" spans="1:13">
      <c r="A77" s="449" t="str">
        <f>IF(B77="","",COUNTA(B$11:B77))</f>
        <v/>
      </c>
      <c r="C77" s="1072"/>
      <c r="D77" s="578"/>
      <c r="E77" s="1071"/>
      <c r="I77" t="s">
        <v>1079</v>
      </c>
      <c r="J77" s="527">
        <v>0</v>
      </c>
      <c r="K77" s="527">
        <v>0</v>
      </c>
      <c r="L77" s="527">
        <v>0</v>
      </c>
      <c r="M77" s="527">
        <v>0</v>
      </c>
    </row>
    <row r="78" spans="1:13">
      <c r="A78" s="449">
        <f>IF(B78="","",COUNTA(B$11:B78))</f>
        <v>60</v>
      </c>
      <c r="B78" s="4" t="str">
        <f>B26</f>
        <v xml:space="preserve">Transmission plant </v>
      </c>
      <c r="C78" s="449"/>
      <c r="D78" s="1071"/>
      <c r="E78" s="1071"/>
      <c r="I78" t="s">
        <v>1079</v>
      </c>
      <c r="J78" s="527">
        <v>338215.79</v>
      </c>
      <c r="K78" s="527">
        <v>0</v>
      </c>
      <c r="L78" s="527">
        <v>338215.79</v>
      </c>
      <c r="M78" s="527">
        <v>0</v>
      </c>
    </row>
    <row r="79" spans="1:13">
      <c r="A79" s="449">
        <f>IF(B79="","",COUNTA(B$11:B79))</f>
        <v>61</v>
      </c>
      <c r="B79" s="1068" t="str">
        <f>B27</f>
        <v>Land and Land Rights</v>
      </c>
      <c r="C79" s="1075">
        <f>C27</f>
        <v>365.1</v>
      </c>
      <c r="D79" s="1070">
        <f>-SUM(K77:K80)</f>
        <v>-853231.62</v>
      </c>
      <c r="E79" s="1071"/>
      <c r="I79" t="s">
        <v>1080</v>
      </c>
      <c r="J79" s="527">
        <v>0</v>
      </c>
      <c r="K79" s="527">
        <v>0</v>
      </c>
      <c r="L79" s="527">
        <v>0</v>
      </c>
      <c r="M79" s="527">
        <v>0</v>
      </c>
    </row>
    <row r="80" spans="1:13">
      <c r="A80" s="449">
        <f>IF(B80="","",COUNTA(B$11:B80))</f>
        <v>62</v>
      </c>
      <c r="B80" s="1068" t="str">
        <f>B28</f>
        <v>Structures and improvements</v>
      </c>
      <c r="C80" s="1075">
        <f>C28</f>
        <v>366</v>
      </c>
      <c r="D80" s="1070">
        <f>-SUM(K81)</f>
        <v>-310.78000000000003</v>
      </c>
      <c r="E80" s="1071"/>
      <c r="I80" t="s">
        <v>1080</v>
      </c>
      <c r="J80" s="527">
        <v>1071405.18</v>
      </c>
      <c r="K80" s="527">
        <v>853231.62</v>
      </c>
      <c r="L80" s="527">
        <v>1047149.2595833335</v>
      </c>
      <c r="M80" s="527">
        <v>849792.42000000027</v>
      </c>
    </row>
    <row r="81" spans="1:13">
      <c r="A81" s="449">
        <f>IF(B81="","",COUNTA(B$11:B81))</f>
        <v>63</v>
      </c>
      <c r="B81" s="1068" t="str">
        <f>B29</f>
        <v>Mains</v>
      </c>
      <c r="C81" s="1075">
        <f>C29</f>
        <v>367</v>
      </c>
      <c r="D81" s="1070">
        <f>-SUM(K82:K83)+P13</f>
        <v>-12186427.92</v>
      </c>
      <c r="E81" s="1071"/>
      <c r="I81" t="s">
        <v>1081</v>
      </c>
      <c r="J81" s="527">
        <v>124315.06</v>
      </c>
      <c r="K81" s="527">
        <v>310.78000000000003</v>
      </c>
      <c r="L81" s="527">
        <v>25898.970833333336</v>
      </c>
      <c r="M81" s="527">
        <v>25.898333333333337</v>
      </c>
    </row>
    <row r="82" spans="1:13">
      <c r="A82" s="449">
        <f>IF(B82="","",COUNTA(B$11:B82))</f>
        <v>64</v>
      </c>
      <c r="B82" s="1068" t="str">
        <f>B30</f>
        <v>Compressor station equipment</v>
      </c>
      <c r="C82" s="1075">
        <f>C30</f>
        <v>368</v>
      </c>
      <c r="D82" s="1070">
        <v>0</v>
      </c>
      <c r="E82" s="1071"/>
      <c r="I82" t="s">
        <v>1082</v>
      </c>
      <c r="J82" s="527">
        <v>0</v>
      </c>
      <c r="K82" s="527">
        <v>0</v>
      </c>
      <c r="L82" s="527">
        <v>0</v>
      </c>
      <c r="M82" s="527">
        <v>0</v>
      </c>
    </row>
    <row r="83" spans="1:13">
      <c r="A83" s="449">
        <f>IF(B83="","",COUNTA(B$11:B83))</f>
        <v>65</v>
      </c>
      <c r="B83" s="1068" t="s">
        <v>3588</v>
      </c>
      <c r="C83" s="1075">
        <v>369</v>
      </c>
      <c r="D83" s="1070">
        <f>-SUM(K84:K85)+P14</f>
        <v>-146590.03999999998</v>
      </c>
      <c r="E83" s="1071"/>
      <c r="I83" t="s">
        <v>1082</v>
      </c>
      <c r="J83" s="527">
        <v>17254526.629999999</v>
      </c>
      <c r="K83" s="527">
        <v>12146466.439999999</v>
      </c>
      <c r="L83" s="527">
        <v>16970457.563750003</v>
      </c>
      <c r="M83" s="527">
        <v>12038082.813333333</v>
      </c>
    </row>
    <row r="84" spans="1:13">
      <c r="A84" s="449">
        <f>IF(B84="","",COUNTA(B$11:B84))</f>
        <v>66</v>
      </c>
      <c r="B84" s="1068" t="str">
        <f>B32</f>
        <v>Communication equipment</v>
      </c>
      <c r="C84" s="1075">
        <f>C32</f>
        <v>370</v>
      </c>
      <c r="D84" s="1070">
        <v>0</v>
      </c>
      <c r="E84" s="1071"/>
      <c r="I84" t="s">
        <v>1083</v>
      </c>
      <c r="J84" s="527">
        <v>0</v>
      </c>
      <c r="K84" s="527">
        <v>0</v>
      </c>
      <c r="L84" s="527">
        <v>0</v>
      </c>
      <c r="M84" s="527">
        <v>0</v>
      </c>
    </row>
    <row r="85" spans="1:13">
      <c r="A85" s="449">
        <f>IF(B85="","",COUNTA(B$11:B85))</f>
        <v>67</v>
      </c>
      <c r="B85" t="str">
        <f>"Subtotal - "&amp;B78</f>
        <v xml:space="preserve">Subtotal - Transmission plant </v>
      </c>
      <c r="C85" s="449"/>
      <c r="D85" s="578">
        <f>SUBTOTAL(9,D79:D84)</f>
        <v>-13186560.359999999</v>
      </c>
      <c r="E85" s="1071"/>
      <c r="I85" t="s">
        <v>1083</v>
      </c>
      <c r="J85" s="527">
        <v>135338.4</v>
      </c>
      <c r="K85" s="527">
        <v>148872.24</v>
      </c>
      <c r="L85" s="527">
        <v>135338.39999999997</v>
      </c>
      <c r="M85" s="527">
        <v>148872.24</v>
      </c>
    </row>
    <row r="86" spans="1:13">
      <c r="A86" s="449" t="str">
        <f>IF(B86="","",COUNTA(B$11:B86))</f>
        <v/>
      </c>
      <c r="C86" s="449"/>
      <c r="D86" s="1071"/>
      <c r="E86" s="1071"/>
      <c r="I86" t="s">
        <v>1085</v>
      </c>
      <c r="J86" s="527">
        <v>0</v>
      </c>
      <c r="K86" s="527">
        <v>0</v>
      </c>
      <c r="L86" s="527">
        <v>0</v>
      </c>
      <c r="M86" s="527">
        <v>0</v>
      </c>
    </row>
    <row r="87" spans="1:13">
      <c r="A87" s="449">
        <f>IF(B87="","",COUNTA(B$11:B87))</f>
        <v>68</v>
      </c>
      <c r="B87" s="4" t="s">
        <v>2419</v>
      </c>
      <c r="C87" s="449"/>
      <c r="D87" s="1071"/>
      <c r="E87" s="1071"/>
      <c r="I87" t="s">
        <v>1085</v>
      </c>
      <c r="J87" s="527">
        <v>420627.25</v>
      </c>
      <c r="K87" s="527">
        <v>0</v>
      </c>
      <c r="L87" s="527">
        <v>420627.25</v>
      </c>
      <c r="M87" s="527">
        <v>0</v>
      </c>
    </row>
    <row r="88" spans="1:13">
      <c r="A88" s="449">
        <f>IF(B88="","",COUNTA(B$11:B88))</f>
        <v>69</v>
      </c>
      <c r="B88" s="1068" t="str">
        <f t="shared" ref="B88:C90" si="8">B36</f>
        <v>Land and land rights</v>
      </c>
      <c r="C88" s="1075">
        <f t="shared" si="8"/>
        <v>374</v>
      </c>
      <c r="D88" s="1070">
        <f>-SUM(K86:K90)</f>
        <v>-903300.28</v>
      </c>
      <c r="E88" s="1071"/>
      <c r="I88" t="s">
        <v>1085</v>
      </c>
      <c r="J88" s="527">
        <v>71241.25</v>
      </c>
      <c r="K88" s="527">
        <v>0</v>
      </c>
      <c r="L88" s="527">
        <v>71245.599583333344</v>
      </c>
      <c r="M88" s="527">
        <v>0</v>
      </c>
    </row>
    <row r="89" spans="1:13">
      <c r="A89" s="449">
        <f>IF(B89="","",COUNTA(B$11:B89))</f>
        <v>70</v>
      </c>
      <c r="B89" s="1068" t="str">
        <f t="shared" si="8"/>
        <v>Structures and improvements</v>
      </c>
      <c r="C89" s="1075">
        <f t="shared" si="8"/>
        <v>375</v>
      </c>
      <c r="D89" s="1070">
        <f>-SUM(K91:K93)+P15</f>
        <v>-1008132.75</v>
      </c>
      <c r="E89" s="1071"/>
      <c r="I89" t="s">
        <v>1086</v>
      </c>
      <c r="J89" s="527">
        <v>0</v>
      </c>
      <c r="K89" s="527">
        <v>0</v>
      </c>
      <c r="L89" s="527">
        <v>0</v>
      </c>
      <c r="M89" s="527">
        <v>0</v>
      </c>
    </row>
    <row r="90" spans="1:13">
      <c r="A90" s="449">
        <f>IF(B90="","",COUNTA(B$11:B90))</f>
        <v>71</v>
      </c>
      <c r="B90" s="1068" t="str">
        <f t="shared" si="8"/>
        <v>Mains</v>
      </c>
      <c r="C90" s="1075">
        <f t="shared" si="8"/>
        <v>376</v>
      </c>
      <c r="D90" s="1070">
        <f>-SUM(K94:K104)+P16</f>
        <v>-207297957.37</v>
      </c>
      <c r="E90" s="1071"/>
      <c r="I90" t="s">
        <v>1086</v>
      </c>
      <c r="J90" s="527">
        <v>2140373.0699999998</v>
      </c>
      <c r="K90" s="527">
        <v>903300.28</v>
      </c>
      <c r="L90" s="527">
        <v>2140373.0699999998</v>
      </c>
      <c r="M90" s="527">
        <v>885749.19999999984</v>
      </c>
    </row>
    <row r="91" spans="1:13">
      <c r="A91" s="449">
        <f>IF(B91="","",COUNTA(B$11:B91))</f>
        <v>72</v>
      </c>
      <c r="B91" s="1068" t="s">
        <v>3587</v>
      </c>
      <c r="C91" s="1075">
        <v>377</v>
      </c>
      <c r="D91" s="1070">
        <f>-K105+P17</f>
        <v>-1190619.0900000001</v>
      </c>
      <c r="E91" s="1071"/>
      <c r="I91" t="s">
        <v>1087</v>
      </c>
      <c r="J91" s="527">
        <v>0</v>
      </c>
      <c r="K91" s="527">
        <v>0</v>
      </c>
      <c r="L91" s="527">
        <v>0</v>
      </c>
      <c r="M91" s="527">
        <v>0</v>
      </c>
    </row>
    <row r="92" spans="1:13">
      <c r="A92" s="449">
        <f>IF(B92="","",COUNTA(B$11:B92))</f>
        <v>73</v>
      </c>
      <c r="B92" s="1068" t="str">
        <f t="shared" ref="B92:C98" si="9">B40</f>
        <v>Measuring and regulating station equipment—general</v>
      </c>
      <c r="C92" s="1075">
        <f t="shared" si="9"/>
        <v>378</v>
      </c>
      <c r="D92" s="1070">
        <f>-SUM(K106:K107)+P18</f>
        <v>-5868337.2199999997</v>
      </c>
      <c r="E92" s="1071"/>
      <c r="I92" t="s">
        <v>1087</v>
      </c>
      <c r="J92" s="527">
        <v>787736.36</v>
      </c>
      <c r="K92" s="527">
        <v>697539.56</v>
      </c>
      <c r="L92" s="527">
        <v>745826.54416666657</v>
      </c>
      <c r="M92" s="527">
        <v>696742.71708333318</v>
      </c>
    </row>
    <row r="93" spans="1:13">
      <c r="A93" s="449">
        <f>IF(B93="","",COUNTA(B$11:B93))</f>
        <v>74</v>
      </c>
      <c r="B93" s="1068" t="str">
        <f t="shared" si="9"/>
        <v>Measuring and regulating station equipment—City Gate</v>
      </c>
      <c r="C93" s="1075">
        <f t="shared" si="9"/>
        <v>379</v>
      </c>
      <c r="D93" s="1070">
        <f>-SUM(K108:K109)+P19</f>
        <v>-101401.66999999998</v>
      </c>
      <c r="E93" s="1071"/>
      <c r="I93" t="s">
        <v>1087</v>
      </c>
      <c r="J93" s="527">
        <v>305542.2</v>
      </c>
      <c r="K93" s="527">
        <v>310925.17</v>
      </c>
      <c r="L93" s="527">
        <v>305560.85458333342</v>
      </c>
      <c r="M93" s="527">
        <v>309660.7129166667</v>
      </c>
    </row>
    <row r="94" spans="1:13">
      <c r="A94" s="449">
        <f>IF(B94="","",COUNTA(B$11:B94))</f>
        <v>75</v>
      </c>
      <c r="B94" s="1068" t="str">
        <f t="shared" si="9"/>
        <v>Services</v>
      </c>
      <c r="C94" s="1075">
        <f t="shared" si="9"/>
        <v>380</v>
      </c>
      <c r="D94" s="1070">
        <f>-SUM(K110:K114)+P20</f>
        <v>-174475505.68000001</v>
      </c>
      <c r="E94" s="1071"/>
      <c r="I94" t="s">
        <v>1088</v>
      </c>
      <c r="J94" s="527">
        <v>0</v>
      </c>
      <c r="K94" s="527">
        <v>0</v>
      </c>
      <c r="L94" s="527">
        <v>0</v>
      </c>
      <c r="M94" s="527">
        <v>0</v>
      </c>
    </row>
    <row r="95" spans="1:13">
      <c r="A95" s="449">
        <f>IF(B95="","",COUNTA(B$11:B95))</f>
        <v>76</v>
      </c>
      <c r="B95" s="1068" t="str">
        <f t="shared" si="9"/>
        <v>Meters</v>
      </c>
      <c r="C95" s="1075">
        <f t="shared" si="9"/>
        <v>381</v>
      </c>
      <c r="D95" s="1070">
        <f>-SUM(K115:K116)+P21</f>
        <v>-17499545.34</v>
      </c>
      <c r="E95" s="1071"/>
      <c r="I95" t="s">
        <v>1088</v>
      </c>
      <c r="J95" s="527">
        <v>270619947.44999999</v>
      </c>
      <c r="K95" s="527">
        <v>45979926.75</v>
      </c>
      <c r="L95" s="527">
        <v>248152326.83249995</v>
      </c>
      <c r="M95" s="527">
        <v>44890165.793333329</v>
      </c>
    </row>
    <row r="96" spans="1:13">
      <c r="A96" s="449">
        <f>IF(B96="","",COUNTA(B$11:B96))</f>
        <v>77</v>
      </c>
      <c r="B96" s="1068" t="str">
        <f t="shared" si="9"/>
        <v>Meter installations</v>
      </c>
      <c r="C96" s="1075">
        <f t="shared" si="9"/>
        <v>382</v>
      </c>
      <c r="D96" s="1070">
        <v>0</v>
      </c>
      <c r="E96" s="1071"/>
      <c r="I96" t="s">
        <v>1088</v>
      </c>
      <c r="J96" s="527">
        <v>0</v>
      </c>
      <c r="K96" s="527">
        <v>0</v>
      </c>
      <c r="L96" s="527">
        <v>0</v>
      </c>
      <c r="M96" s="527">
        <v>0</v>
      </c>
    </row>
    <row r="97" spans="1:13">
      <c r="A97" s="449">
        <f>IF(B97="","",COUNTA(B$11:B97))</f>
        <v>78</v>
      </c>
      <c r="B97" s="1068" t="str">
        <f t="shared" si="9"/>
        <v>House regulators</v>
      </c>
      <c r="C97" s="1075">
        <f t="shared" si="9"/>
        <v>383</v>
      </c>
      <c r="D97" s="1070">
        <f>-SUM(K117)+P22</f>
        <v>-3165403.14</v>
      </c>
      <c r="E97" s="1071"/>
      <c r="I97" t="s">
        <v>1088</v>
      </c>
      <c r="J97" s="527">
        <v>593322.68000000005</v>
      </c>
      <c r="K97" s="527">
        <v>0</v>
      </c>
      <c r="L97" s="527">
        <v>24721.778333333335</v>
      </c>
      <c r="M97" s="527">
        <v>0</v>
      </c>
    </row>
    <row r="98" spans="1:13">
      <c r="A98" s="449">
        <f>IF(B98="","",COUNTA(B$11:B98))</f>
        <v>79</v>
      </c>
      <c r="B98" s="1068" t="str">
        <f t="shared" si="9"/>
        <v>Industrial measuring and regulating station equipment</v>
      </c>
      <c r="C98" s="1075">
        <f t="shared" si="9"/>
        <v>385</v>
      </c>
      <c r="D98" s="1070">
        <f>-SUM(K118:K119)+P23</f>
        <v>-4676794.97</v>
      </c>
      <c r="E98" s="1071"/>
      <c r="I98" t="s">
        <v>1089</v>
      </c>
      <c r="J98" s="527">
        <v>0</v>
      </c>
      <c r="K98" s="527">
        <v>0</v>
      </c>
      <c r="L98" s="527">
        <v>0</v>
      </c>
      <c r="M98" s="527">
        <v>0</v>
      </c>
    </row>
    <row r="99" spans="1:13">
      <c r="A99" s="449">
        <f>IF(B99="","",COUNTA(B$11:B99))</f>
        <v>80</v>
      </c>
      <c r="B99" t="str">
        <f>"Subtotal - "&amp;B87</f>
        <v>Subtotal - Distribution Plant</v>
      </c>
      <c r="C99" s="449"/>
      <c r="D99" s="578">
        <f>SUBTOTAL(9,D88:D98)</f>
        <v>-416186997.50999999</v>
      </c>
      <c r="E99" s="1071"/>
      <c r="I99" t="s">
        <v>1089</v>
      </c>
      <c r="J99" s="527">
        <v>205518392.66</v>
      </c>
      <c r="K99" s="527">
        <v>65426364.649999999</v>
      </c>
      <c r="L99" s="527">
        <v>194443652.66</v>
      </c>
      <c r="M99" s="527">
        <v>62758346.916666664</v>
      </c>
    </row>
    <row r="100" spans="1:13">
      <c r="A100" s="449" t="str">
        <f>IF(B100="","",COUNTA(B$11:B100))</f>
        <v/>
      </c>
      <c r="C100" s="449"/>
      <c r="D100" s="1071"/>
      <c r="E100" s="1071"/>
      <c r="I100" t="s">
        <v>1089</v>
      </c>
      <c r="J100" s="527">
        <v>325602.27</v>
      </c>
      <c r="K100" s="527">
        <v>3934.37</v>
      </c>
      <c r="L100" s="527">
        <v>13566.761250000001</v>
      </c>
      <c r="M100" s="527">
        <v>163.93208333333334</v>
      </c>
    </row>
    <row r="101" spans="1:13">
      <c r="A101" s="449">
        <f>IF(B101="","",COUNTA(B$11:B101))</f>
        <v>81</v>
      </c>
      <c r="B101" s="4" t="str">
        <f t="shared" ref="B101:B107" si="10">B49</f>
        <v>General Plant</v>
      </c>
      <c r="C101" s="449"/>
      <c r="D101" s="1071"/>
      <c r="E101" s="1071"/>
      <c r="I101" t="s">
        <v>1089</v>
      </c>
      <c r="J101" s="527">
        <v>0</v>
      </c>
      <c r="K101" s="527">
        <v>0</v>
      </c>
      <c r="L101" s="527">
        <v>0</v>
      </c>
      <c r="M101" s="527">
        <v>0</v>
      </c>
    </row>
    <row r="102" spans="1:13">
      <c r="A102" s="449">
        <f>IF(B102="","",COUNTA(B$11:B102))</f>
        <v>82</v>
      </c>
      <c r="B102" s="1068" t="str">
        <f t="shared" si="10"/>
        <v>Land and Land Rights</v>
      </c>
      <c r="C102" s="1075">
        <f t="shared" ref="C102:C107" si="11">C50</f>
        <v>389</v>
      </c>
      <c r="D102" s="1070">
        <f>-SUM(K120:K122)</f>
        <v>-132.19</v>
      </c>
      <c r="E102" s="1071"/>
      <c r="I102" t="s">
        <v>1090</v>
      </c>
      <c r="J102" s="527">
        <v>0</v>
      </c>
      <c r="K102" s="527">
        <v>0</v>
      </c>
      <c r="L102" s="527">
        <v>0</v>
      </c>
      <c r="M102" s="527">
        <v>0</v>
      </c>
    </row>
    <row r="103" spans="1:13">
      <c r="A103" s="449">
        <f>IF(B103="","",COUNTA(B$11:B103))</f>
        <v>83</v>
      </c>
      <c r="B103" s="1068" t="str">
        <f t="shared" si="10"/>
        <v>Structures and Improvements</v>
      </c>
      <c r="C103" s="1075">
        <f t="shared" si="11"/>
        <v>390</v>
      </c>
      <c r="D103" s="1070">
        <f>-SUM(K123:K126)+P24</f>
        <v>-10275688.92</v>
      </c>
      <c r="E103" s="1071"/>
      <c r="I103" t="s">
        <v>1090</v>
      </c>
      <c r="J103" s="527">
        <v>126733642.34999999</v>
      </c>
      <c r="K103" s="527">
        <v>96681796.439999998</v>
      </c>
      <c r="L103" s="527">
        <v>125316973.94250001</v>
      </c>
      <c r="M103" s="527">
        <v>95356915.561666667</v>
      </c>
    </row>
    <row r="104" spans="1:13">
      <c r="A104" s="449">
        <f>IF(B104="","",COUNTA(B$11:B104))</f>
        <v>84</v>
      </c>
      <c r="B104" s="1068" t="str">
        <f t="shared" si="10"/>
        <v>Office Furniture and Equipment</v>
      </c>
      <c r="C104" s="1075">
        <f t="shared" si="11"/>
        <v>391</v>
      </c>
      <c r="D104" s="1070">
        <f>-SUM(K127:K135)</f>
        <v>-1858760.32</v>
      </c>
      <c r="E104" s="1071"/>
      <c r="I104" t="s">
        <v>1090</v>
      </c>
      <c r="J104" s="527">
        <v>0</v>
      </c>
      <c r="K104" s="527">
        <v>0</v>
      </c>
      <c r="L104" s="527">
        <v>0</v>
      </c>
      <c r="M104" s="527">
        <v>0</v>
      </c>
    </row>
    <row r="105" spans="1:13">
      <c r="A105" s="449">
        <f>IF(B105="","",COUNTA(B$11:B105))</f>
        <v>85</v>
      </c>
      <c r="B105" s="1068" t="str">
        <f t="shared" si="10"/>
        <v>Transportation Equipment</v>
      </c>
      <c r="C105" s="1075">
        <f t="shared" si="11"/>
        <v>392</v>
      </c>
      <c r="D105" s="1070">
        <f>-SUM(K136:K141)+P25</f>
        <v>-5366840.1100000013</v>
      </c>
      <c r="E105" s="1071"/>
      <c r="I105" t="s">
        <v>1091</v>
      </c>
      <c r="J105" s="527">
        <v>2927915.23</v>
      </c>
      <c r="K105" s="527">
        <v>1192067.76</v>
      </c>
      <c r="L105" s="527">
        <v>2514092.2129166666</v>
      </c>
      <c r="M105" s="527">
        <v>1350135.1170833332</v>
      </c>
    </row>
    <row r="106" spans="1:13">
      <c r="A106" s="449">
        <f>IF(B106="","",COUNTA(B$11:B106))</f>
        <v>86</v>
      </c>
      <c r="B106" s="1068" t="str">
        <f t="shared" si="10"/>
        <v>Stores Equipment</v>
      </c>
      <c r="C106" s="1075">
        <f t="shared" si="11"/>
        <v>393</v>
      </c>
      <c r="D106" s="1070">
        <f>-SUM(K142:K144)</f>
        <v>-50733.22</v>
      </c>
      <c r="E106" s="1071"/>
      <c r="I106" t="s">
        <v>1092</v>
      </c>
      <c r="J106" s="527">
        <v>0</v>
      </c>
      <c r="K106" s="527">
        <v>0</v>
      </c>
      <c r="L106" s="527">
        <v>0</v>
      </c>
      <c r="M106" s="527">
        <v>0</v>
      </c>
    </row>
    <row r="107" spans="1:13">
      <c r="A107" s="449">
        <f>IF(B107="","",COUNTA(B$11:B107))</f>
        <v>87</v>
      </c>
      <c r="B107" s="1068" t="str">
        <f t="shared" si="10"/>
        <v xml:space="preserve">Tools, Shop, and Garage Equipment </v>
      </c>
      <c r="C107" s="1075">
        <f t="shared" si="11"/>
        <v>394</v>
      </c>
      <c r="D107" s="1070">
        <f>-SUM(K145:K148)</f>
        <v>-3438076.48</v>
      </c>
      <c r="E107" s="1071"/>
      <c r="I107" t="s">
        <v>1092</v>
      </c>
      <c r="J107" s="527">
        <v>37152569.329999998</v>
      </c>
      <c r="K107" s="527">
        <v>5982141.0099999998</v>
      </c>
      <c r="L107" s="527">
        <v>36314845.541666664</v>
      </c>
      <c r="M107" s="527">
        <v>6233512.9400000004</v>
      </c>
    </row>
    <row r="108" spans="1:13">
      <c r="A108" s="449">
        <f>IF(B108="","",COUNTA(B$11:B108))</f>
        <v>88</v>
      </c>
      <c r="B108" s="1068" t="s">
        <v>3602</v>
      </c>
      <c r="C108" s="1075">
        <v>395</v>
      </c>
      <c r="D108" s="1070">
        <f>-SUM(K149:K150)</f>
        <v>-50175.49</v>
      </c>
      <c r="E108" s="1071"/>
      <c r="I108" t="s">
        <v>3607</v>
      </c>
      <c r="J108" s="527">
        <v>0</v>
      </c>
      <c r="K108" s="527">
        <v>0</v>
      </c>
      <c r="L108" s="527">
        <v>0</v>
      </c>
      <c r="M108" s="527">
        <v>0</v>
      </c>
    </row>
    <row r="109" spans="1:13">
      <c r="A109" s="449">
        <f>IF(B109="","",COUNTA(B$11:B109))</f>
        <v>89</v>
      </c>
      <c r="B109" s="1068" t="str">
        <f t="shared" ref="B109:C112" si="12">B57</f>
        <v>Power Operated Equipment</v>
      </c>
      <c r="C109" s="1075">
        <f t="shared" si="12"/>
        <v>396</v>
      </c>
      <c r="D109" s="1070">
        <f>-SUM(K151:K155)+P27</f>
        <v>-1228215.7800000003</v>
      </c>
      <c r="E109" s="1071"/>
      <c r="I109" t="s">
        <v>3607</v>
      </c>
      <c r="J109" s="527">
        <v>4351552.2300000004</v>
      </c>
      <c r="K109" s="527">
        <v>74231.28</v>
      </c>
      <c r="L109" s="527">
        <v>4683724.2270833338</v>
      </c>
      <c r="M109" s="527">
        <v>34560.856250000004</v>
      </c>
    </row>
    <row r="110" spans="1:13">
      <c r="A110" s="449">
        <f>IF(B110="","",COUNTA(B$11:B110))</f>
        <v>90</v>
      </c>
      <c r="B110" s="1068" t="str">
        <f t="shared" si="12"/>
        <v>Communication Equipment</v>
      </c>
      <c r="C110" s="1075">
        <f t="shared" si="12"/>
        <v>397</v>
      </c>
      <c r="D110" s="1070">
        <f>-SUM(K156:K167)</f>
        <v>-1255763.6900000002</v>
      </c>
      <c r="E110" s="1071"/>
      <c r="I110" t="s">
        <v>3608</v>
      </c>
      <c r="J110" s="527">
        <v>0</v>
      </c>
      <c r="K110" s="527">
        <v>0</v>
      </c>
      <c r="L110" s="527">
        <v>0</v>
      </c>
      <c r="M110" s="527">
        <v>0</v>
      </c>
    </row>
    <row r="111" spans="1:13">
      <c r="A111" s="449">
        <f>IF(B111="","",COUNTA(B$11:B111))</f>
        <v>91</v>
      </c>
      <c r="B111" s="1068" t="str">
        <f t="shared" si="12"/>
        <v>Misc. Equipment</v>
      </c>
      <c r="C111" s="1075">
        <f t="shared" si="12"/>
        <v>398</v>
      </c>
      <c r="D111" s="1070">
        <f>-SUM(K168:K170)+P28</f>
        <v>-34585.449999999997</v>
      </c>
      <c r="E111" s="1071"/>
      <c r="I111" t="s">
        <v>3608</v>
      </c>
      <c r="J111" s="527">
        <v>184306198.66</v>
      </c>
      <c r="K111" s="527">
        <v>76820702.530000001</v>
      </c>
      <c r="L111" s="527">
        <v>180128854.72666669</v>
      </c>
      <c r="M111" s="527">
        <v>74036886.840833321</v>
      </c>
    </row>
    <row r="112" spans="1:13">
      <c r="A112" s="449">
        <f>IF(B112="","",COUNTA(B$11:B112))</f>
        <v>92</v>
      </c>
      <c r="B112" t="str">
        <f t="shared" si="12"/>
        <v>Subtotal - General Plant</v>
      </c>
      <c r="C112" s="449"/>
      <c r="D112" s="578">
        <f>SUBTOTAL(9,D102:D111)</f>
        <v>-23558971.649999999</v>
      </c>
      <c r="E112" s="1071"/>
      <c r="I112" t="s">
        <v>3608</v>
      </c>
      <c r="J112" s="527">
        <v>0</v>
      </c>
      <c r="K112" s="527">
        <v>0</v>
      </c>
      <c r="L112" s="527">
        <v>0</v>
      </c>
      <c r="M112" s="527">
        <v>0</v>
      </c>
    </row>
    <row r="113" spans="1:13">
      <c r="A113" s="449" t="str">
        <f>IF(B113="","",COUNTA(B$11:B113))</f>
        <v/>
      </c>
      <c r="C113" s="449"/>
      <c r="D113" s="1071"/>
      <c r="E113" s="1071"/>
      <c r="G113" s="1497" t="s">
        <v>353</v>
      </c>
      <c r="H113" s="1497"/>
      <c r="I113" t="s">
        <v>3609</v>
      </c>
      <c r="J113" s="527">
        <v>0</v>
      </c>
      <c r="K113" s="527">
        <v>0</v>
      </c>
      <c r="L113" s="527">
        <v>0</v>
      </c>
      <c r="M113" s="527">
        <v>0</v>
      </c>
    </row>
    <row r="114" spans="1:13">
      <c r="A114" s="449">
        <f>IF(B114="","",COUNTA(B$11:B114))</f>
        <v>93</v>
      </c>
      <c r="B114" s="1073" t="str">
        <f>"Total "&amp;B64</f>
        <v>Total Accumulated Depreciation &amp; Amortization Expense</v>
      </c>
      <c r="C114" s="449"/>
      <c r="D114" s="578">
        <f>SUBTOTAL(9,D66:D113)</f>
        <v>-482855822.54000008</v>
      </c>
      <c r="E114" s="1071"/>
      <c r="G114" s="579">
        <f>'Rate Base'!D11</f>
        <v>-482855822.53999978</v>
      </c>
      <c r="H114" s="522">
        <f>D114-G114</f>
        <v>0</v>
      </c>
      <c r="I114" t="s">
        <v>3609</v>
      </c>
      <c r="J114" s="527">
        <v>61403371.700000003</v>
      </c>
      <c r="K114" s="527">
        <v>97927170.790000007</v>
      </c>
      <c r="L114" s="527">
        <v>61403822.374583334</v>
      </c>
      <c r="M114" s="527">
        <v>97618435.984583318</v>
      </c>
    </row>
    <row r="115" spans="1:13">
      <c r="A115" s="449" t="str">
        <f>IF(B115="","",COUNTA(B$11:B115))</f>
        <v/>
      </c>
      <c r="C115" s="449"/>
      <c r="D115" s="1071"/>
      <c r="E115" s="1071"/>
      <c r="I115" t="s">
        <v>3610</v>
      </c>
      <c r="J115" s="527">
        <v>50176.62</v>
      </c>
      <c r="K115" s="527">
        <v>21929.49</v>
      </c>
      <c r="L115" s="527">
        <v>52332.662083333329</v>
      </c>
      <c r="M115" s="527">
        <v>21242.894166666661</v>
      </c>
    </row>
    <row r="116" spans="1:13">
      <c r="A116" s="449">
        <f>IF(B116="","",COUNTA(B$11:B116))</f>
        <v>94</v>
      </c>
      <c r="B116" s="4" t="s">
        <v>3611</v>
      </c>
      <c r="C116" s="449"/>
      <c r="D116" s="1071"/>
      <c r="E116" s="1071"/>
      <c r="I116" t="s">
        <v>3612</v>
      </c>
      <c r="J116" s="527">
        <v>84694991.299999997</v>
      </c>
      <c r="K116" s="527">
        <v>17483322.940000001</v>
      </c>
      <c r="L116" s="527">
        <v>83943965.769166648</v>
      </c>
      <c r="M116" s="527">
        <v>17106406.848749999</v>
      </c>
    </row>
    <row r="117" spans="1:13">
      <c r="A117" s="449">
        <f>IF(B117="","",COUNTA(B$11:B117))</f>
        <v>95</v>
      </c>
      <c r="B117" s="1068" t="s">
        <v>3613</v>
      </c>
      <c r="C117" s="1076" t="s">
        <v>3614</v>
      </c>
      <c r="D117" s="1070">
        <f>'Rate Base'!D14</f>
        <v>-77593766.770000011</v>
      </c>
      <c r="E117" s="1071"/>
      <c r="I117" t="s">
        <v>1098</v>
      </c>
      <c r="J117" s="527">
        <v>10177783.800000001</v>
      </c>
      <c r="K117" s="527">
        <v>3177376.89</v>
      </c>
      <c r="L117" s="527">
        <v>9916763.0695833359</v>
      </c>
      <c r="M117" s="527">
        <v>3120670.4745833334</v>
      </c>
    </row>
    <row r="118" spans="1:13">
      <c r="A118" s="449">
        <f>IF(B118="","",COUNTA(B$11:B118))</f>
        <v>96</v>
      </c>
      <c r="B118" s="1068" t="s">
        <v>3615</v>
      </c>
      <c r="C118" s="1076"/>
      <c r="D118" s="1070">
        <f>'Rate Base'!D15</f>
        <v>38582822.848597497</v>
      </c>
      <c r="E118" s="1071"/>
      <c r="I118" t="s">
        <v>1099</v>
      </c>
      <c r="J118" s="527">
        <v>0</v>
      </c>
      <c r="K118" s="527">
        <v>0</v>
      </c>
      <c r="L118" s="527">
        <v>0</v>
      </c>
      <c r="M118" s="527">
        <v>0</v>
      </c>
    </row>
    <row r="119" spans="1:13">
      <c r="A119" s="449" t="str">
        <f>IF(B119="","",COUNTA(B$11:B119))</f>
        <v/>
      </c>
      <c r="B119" s="1068"/>
      <c r="C119" s="1076"/>
      <c r="D119" s="1070"/>
      <c r="E119" s="1071"/>
      <c r="I119" t="s">
        <v>1099</v>
      </c>
      <c r="J119" s="527">
        <v>10604872.550000001</v>
      </c>
      <c r="K119" s="527">
        <v>4679223.0199999996</v>
      </c>
      <c r="L119" s="527">
        <v>10316082.683333335</v>
      </c>
      <c r="M119" s="527">
        <v>4638887.7020833343</v>
      </c>
    </row>
    <row r="120" spans="1:13">
      <c r="A120" s="449">
        <f>IF(B120="","",COUNTA(B$11:B120))</f>
        <v>97</v>
      </c>
      <c r="B120" s="1068" t="s">
        <v>3616</v>
      </c>
      <c r="C120" s="1076">
        <v>2520</v>
      </c>
      <c r="D120" s="1070">
        <f>'Rate Base'!D13</f>
        <v>-34072.21</v>
      </c>
      <c r="E120" s="1071"/>
      <c r="G120" s="1497" t="s">
        <v>353</v>
      </c>
      <c r="H120" s="1497"/>
      <c r="I120" t="s">
        <v>1100</v>
      </c>
      <c r="J120" s="527">
        <v>0</v>
      </c>
      <c r="K120" s="527">
        <v>0</v>
      </c>
      <c r="L120" s="527">
        <v>0</v>
      </c>
      <c r="M120" s="527">
        <v>0</v>
      </c>
    </row>
    <row r="121" spans="1:13">
      <c r="A121" s="449">
        <f>IF(B121="","",COUNTA(B$11:B121))</f>
        <v>98</v>
      </c>
      <c r="B121" s="520" t="str">
        <f>"Subtotal - "&amp;B116</f>
        <v>Subtotal - Other Rate Base Items</v>
      </c>
      <c r="C121" s="449"/>
      <c r="D121" s="578">
        <f>SUBTOTAL(9,D117:D120)</f>
        <v>-39045016.131402515</v>
      </c>
      <c r="E121" s="1071"/>
      <c r="G121" s="1077">
        <f>SUM('Rate Base'!D13:D15)</f>
        <v>-39045016.131402507</v>
      </c>
      <c r="H121" s="522">
        <f>D121-G121</f>
        <v>0</v>
      </c>
      <c r="I121" t="s">
        <v>1100</v>
      </c>
      <c r="J121" s="527">
        <v>2508056.1800000002</v>
      </c>
      <c r="K121" s="527">
        <v>0</v>
      </c>
      <c r="L121" s="527">
        <v>2508056.1800000002</v>
      </c>
      <c r="M121" s="527">
        <v>0</v>
      </c>
    </row>
    <row r="122" spans="1:13">
      <c r="A122" s="449" t="str">
        <f>IF(B122="","",COUNTA(B$11:B122))</f>
        <v/>
      </c>
      <c r="C122" s="449"/>
      <c r="D122" s="1071"/>
      <c r="E122" s="1071"/>
      <c r="I122" t="s">
        <v>1100</v>
      </c>
      <c r="J122" s="527">
        <v>716703.13</v>
      </c>
      <c r="K122" s="527">
        <v>132.19</v>
      </c>
      <c r="L122" s="527">
        <v>716746.88791666657</v>
      </c>
      <c r="M122" s="527">
        <v>132.19791666666671</v>
      </c>
    </row>
    <row r="123" spans="1:13">
      <c r="A123" s="449">
        <f>IF(B123="","",COUNTA(B$11:B123))</f>
        <v>99</v>
      </c>
      <c r="B123" s="1073" t="str">
        <f>"TOTAL "&amp;B11</f>
        <v>TOTAL RATE BASE</v>
      </c>
      <c r="C123" s="449"/>
      <c r="D123" s="578">
        <f>SUBTOTAL(9,D14:D122)</f>
        <v>619864245.49859774</v>
      </c>
      <c r="E123" s="1071"/>
      <c r="G123" s="1077">
        <f>'Rate Base'!D16</f>
        <v>619864245.49859786</v>
      </c>
      <c r="H123" s="522">
        <f>D123-G123</f>
        <v>0</v>
      </c>
      <c r="I123" t="s">
        <v>1101</v>
      </c>
      <c r="J123" s="527">
        <v>7933.28</v>
      </c>
      <c r="K123" s="527">
        <v>5489.28</v>
      </c>
      <c r="L123" s="527">
        <v>7933.28</v>
      </c>
      <c r="M123" s="527">
        <v>5432.16</v>
      </c>
    </row>
    <row r="124" spans="1:13">
      <c r="A124" s="449" t="str">
        <f>IF(B124="","",COUNTA(B$11:B124))</f>
        <v/>
      </c>
      <c r="C124" s="449"/>
      <c r="D124" s="1071"/>
      <c r="I124" t="s">
        <v>1102</v>
      </c>
      <c r="J124" s="527">
        <v>0</v>
      </c>
      <c r="K124" s="527">
        <v>0</v>
      </c>
      <c r="L124" s="527">
        <v>0</v>
      </c>
      <c r="M124" s="527">
        <v>0</v>
      </c>
    </row>
    <row r="125" spans="1:13">
      <c r="A125" s="449">
        <f>IF(B125="","",COUNTA(B$11:B125))</f>
        <v>100</v>
      </c>
      <c r="B125" s="4" t="s">
        <v>3617</v>
      </c>
      <c r="C125" s="449"/>
      <c r="D125" s="1071"/>
      <c r="I125" t="s">
        <v>1102</v>
      </c>
      <c r="J125" s="527">
        <v>17527237.98</v>
      </c>
      <c r="K125" s="527">
        <v>5447656.1399999997</v>
      </c>
      <c r="L125" s="527">
        <v>17296088.787499998</v>
      </c>
      <c r="M125" s="527">
        <v>5384886.5408333326</v>
      </c>
    </row>
    <row r="126" spans="1:13">
      <c r="A126" s="449">
        <f>IF(B126="","",COUNTA(B$11:B126))</f>
        <v>101</v>
      </c>
      <c r="B126" s="4" t="s">
        <v>3618</v>
      </c>
      <c r="C126" s="449"/>
      <c r="D126" s="1071"/>
      <c r="I126" t="s">
        <v>1102</v>
      </c>
      <c r="J126" s="527">
        <v>4830297.88</v>
      </c>
      <c r="K126" s="527">
        <v>4847408.58</v>
      </c>
      <c r="L126" s="527">
        <v>4817670.1066666665</v>
      </c>
      <c r="M126" s="527">
        <v>4847698.8599999985</v>
      </c>
    </row>
    <row r="127" spans="1:13">
      <c r="A127" s="449">
        <f>IF(B127="","",COUNTA(B$11:B127))</f>
        <v>102</v>
      </c>
      <c r="B127" s="4" t="s">
        <v>832</v>
      </c>
      <c r="C127" s="1078"/>
      <c r="D127" s="1071"/>
      <c r="I127" t="s">
        <v>1104</v>
      </c>
      <c r="J127" s="527">
        <v>0</v>
      </c>
      <c r="K127" s="527">
        <v>0</v>
      </c>
      <c r="L127" s="527">
        <v>0</v>
      </c>
      <c r="M127" s="527">
        <v>0</v>
      </c>
    </row>
    <row r="128" spans="1:13">
      <c r="A128" s="449">
        <f>IF(B128="","",COUNTA(B$11:B128))</f>
        <v>103</v>
      </c>
      <c r="B128" s="1068" t="s">
        <v>3619</v>
      </c>
      <c r="C128" s="1075">
        <v>813</v>
      </c>
      <c r="D128" s="1070">
        <f>'Operating Report'!AD58</f>
        <v>572094.80339909776</v>
      </c>
      <c r="E128" s="1070">
        <f>SUMIF($I$175:$I$204,C128,$Q$175:$Q$204)</f>
        <v>302498.45661500003</v>
      </c>
      <c r="F128" s="1079" t="s">
        <v>3620</v>
      </c>
      <c r="I128" t="s">
        <v>1104</v>
      </c>
      <c r="J128" s="527">
        <v>1253926.46</v>
      </c>
      <c r="K128" s="527">
        <v>933132.57000000007</v>
      </c>
      <c r="L128" s="527">
        <v>1362047.6179166667</v>
      </c>
      <c r="M128" s="527">
        <v>957026.04249999998</v>
      </c>
    </row>
    <row r="129" spans="1:13">
      <c r="A129" s="449">
        <f>IF(B129="","",COUNTA(B$11:B129))</f>
        <v>104</v>
      </c>
      <c r="B129" s="4" t="str">
        <f>"Subtotal - "&amp;B127</f>
        <v>Subtotal - Other Gas Supply Expenses</v>
      </c>
      <c r="C129" s="449"/>
      <c r="D129" s="578">
        <f>SUBTOTAL(9,D128:D128)</f>
        <v>572094.80339909776</v>
      </c>
      <c r="E129" s="578">
        <f>SUBTOTAL(9,E128:E128)</f>
        <v>302498.45661500003</v>
      </c>
      <c r="I129" t="s">
        <v>1105</v>
      </c>
      <c r="J129" s="527">
        <v>0</v>
      </c>
      <c r="K129" s="527">
        <v>0</v>
      </c>
      <c r="L129" s="527">
        <v>0</v>
      </c>
      <c r="M129" s="527">
        <v>0</v>
      </c>
    </row>
    <row r="130" spans="1:13">
      <c r="A130" s="449" t="str">
        <f>IF(B130="","",COUNTA(B$11:B130))</f>
        <v/>
      </c>
      <c r="C130" s="449"/>
      <c r="D130" s="578"/>
      <c r="E130" s="578"/>
      <c r="I130" t="s">
        <v>1105</v>
      </c>
      <c r="J130" s="527">
        <v>73458.59</v>
      </c>
      <c r="K130" s="527">
        <v>73458.59</v>
      </c>
      <c r="L130" s="527">
        <v>74360.467083333308</v>
      </c>
      <c r="M130" s="527">
        <v>74360.467083333308</v>
      </c>
    </row>
    <row r="131" spans="1:13">
      <c r="A131" s="449">
        <f>IF(B131="","",COUNTA(B$11:B131))</f>
        <v>105</v>
      </c>
      <c r="B131" s="4" t="s">
        <v>3621</v>
      </c>
      <c r="C131" s="449"/>
      <c r="D131" s="578"/>
      <c r="E131" s="578"/>
      <c r="I131" t="s">
        <v>1105</v>
      </c>
      <c r="J131" s="527">
        <v>117566.86</v>
      </c>
      <c r="K131" s="527">
        <v>-12001.24</v>
      </c>
      <c r="L131" s="527">
        <v>117574.03791666667</v>
      </c>
      <c r="M131" s="527">
        <v>-27505.045416666671</v>
      </c>
    </row>
    <row r="132" spans="1:13">
      <c r="A132" s="449">
        <f>IF(B132="","",COUNTA(B$11:B132))</f>
        <v>106</v>
      </c>
      <c r="B132" s="1068" t="s">
        <v>3622</v>
      </c>
      <c r="C132" s="1075">
        <v>840</v>
      </c>
      <c r="D132" s="1070">
        <v>0</v>
      </c>
      <c r="E132" s="1070">
        <f>SUMIF($I$175:$I$204,C132,$Q$175:$Q$204)</f>
        <v>0</v>
      </c>
      <c r="I132" t="s">
        <v>1107</v>
      </c>
      <c r="J132" s="527">
        <v>0</v>
      </c>
      <c r="K132" s="527">
        <v>0</v>
      </c>
      <c r="L132" s="527">
        <v>0</v>
      </c>
      <c r="M132" s="527">
        <v>0</v>
      </c>
    </row>
    <row r="133" spans="1:13">
      <c r="A133" s="449">
        <f>IF(B133="","",COUNTA(B$11:B133))</f>
        <v>107</v>
      </c>
      <c r="B133" s="1068" t="s">
        <v>3623</v>
      </c>
      <c r="C133" s="1075">
        <v>841</v>
      </c>
      <c r="D133" s="1070">
        <v>0</v>
      </c>
      <c r="E133" s="1070">
        <f>SUMIF($I$175:$I$204,C133,$Q$175:$Q$204)</f>
        <v>0</v>
      </c>
      <c r="I133" t="s">
        <v>1107</v>
      </c>
      <c r="J133" s="527">
        <v>349558.43</v>
      </c>
      <c r="K133" s="527">
        <v>153421.84</v>
      </c>
      <c r="L133" s="527">
        <v>358871.79541666666</v>
      </c>
      <c r="M133" s="527">
        <v>128736.70833333333</v>
      </c>
    </row>
    <row r="134" spans="1:13">
      <c r="A134" s="449">
        <f>IF(B134="","",COUNTA(B$11:B134))</f>
        <v>108</v>
      </c>
      <c r="B134" s="1068" t="s">
        <v>3624</v>
      </c>
      <c r="C134" s="1075">
        <v>842.1</v>
      </c>
      <c r="D134" s="1070">
        <v>0</v>
      </c>
      <c r="E134" s="1070">
        <f>SUMIF($I$175:$I$204,C134,$Q$175:$Q$204)</f>
        <v>0</v>
      </c>
      <c r="I134" t="s">
        <v>1107</v>
      </c>
      <c r="J134" s="527">
        <v>1009116.13</v>
      </c>
      <c r="K134" s="527">
        <v>710748.55</v>
      </c>
      <c r="L134" s="527">
        <v>1006213.32</v>
      </c>
      <c r="M134" s="527">
        <v>614999.1479166667</v>
      </c>
    </row>
    <row r="135" spans="1:13">
      <c r="A135" s="449">
        <f>IF(B135="","",COUNTA(B$11:B135))</f>
        <v>109</v>
      </c>
      <c r="B135" s="1068" t="s">
        <v>3625</v>
      </c>
      <c r="C135" s="1075">
        <v>842.2</v>
      </c>
      <c r="D135" s="1070">
        <v>0</v>
      </c>
      <c r="E135" s="1070">
        <f>SUMIF($I$175:$I$204,C135,$Q$175:$Q$204)</f>
        <v>0</v>
      </c>
      <c r="I135" t="s">
        <v>1108</v>
      </c>
      <c r="J135" s="527">
        <v>0</v>
      </c>
      <c r="K135" s="527">
        <v>0.01</v>
      </c>
      <c r="L135" s="527">
        <v>0</v>
      </c>
      <c r="M135" s="527">
        <v>9.9999999999999985E-3</v>
      </c>
    </row>
    <row r="136" spans="1:13">
      <c r="A136" s="449">
        <f>IF(B136="","",COUNTA(B$11:B136))</f>
        <v>110</v>
      </c>
      <c r="B136" t="str">
        <f>"Subtotal - "&amp;B131</f>
        <v>Subtotal - Other Storage Expenses - Operation</v>
      </c>
      <c r="C136" s="449"/>
      <c r="D136" s="578">
        <f>SUBTOTAL(9,D132:D135)</f>
        <v>0</v>
      </c>
      <c r="E136" s="578">
        <f>SUBTOTAL(9,E132:E135)</f>
        <v>0</v>
      </c>
      <c r="I136" t="s">
        <v>1109</v>
      </c>
      <c r="J136" s="527">
        <v>0</v>
      </c>
      <c r="K136" s="527">
        <v>0</v>
      </c>
      <c r="L136" s="527">
        <v>0</v>
      </c>
      <c r="M136" s="527">
        <v>0</v>
      </c>
    </row>
    <row r="137" spans="1:13">
      <c r="A137" s="449" t="str">
        <f>IF(B137="","",COUNTA(B$11:B137))</f>
        <v/>
      </c>
      <c r="C137" s="449"/>
      <c r="D137" s="578"/>
      <c r="E137" s="578"/>
      <c r="I137" t="s">
        <v>1109</v>
      </c>
      <c r="J137" s="527">
        <v>242695.96</v>
      </c>
      <c r="K137" s="527">
        <v>102732.37</v>
      </c>
      <c r="L137" s="527">
        <v>225278.80666666667</v>
      </c>
      <c r="M137" s="527">
        <v>110692.86333333334</v>
      </c>
    </row>
    <row r="138" spans="1:13">
      <c r="A138" s="449">
        <f>IF(B138="","",COUNTA(B$11:B138))</f>
        <v>111</v>
      </c>
      <c r="B138" s="4" t="s">
        <v>3626</v>
      </c>
      <c r="C138" s="449"/>
      <c r="D138" s="578"/>
      <c r="E138" s="578"/>
      <c r="I138" t="s">
        <v>1109</v>
      </c>
      <c r="J138" s="527">
        <v>5798.35</v>
      </c>
      <c r="K138" s="527">
        <v>5218.6099999999997</v>
      </c>
      <c r="L138" s="527">
        <v>5798.7037499999997</v>
      </c>
      <c r="M138" s="527">
        <v>5218.92875</v>
      </c>
    </row>
    <row r="139" spans="1:13">
      <c r="A139" s="449">
        <f>IF(B139="","",COUNTA(B$11:B139))</f>
        <v>112</v>
      </c>
      <c r="B139" s="1068" t="s">
        <v>3627</v>
      </c>
      <c r="C139" s="1075">
        <v>843.2</v>
      </c>
      <c r="D139" s="1070">
        <v>0</v>
      </c>
      <c r="E139" s="1070">
        <f t="shared" ref="E139:E145" si="13">SUMIF($I$175:$I$204,C139,$Q$175:$Q$204)</f>
        <v>0</v>
      </c>
      <c r="I139" t="s">
        <v>1111</v>
      </c>
      <c r="J139" s="527">
        <v>0</v>
      </c>
      <c r="K139" s="527">
        <v>0</v>
      </c>
      <c r="L139" s="527">
        <v>0</v>
      </c>
      <c r="M139" s="527">
        <v>0</v>
      </c>
    </row>
    <row r="140" spans="1:13">
      <c r="A140" s="449">
        <f>IF(B140="","",COUNTA(B$11:B140))</f>
        <v>113</v>
      </c>
      <c r="B140" s="1068" t="s">
        <v>3628</v>
      </c>
      <c r="C140" s="1075">
        <v>843.3</v>
      </c>
      <c r="D140" s="1070">
        <v>0</v>
      </c>
      <c r="E140" s="1070">
        <f t="shared" si="13"/>
        <v>0</v>
      </c>
      <c r="I140" t="s">
        <v>1111</v>
      </c>
      <c r="J140" s="527">
        <v>13776071.640000001</v>
      </c>
      <c r="K140" s="527">
        <v>4703912.49</v>
      </c>
      <c r="L140" s="527">
        <v>12943098.882083334</v>
      </c>
      <c r="M140" s="527">
        <v>4525448.6150000002</v>
      </c>
    </row>
    <row r="141" spans="1:13">
      <c r="A141" s="449">
        <f>IF(B141="","",COUNTA(B$11:B141))</f>
        <v>114</v>
      </c>
      <c r="B141" s="1068" t="s">
        <v>3629</v>
      </c>
      <c r="C141" s="1075">
        <v>843.4</v>
      </c>
      <c r="D141" s="1070">
        <v>0</v>
      </c>
      <c r="E141" s="1070">
        <f t="shared" si="13"/>
        <v>0</v>
      </c>
      <c r="I141" t="s">
        <v>1111</v>
      </c>
      <c r="J141" s="527">
        <v>1485831.04</v>
      </c>
      <c r="K141" s="527">
        <v>530157.41</v>
      </c>
      <c r="L141" s="527">
        <v>1643719.7958333332</v>
      </c>
      <c r="M141" s="527">
        <v>613467.69916666672</v>
      </c>
    </row>
    <row r="142" spans="1:13">
      <c r="A142" s="449">
        <f>IF(B142="","",COUNTA(B$11:B142))</f>
        <v>115</v>
      </c>
      <c r="B142" s="1068" t="s">
        <v>3630</v>
      </c>
      <c r="C142" s="1075">
        <v>843.5</v>
      </c>
      <c r="D142" s="1070">
        <v>0</v>
      </c>
      <c r="E142" s="1070">
        <f t="shared" si="13"/>
        <v>0</v>
      </c>
      <c r="I142" t="s">
        <v>1112</v>
      </c>
      <c r="J142" s="527">
        <v>0</v>
      </c>
      <c r="K142" s="527">
        <v>0</v>
      </c>
      <c r="L142" s="527">
        <v>0</v>
      </c>
      <c r="M142" s="527">
        <v>0</v>
      </c>
    </row>
    <row r="143" spans="1:13">
      <c r="A143" s="449">
        <f>IF(B143="","",COUNTA(B$11:B143))</f>
        <v>116</v>
      </c>
      <c r="B143" s="1068" t="s">
        <v>3631</v>
      </c>
      <c r="C143" s="1075">
        <v>843.6</v>
      </c>
      <c r="D143" s="1070">
        <v>0</v>
      </c>
      <c r="E143" s="1070">
        <f t="shared" si="13"/>
        <v>0</v>
      </c>
      <c r="I143" t="s">
        <v>1112</v>
      </c>
      <c r="J143" s="527">
        <v>62042.47</v>
      </c>
      <c r="K143" s="527">
        <v>12838.82</v>
      </c>
      <c r="L143" s="527">
        <v>32349.19083333333</v>
      </c>
      <c r="M143" s="527">
        <v>12048.002083333333</v>
      </c>
    </row>
    <row r="144" spans="1:13">
      <c r="A144" s="449">
        <f>IF(B144="","",COUNTA(B$11:B144))</f>
        <v>117</v>
      </c>
      <c r="B144" s="1068" t="s">
        <v>3632</v>
      </c>
      <c r="C144" s="1075">
        <v>843.7</v>
      </c>
      <c r="D144" s="1070">
        <v>0</v>
      </c>
      <c r="E144" s="1070">
        <f t="shared" si="13"/>
        <v>0</v>
      </c>
      <c r="I144" t="s">
        <v>1112</v>
      </c>
      <c r="J144" s="527">
        <v>37894.44</v>
      </c>
      <c r="K144" s="527">
        <v>37894.400000000001</v>
      </c>
      <c r="L144" s="527">
        <v>37896.753333333334</v>
      </c>
      <c r="M144" s="527">
        <v>37896.713750000003</v>
      </c>
    </row>
    <row r="145" spans="1:13">
      <c r="A145" s="449">
        <f>IF(B145="","",COUNTA(B$11:B145))</f>
        <v>118</v>
      </c>
      <c r="B145" s="1068" t="s">
        <v>3633</v>
      </c>
      <c r="C145" s="1075">
        <v>843.9</v>
      </c>
      <c r="D145" s="1070">
        <v>0</v>
      </c>
      <c r="E145" s="1070">
        <f t="shared" si="13"/>
        <v>0</v>
      </c>
      <c r="I145" t="s">
        <v>1114</v>
      </c>
      <c r="J145" s="527">
        <v>0</v>
      </c>
      <c r="K145" s="527">
        <v>0</v>
      </c>
      <c r="L145" s="527">
        <v>0</v>
      </c>
      <c r="M145" s="527">
        <v>0</v>
      </c>
    </row>
    <row r="146" spans="1:13">
      <c r="A146" s="449">
        <f>IF(B146="","",COUNTA(B$11:B146))</f>
        <v>119</v>
      </c>
      <c r="B146" t="str">
        <f>"Subtotal - "&amp;B138</f>
        <v>Subtotal - Other Storage Expenses - Maintenance</v>
      </c>
      <c r="C146" s="449"/>
      <c r="D146" s="578">
        <f>SUBTOTAL(9,D139:D145)</f>
        <v>0</v>
      </c>
      <c r="E146" s="578">
        <f>SUBTOTAL(9,E139:E145)</f>
        <v>0</v>
      </c>
      <c r="I146" t="s">
        <v>1114</v>
      </c>
      <c r="J146" s="527">
        <v>5470907.3899999997</v>
      </c>
      <c r="K146" s="527">
        <v>2137640.84</v>
      </c>
      <c r="L146" s="527">
        <v>5213543.58</v>
      </c>
      <c r="M146" s="527">
        <v>1858184.6241666668</v>
      </c>
    </row>
    <row r="147" spans="1:13">
      <c r="A147" s="449" t="str">
        <f>IF(B147="","",COUNTA(B$11:B147))</f>
        <v/>
      </c>
      <c r="C147" s="449"/>
      <c r="D147" s="578"/>
      <c r="E147" s="578"/>
      <c r="I147" t="s">
        <v>1114</v>
      </c>
      <c r="J147" s="527">
        <v>2752200.79</v>
      </c>
      <c r="K147" s="527">
        <v>1169204.6200000001</v>
      </c>
      <c r="L147" s="527">
        <v>2522933.219583333</v>
      </c>
      <c r="M147" s="527">
        <v>1082176.5195833333</v>
      </c>
    </row>
    <row r="148" spans="1:13">
      <c r="A148" s="449">
        <f>IF(B148="","",COUNTA(B$11:B148))</f>
        <v>120</v>
      </c>
      <c r="B148" s="4" t="s">
        <v>3634</v>
      </c>
      <c r="C148" s="449"/>
      <c r="D148" s="1071"/>
      <c r="E148" s="1071"/>
      <c r="I148" t="s">
        <v>1115</v>
      </c>
      <c r="J148" s="527">
        <v>131231.01999999999</v>
      </c>
      <c r="K148" s="527">
        <v>131231.01999999999</v>
      </c>
      <c r="L148" s="527">
        <v>131231.01999999999</v>
      </c>
      <c r="M148" s="527">
        <v>130721.18500000001</v>
      </c>
    </row>
    <row r="149" spans="1:13">
      <c r="A149" s="449">
        <f>IF(B149="","",COUNTA(B$11:B149))</f>
        <v>121</v>
      </c>
      <c r="B149" s="1068" t="s">
        <v>3635</v>
      </c>
      <c r="C149" s="1075">
        <v>852</v>
      </c>
      <c r="D149" s="1070">
        <v>0</v>
      </c>
      <c r="E149" s="1070">
        <f>SUMIF($I$175:$I$204,C149,$Q$175:$Q$204)</f>
        <v>0</v>
      </c>
      <c r="I149" t="s">
        <v>1116</v>
      </c>
      <c r="J149" s="527">
        <v>0</v>
      </c>
      <c r="K149" s="527">
        <v>0</v>
      </c>
      <c r="L149" s="527">
        <v>0</v>
      </c>
      <c r="M149" s="527">
        <v>0</v>
      </c>
    </row>
    <row r="150" spans="1:13">
      <c r="A150" s="449">
        <f>IF(B150="","",COUNTA(B$11:B150))</f>
        <v>122</v>
      </c>
      <c r="B150" s="1068" t="s">
        <v>3636</v>
      </c>
      <c r="C150" s="1075">
        <v>853</v>
      </c>
      <c r="D150" s="1070">
        <v>0</v>
      </c>
      <c r="E150" s="1070">
        <f>SUMIF($I$175:$I$204,C150,$Q$175:$Q$204)</f>
        <v>0</v>
      </c>
      <c r="I150" t="s">
        <v>1116</v>
      </c>
      <c r="J150" s="527">
        <v>59304.43</v>
      </c>
      <c r="K150" s="527">
        <v>50175.49</v>
      </c>
      <c r="L150" s="527">
        <v>59308.050833333342</v>
      </c>
      <c r="M150" s="527">
        <v>45863.606666666659</v>
      </c>
    </row>
    <row r="151" spans="1:13">
      <c r="A151" s="449">
        <f>IF(B151="","",COUNTA(B$11:B151))</f>
        <v>123</v>
      </c>
      <c r="B151" s="1068" t="s">
        <v>3637</v>
      </c>
      <c r="C151" s="1075">
        <v>856</v>
      </c>
      <c r="D151" s="1070">
        <v>0</v>
      </c>
      <c r="E151" s="1070">
        <f>SUMIF($I$175:$I$204,C151,$Q$175:$Q$204)</f>
        <v>0</v>
      </c>
      <c r="I151" t="s">
        <v>1117</v>
      </c>
      <c r="J151" s="527">
        <v>0</v>
      </c>
      <c r="K151" s="527">
        <v>0</v>
      </c>
      <c r="L151" s="527">
        <v>0</v>
      </c>
      <c r="M151" s="527">
        <v>0</v>
      </c>
    </row>
    <row r="152" spans="1:13">
      <c r="A152" s="449">
        <f>IF(B152="","",COUNTA(B$11:B152))</f>
        <v>124</v>
      </c>
      <c r="B152" t="str">
        <f>"Subtotal - "&amp;B148</f>
        <v>Subtotal - Transmission Operation Expenses</v>
      </c>
      <c r="C152" s="449"/>
      <c r="D152" s="578">
        <f>SUBTOTAL(9,D149:D151)</f>
        <v>0</v>
      </c>
      <c r="E152" s="578">
        <f>SUBTOTAL(9,E149:E151)</f>
        <v>0</v>
      </c>
      <c r="I152" t="s">
        <v>1117</v>
      </c>
      <c r="J152" s="527">
        <v>3989436.0300000003</v>
      </c>
      <c r="K152" s="527">
        <v>-579934.42000000004</v>
      </c>
      <c r="L152" s="527">
        <v>2636521.0220833332</v>
      </c>
      <c r="M152" s="527">
        <v>-640554.86</v>
      </c>
    </row>
    <row r="153" spans="1:13">
      <c r="A153" s="449" t="str">
        <f>IF(B153="","",COUNTA(B$11:B153))</f>
        <v/>
      </c>
      <c r="C153" s="1078"/>
      <c r="D153" s="578"/>
      <c r="E153" s="578"/>
      <c r="I153" t="s">
        <v>1117</v>
      </c>
      <c r="J153" s="527">
        <v>46594.720000000001</v>
      </c>
      <c r="K153" s="527">
        <v>49740.82</v>
      </c>
      <c r="L153" s="527">
        <v>46597.564583333326</v>
      </c>
      <c r="M153" s="527">
        <v>49743.857083333336</v>
      </c>
    </row>
    <row r="154" spans="1:13">
      <c r="A154" s="449">
        <f>IF(B154="","",COUNTA(B$11:B154))</f>
        <v>125</v>
      </c>
      <c r="B154" s="4" t="s">
        <v>3638</v>
      </c>
      <c r="C154" s="449"/>
      <c r="D154" s="578"/>
      <c r="E154" s="578"/>
      <c r="I154" t="s">
        <v>1118</v>
      </c>
      <c r="J154" s="527">
        <v>0</v>
      </c>
      <c r="K154" s="527">
        <v>0</v>
      </c>
      <c r="L154" s="527">
        <v>0</v>
      </c>
      <c r="M154" s="527">
        <v>0</v>
      </c>
    </row>
    <row r="155" spans="1:13">
      <c r="A155" s="449">
        <f>IF(B155="","",COUNTA(B$11:B155))</f>
        <v>126</v>
      </c>
      <c r="B155" s="1068" t="s">
        <v>3639</v>
      </c>
      <c r="C155" s="1075">
        <v>863</v>
      </c>
      <c r="D155" s="1070">
        <v>0</v>
      </c>
      <c r="E155" s="1070">
        <f>SUMIF($I$175:$I$204,C155,$Q$175:$Q$204)</f>
        <v>0</v>
      </c>
      <c r="I155" t="s">
        <v>1118</v>
      </c>
      <c r="J155" s="527">
        <v>539590.43000000005</v>
      </c>
      <c r="K155" s="527">
        <v>213554.27000000002</v>
      </c>
      <c r="L155" s="527">
        <v>541907.71333333326</v>
      </c>
      <c r="M155" s="527">
        <v>207616.30166666667</v>
      </c>
    </row>
    <row r="156" spans="1:13">
      <c r="A156" s="449">
        <f>IF(B156="","",COUNTA(B$11:B156))</f>
        <v>127</v>
      </c>
      <c r="B156" s="1068" t="s">
        <v>3640</v>
      </c>
      <c r="C156" s="1075">
        <v>863.1</v>
      </c>
      <c r="D156" s="1070">
        <v>0</v>
      </c>
      <c r="E156" s="1070">
        <f>SUMIF($I$175:$I$204,C156,$Q$175:$Q$204)</f>
        <v>0</v>
      </c>
      <c r="I156" t="s">
        <v>1119</v>
      </c>
      <c r="J156" s="527">
        <v>0</v>
      </c>
      <c r="K156" s="527">
        <v>0</v>
      </c>
      <c r="L156" s="527">
        <v>0</v>
      </c>
      <c r="M156" s="527">
        <v>0</v>
      </c>
    </row>
    <row r="157" spans="1:13">
      <c r="A157" s="449">
        <f>IF(B157="","",COUNTA(B$11:B157))</f>
        <v>128</v>
      </c>
      <c r="B157" s="1068" t="s">
        <v>3641</v>
      </c>
      <c r="C157" s="1075">
        <v>866</v>
      </c>
      <c r="D157" s="1070">
        <v>0</v>
      </c>
      <c r="E157" s="1070">
        <f>SUMIF($I$175:$I$204,C157,$Q$175:$Q$204)</f>
        <v>0</v>
      </c>
      <c r="I157" t="s">
        <v>1119</v>
      </c>
      <c r="J157" s="527">
        <v>122087.47</v>
      </c>
      <c r="K157" s="527">
        <v>73825.52</v>
      </c>
      <c r="L157" s="527">
        <v>118633.2291666667</v>
      </c>
      <c r="M157" s="527">
        <v>70663.609583333338</v>
      </c>
    </row>
    <row r="158" spans="1:13">
      <c r="A158" s="449">
        <f>IF(B158="","",COUNTA(B$11:B158))</f>
        <v>129</v>
      </c>
      <c r="B158" t="str">
        <f>"Subtotal - "&amp;B154</f>
        <v>Subtotal - Transmission Maintenance Expenses</v>
      </c>
      <c r="C158" s="1078"/>
      <c r="D158" s="578">
        <f>SUBTOTAL(9,D155:D157)</f>
        <v>0</v>
      </c>
      <c r="E158" s="578">
        <f>SUBTOTAL(9,E155:E157)</f>
        <v>0</v>
      </c>
      <c r="I158" t="s">
        <v>1119</v>
      </c>
      <c r="J158" s="527">
        <v>2536510.17</v>
      </c>
      <c r="K158" s="527">
        <v>54246.17</v>
      </c>
      <c r="L158" s="527">
        <v>774673.2316666668</v>
      </c>
      <c r="M158" s="527">
        <v>35574.611250000002</v>
      </c>
    </row>
    <row r="159" spans="1:13">
      <c r="A159" s="449" t="str">
        <f>IF(B159="","",COUNTA(B$11:B159))</f>
        <v/>
      </c>
      <c r="D159" s="578"/>
      <c r="E159" s="578"/>
      <c r="I159" t="s">
        <v>1120</v>
      </c>
      <c r="J159" s="527">
        <v>0</v>
      </c>
      <c r="K159" s="527">
        <v>0</v>
      </c>
      <c r="L159" s="527">
        <v>0</v>
      </c>
      <c r="M159" s="527">
        <v>0</v>
      </c>
    </row>
    <row r="160" spans="1:13">
      <c r="A160" s="449">
        <f>IF(B160="","",COUNTA(B$11:B160))</f>
        <v>130</v>
      </c>
      <c r="B160" s="4" t="s">
        <v>3642</v>
      </c>
      <c r="C160" s="449"/>
      <c r="D160" s="1071"/>
      <c r="E160" s="1071"/>
      <c r="I160" t="s">
        <v>1120</v>
      </c>
      <c r="J160" s="527">
        <v>946430.42</v>
      </c>
      <c r="K160" s="527">
        <v>646534.37</v>
      </c>
      <c r="L160" s="527">
        <v>946005.77333333332</v>
      </c>
      <c r="M160" s="527">
        <v>613443.40500000003</v>
      </c>
    </row>
    <row r="161" spans="1:17">
      <c r="A161" s="449">
        <f>IF(B161="","",COUNTA(B$11:B161))</f>
        <v>131</v>
      </c>
      <c r="B161" s="1068" t="s">
        <v>3622</v>
      </c>
      <c r="C161" s="1075">
        <v>870</v>
      </c>
      <c r="D161" s="1070">
        <f>'Operating Report'!AD62</f>
        <v>2775471.5974831758</v>
      </c>
      <c r="E161" s="1070">
        <f t="shared" ref="E161:E172" si="14">SUMIF($I$175:$I$204,C161,$Q$175:$Q$204)</f>
        <v>2549107.1670620008</v>
      </c>
      <c r="I161" t="s">
        <v>1120</v>
      </c>
      <c r="J161" s="527">
        <v>15029.43</v>
      </c>
      <c r="K161" s="527">
        <v>6979.34</v>
      </c>
      <c r="L161" s="527">
        <v>15030.347499999996</v>
      </c>
      <c r="M161" s="527">
        <v>6454.4020833333334</v>
      </c>
    </row>
    <row r="162" spans="1:17">
      <c r="A162" s="449">
        <f>IF(B162="","",COUNTA(B$11:B162))</f>
        <v>132</v>
      </c>
      <c r="B162" s="1068" t="s">
        <v>3643</v>
      </c>
      <c r="C162" s="1075">
        <v>871</v>
      </c>
      <c r="D162" s="1070">
        <f>'Operating Report'!AD63</f>
        <v>222742.79186141919</v>
      </c>
      <c r="E162" s="1070">
        <f t="shared" si="14"/>
        <v>218044.68969899998</v>
      </c>
      <c r="I162" t="s">
        <v>1121</v>
      </c>
      <c r="J162" s="527">
        <v>0</v>
      </c>
      <c r="K162" s="527">
        <v>0</v>
      </c>
      <c r="L162" s="527">
        <v>0</v>
      </c>
      <c r="M162" s="527">
        <v>0</v>
      </c>
    </row>
    <row r="163" spans="1:17">
      <c r="A163" s="449">
        <f>IF(B163="","",COUNTA(B$11:B163))</f>
        <v>133</v>
      </c>
      <c r="B163" s="1068" t="s">
        <v>840</v>
      </c>
      <c r="C163" s="1075">
        <v>872</v>
      </c>
      <c r="D163" s="1070">
        <f>'Operating Report'!AD64</f>
        <v>75137.263082084246</v>
      </c>
      <c r="E163" s="1070">
        <f t="shared" si="14"/>
        <v>45915.928934999996</v>
      </c>
      <c r="I163" t="s">
        <v>1121</v>
      </c>
      <c r="J163" s="527">
        <v>986694.38</v>
      </c>
      <c r="K163" s="527">
        <v>424208.97000000003</v>
      </c>
      <c r="L163" s="527">
        <v>987764.22625000018</v>
      </c>
      <c r="M163" s="527">
        <v>397985.96</v>
      </c>
    </row>
    <row r="164" spans="1:17">
      <c r="A164" s="449">
        <f>IF(B164="","",COUNTA(B$11:B164))</f>
        <v>134</v>
      </c>
      <c r="B164" s="1068" t="s">
        <v>3644</v>
      </c>
      <c r="C164" s="1075">
        <v>874</v>
      </c>
      <c r="D164" s="1070">
        <f>'Operating Report'!AD65</f>
        <v>3385519.216582906</v>
      </c>
      <c r="E164" s="1070">
        <f t="shared" si="14"/>
        <v>2415711.4381510033</v>
      </c>
      <c r="I164" t="s">
        <v>1121</v>
      </c>
      <c r="J164" s="527">
        <v>657490.51</v>
      </c>
      <c r="K164" s="527">
        <v>91503.21</v>
      </c>
      <c r="L164" s="527">
        <v>512627.73708333331</v>
      </c>
      <c r="M164" s="527">
        <v>77508.007083333345</v>
      </c>
    </row>
    <row r="165" spans="1:17">
      <c r="A165" s="449">
        <f>IF(B165="","",COUNTA(B$11:B165))</f>
        <v>135</v>
      </c>
      <c r="B165" s="1068" t="s">
        <v>3645</v>
      </c>
      <c r="C165" s="1075">
        <v>875</v>
      </c>
      <c r="D165" s="1070">
        <f>'Operating Report'!AD66</f>
        <v>612295.10923966148</v>
      </c>
      <c r="E165" s="1070">
        <f t="shared" si="14"/>
        <v>193501.70470199993</v>
      </c>
      <c r="I165" t="s">
        <v>1122</v>
      </c>
      <c r="J165" s="527">
        <v>0</v>
      </c>
      <c r="K165" s="527">
        <v>0</v>
      </c>
      <c r="L165" s="527">
        <v>0</v>
      </c>
      <c r="M165" s="527">
        <v>0</v>
      </c>
    </row>
    <row r="166" spans="1:17">
      <c r="A166" s="449">
        <f>IF(B166="","",COUNTA(B$11:B166))</f>
        <v>136</v>
      </c>
      <c r="B166" s="1068" t="s">
        <v>3646</v>
      </c>
      <c r="C166" s="1075">
        <v>876</v>
      </c>
      <c r="D166" s="1070">
        <f>'Operating Report'!AD67</f>
        <v>625852.04763415514</v>
      </c>
      <c r="E166" s="1070">
        <f t="shared" si="14"/>
        <v>400747.24770900013</v>
      </c>
      <c r="I166" t="s">
        <v>1122</v>
      </c>
      <c r="J166" s="527">
        <v>0</v>
      </c>
      <c r="K166" s="527">
        <v>0</v>
      </c>
      <c r="L166" s="527">
        <v>0</v>
      </c>
      <c r="M166" s="527">
        <v>-20608.736250000002</v>
      </c>
    </row>
    <row r="167" spans="1:17">
      <c r="A167" s="449">
        <f>IF(B167="","",COUNTA(B$11:B167))</f>
        <v>137</v>
      </c>
      <c r="B167" s="1068" t="s">
        <v>847</v>
      </c>
      <c r="C167" s="1075">
        <v>877</v>
      </c>
      <c r="D167" s="1070">
        <f>'Operating Report'!AD68</f>
        <v>87749.404295532528</v>
      </c>
      <c r="E167" s="1070">
        <f t="shared" si="14"/>
        <v>43152.935604999999</v>
      </c>
      <c r="I167" t="s">
        <v>1122</v>
      </c>
      <c r="J167" s="527">
        <v>55832.73</v>
      </c>
      <c r="K167" s="527">
        <v>-41533.89</v>
      </c>
      <c r="L167" s="527">
        <v>55836.13916666666</v>
      </c>
      <c r="M167" s="527">
        <v>-21227.287916666668</v>
      </c>
    </row>
    <row r="168" spans="1:17">
      <c r="A168" s="449">
        <f>IF(B168="","",COUNTA(B$11:B168))</f>
        <v>138</v>
      </c>
      <c r="B168" s="1068" t="s">
        <v>3647</v>
      </c>
      <c r="C168" s="1075">
        <v>878</v>
      </c>
      <c r="D168" s="1070">
        <f>'Operating Report'!AD69</f>
        <v>-188318.40377745233</v>
      </c>
      <c r="E168" s="1070">
        <f t="shared" si="14"/>
        <v>849631.93683999975</v>
      </c>
      <c r="I168" t="s">
        <v>1123</v>
      </c>
      <c r="J168" s="527">
        <v>0</v>
      </c>
      <c r="K168" s="527">
        <v>0</v>
      </c>
      <c r="L168" s="527">
        <v>0</v>
      </c>
      <c r="M168" s="527">
        <v>0</v>
      </c>
    </row>
    <row r="169" spans="1:17">
      <c r="A169" s="449">
        <f>IF(B169="","",COUNTA(B$11:B169))</f>
        <v>139</v>
      </c>
      <c r="B169" s="1068" t="s">
        <v>3648</v>
      </c>
      <c r="C169" s="1075">
        <v>879</v>
      </c>
      <c r="D169" s="1070">
        <f>'Operating Report'!AD70</f>
        <v>414885.26396664412</v>
      </c>
      <c r="E169" s="1070">
        <f t="shared" si="14"/>
        <v>380186.71579999989</v>
      </c>
      <c r="I169" t="s">
        <v>1123</v>
      </c>
      <c r="J169" s="527">
        <v>19582.57</v>
      </c>
      <c r="K169" s="527">
        <v>4926.8900000000003</v>
      </c>
      <c r="L169" s="527">
        <v>19582.570000000003</v>
      </c>
      <c r="M169" s="527">
        <v>4500.9500000000007</v>
      </c>
    </row>
    <row r="170" spans="1:17">
      <c r="A170" s="449">
        <f>IF(B170="","",COUNTA(B$11:B170))</f>
        <v>140</v>
      </c>
      <c r="B170" s="1068" t="s">
        <v>3649</v>
      </c>
      <c r="C170" s="1075">
        <v>880</v>
      </c>
      <c r="D170" s="1070">
        <f>'Operating Report'!AD71</f>
        <v>5659565.2497695787</v>
      </c>
      <c r="E170" s="1070">
        <f t="shared" si="14"/>
        <v>3837597.6543599996</v>
      </c>
      <c r="I170" t="s">
        <v>1123</v>
      </c>
      <c r="J170" s="527">
        <v>63398.16</v>
      </c>
      <c r="K170" s="527">
        <v>29671.54</v>
      </c>
      <c r="L170" s="527">
        <v>63402.030833333352</v>
      </c>
      <c r="M170" s="527">
        <v>28294.26333333334</v>
      </c>
    </row>
    <row r="171" spans="1:17">
      <c r="A171" s="449">
        <f>IF(B171="","",COUNTA(B$11:B171))</f>
        <v>141</v>
      </c>
      <c r="B171" s="1068" t="s">
        <v>855</v>
      </c>
      <c r="C171" s="1075">
        <v>881</v>
      </c>
      <c r="D171" s="1070">
        <f>'Operating Report'!AD72</f>
        <v>220217.55420740417</v>
      </c>
      <c r="E171" s="1070">
        <f t="shared" si="14"/>
        <v>0</v>
      </c>
    </row>
    <row r="172" spans="1:17">
      <c r="A172" s="449">
        <f>IF(B172="","",COUNTA(B$11:B172))</f>
        <v>142</v>
      </c>
      <c r="B172" s="1068" t="s">
        <v>3650</v>
      </c>
      <c r="C172" s="1075">
        <v>882</v>
      </c>
      <c r="D172" s="1070">
        <f>'Operating Report'!AD73</f>
        <v>0</v>
      </c>
      <c r="E172" s="1070">
        <f t="shared" si="14"/>
        <v>0</v>
      </c>
    </row>
    <row r="173" spans="1:17">
      <c r="A173" s="449">
        <f>IF(B173="","",COUNTA(B$11:B173))</f>
        <v>143</v>
      </c>
      <c r="B173" t="str">
        <f>"Subtotal - "&amp;B160</f>
        <v>Subtotal - Distribution Operation Expenses</v>
      </c>
      <c r="C173" s="449"/>
      <c r="D173" s="578">
        <f>SUBTOTAL(9,D161:D172)</f>
        <v>13891117.09434511</v>
      </c>
      <c r="E173" s="578">
        <f>SUBTOTAL(9,E161:E172)</f>
        <v>10933597.418863004</v>
      </c>
      <c r="I173" t="s">
        <v>3651</v>
      </c>
    </row>
    <row r="174" spans="1:17" ht="60">
      <c r="A174" s="449" t="str">
        <f>IF(B174="","",COUNTA(B$11:B174))</f>
        <v/>
      </c>
      <c r="C174" s="1078"/>
      <c r="D174" s="578"/>
      <c r="E174" s="578"/>
      <c r="I174" t="s">
        <v>1457</v>
      </c>
      <c r="J174" s="644" t="s">
        <v>3652</v>
      </c>
      <c r="K174" s="270" t="s">
        <v>738</v>
      </c>
      <c r="L174" s="270" t="s">
        <v>739</v>
      </c>
      <c r="M174" s="270" t="s">
        <v>741</v>
      </c>
      <c r="N174" s="270" t="s">
        <v>743</v>
      </c>
      <c r="O174" s="270" t="s">
        <v>3653</v>
      </c>
      <c r="P174" s="545" t="s">
        <v>745</v>
      </c>
      <c r="Q174" s="553" t="s">
        <v>3654</v>
      </c>
    </row>
    <row r="175" spans="1:17">
      <c r="A175" s="449">
        <f>IF(B175="","",COUNTA(B$11:B175))</f>
        <v>144</v>
      </c>
      <c r="B175" s="4" t="s">
        <v>3655</v>
      </c>
      <c r="C175" s="449"/>
      <c r="D175" s="578"/>
      <c r="E175" s="578"/>
      <c r="I175" t="s">
        <v>1359</v>
      </c>
      <c r="J175" s="1080">
        <v>319852.78000000009</v>
      </c>
      <c r="K175" s="1080">
        <f>SUMIF('Operating Report'!B:B,I175,'Operating Report'!M:M)</f>
        <v>0</v>
      </c>
      <c r="L175" s="1080">
        <f>SUMIF('Operating Report'!B:B,I175,'Operating Report'!N:N)</f>
        <v>-33688.839999999997</v>
      </c>
      <c r="N175" s="1080">
        <f>SUMIF('Operating Report'!B:B,I175,'Operating Report'!U:U)</f>
        <v>16334.516615</v>
      </c>
      <c r="Q175" s="1080">
        <f>SUM(J175:P175)</f>
        <v>302498.45661500003</v>
      </c>
    </row>
    <row r="176" spans="1:17">
      <c r="A176" s="449">
        <f>IF(B176="","",COUNTA(B$11:B176))</f>
        <v>145</v>
      </c>
      <c r="B176" s="1068" t="s">
        <v>3656</v>
      </c>
      <c r="C176" s="1075">
        <v>885</v>
      </c>
      <c r="D176" s="1070">
        <f>'Operating Report'!AD77</f>
        <v>1122710.0525362908</v>
      </c>
      <c r="E176" s="1070">
        <f t="shared" ref="E176:E185" si="15">SUMIF($I$175:$I$204,C176,$Q$175:$Q$204)</f>
        <v>1065842.1355560005</v>
      </c>
      <c r="I176" t="s">
        <v>835</v>
      </c>
      <c r="J176" s="1080">
        <v>2657303.9600000009</v>
      </c>
      <c r="K176" s="1080">
        <f>SUMIF('Operating Report'!B:B,I176,'Operating Report'!M:M)</f>
        <v>0</v>
      </c>
      <c r="L176" s="1080">
        <f>SUMIF('Operating Report'!B:B,I176,'Operating Report'!N:N)</f>
        <v>-245992.69</v>
      </c>
      <c r="N176" s="1080">
        <f>SUMIF('Operating Report'!B:B,I176,'Operating Report'!U:U)</f>
        <v>137795.897062</v>
      </c>
      <c r="Q176" s="1080">
        <f t="shared" ref="Q176:Q204" si="16">SUM(J176:P176)</f>
        <v>2549107.1670620008</v>
      </c>
    </row>
    <row r="177" spans="1:17">
      <c r="A177" s="449">
        <f>IF(B177="","",COUNTA(B$11:B177))</f>
        <v>146</v>
      </c>
      <c r="B177" s="1068" t="s">
        <v>863</v>
      </c>
      <c r="C177" s="1075">
        <v>886</v>
      </c>
      <c r="D177" s="1070">
        <f>'Operating Report'!AD78</f>
        <v>5260.7816511352212</v>
      </c>
      <c r="E177" s="1070">
        <f t="shared" si="15"/>
        <v>0</v>
      </c>
      <c r="I177" t="s">
        <v>837</v>
      </c>
      <c r="J177" s="1080">
        <v>224695.97999999998</v>
      </c>
      <c r="K177" s="1080">
        <f>SUMIF('Operating Report'!B:B,I177,'Operating Report'!M:M)</f>
        <v>11.099399999999999</v>
      </c>
      <c r="L177" s="1080">
        <f>SUMIF('Operating Report'!B:B,I177,'Operating Report'!N:N)</f>
        <v>-18626.41</v>
      </c>
      <c r="N177" s="1080">
        <f>SUMIF('Operating Report'!B:B,I177,'Operating Report'!U:U)</f>
        <v>11964.020299</v>
      </c>
      <c r="Q177" s="1080">
        <f t="shared" si="16"/>
        <v>218044.68969899998</v>
      </c>
    </row>
    <row r="178" spans="1:17">
      <c r="A178" s="449">
        <f>IF(B178="","",COUNTA(B$11:B178))</f>
        <v>147</v>
      </c>
      <c r="B178" s="1068" t="s">
        <v>3639</v>
      </c>
      <c r="C178" s="1075">
        <v>887</v>
      </c>
      <c r="D178" s="1070">
        <f>'Operating Report'!AD79</f>
        <v>4809860.560562415</v>
      </c>
      <c r="E178" s="1070">
        <f t="shared" si="15"/>
        <v>542701.59063099942</v>
      </c>
      <c r="I178" t="s">
        <v>839</v>
      </c>
      <c r="J178" s="1080">
        <v>45660.57</v>
      </c>
      <c r="K178" s="1080">
        <f>SUMIF('Operating Report'!B:B,I178,'Operating Report'!M:M)</f>
        <v>262.92</v>
      </c>
      <c r="L178" s="1080">
        <f>SUMIF('Operating Report'!B:B,I178,'Operating Report'!N:N)</f>
        <v>-2458.2199999999998</v>
      </c>
      <c r="N178" s="1080">
        <f>SUMIF('Operating Report'!B:B,I178,'Operating Report'!U:U)</f>
        <v>2450.6589350000004</v>
      </c>
      <c r="Q178" s="1080">
        <f t="shared" si="16"/>
        <v>45915.928934999996</v>
      </c>
    </row>
    <row r="179" spans="1:17">
      <c r="A179" s="449">
        <f>IF(B179="","",COUNTA(B$11:B179))</f>
        <v>148</v>
      </c>
      <c r="B179" s="1068" t="s">
        <v>840</v>
      </c>
      <c r="C179" s="1075">
        <v>888</v>
      </c>
      <c r="D179" s="1070">
        <f>'Operating Report'!AD80</f>
        <v>484351.09259738587</v>
      </c>
      <c r="E179" s="1070">
        <f t="shared" si="15"/>
        <v>63846.563744999992</v>
      </c>
      <c r="I179" t="s">
        <v>1360</v>
      </c>
      <c r="J179" s="1080">
        <v>2296147.9600000037</v>
      </c>
      <c r="K179" s="1080">
        <f>SUMIF('Operating Report'!B:B,I179,'Operating Report'!M:M)</f>
        <v>13931.5461</v>
      </c>
      <c r="L179" s="1080">
        <f>SUMIF('Operating Report'!B:B,I179,'Operating Report'!N:N)</f>
        <v>-9449.89</v>
      </c>
      <c r="N179" s="1080">
        <f>SUMIF('Operating Report'!B:B,I179,'Operating Report'!U:U)</f>
        <v>115081.82205100001</v>
      </c>
      <c r="Q179" s="1080">
        <f t="shared" si="16"/>
        <v>2415711.4381510033</v>
      </c>
    </row>
    <row r="180" spans="1:17">
      <c r="A180" s="449">
        <f>IF(B180="","",COUNTA(B$11:B180))</f>
        <v>149</v>
      </c>
      <c r="B180" s="1068" t="s">
        <v>3657</v>
      </c>
      <c r="C180" s="1075">
        <v>889</v>
      </c>
      <c r="D180" s="1070">
        <f>'Operating Report'!AD81</f>
        <v>299913.80627510289</v>
      </c>
      <c r="E180" s="1070">
        <f t="shared" si="15"/>
        <v>172908.30979999999</v>
      </c>
      <c r="I180" t="s">
        <v>843</v>
      </c>
      <c r="J180" s="1080">
        <v>181330.73999999993</v>
      </c>
      <c r="K180" s="1080">
        <f>SUMIF('Operating Report'!B:B,I180,'Operating Report'!M:M)</f>
        <v>2629.4915999999998</v>
      </c>
      <c r="L180" s="1080">
        <f>SUMIF('Operating Report'!B:B,I180,'Operating Report'!N:N)</f>
        <v>-11.42</v>
      </c>
      <c r="N180" s="1080">
        <f>SUMIF('Operating Report'!B:B,I180,'Operating Report'!U:U)</f>
        <v>9552.8931020000018</v>
      </c>
      <c r="Q180" s="1080">
        <f t="shared" si="16"/>
        <v>193501.70470199993</v>
      </c>
    </row>
    <row r="181" spans="1:17">
      <c r="A181" s="449">
        <f>IF(B181="","",COUNTA(B$11:B181))</f>
        <v>150</v>
      </c>
      <c r="B181" s="1068" t="s">
        <v>3658</v>
      </c>
      <c r="C181" s="1075">
        <v>890</v>
      </c>
      <c r="D181" s="1070">
        <f>'Operating Report'!AD82</f>
        <v>370680.59663182276</v>
      </c>
      <c r="E181" s="1070">
        <f t="shared" si="15"/>
        <v>238816.05694000004</v>
      </c>
      <c r="I181" t="s">
        <v>845</v>
      </c>
      <c r="J181" s="1080">
        <v>379622.23000000016</v>
      </c>
      <c r="K181" s="1080">
        <f>SUMIF('Operating Report'!B:B,I181,'Operating Report'!M:M)</f>
        <v>2262.2226000000001</v>
      </c>
      <c r="L181" s="1080">
        <f>SUMIF('Operating Report'!B:B,I181,'Operating Report'!N:N)</f>
        <v>-39.53</v>
      </c>
      <c r="N181" s="1080">
        <f>SUMIF('Operating Report'!B:B,I181,'Operating Report'!U:U)</f>
        <v>18902.325108999998</v>
      </c>
      <c r="Q181" s="1080">
        <f t="shared" si="16"/>
        <v>400747.24770900013</v>
      </c>
    </row>
    <row r="182" spans="1:17">
      <c r="A182" s="449">
        <f>IF(B182="","",COUNTA(B$11:B182))</f>
        <v>151</v>
      </c>
      <c r="B182" s="1068" t="s">
        <v>3659</v>
      </c>
      <c r="C182" s="1075">
        <v>891</v>
      </c>
      <c r="D182" s="1070">
        <f>'Operating Report'!AD83</f>
        <v>119309.82967567084</v>
      </c>
      <c r="E182" s="1070">
        <f t="shared" si="15"/>
        <v>65549.274004999999</v>
      </c>
      <c r="H182" s="522"/>
      <c r="I182" t="s">
        <v>1361</v>
      </c>
      <c r="J182" s="1080">
        <v>41071.64</v>
      </c>
      <c r="K182" s="1080">
        <f>SUMIF('Operating Report'!B:B,I182,'Operating Report'!M:M)</f>
        <v>130.63650000000001</v>
      </c>
      <c r="L182" s="1080">
        <f>SUMIF('Operating Report'!B:B,I182,'Operating Report'!N:N)</f>
        <v>-9.91</v>
      </c>
      <c r="N182" s="1080">
        <f>SUMIF('Operating Report'!B:B,I182,'Operating Report'!U:U)</f>
        <v>1960.5691049999998</v>
      </c>
      <c r="Q182" s="1080">
        <f t="shared" si="16"/>
        <v>43152.935604999999</v>
      </c>
    </row>
    <row r="183" spans="1:17">
      <c r="A183" s="449">
        <f>IF(B183="","",COUNTA(B$11:B183))</f>
        <v>152</v>
      </c>
      <c r="B183" s="1068" t="s">
        <v>3660</v>
      </c>
      <c r="C183" s="1075">
        <v>892</v>
      </c>
      <c r="D183" s="1070">
        <f>'Operating Report'!AD84</f>
        <v>1108295.7688120103</v>
      </c>
      <c r="E183" s="1070">
        <f t="shared" si="15"/>
        <v>694575.5962479997</v>
      </c>
      <c r="I183" t="s">
        <v>848</v>
      </c>
      <c r="J183" s="1080">
        <v>804084.69999999972</v>
      </c>
      <c r="K183" s="1080">
        <f>SUMIF('Operating Report'!B:B,I183,'Operating Report'!M:M)</f>
        <v>5380.4507999999996</v>
      </c>
      <c r="L183" s="1080">
        <f>SUMIF('Operating Report'!B:B,I183,'Operating Report'!N:N)</f>
        <v>0</v>
      </c>
      <c r="N183" s="1080">
        <f>SUMIF('Operating Report'!B:B,I183,'Operating Report'!U:U)</f>
        <v>40166.786040000006</v>
      </c>
      <c r="Q183" s="1080">
        <f t="shared" si="16"/>
        <v>849631.93683999975</v>
      </c>
    </row>
    <row r="184" spans="1:17">
      <c r="A184" s="449">
        <f>IF(B184="","",COUNTA(B$11:B184))</f>
        <v>153</v>
      </c>
      <c r="B184" s="1068" t="s">
        <v>3661</v>
      </c>
      <c r="C184" s="1075">
        <v>893</v>
      </c>
      <c r="D184" s="1070">
        <f>'Operating Report'!AD85</f>
        <v>1481487.755102359</v>
      </c>
      <c r="E184" s="1070">
        <f t="shared" si="15"/>
        <v>1106838.2290110008</v>
      </c>
      <c r="G184" s="579"/>
      <c r="H184" s="522"/>
      <c r="I184" t="s">
        <v>850</v>
      </c>
      <c r="J184" s="1080">
        <v>358404.42999999993</v>
      </c>
      <c r="K184" s="1080">
        <f>SUMIF('Operating Report'!B:B,I184,'Operating Report'!M:M)</f>
        <v>2903.7359999999999</v>
      </c>
      <c r="L184" s="1080">
        <f>SUMIF('Operating Report'!B:B,I184,'Operating Report'!N:N)</f>
        <v>0</v>
      </c>
      <c r="N184" s="1080">
        <f>SUMIF('Operating Report'!B:B,I184,'Operating Report'!U:U)</f>
        <v>18878.549800000001</v>
      </c>
      <c r="Q184" s="1080">
        <f t="shared" si="16"/>
        <v>380186.71579999989</v>
      </c>
    </row>
    <row r="185" spans="1:17">
      <c r="A185" s="449">
        <f>IF(B185="","",COUNTA(B$11:B185))</f>
        <v>154</v>
      </c>
      <c r="B185" s="1081" t="s">
        <v>3662</v>
      </c>
      <c r="C185" s="1082">
        <v>894</v>
      </c>
      <c r="D185" s="1070">
        <f>'Operating Report'!AD86</f>
        <v>1439813.0835209489</v>
      </c>
      <c r="E185" s="1070">
        <f t="shared" si="15"/>
        <v>1204731.5321070002</v>
      </c>
      <c r="I185" t="s">
        <v>852</v>
      </c>
      <c r="J185" s="1080">
        <v>3664448.6899999995</v>
      </c>
      <c r="K185" s="1080">
        <f>SUMIF('Operating Report'!B:B,I185,'Operating Report'!M:M)</f>
        <v>29086.159199999998</v>
      </c>
      <c r="L185" s="1080">
        <f>SUMIF('Operating Report'!B:B,I185,'Operating Report'!N:N)</f>
        <v>-44121.27</v>
      </c>
      <c r="N185" s="1080">
        <f>SUMIF('Operating Report'!B:B,I185,'Operating Report'!U:U)</f>
        <v>188184.07516000001</v>
      </c>
      <c r="Q185" s="1080">
        <f t="shared" si="16"/>
        <v>3837597.6543599996</v>
      </c>
    </row>
    <row r="186" spans="1:17">
      <c r="A186" s="449">
        <f>IF(B186="","",COUNTA(B$11:B186))</f>
        <v>155</v>
      </c>
      <c r="B186" t="str">
        <f>"Subtotal - "&amp;B175</f>
        <v>Subtotal - Distribution Maintenance Expenses</v>
      </c>
      <c r="C186" s="1078"/>
      <c r="D186" s="578">
        <f>SUBTOTAL(9,D176:D185)</f>
        <v>11241683.327365141</v>
      </c>
      <c r="E186" s="578">
        <f>SUBTOTAL(9,E176:E185)</f>
        <v>5155809.2880430007</v>
      </c>
      <c r="I186" t="s">
        <v>860</v>
      </c>
      <c r="J186" s="1080">
        <v>1098248.0000000005</v>
      </c>
      <c r="K186" s="1080">
        <f>SUMIF('Operating Report'!B:B,I186,'Operating Report'!M:M)</f>
        <v>0</v>
      </c>
      <c r="L186" s="1080">
        <f>SUMIF('Operating Report'!B:B,I186,'Operating Report'!N:N)</f>
        <v>-91083.1</v>
      </c>
      <c r="N186" s="1080">
        <f>SUMIF('Operating Report'!B:B,I186,'Operating Report'!U:U)</f>
        <v>58677.235556</v>
      </c>
      <c r="Q186" s="1080">
        <f t="shared" si="16"/>
        <v>1065842.1355560005</v>
      </c>
    </row>
    <row r="187" spans="1:17">
      <c r="A187" s="449" t="str">
        <f>IF(B187="","",COUNTA(B$11:B187))</f>
        <v/>
      </c>
      <c r="C187" s="1078"/>
      <c r="D187" s="1071"/>
      <c r="E187" s="1071"/>
      <c r="I187" t="s">
        <v>864</v>
      </c>
      <c r="J187" s="1080">
        <v>510618.2299999994</v>
      </c>
      <c r="K187" s="1080">
        <f>SUMIF('Operating Report'!B:B,I187,'Operating Report'!M:M)</f>
        <v>3180.4049999999997</v>
      </c>
      <c r="L187" s="1080">
        <f>SUMIF('Operating Report'!B:B,I187,'Operating Report'!N:N)</f>
        <v>-3142.84</v>
      </c>
      <c r="N187" s="1080">
        <f>SUMIF('Operating Report'!B:B,I187,'Operating Report'!U:U)</f>
        <v>32045.795631000001</v>
      </c>
      <c r="Q187" s="1080">
        <f t="shared" si="16"/>
        <v>542701.59063099942</v>
      </c>
    </row>
    <row r="188" spans="1:17">
      <c r="A188" s="449">
        <f>IF(B188="","",COUNTA(B$11:B188))</f>
        <v>156</v>
      </c>
      <c r="B188" s="543" t="str">
        <f>"Total "&amp;B126</f>
        <v>Total Production, Storage, LNG, Transmission, and Distribution Expense</v>
      </c>
      <c r="C188" s="562"/>
      <c r="D188" s="580">
        <f>SUBTOTAL(9,D127:D186)</f>
        <v>25704895.225109346</v>
      </c>
      <c r="E188" s="580">
        <f>SUBTOTAL(9,E128:E186)</f>
        <v>16391905.163521007</v>
      </c>
      <c r="I188" t="s">
        <v>866</v>
      </c>
      <c r="J188" s="1080">
        <v>60563.239999999991</v>
      </c>
      <c r="K188" s="1080">
        <f>SUMIF('Operating Report'!B:B,I188,'Operating Report'!M:M)</f>
        <v>526.32690000000002</v>
      </c>
      <c r="L188" s="1080">
        <f>SUMIF('Operating Report'!B:B,I188,'Operating Report'!N:N)</f>
        <v>0</v>
      </c>
      <c r="N188" s="1080">
        <f>SUMIF('Operating Report'!B:B,I188,'Operating Report'!U:U)</f>
        <v>2756.9968450000001</v>
      </c>
      <c r="Q188" s="1080">
        <f t="shared" si="16"/>
        <v>63846.563744999992</v>
      </c>
    </row>
    <row r="189" spans="1:17">
      <c r="A189" s="449" t="str">
        <f>IF(B189="","",COUNTA(B$11:B189))</f>
        <v/>
      </c>
      <c r="C189" s="1078"/>
      <c r="D189" s="1071"/>
      <c r="E189" s="1071"/>
      <c r="I189" t="s">
        <v>867</v>
      </c>
      <c r="J189" s="1080">
        <v>163546.12</v>
      </c>
      <c r="K189" s="1080">
        <f>SUMIF('Operating Report'!B:B,I189,'Operating Report'!M:M)</f>
        <v>1130.5292999999999</v>
      </c>
      <c r="L189" s="1080">
        <f>SUMIF('Operating Report'!B:B,I189,'Operating Report'!N:N)</f>
        <v>-32.200000000000003</v>
      </c>
      <c r="N189" s="1080">
        <f>SUMIF('Operating Report'!B:B,I189,'Operating Report'!U:U)</f>
        <v>8263.8605000000007</v>
      </c>
      <c r="Q189" s="1080">
        <f t="shared" si="16"/>
        <v>172908.30979999999</v>
      </c>
    </row>
    <row r="190" spans="1:17">
      <c r="A190" s="449">
        <f>IF(B190="","",COUNTA(B$11:B190))</f>
        <v>157</v>
      </c>
      <c r="B190" s="1073" t="s">
        <v>3663</v>
      </c>
      <c r="C190" s="1078"/>
      <c r="D190" s="1071"/>
      <c r="E190" s="1071"/>
      <c r="I190" t="s">
        <v>869</v>
      </c>
      <c r="J190" s="1080">
        <v>226949.74000000005</v>
      </c>
      <c r="K190" s="1080">
        <f>SUMIF('Operating Report'!B:B,I190,'Operating Report'!M:M)</f>
        <v>727.04279999999994</v>
      </c>
      <c r="L190" s="1080">
        <f>SUMIF('Operating Report'!B:B,I190,'Operating Report'!N:N)</f>
        <v>0</v>
      </c>
      <c r="N190" s="1080">
        <f>SUMIF('Operating Report'!B:B,I190,'Operating Report'!U:U)</f>
        <v>11139.274140000001</v>
      </c>
      <c r="Q190" s="1080">
        <f t="shared" si="16"/>
        <v>238816.05694000004</v>
      </c>
    </row>
    <row r="191" spans="1:17">
      <c r="A191" s="449">
        <f>IF(B191="","",COUNTA(B$11:B191))</f>
        <v>158</v>
      </c>
      <c r="B191" s="4" t="s">
        <v>3664</v>
      </c>
      <c r="C191" s="1078"/>
      <c r="D191" s="1071"/>
      <c r="E191" s="1071"/>
      <c r="I191" t="s">
        <v>3665</v>
      </c>
      <c r="J191" s="1080">
        <v>62263.82</v>
      </c>
      <c r="K191" s="1080">
        <f>SUMIF('Operating Report'!B:B,I191,'Operating Report'!M:M)</f>
        <v>305.31810000000002</v>
      </c>
      <c r="L191" s="1080">
        <f>SUMIF('Operating Report'!B:B,I191,'Operating Report'!N:N)</f>
        <v>0</v>
      </c>
      <c r="N191" s="1080">
        <f>SUMIF('Operating Report'!B:B,I191,'Operating Report'!U:U)</f>
        <v>2980.1359050000001</v>
      </c>
      <c r="Q191" s="1080">
        <f t="shared" si="16"/>
        <v>65549.274004999999</v>
      </c>
    </row>
    <row r="192" spans="1:17">
      <c r="A192" s="449">
        <f>IF(B192="","",COUNTA(B$11:B192))</f>
        <v>159</v>
      </c>
      <c r="B192" s="1068" t="s">
        <v>3666</v>
      </c>
      <c r="C192" s="1075">
        <v>901</v>
      </c>
      <c r="D192" s="1070">
        <f>'Operating Report'!AD91</f>
        <v>118343.7250597073</v>
      </c>
      <c r="E192" s="1070">
        <f>SUMIF($I$175:$I$204,C192,$Q$175:$Q$204)</f>
        <v>118296.22343900001</v>
      </c>
      <c r="I192" t="s">
        <v>871</v>
      </c>
      <c r="J192" s="1080">
        <v>656675.96999999974</v>
      </c>
      <c r="K192" s="1080">
        <f>SUMIF('Operating Report'!B:B,I192,'Operating Report'!M:M)</f>
        <v>4003.7423999999996</v>
      </c>
      <c r="L192" s="1080">
        <f>SUMIF('Operating Report'!B:B,I192,'Operating Report'!N:N)</f>
        <v>-1633.86</v>
      </c>
      <c r="N192" s="1080">
        <f>SUMIF('Operating Report'!B:B,I192,'Operating Report'!U:U)</f>
        <v>35529.743848000006</v>
      </c>
      <c r="Q192" s="1080">
        <f t="shared" si="16"/>
        <v>694575.5962479997</v>
      </c>
    </row>
    <row r="193" spans="1:17">
      <c r="A193" s="449">
        <f>IF(B193="","",COUNTA(B$11:B193))</f>
        <v>160</v>
      </c>
      <c r="B193" s="1068" t="s">
        <v>3667</v>
      </c>
      <c r="C193" s="1075">
        <v>902</v>
      </c>
      <c r="D193" s="1070">
        <f>'Operating Report'!AD92</f>
        <v>536858.31951447832</v>
      </c>
      <c r="E193" s="1070">
        <f>SUMIF($I$175:$I$204,C193,$Q$175:$Q$204)</f>
        <v>439108.97884899983</v>
      </c>
      <c r="I193" t="s">
        <v>873</v>
      </c>
      <c r="J193" s="1080">
        <v>1048688.8900000008</v>
      </c>
      <c r="K193" s="1080">
        <f>SUMIF('Operating Report'!B:B,I193,'Operating Report'!M:M)</f>
        <v>7359.3653999999997</v>
      </c>
      <c r="L193" s="1080">
        <f>SUMIF('Operating Report'!B:B,I193,'Operating Report'!N:N)</f>
        <v>-989.91</v>
      </c>
      <c r="N193" s="1080">
        <f>SUMIF('Operating Report'!B:B,I193,'Operating Report'!U:U)</f>
        <v>51779.883611000005</v>
      </c>
      <c r="Q193" s="1080">
        <f t="shared" si="16"/>
        <v>1106838.2290110008</v>
      </c>
    </row>
    <row r="194" spans="1:17">
      <c r="A194" s="449">
        <f>IF(B194="","",COUNTA(B$11:B194))</f>
        <v>161</v>
      </c>
      <c r="B194" s="1068" t="s">
        <v>3668</v>
      </c>
      <c r="C194" s="1075">
        <v>903</v>
      </c>
      <c r="D194" s="1070">
        <f>'Operating Report'!AD93</f>
        <v>4702717.446291944</v>
      </c>
      <c r="E194" s="1070">
        <f>SUMIF($I$175:$I$204,C194,$Q$175:$Q$204)</f>
        <v>2822631.0443540057</v>
      </c>
      <c r="I194" t="s">
        <v>875</v>
      </c>
      <c r="J194" s="1080">
        <v>1136204.5600000003</v>
      </c>
      <c r="K194" s="1080">
        <f>SUMIF('Operating Report'!B:B,I194,'Operating Report'!M:M)</f>
        <v>12482.611799999999</v>
      </c>
      <c r="L194" s="1080">
        <f>SUMIF('Operating Report'!B:B,I194,'Operating Report'!N:N)</f>
        <v>-2050.83</v>
      </c>
      <c r="N194" s="1080">
        <f>SUMIF('Operating Report'!B:B,I194,'Operating Report'!U:U)</f>
        <v>58095.190307000012</v>
      </c>
      <c r="Q194" s="1080">
        <f t="shared" si="16"/>
        <v>1204731.5321070002</v>
      </c>
    </row>
    <row r="195" spans="1:17">
      <c r="A195" s="449">
        <f>IF(B195="","",COUNTA(B$11:B195))</f>
        <v>162</v>
      </c>
      <c r="B195" s="1068" t="s">
        <v>3669</v>
      </c>
      <c r="C195" s="1075">
        <v>904</v>
      </c>
      <c r="D195" s="1070">
        <f>'Operating Report'!AD94</f>
        <v>1667277.7005784863</v>
      </c>
      <c r="E195" s="1070">
        <f>SUMIF($I$175:$I$204,C195,$Q$175:$Q$204)</f>
        <v>0</v>
      </c>
      <c r="F195" t="s">
        <v>3670</v>
      </c>
      <c r="I195" t="s">
        <v>880</v>
      </c>
      <c r="J195" s="1080">
        <v>121945.29000000001</v>
      </c>
      <c r="K195" s="1080">
        <f>SUMIF('Operating Report'!B:B,I195,'Operating Report'!M:M)</f>
        <v>0</v>
      </c>
      <c r="L195" s="1080">
        <f>SUMIF('Operating Report'!B:B,I195,'Operating Report'!N:N)</f>
        <v>-10134.58</v>
      </c>
      <c r="N195" s="1080">
        <f>SUMIF('Operating Report'!B:B,I195,'Operating Report'!U:U)</f>
        <v>6485.5134389999994</v>
      </c>
      <c r="Q195" s="1080">
        <f t="shared" si="16"/>
        <v>118296.22343900001</v>
      </c>
    </row>
    <row r="196" spans="1:17">
      <c r="A196" s="449">
        <f>IF(B196="","",COUNTA(B$11:B196))</f>
        <v>163</v>
      </c>
      <c r="B196" s="1068" t="s">
        <v>3671</v>
      </c>
      <c r="C196" s="1075">
        <v>905</v>
      </c>
      <c r="D196" s="1070">
        <f>'Operating Report'!AD95</f>
        <v>428.46888265690859</v>
      </c>
      <c r="E196" s="1070">
        <f>SUMIF($I$175:$I$204,C196,$Q$175:$Q$204)</f>
        <v>0</v>
      </c>
      <c r="I196" t="s">
        <v>882</v>
      </c>
      <c r="J196" s="1080">
        <v>424460.70999999985</v>
      </c>
      <c r="K196" s="1080">
        <f>SUMIF('Operating Report'!B:B,I196,'Operating Report'!M:M)</f>
        <v>2678.3991000000001</v>
      </c>
      <c r="L196" s="1080">
        <f>SUMIF('Operating Report'!B:B,I196,'Operating Report'!N:N)</f>
        <v>-9436.02</v>
      </c>
      <c r="N196" s="1080">
        <f>SUMIF('Operating Report'!B:B,I196,'Operating Report'!U:U)</f>
        <v>21405.889748999998</v>
      </c>
      <c r="Q196" s="1080">
        <f t="shared" si="16"/>
        <v>439108.97884899983</v>
      </c>
    </row>
    <row r="197" spans="1:17">
      <c r="A197" s="449">
        <f>IF(B197="","",COUNTA(B$11:B197))</f>
        <v>164</v>
      </c>
      <c r="B197" t="str">
        <f>"Subtotal - "&amp;B191</f>
        <v>Subtotal - Customer Account</v>
      </c>
      <c r="C197" s="1078"/>
      <c r="D197" s="578">
        <f>SUBTOTAL(9,D192:D196)</f>
        <v>7025625.6603272725</v>
      </c>
      <c r="E197" s="578">
        <f>SUBTOTAL(9,E192:E196)</f>
        <v>3380036.2466420056</v>
      </c>
      <c r="I197" t="s">
        <v>884</v>
      </c>
      <c r="J197" s="1080">
        <v>2895363.2000000053</v>
      </c>
      <c r="K197" s="1080">
        <f>SUMIF('Operating Report'!B:B,I197,'Operating Report'!M:M)</f>
        <v>385.24110000000002</v>
      </c>
      <c r="L197" s="1080">
        <f>SUMIF('Operating Report'!B:B,I197,'Operating Report'!N:N)</f>
        <v>-226261.88</v>
      </c>
      <c r="N197" s="1080">
        <f>SUMIF('Operating Report'!B:B,I197,'Operating Report'!U:U)</f>
        <v>153144.48325399999</v>
      </c>
      <c r="Q197" s="1080">
        <f t="shared" si="16"/>
        <v>2822631.0443540057</v>
      </c>
    </row>
    <row r="198" spans="1:17">
      <c r="A198" s="449" t="str">
        <f>IF(B198="","",COUNTA(B$11:B198))</f>
        <v/>
      </c>
      <c r="C198" s="1078"/>
      <c r="D198" s="1071"/>
      <c r="E198" s="1071"/>
      <c r="I198" t="s">
        <v>892</v>
      </c>
      <c r="J198" s="1080">
        <v>642651.57999999984</v>
      </c>
      <c r="K198" s="1080">
        <f>SUMIF('Operating Report'!B:B,I198,'Operating Report'!M:M)</f>
        <v>0</v>
      </c>
      <c r="L198" s="1080">
        <f>SUMIF('Operating Report'!B:B,I198,'Operating Report'!N:N)</f>
        <v>-49771.5</v>
      </c>
      <c r="M198" s="1083">
        <f>'Operating Report'!Q100</f>
        <v>18393.799999999992</v>
      </c>
      <c r="N198" s="1080">
        <f>SUMIF('Operating Report'!B:B,I198,'Operating Report'!U:U)</f>
        <v>2226.4994129999995</v>
      </c>
      <c r="Q198" s="1080">
        <f t="shared" si="16"/>
        <v>613500.37941299984</v>
      </c>
    </row>
    <row r="199" spans="1:17">
      <c r="A199" s="449">
        <f>IF(B199="","",COUNTA(B$11:B199))</f>
        <v>165</v>
      </c>
      <c r="B199" s="4" t="s">
        <v>3672</v>
      </c>
      <c r="C199" s="1078"/>
      <c r="D199" s="1071"/>
      <c r="E199" s="1071"/>
      <c r="I199" t="s">
        <v>896</v>
      </c>
      <c r="J199" s="1080">
        <v>158149.54</v>
      </c>
      <c r="K199" s="1080">
        <f>SUMIF('Operating Report'!B:B,I199,'Operating Report'!M:M)</f>
        <v>0</v>
      </c>
      <c r="L199" s="1080">
        <f>SUMIF('Operating Report'!B:B,I199,'Operating Report'!N:N)</f>
        <v>-13964.39</v>
      </c>
      <c r="N199" s="1080">
        <f>SUMIF('Operating Report'!B:B,I199,'Operating Report'!U:U)</f>
        <v>8481.3634440000005</v>
      </c>
      <c r="Q199" s="1080">
        <f t="shared" si="16"/>
        <v>152666.51344400001</v>
      </c>
    </row>
    <row r="200" spans="1:17">
      <c r="A200" s="449">
        <f>IF(B200="","",COUNTA(B$11:B200))</f>
        <v>166</v>
      </c>
      <c r="B200" s="1068" t="s">
        <v>3666</v>
      </c>
      <c r="C200" s="1075">
        <v>907</v>
      </c>
      <c r="D200" s="1070">
        <f>'Operating Report'!AD99</f>
        <v>0</v>
      </c>
      <c r="E200" s="1070">
        <f>SUMIF($I$175:$I$204,C200,$Q$175:$Q$204)</f>
        <v>0</v>
      </c>
      <c r="I200" t="s">
        <v>901</v>
      </c>
      <c r="J200" s="1080">
        <v>18876.72</v>
      </c>
      <c r="K200" s="1080">
        <f>SUMIF('Operating Report'!B:B,I200,'Operating Report'!M:M)</f>
        <v>0</v>
      </c>
      <c r="L200" s="1080">
        <f>SUMIF('Operating Report'!B:B,I200,'Operating Report'!N:N)</f>
        <v>-1362.16</v>
      </c>
      <c r="N200" s="1080">
        <f>SUMIF('Operating Report'!B:B,I200,'Operating Report'!U:U)</f>
        <v>1045.5453709999999</v>
      </c>
      <c r="Q200" s="1080">
        <f t="shared" si="16"/>
        <v>18560.105371000001</v>
      </c>
    </row>
    <row r="201" spans="1:17">
      <c r="A201" s="449">
        <f>IF(B201="","",COUNTA(B$11:B201))</f>
        <v>167</v>
      </c>
      <c r="B201" s="1068" t="s">
        <v>3673</v>
      </c>
      <c r="C201" s="1075">
        <v>908</v>
      </c>
      <c r="D201" s="1070">
        <f>'Operating Report'!AD100</f>
        <v>-135846.84442824777</v>
      </c>
      <c r="E201" s="1070">
        <f>SUMIF($I$175:$I$204,C201,$Q$175:$Q$204)</f>
        <v>613500.37941299984</v>
      </c>
      <c r="I201" t="s">
        <v>909</v>
      </c>
      <c r="J201" s="1080">
        <v>9401904.8599999957</v>
      </c>
      <c r="K201" s="1080">
        <f>SUMIF('Operating Report'!B:B,I201,'Operating Report'!M:M)</f>
        <v>0</v>
      </c>
      <c r="L201" s="1080">
        <f>SUMIF('Operating Report'!B:B,I201,'Operating Report'!N:N)</f>
        <v>-1795330.17</v>
      </c>
      <c r="M201" s="530">
        <f>'Operating Report'!Q113</f>
        <v>49659.740000000005</v>
      </c>
      <c r="N201" s="1080">
        <f>SUMIF('Operating Report'!B:B,I201,'Operating Report'!U:U)</f>
        <v>403392.74529799994</v>
      </c>
      <c r="Q201" s="1080">
        <f t="shared" si="16"/>
        <v>8059627.175297996</v>
      </c>
    </row>
    <row r="202" spans="1:17">
      <c r="A202" s="449">
        <f>IF(B202="","",COUNTA(B$11:B202))</f>
        <v>168</v>
      </c>
      <c r="B202" s="1068" t="s">
        <v>3674</v>
      </c>
      <c r="C202" s="1075">
        <v>909</v>
      </c>
      <c r="D202" s="1070">
        <f>'Operating Report'!AD101</f>
        <v>67654.104613691074</v>
      </c>
      <c r="E202" s="1070">
        <f>SUMIF($I$175:$I$204,C202,$Q$175:$Q$204)</f>
        <v>0</v>
      </c>
      <c r="I202" t="s">
        <v>917</v>
      </c>
      <c r="J202" s="1080">
        <v>237259.13000000035</v>
      </c>
      <c r="K202" s="1080">
        <f>SUMIF('Operating Report'!B:B,I202,'Operating Report'!M:M)</f>
        <v>0</v>
      </c>
      <c r="L202" s="1080">
        <f>SUMIF('Operating Report'!B:B,I202,'Operating Report'!N:N)</f>
        <v>0</v>
      </c>
      <c r="N202" s="1080">
        <f>SUMIF('Operating Report'!B:B,I202,'Operating Report'!U:U)</f>
        <v>0</v>
      </c>
      <c r="Q202" s="1080">
        <f t="shared" si="16"/>
        <v>237259.13000000035</v>
      </c>
    </row>
    <row r="203" spans="1:17">
      <c r="A203" s="449">
        <f>IF(B203="","",COUNTA(B$11:B203))</f>
        <v>169</v>
      </c>
      <c r="B203" s="1068" t="s">
        <v>3675</v>
      </c>
      <c r="C203" s="1075">
        <v>910</v>
      </c>
      <c r="D203" s="1070">
        <f>'Operating Report'!AD102</f>
        <v>156889.91411408054</v>
      </c>
      <c r="E203" s="1070">
        <f>SUMIF($I$175:$I$204,C203,$Q$175:$Q$204)</f>
        <v>152666.51344400001</v>
      </c>
      <c r="I203" t="s">
        <v>919</v>
      </c>
      <c r="J203" s="1080">
        <v>5227469.0800000289</v>
      </c>
      <c r="K203" s="1080">
        <f>SUMIF('Operating Report'!B:B,I203,'Operating Report'!M:M)</f>
        <v>0</v>
      </c>
      <c r="L203" s="1080">
        <f>SUMIF('Operating Report'!B:B,I203,'Operating Report'!N:N)</f>
        <v>0</v>
      </c>
      <c r="N203" s="1080">
        <f>SUMIF('Operating Report'!B:B,I203,'Operating Report'!U:U)</f>
        <v>0</v>
      </c>
      <c r="O203" s="530">
        <f>'Operating Report'!X118</f>
        <v>1063224.6200000001</v>
      </c>
      <c r="P203" s="530">
        <f>'Operating Report'!Z118</f>
        <v>826039.32599999988</v>
      </c>
      <c r="Q203" s="1080">
        <f t="shared" si="16"/>
        <v>7116733.0260000285</v>
      </c>
    </row>
    <row r="204" spans="1:17">
      <c r="A204" s="449">
        <f>IF(B204="","",COUNTA(B$11:B204))</f>
        <v>170</v>
      </c>
      <c r="B204" t="str">
        <f>"Subtotal - "&amp;B199</f>
        <v>Subtotal - Customer Service &amp; Information Expenses</v>
      </c>
      <c r="C204" s="1078"/>
      <c r="D204" s="578">
        <f>SUBTOTAL(9,D200:D203)</f>
        <v>88697.174299523846</v>
      </c>
      <c r="E204" s="578">
        <f>SUBTOTAL(9,E200:E203)</f>
        <v>766166.89285699988</v>
      </c>
      <c r="I204" t="s">
        <v>3676</v>
      </c>
      <c r="J204" s="1080">
        <v>497.51000000000005</v>
      </c>
      <c r="K204" s="1080">
        <f>SUMIF('Operating Report'!B:B,I204,'Operating Report'!M:M)</f>
        <v>16.9527</v>
      </c>
      <c r="L204" s="1080">
        <f>SUMIF('Operating Report'!B:B,I204,'Operating Report'!N:N)</f>
        <v>0</v>
      </c>
      <c r="N204" s="1080">
        <f>SUMIF('Operating Report'!B:B,I204,'Operating Report'!U:U)</f>
        <v>42.785135000000004</v>
      </c>
      <c r="Q204" s="1080">
        <f t="shared" si="16"/>
        <v>557.24783500000001</v>
      </c>
    </row>
    <row r="205" spans="1:17">
      <c r="A205" s="449" t="str">
        <f>IF(B205="","",COUNTA(B$11:B205))</f>
        <v/>
      </c>
      <c r="C205" s="1078"/>
      <c r="D205" s="1071"/>
      <c r="E205" s="1071"/>
      <c r="J205" s="1080">
        <f t="shared" ref="J205:Q205" si="17">SUM(J175:J204)</f>
        <v>35064959.870000027</v>
      </c>
      <c r="K205" s="1080">
        <f t="shared" si="17"/>
        <v>89394.196799999976</v>
      </c>
      <c r="L205" s="1080">
        <f t="shared" si="17"/>
        <v>-2559591.62</v>
      </c>
      <c r="M205" s="1080">
        <f t="shared" si="17"/>
        <v>68053.539999999994</v>
      </c>
      <c r="N205" s="1080">
        <f t="shared" si="17"/>
        <v>1418765.0547239999</v>
      </c>
      <c r="O205" s="1080">
        <f t="shared" si="17"/>
        <v>1063224.6200000001</v>
      </c>
      <c r="P205" s="1080">
        <f t="shared" si="17"/>
        <v>826039.32599999988</v>
      </c>
      <c r="Q205" s="1080">
        <f t="shared" si="17"/>
        <v>35970844.98752404</v>
      </c>
    </row>
    <row r="206" spans="1:17">
      <c r="A206" s="449">
        <f>IF(B206="","",COUNTA(B$11:B206))</f>
        <v>171</v>
      </c>
      <c r="B206" s="4" t="s">
        <v>3677</v>
      </c>
      <c r="C206" s="1078"/>
      <c r="D206" s="1071"/>
      <c r="E206" s="1071"/>
      <c r="K206" s="1080">
        <f>K205-'Operating Report'!M128</f>
        <v>0</v>
      </c>
      <c r="L206" s="1080">
        <f>L205-'Operating Report'!N128</f>
        <v>0</v>
      </c>
      <c r="M206" s="1080">
        <f>M205-'Operating Report'!Q128</f>
        <v>0</v>
      </c>
      <c r="N206" s="1080">
        <f>N205-'Operating Report'!U128</f>
        <v>0</v>
      </c>
      <c r="O206" s="1080">
        <f>O205-'Operating Report'!X128</f>
        <v>0</v>
      </c>
      <c r="P206" s="1080">
        <f>P205-'Operating Report'!Z128</f>
        <v>0</v>
      </c>
    </row>
    <row r="207" spans="1:17">
      <c r="A207" s="449">
        <f>IF(B207="","",COUNTA(B$11:B207))</f>
        <v>172</v>
      </c>
      <c r="B207" s="1068" t="s">
        <v>881</v>
      </c>
      <c r="C207" s="1075">
        <v>911</v>
      </c>
      <c r="D207" s="1070">
        <f>'Operating Report'!AD106</f>
        <v>0</v>
      </c>
      <c r="E207" s="1070">
        <f>SUMIF($I$175:$I$204,C207,$Q$175:$Q$204)</f>
        <v>0</v>
      </c>
    </row>
    <row r="208" spans="1:17">
      <c r="A208" s="449">
        <f>IF(B208="","",COUNTA(B$11:B208))</f>
        <v>173</v>
      </c>
      <c r="B208" s="1068" t="s">
        <v>3678</v>
      </c>
      <c r="C208" s="1075">
        <v>912</v>
      </c>
      <c r="D208" s="1070">
        <f>'Operating Report'!AD107</f>
        <v>18653.453822037322</v>
      </c>
      <c r="E208" s="1070">
        <f>SUMIF($I$175:$I$204,C208,$Q$175:$Q$204)</f>
        <v>18560.105371000001</v>
      </c>
    </row>
    <row r="209" spans="1:8">
      <c r="A209" s="449">
        <f>IF(B209="","",COUNTA(B$11:B209))</f>
        <v>174</v>
      </c>
      <c r="B209" s="1068" t="s">
        <v>3679</v>
      </c>
      <c r="C209" s="1075">
        <v>913</v>
      </c>
      <c r="D209" s="1070">
        <f>'Operating Report'!AD108</f>
        <v>0</v>
      </c>
      <c r="E209" s="1070">
        <f>SUMIF($I$175:$I$204,C209,$Q$175:$Q$204)</f>
        <v>0</v>
      </c>
      <c r="G209" s="579"/>
      <c r="H209" s="522"/>
    </row>
    <row r="210" spans="1:8">
      <c r="A210" s="449">
        <f>IF(B210="","",COUNTA(B$11:B210))</f>
        <v>175</v>
      </c>
      <c r="B210" s="1068" t="s">
        <v>3680</v>
      </c>
      <c r="C210" s="1075">
        <v>916</v>
      </c>
      <c r="D210" s="1070">
        <f>'Operating Report'!AD109</f>
        <v>0</v>
      </c>
      <c r="E210" s="1070">
        <f>SUMIF($I$175:$I$204,C210,$Q$175:$Q$204)</f>
        <v>0</v>
      </c>
    </row>
    <row r="211" spans="1:8">
      <c r="A211" s="449">
        <f>IF(B211="","",COUNTA(B$11:B211))</f>
        <v>176</v>
      </c>
      <c r="B211" t="str">
        <f>"Subtotal - "&amp;B206</f>
        <v>Subtotal - Sales Expenses</v>
      </c>
      <c r="C211" s="1078"/>
      <c r="D211" s="578">
        <f>SUBTOTAL(9,D207:D210)</f>
        <v>18653.453822037322</v>
      </c>
      <c r="E211" s="578">
        <f>SUBTOTAL(9,E207:E210)</f>
        <v>18560.105371000001</v>
      </c>
      <c r="F211" s="1079" t="s">
        <v>3681</v>
      </c>
    </row>
    <row r="212" spans="1:8">
      <c r="A212" s="449" t="str">
        <f>IF(B212="","",COUNTA(B$11:B212))</f>
        <v/>
      </c>
      <c r="C212" s="1078"/>
      <c r="D212" s="1071"/>
      <c r="E212" s="1071"/>
      <c r="G212" s="1497" t="s">
        <v>353</v>
      </c>
      <c r="H212" s="1497"/>
    </row>
    <row r="213" spans="1:8">
      <c r="A213" s="449">
        <f>IF(B213="","",COUNTA(B$11:B213))</f>
        <v>177</v>
      </c>
      <c r="B213" s="1073" t="str">
        <f>"Total "&amp;B190</f>
        <v>Total Customer Accounts, Service, and Sales Expense</v>
      </c>
      <c r="C213" s="1078"/>
      <c r="D213" s="578">
        <f>SUBTOTAL(9,D192:D211)</f>
        <v>7132976.2884488329</v>
      </c>
      <c r="E213" s="578">
        <f>SUBTOTAL(9,E192:E211)</f>
        <v>4164763.2448700052</v>
      </c>
      <c r="G213" s="1080">
        <f>SUM(Q175:Q200)</f>
        <v>20556668.408391014</v>
      </c>
      <c r="H213" s="522">
        <f>(E213+E188)-G213</f>
        <v>0</v>
      </c>
    </row>
    <row r="214" spans="1:8">
      <c r="A214" s="449" t="str">
        <f>IF(B214="","",COUNTA(B$11:B214))</f>
        <v/>
      </c>
      <c r="B214" s="1073"/>
      <c r="C214" s="1078"/>
      <c r="D214" s="1071"/>
      <c r="E214" s="1071"/>
    </row>
    <row r="215" spans="1:8">
      <c r="A215" s="449">
        <f>IF(B215="","",COUNTA(B$11:B215))</f>
        <v>178</v>
      </c>
      <c r="B215" s="4" t="s">
        <v>3682</v>
      </c>
      <c r="C215" s="1078"/>
      <c r="D215" s="1071"/>
      <c r="E215" s="1071"/>
    </row>
    <row r="216" spans="1:8">
      <c r="A216" s="449">
        <f>IF(B216="","",COUNTA(B$11:B216))</f>
        <v>179</v>
      </c>
      <c r="B216" s="1068" t="s">
        <v>3683</v>
      </c>
      <c r="C216" s="1075">
        <v>920</v>
      </c>
      <c r="D216" s="1070">
        <f>'Operating Report'!AD113</f>
        <v>8059627.1752979998</v>
      </c>
      <c r="E216" s="1071"/>
    </row>
    <row r="217" spans="1:8">
      <c r="A217" s="449">
        <f>IF(B217="","",COUNTA(B$11:B217))</f>
        <v>180</v>
      </c>
      <c r="B217" s="1068" t="s">
        <v>3684</v>
      </c>
      <c r="C217" s="1075">
        <v>921</v>
      </c>
      <c r="D217" s="1070">
        <f>'Operating Report'!AD114</f>
        <v>4668761.6986242644</v>
      </c>
      <c r="E217" s="1071"/>
    </row>
    <row r="218" spans="1:8">
      <c r="A218" s="449">
        <f>IF(B218="","",COUNTA(B$11:B218))</f>
        <v>181</v>
      </c>
      <c r="B218" s="1068" t="s">
        <v>3685</v>
      </c>
      <c r="C218" s="1075">
        <v>923</v>
      </c>
      <c r="D218" s="1070">
        <f>'Operating Report'!AD115</f>
        <v>2572187.4299999997</v>
      </c>
      <c r="E218" s="1071"/>
    </row>
    <row r="219" spans="1:8">
      <c r="A219" s="449">
        <f>IF(B219="","",COUNTA(B$11:B219))</f>
        <v>182</v>
      </c>
      <c r="B219" s="1068" t="s">
        <v>3686</v>
      </c>
      <c r="C219" s="1075">
        <v>924</v>
      </c>
      <c r="D219" s="1070">
        <f>'Operating Report'!AD116</f>
        <v>98811.381068780931</v>
      </c>
      <c r="E219" s="1071"/>
    </row>
    <row r="220" spans="1:8">
      <c r="A220" s="449">
        <f>IF(B220="","",COUNTA(B$11:B220))</f>
        <v>183</v>
      </c>
      <c r="B220" s="1068" t="s">
        <v>3687</v>
      </c>
      <c r="C220" s="1075">
        <v>925</v>
      </c>
      <c r="D220" s="1070">
        <f>'Operating Report'!AD117</f>
        <v>2025774.3866783481</v>
      </c>
      <c r="E220" s="1071"/>
    </row>
    <row r="221" spans="1:8">
      <c r="A221" s="449">
        <f>IF(B221="","",COUNTA(B$11:B221))</f>
        <v>184</v>
      </c>
      <c r="B221" s="1068" t="s">
        <v>3688</v>
      </c>
      <c r="C221" s="1075">
        <v>926</v>
      </c>
      <c r="D221" s="1070">
        <f>'Operating Report'!AD118</f>
        <v>7244500.599128237</v>
      </c>
      <c r="E221" s="1071"/>
    </row>
    <row r="222" spans="1:8">
      <c r="A222" s="449">
        <f>IF(B222="","",COUNTA(B$11:B222))</f>
        <v>185</v>
      </c>
      <c r="B222" s="1068" t="s">
        <v>3689</v>
      </c>
      <c r="C222" s="1075">
        <v>928</v>
      </c>
      <c r="D222" s="1070">
        <f>'Operating Report'!AD119</f>
        <v>0</v>
      </c>
      <c r="E222" s="1071"/>
    </row>
    <row r="223" spans="1:8">
      <c r="A223" s="449">
        <f>IF(B223="","",COUNTA(B$11:B223))</f>
        <v>186</v>
      </c>
      <c r="B223" s="1068" t="s">
        <v>3690</v>
      </c>
      <c r="C223" s="1075">
        <v>930.1</v>
      </c>
      <c r="D223" s="1070">
        <f>'Operating Report'!AD120</f>
        <v>4.0608352814160753E-2</v>
      </c>
      <c r="E223" s="1071"/>
    </row>
    <row r="224" spans="1:8">
      <c r="A224" s="449">
        <f>IF(B224="","",COUNTA(B$11:B224))</f>
        <v>187</v>
      </c>
      <c r="B224" s="1068" t="s">
        <v>3691</v>
      </c>
      <c r="C224" s="1075">
        <v>930.2</v>
      </c>
      <c r="D224" s="1070">
        <f>'Operating Report'!AD121</f>
        <v>357750.82198671432</v>
      </c>
      <c r="E224" s="1071"/>
    </row>
    <row r="225" spans="1:13">
      <c r="A225" s="449">
        <f>IF(B225="","",COUNTA(B$11:B225))</f>
        <v>188</v>
      </c>
      <c r="B225" s="1068" t="s">
        <v>855</v>
      </c>
      <c r="C225" s="1075">
        <v>931</v>
      </c>
      <c r="D225" s="1070">
        <f>'Operating Report'!AD122</f>
        <v>1635932.5485733117</v>
      </c>
      <c r="E225" s="1071"/>
    </row>
    <row r="226" spans="1:13">
      <c r="A226" s="449">
        <f>IF(B226="","",COUNTA(B$11:B226))</f>
        <v>189</v>
      </c>
      <c r="B226" s="1068" t="s">
        <v>3692</v>
      </c>
      <c r="C226" s="1075">
        <v>935</v>
      </c>
      <c r="D226" s="1070">
        <f>'Operating Report'!AD123</f>
        <v>93160.525446050189</v>
      </c>
      <c r="E226" s="1071"/>
    </row>
    <row r="227" spans="1:13">
      <c r="A227" s="449">
        <f>IF(B227="","",COUNTA(B$11:B227))</f>
        <v>190</v>
      </c>
      <c r="B227" t="str">
        <f>"Subtotal - "&amp;B215</f>
        <v>Subtotal - Administrative and General Expenses</v>
      </c>
      <c r="C227" s="1078"/>
      <c r="D227" s="578">
        <f>SUBTOTAL(9,D216:D226)</f>
        <v>26756506.607412059</v>
      </c>
      <c r="E227" s="1071"/>
    </row>
    <row r="228" spans="1:13">
      <c r="A228" s="449" t="str">
        <f>IF(B228="","",COUNTA(B$11:B228))</f>
        <v/>
      </c>
      <c r="B228" s="577"/>
      <c r="C228" s="1078"/>
      <c r="D228" s="578"/>
      <c r="E228" s="1071"/>
      <c r="G228" s="1497" t="s">
        <v>353</v>
      </c>
      <c r="H228" s="1497"/>
    </row>
    <row r="229" spans="1:13">
      <c r="A229" s="449">
        <f>IF(B229="","",COUNTA(B$11:B229))</f>
        <v>191</v>
      </c>
      <c r="B229" s="1073" t="str">
        <f>"TOTAL "&amp;B125</f>
        <v>TOTAL OPERATION AND MAINTENANCE EXPENSE</v>
      </c>
      <c r="C229" s="1078"/>
      <c r="D229" s="578">
        <f>SUBTOTAL(9,D126:D228)</f>
        <v>59594378.120970249</v>
      </c>
      <c r="E229" s="1071"/>
      <c r="G229" s="579">
        <f>SUM('Exh JAD-3 ROO Summary'!G18:G23)</f>
        <v>59594378.120970234</v>
      </c>
      <c r="H229" s="522">
        <f>D229-G229</f>
        <v>0</v>
      </c>
    </row>
    <row r="230" spans="1:13">
      <c r="A230" s="449" t="str">
        <f>IF(B230="","",COUNTA(B$11:B230))</f>
        <v/>
      </c>
      <c r="C230" s="1078"/>
      <c r="D230" s="578"/>
      <c r="E230" s="1071"/>
    </row>
    <row r="231" spans="1:13">
      <c r="A231" s="449">
        <f>IF(B231="","",COUNTA(B$11:B231))</f>
        <v>192</v>
      </c>
      <c r="B231" s="1073" t="s">
        <v>3693</v>
      </c>
      <c r="C231" s="1078"/>
      <c r="D231" s="578"/>
      <c r="E231" s="1071"/>
      <c r="J231" t="s">
        <v>4080</v>
      </c>
    </row>
    <row r="232" spans="1:13">
      <c r="A232" s="449">
        <f>IF(B232="","",COUNTA(B$11:B232))</f>
        <v>193</v>
      </c>
      <c r="B232" s="4" t="s">
        <v>935</v>
      </c>
      <c r="C232" s="1078" t="s">
        <v>247</v>
      </c>
      <c r="D232" s="1071"/>
      <c r="E232" s="1071"/>
      <c r="I232" t="s">
        <v>1076</v>
      </c>
      <c r="J232" s="527">
        <v>0</v>
      </c>
      <c r="L232" s="4" t="s">
        <v>1752</v>
      </c>
    </row>
    <row r="233" spans="1:13">
      <c r="A233" s="449">
        <f>IF(B233="","",COUNTA(B$11:B233))</f>
        <v>194</v>
      </c>
      <c r="B233" s="4" t="str">
        <f>B13&amp;" Depreciation Expense"</f>
        <v>Intangible Plant Depreciation Expense</v>
      </c>
      <c r="C233" s="1078"/>
      <c r="D233" s="1071"/>
      <c r="E233" s="1071"/>
      <c r="I233" t="s">
        <v>1077</v>
      </c>
      <c r="J233" s="527">
        <v>0</v>
      </c>
      <c r="L233" t="s">
        <v>1076</v>
      </c>
      <c r="M233" s="527">
        <f>SUMIF($I$232:$I$391,L233,$J$232:$J$391)</f>
        <v>0</v>
      </c>
    </row>
    <row r="234" spans="1:13">
      <c r="A234" s="449">
        <f>IF(B234="","",COUNTA(B$11:B234))</f>
        <v>195</v>
      </c>
      <c r="B234" s="1068" t="str">
        <f t="shared" ref="B234:C236" si="18">B14</f>
        <v>Organization</v>
      </c>
      <c r="C234" s="1075">
        <f t="shared" si="18"/>
        <v>301</v>
      </c>
      <c r="D234" s="1070">
        <f>'EOP Depn Exp Adj'!E10*12</f>
        <v>0</v>
      </c>
      <c r="E234" s="1071"/>
      <c r="I234" t="s">
        <v>1077</v>
      </c>
      <c r="J234" s="527">
        <v>0</v>
      </c>
      <c r="L234" t="s">
        <v>1077</v>
      </c>
      <c r="M234" s="527">
        <f>SUMIF($I$232:$I$391,L234,$J$232:$J$391)</f>
        <v>0</v>
      </c>
    </row>
    <row r="235" spans="1:13">
      <c r="A235" s="449">
        <f>IF(B235="","",COUNTA(B$11:B235))</f>
        <v>196</v>
      </c>
      <c r="B235" s="1068" t="str">
        <f t="shared" si="18"/>
        <v>Franchises &amp; Consents</v>
      </c>
      <c r="C235" s="1075">
        <f t="shared" si="18"/>
        <v>302</v>
      </c>
      <c r="D235" s="1070">
        <f>'EOP Depn Exp Adj'!E11*12</f>
        <v>0</v>
      </c>
      <c r="E235" s="1071"/>
      <c r="I235" t="s">
        <v>1078</v>
      </c>
      <c r="J235" s="527">
        <v>0</v>
      </c>
      <c r="L235" t="s">
        <v>1078</v>
      </c>
      <c r="M235" s="1188">
        <f>SUMIF($I$232:$I$391,L235,$J$232:$J$391)</f>
        <v>3336831.4299999997</v>
      </c>
    </row>
    <row r="236" spans="1:13">
      <c r="A236" s="449">
        <f>IF(B236="","",COUNTA(B$11:B236))</f>
        <v>197</v>
      </c>
      <c r="B236" s="1068" t="str">
        <f t="shared" si="18"/>
        <v>Misc. Intangible Plant</v>
      </c>
      <c r="C236" s="1075">
        <f t="shared" si="18"/>
        <v>303</v>
      </c>
      <c r="D236" s="1070">
        <f>'EOP Depn Exp Adj'!E12*12</f>
        <v>3451568.5200000005</v>
      </c>
      <c r="E236" s="1071"/>
      <c r="I236" t="s">
        <v>1078</v>
      </c>
      <c r="J236" s="527">
        <v>0</v>
      </c>
      <c r="L236" s="4" t="s">
        <v>4082</v>
      </c>
      <c r="M236" s="530">
        <f>SUM(M233:M235)</f>
        <v>3336831.4299999997</v>
      </c>
    </row>
    <row r="237" spans="1:13">
      <c r="A237" s="449">
        <f>IF(B237="","",COUNTA(B$11:B237))</f>
        <v>198</v>
      </c>
      <c r="B237" t="str">
        <f>B17&amp;" Depreciation Expense"</f>
        <v>Subtotal - Intangible Plant Depreciation Expense</v>
      </c>
      <c r="C237" s="1078"/>
      <c r="D237" s="578">
        <f>SUBTOTAL(9,D234:D236)</f>
        <v>3451568.5200000005</v>
      </c>
      <c r="E237" s="1071"/>
      <c r="I237" t="s">
        <v>1078</v>
      </c>
      <c r="J237" s="527">
        <v>0</v>
      </c>
      <c r="L237" s="4" t="s">
        <v>4081</v>
      </c>
    </row>
    <row r="238" spans="1:13">
      <c r="A238" s="449" t="str">
        <f>IF(B238="","",COUNTA(B$11:B238))</f>
        <v/>
      </c>
      <c r="C238" s="1078"/>
      <c r="D238" s="578"/>
      <c r="E238" s="1071"/>
      <c r="I238" t="s">
        <v>1078</v>
      </c>
      <c r="J238" s="527">
        <v>0</v>
      </c>
      <c r="L238" t="s">
        <v>1079</v>
      </c>
      <c r="M238" s="527">
        <f>SUMIF($I$232:$I$391,L238,$J$232:$J$391)</f>
        <v>0</v>
      </c>
    </row>
    <row r="239" spans="1:13">
      <c r="A239" s="449">
        <f>IF(B239="","",COUNTA(B$11:B239))</f>
        <v>199</v>
      </c>
      <c r="B239" s="4" t="str">
        <f>B19&amp;" Depreciation Expense"</f>
        <v>Natural Gas Other Storage Plant Depreciation Expense</v>
      </c>
      <c r="D239" s="1071"/>
      <c r="E239" s="1071"/>
      <c r="I239" t="s">
        <v>1078</v>
      </c>
      <c r="J239" s="527">
        <v>632.4</v>
      </c>
      <c r="L239" t="s">
        <v>1080</v>
      </c>
      <c r="M239" s="527">
        <f>SUMIF($I$232:$I$391,L239,$J$232:$J$391)</f>
        <v>6792.12</v>
      </c>
    </row>
    <row r="240" spans="1:13">
      <c r="A240" s="449">
        <f>IF(B240="","",COUNTA(B$11:B240))</f>
        <v>200</v>
      </c>
      <c r="B240" s="1068" t="str">
        <f t="shared" ref="B240:C243" si="19">B20</f>
        <v>Land &amp; Land Rights - LNG</v>
      </c>
      <c r="C240" s="1075">
        <f t="shared" si="19"/>
        <v>360</v>
      </c>
      <c r="D240" s="1070">
        <v>0</v>
      </c>
      <c r="E240" s="1071"/>
      <c r="I240" t="s">
        <v>1078</v>
      </c>
      <c r="J240" s="527">
        <v>1125.96</v>
      </c>
      <c r="L240" t="s">
        <v>1081</v>
      </c>
      <c r="M240" s="527">
        <f>SUMIF($I$232:$I$391,L240,$J$232:$J$391)</f>
        <v>310.78000000000003</v>
      </c>
    </row>
    <row r="241" spans="1:13">
      <c r="A241" s="449">
        <f>IF(B241="","",COUNTA(B$11:B241))</f>
        <v>201</v>
      </c>
      <c r="B241" s="1068" t="str">
        <f t="shared" si="19"/>
        <v>Structures &amp; improvement - LNG</v>
      </c>
      <c r="C241" s="1075">
        <f t="shared" si="19"/>
        <v>361</v>
      </c>
      <c r="D241" s="1070">
        <v>0</v>
      </c>
      <c r="E241" s="1071"/>
      <c r="I241" t="s">
        <v>1078</v>
      </c>
      <c r="J241" s="527">
        <v>30474.12</v>
      </c>
      <c r="L241" t="s">
        <v>1082</v>
      </c>
      <c r="M241" s="527">
        <f>SUMIF($I$232:$I$391,L241,$J$232:$J$391)</f>
        <v>253728.49000000002</v>
      </c>
    </row>
    <row r="242" spans="1:13">
      <c r="A242" s="449">
        <f>IF(B242="","",COUNTA(B$11:B242))</f>
        <v>202</v>
      </c>
      <c r="B242" s="1068" t="str">
        <f t="shared" si="19"/>
        <v>Gas Holders - LNG</v>
      </c>
      <c r="C242" s="1075">
        <f t="shared" si="19"/>
        <v>362</v>
      </c>
      <c r="D242" s="1070">
        <v>0</v>
      </c>
      <c r="E242" s="1071"/>
      <c r="I242" t="s">
        <v>1078</v>
      </c>
      <c r="J242" s="527">
        <v>58331.040000000001</v>
      </c>
      <c r="L242" t="s">
        <v>1083</v>
      </c>
      <c r="M242" s="1188">
        <f>SUMIF($I$232:$I$391,L242,$J$232:$J$391)</f>
        <v>0</v>
      </c>
    </row>
    <row r="243" spans="1:13">
      <c r="A243" s="449">
        <f>IF(B243="","",COUNTA(B$11:B243))</f>
        <v>203</v>
      </c>
      <c r="B243" s="1068" t="str">
        <f t="shared" si="19"/>
        <v>LNG Equipment</v>
      </c>
      <c r="C243" s="1075">
        <f t="shared" si="19"/>
        <v>363</v>
      </c>
      <c r="D243" s="1070">
        <v>0</v>
      </c>
      <c r="E243" s="1071"/>
      <c r="I243" t="s">
        <v>1078</v>
      </c>
      <c r="J243" s="527">
        <v>200.04</v>
      </c>
      <c r="L243" s="4" t="s">
        <v>4083</v>
      </c>
      <c r="M243" s="530">
        <f>SUM(M238:M242)</f>
        <v>260831.39</v>
      </c>
    </row>
    <row r="244" spans="1:13">
      <c r="A244" s="449">
        <f>IF(B244="","",COUNTA(B$11:B244))</f>
        <v>204</v>
      </c>
      <c r="B244" t="str">
        <f>B24&amp;" Depreciation Expense"</f>
        <v>Subtotal - Natural Gas Other Storage Plant Depreciation Expense</v>
      </c>
      <c r="C244" s="1078"/>
      <c r="D244" s="578">
        <f>SUBTOTAL(9,D240:D243)</f>
        <v>0</v>
      </c>
      <c r="E244" s="1071"/>
      <c r="I244" t="s">
        <v>1078</v>
      </c>
      <c r="J244" s="527">
        <v>307986.72000000003</v>
      </c>
      <c r="L244" s="4" t="s">
        <v>1799</v>
      </c>
    </row>
    <row r="245" spans="1:13">
      <c r="A245" s="449" t="str">
        <f>IF(B245="","",COUNTA(B$11:B245))</f>
        <v/>
      </c>
      <c r="C245" s="1078"/>
      <c r="D245" s="578"/>
      <c r="E245" s="1071"/>
      <c r="I245" t="s">
        <v>1078</v>
      </c>
      <c r="J245" s="527">
        <v>71000.460000000006</v>
      </c>
      <c r="L245" t="s">
        <v>1085</v>
      </c>
      <c r="M245" s="527">
        <f t="shared" ref="M245:M259" si="20">SUMIF($I$232:$I$391,L245,$J$232:$J$391)</f>
        <v>0</v>
      </c>
    </row>
    <row r="246" spans="1:13">
      <c r="A246" s="449">
        <f>IF(B246="","",COUNTA(B$11:B246))</f>
        <v>205</v>
      </c>
      <c r="B246" s="4" t="str">
        <f>B26&amp;" Depreciation Expense"</f>
        <v>Transmission plant  Depreciation Expense</v>
      </c>
      <c r="C246" s="5"/>
      <c r="D246" s="578"/>
      <c r="E246" s="1071"/>
      <c r="I246" t="s">
        <v>1078</v>
      </c>
      <c r="J246" s="527">
        <v>26437.62</v>
      </c>
      <c r="L246" t="s">
        <v>1086</v>
      </c>
      <c r="M246" s="527">
        <f t="shared" si="20"/>
        <v>35102.160000000003</v>
      </c>
    </row>
    <row r="247" spans="1:13">
      <c r="A247" s="449">
        <f>IF(B247="","",COUNTA(B$11:B247))</f>
        <v>206</v>
      </c>
      <c r="B247" s="1068" t="str">
        <f t="shared" ref="B247:C250" si="21">B27</f>
        <v>Land and Land Rights</v>
      </c>
      <c r="C247" s="1075">
        <f t="shared" si="21"/>
        <v>365.1</v>
      </c>
      <c r="D247" s="1070">
        <f>SUM('EOP Depn Exp Adj'!E13:E14)*12</f>
        <v>6964.1336700000011</v>
      </c>
      <c r="E247" s="1071"/>
      <c r="I247" t="s">
        <v>1078</v>
      </c>
      <c r="J247" s="527">
        <v>0</v>
      </c>
      <c r="L247" t="s">
        <v>1087</v>
      </c>
      <c r="M247" s="527">
        <f t="shared" si="20"/>
        <v>8799.98</v>
      </c>
    </row>
    <row r="248" spans="1:13">
      <c r="A248" s="449">
        <f>IF(B248="","",COUNTA(B$11:B248))</f>
        <v>207</v>
      </c>
      <c r="B248" s="1068" t="s">
        <v>3694</v>
      </c>
      <c r="C248" s="1075">
        <f t="shared" si="21"/>
        <v>366</v>
      </c>
      <c r="D248" s="1070">
        <f>'EOP Depn Exp Adj'!E15*12</f>
        <v>1864.7258999999999</v>
      </c>
      <c r="E248" s="1071"/>
      <c r="I248" t="s">
        <v>1078</v>
      </c>
      <c r="J248" s="527">
        <v>0</v>
      </c>
      <c r="L248" t="s">
        <v>1088</v>
      </c>
      <c r="M248" s="527">
        <f t="shared" si="20"/>
        <v>3745559.6</v>
      </c>
    </row>
    <row r="249" spans="1:13">
      <c r="A249" s="449">
        <f>IF(B249="","",COUNTA(B$11:B249))</f>
        <v>208</v>
      </c>
      <c r="B249" s="1068" t="str">
        <f t="shared" si="21"/>
        <v>Mains</v>
      </c>
      <c r="C249" s="1075">
        <f t="shared" si="21"/>
        <v>367</v>
      </c>
      <c r="D249" s="1070">
        <f>'EOP Depn Exp Adj'!E16*12</f>
        <v>258817.89944999997</v>
      </c>
      <c r="E249" s="1071"/>
      <c r="I249" t="s">
        <v>1078</v>
      </c>
      <c r="J249" s="527">
        <v>155667.48000000001</v>
      </c>
      <c r="L249" t="s">
        <v>1089</v>
      </c>
      <c r="M249" s="527">
        <f t="shared" si="20"/>
        <v>5444159.8399999999</v>
      </c>
    </row>
    <row r="250" spans="1:13">
      <c r="A250" s="449">
        <f>IF(B250="","",COUNTA(B$11:B250))</f>
        <v>209</v>
      </c>
      <c r="B250" s="1068" t="str">
        <f t="shared" si="21"/>
        <v>Compressor station equipment</v>
      </c>
      <c r="C250" s="1075">
        <f t="shared" si="21"/>
        <v>368</v>
      </c>
      <c r="D250" s="1070">
        <v>0</v>
      </c>
      <c r="E250" s="1071"/>
      <c r="I250" t="s">
        <v>1078</v>
      </c>
      <c r="J250" s="527">
        <v>1100.8800000000001</v>
      </c>
      <c r="L250" t="s">
        <v>1090</v>
      </c>
      <c r="M250" s="527">
        <f t="shared" si="20"/>
        <v>4457932.3899999997</v>
      </c>
    </row>
    <row r="251" spans="1:13">
      <c r="A251" s="449">
        <f>IF(B251="","",COUNTA(B$11:B251))</f>
        <v>210</v>
      </c>
      <c r="B251" s="1068" t="s">
        <v>3588</v>
      </c>
      <c r="C251" s="1075">
        <f>C31</f>
        <v>369</v>
      </c>
      <c r="D251" s="1070">
        <f>'EOP Depn Exp Adj'!E17*12</f>
        <v>0</v>
      </c>
      <c r="E251" s="1071"/>
      <c r="I251" t="s">
        <v>1078</v>
      </c>
      <c r="J251" s="527">
        <v>42338.400000000001</v>
      </c>
      <c r="L251" t="s">
        <v>1091</v>
      </c>
      <c r="M251" s="527">
        <f t="shared" si="20"/>
        <v>42940.19</v>
      </c>
    </row>
    <row r="252" spans="1:13">
      <c r="A252" s="449">
        <f>IF(B252="","",COUNTA(B$11:B252))</f>
        <v>211</v>
      </c>
      <c r="B252" s="1068" t="str">
        <f>B32</f>
        <v>Communication equipment</v>
      </c>
      <c r="C252" s="1075">
        <f>C32</f>
        <v>370</v>
      </c>
      <c r="D252" s="1070">
        <v>0</v>
      </c>
      <c r="E252" s="1071"/>
      <c r="I252" t="s">
        <v>1078</v>
      </c>
      <c r="J252" s="527">
        <v>3810.6</v>
      </c>
      <c r="L252" t="s">
        <v>1092</v>
      </c>
      <c r="M252" s="527">
        <f t="shared" si="20"/>
        <v>713823.12</v>
      </c>
    </row>
    <row r="253" spans="1:13">
      <c r="A253" s="449">
        <f>IF(B253="","",COUNTA(B$11:B253))</f>
        <v>212</v>
      </c>
      <c r="B253" t="str">
        <f>B33&amp;" Depreciation Expense"</f>
        <v>Subtotal - Transmission plant  Depreciation Expense</v>
      </c>
      <c r="C253" s="1078"/>
      <c r="D253" s="578">
        <f>SUBTOTAL(9,D247:D252)</f>
        <v>267646.75902</v>
      </c>
      <c r="E253" s="1071"/>
      <c r="I253" t="s">
        <v>1078</v>
      </c>
      <c r="J253" s="527">
        <v>25503.600000000002</v>
      </c>
      <c r="L253" t="s">
        <v>3607</v>
      </c>
      <c r="M253" s="527">
        <f t="shared" si="20"/>
        <v>92407.89</v>
      </c>
    </row>
    <row r="254" spans="1:13">
      <c r="A254" s="449" t="str">
        <f>IF(B254="","",COUNTA(B$11:B254))</f>
        <v/>
      </c>
      <c r="C254" s="1078"/>
      <c r="D254" s="578"/>
      <c r="E254" s="1071"/>
      <c r="I254" t="s">
        <v>1078</v>
      </c>
      <c r="J254" s="527">
        <v>8843.5</v>
      </c>
      <c r="L254" t="s">
        <v>3608</v>
      </c>
      <c r="M254" s="527">
        <f t="shared" si="20"/>
        <v>6041552.6900000004</v>
      </c>
    </row>
    <row r="255" spans="1:13">
      <c r="A255" s="449">
        <f>IF(B255="","",COUNTA(B$11:B255))</f>
        <v>213</v>
      </c>
      <c r="B255" s="4" t="str">
        <f>B35&amp;" Depreciation Expense"</f>
        <v>Distribution Plant Depreciation Expense</v>
      </c>
      <c r="C255" s="5"/>
      <c r="D255" s="578"/>
      <c r="E255" s="1071"/>
      <c r="I255" t="s">
        <v>1078</v>
      </c>
      <c r="J255" s="527">
        <v>4286.87</v>
      </c>
      <c r="L255" t="s">
        <v>3609</v>
      </c>
      <c r="M255" s="527">
        <f t="shared" si="20"/>
        <v>2130796.37</v>
      </c>
    </row>
    <row r="256" spans="1:13">
      <c r="A256" s="449">
        <f>IF(B256="","",COUNTA(B$11:B256))</f>
        <v>214</v>
      </c>
      <c r="B256" s="1068" t="str">
        <f t="shared" ref="B256:C258" si="22">B36</f>
        <v>Land and land rights</v>
      </c>
      <c r="C256" s="1075">
        <f t="shared" si="22"/>
        <v>374</v>
      </c>
      <c r="D256" s="1070">
        <f>SUM('EOP Depn Exp Adj'!E18:E19)*12</f>
        <v>35102.118348000004</v>
      </c>
      <c r="E256" s="1071"/>
      <c r="I256" t="s">
        <v>1078</v>
      </c>
      <c r="J256" s="527">
        <v>0</v>
      </c>
      <c r="L256" t="s">
        <v>3610</v>
      </c>
      <c r="M256" s="527">
        <f t="shared" si="20"/>
        <v>1365.6100000000001</v>
      </c>
    </row>
    <row r="257" spans="1:13">
      <c r="A257" s="449">
        <f>IF(B257="","",COUNTA(B$11:B257))</f>
        <v>215</v>
      </c>
      <c r="B257" s="1068" t="str">
        <f t="shared" si="22"/>
        <v>Structures and improvements</v>
      </c>
      <c r="C257" s="1075">
        <f t="shared" si="22"/>
        <v>375</v>
      </c>
      <c r="D257" s="1070">
        <f>'EOP Depn Exp Adj'!E20*12</f>
        <v>9183.5399039999993</v>
      </c>
      <c r="E257" s="1071"/>
      <c r="I257" t="s">
        <v>1078</v>
      </c>
      <c r="J257" s="527">
        <v>74493</v>
      </c>
      <c r="L257" t="s">
        <v>3612</v>
      </c>
      <c r="M257" s="527">
        <f t="shared" si="20"/>
        <v>2188228.8199999998</v>
      </c>
    </row>
    <row r="258" spans="1:13">
      <c r="A258" s="449">
        <f>IF(B258="","",COUNTA(B$11:B258))</f>
        <v>216</v>
      </c>
      <c r="B258" s="1068" t="str">
        <f t="shared" si="22"/>
        <v>Mains</v>
      </c>
      <c r="C258" s="1075">
        <f t="shared" si="22"/>
        <v>376</v>
      </c>
      <c r="D258" s="1070">
        <f>SUM('EOP Depn Exp Adj'!E21:E23)*12</f>
        <v>14418375.631168999</v>
      </c>
      <c r="E258" s="1071"/>
      <c r="I258" t="s">
        <v>1078</v>
      </c>
      <c r="J258" s="527">
        <v>54493.200000000004</v>
      </c>
      <c r="L258" t="s">
        <v>1098</v>
      </c>
      <c r="M258" s="527">
        <f t="shared" si="20"/>
        <v>213740.75</v>
      </c>
    </row>
    <row r="259" spans="1:13">
      <c r="A259" s="449">
        <f>IF(B259="","",COUNTA(B$11:B259))</f>
        <v>217</v>
      </c>
      <c r="B259" s="1068" t="s">
        <v>840</v>
      </c>
      <c r="C259" s="1075">
        <f>C39</f>
        <v>377</v>
      </c>
      <c r="D259" s="1070">
        <f>'EOP Depn Exp Adj'!E24*12</f>
        <v>50360.141955999992</v>
      </c>
      <c r="E259" s="1071"/>
      <c r="I259" t="s">
        <v>1078</v>
      </c>
      <c r="J259" s="527">
        <v>83144.52</v>
      </c>
      <c r="L259" t="s">
        <v>1099</v>
      </c>
      <c r="M259" s="1188">
        <f t="shared" si="20"/>
        <v>174973.56</v>
      </c>
    </row>
    <row r="260" spans="1:13">
      <c r="A260" s="449">
        <f>IF(B260="","",COUNTA(B$11:B260))</f>
        <v>218</v>
      </c>
      <c r="B260" s="1068" t="str">
        <f>B40</f>
        <v>Measuring and regulating station equipment—general</v>
      </c>
      <c r="C260" s="1075">
        <f>C40</f>
        <v>378</v>
      </c>
      <c r="D260" s="1070">
        <f>'EOP Depn Exp Adj'!E25*12</f>
        <v>731905.61580099992</v>
      </c>
      <c r="E260" s="1071"/>
      <c r="I260" t="s">
        <v>1078</v>
      </c>
      <c r="J260" s="527">
        <v>241776.84</v>
      </c>
      <c r="L260" s="4" t="s">
        <v>4084</v>
      </c>
      <c r="M260" s="530">
        <f>SUM(M245:M259)</f>
        <v>25291382.969999999</v>
      </c>
    </row>
    <row r="261" spans="1:13">
      <c r="A261" s="449">
        <f>IF(B261="","",COUNTA(B$11:B261))</f>
        <v>219</v>
      </c>
      <c r="B261" s="1068" t="str">
        <f>B41</f>
        <v>Measuring and regulating station equipment—City Gate</v>
      </c>
      <c r="C261" s="1075">
        <f>C41</f>
        <v>379</v>
      </c>
      <c r="D261" s="1070">
        <f>'EOP Depn Exp Adj'!E26*12</f>
        <v>85725.578930999996</v>
      </c>
      <c r="E261" s="1071"/>
      <c r="I261" t="s">
        <v>1078</v>
      </c>
      <c r="J261" s="527">
        <v>37261.32</v>
      </c>
      <c r="L261" s="4" t="s">
        <v>2096</v>
      </c>
    </row>
    <row r="262" spans="1:13">
      <c r="A262" s="449">
        <f>IF(B262="","",COUNTA(B$11:B262))</f>
        <v>220</v>
      </c>
      <c r="B262" s="1068" t="str">
        <f>B42</f>
        <v>Services</v>
      </c>
      <c r="C262" s="1075">
        <f>C42</f>
        <v>380</v>
      </c>
      <c r="D262" s="1070">
        <f>SUM('EOP Depn Exp Adj'!E27:E28)*12</f>
        <v>8323385.2729659993</v>
      </c>
      <c r="E262" s="1071"/>
      <c r="I262" t="s">
        <v>1078</v>
      </c>
      <c r="J262" s="527">
        <v>109235.28</v>
      </c>
      <c r="L262" t="s">
        <v>1100</v>
      </c>
      <c r="M262" s="527">
        <f t="shared" ref="M262:M277" si="23">SUMIF($I$232:$I$391,L262,$J$232:$J$391)</f>
        <v>0</v>
      </c>
    </row>
    <row r="263" spans="1:13">
      <c r="A263" s="449">
        <f>IF(B263="","",COUNTA(B$11:B263))</f>
        <v>221</v>
      </c>
      <c r="B263" s="1068" t="str">
        <f>B43</f>
        <v>Meters</v>
      </c>
      <c r="C263" s="1075">
        <f>C43</f>
        <v>381</v>
      </c>
      <c r="D263" s="1070">
        <f>SUM('EOP Depn Exp Adj'!E29:E30)*12</f>
        <v>2211848.882712</v>
      </c>
      <c r="E263" s="1071"/>
      <c r="I263" t="s">
        <v>1078</v>
      </c>
      <c r="J263" s="527">
        <v>854402.64</v>
      </c>
      <c r="L263" t="s">
        <v>1101</v>
      </c>
      <c r="M263" s="527">
        <f t="shared" si="23"/>
        <v>114.24000000000001</v>
      </c>
    </row>
    <row r="264" spans="1:13">
      <c r="A264" s="449">
        <f>IF(B264="","",COUNTA(B$11:B264))</f>
        <v>222</v>
      </c>
      <c r="B264" s="1068" t="str">
        <f>B45</f>
        <v>House regulators</v>
      </c>
      <c r="C264" s="1075">
        <f>C45</f>
        <v>383</v>
      </c>
      <c r="D264" s="1070">
        <f>'EOP Depn Exp Adj'!E31*12</f>
        <v>219840.13008000003</v>
      </c>
      <c r="E264" s="1071"/>
      <c r="I264" t="s">
        <v>1078</v>
      </c>
      <c r="J264" s="527">
        <v>27100.920000000002</v>
      </c>
      <c r="L264" t="s">
        <v>1102</v>
      </c>
      <c r="M264" s="527">
        <f t="shared" si="23"/>
        <v>248858.26</v>
      </c>
    </row>
    <row r="265" spans="1:13">
      <c r="A265" s="449">
        <f>IF(B265="","",COUNTA(B$11:B265))</f>
        <v>223</v>
      </c>
      <c r="B265" s="1068" t="str">
        <f>B46</f>
        <v>Industrial measuring and regulating station equipment</v>
      </c>
      <c r="C265" s="1075">
        <f>C46</f>
        <v>385</v>
      </c>
      <c r="D265" s="1070">
        <f>'EOP Depn Exp Adj'!E32*12</f>
        <v>180282.83335000003</v>
      </c>
      <c r="E265" s="1071"/>
      <c r="I265" t="s">
        <v>1078</v>
      </c>
      <c r="J265" s="527">
        <v>0</v>
      </c>
      <c r="L265" t="s">
        <v>1104</v>
      </c>
      <c r="M265" s="527">
        <f t="shared" si="23"/>
        <v>601607.74</v>
      </c>
    </row>
    <row r="266" spans="1:13">
      <c r="A266" s="449">
        <f>IF(B266="","",COUNTA(B$11:B266))</f>
        <v>224</v>
      </c>
      <c r="B266" t="str">
        <f>B47&amp;" Depreciation Expense"</f>
        <v>Subtotal - Distribution Plant Depreciation Expense</v>
      </c>
      <c r="C266" s="1078"/>
      <c r="D266" s="578">
        <f>SUBTOTAL(9,D256:D265)</f>
        <v>26266009.745216995</v>
      </c>
      <c r="E266" s="1071"/>
      <c r="I266" t="s">
        <v>1078</v>
      </c>
      <c r="J266" s="527">
        <v>2782.2000000000003</v>
      </c>
      <c r="L266" t="s">
        <v>1105</v>
      </c>
      <c r="M266" s="527">
        <f t="shared" si="23"/>
        <v>31002.36</v>
      </c>
    </row>
    <row r="267" spans="1:13">
      <c r="A267" s="449" t="str">
        <f>IF(B267="","",COUNTA(B$11:B267))</f>
        <v/>
      </c>
      <c r="C267" s="1078"/>
      <c r="D267" s="578"/>
      <c r="E267" s="1071"/>
      <c r="I267" t="s">
        <v>1078</v>
      </c>
      <c r="J267" s="527">
        <v>0</v>
      </c>
      <c r="L267" t="s">
        <v>1107</v>
      </c>
      <c r="M267" s="527">
        <f t="shared" si="23"/>
        <v>259334.96000000002</v>
      </c>
    </row>
    <row r="268" spans="1:13">
      <c r="A268" s="449">
        <f>IF(B268="","",COUNTA(B$11:B268))</f>
        <v>225</v>
      </c>
      <c r="B268" s="4" t="str">
        <f>B49&amp;" Depreciation Expense"</f>
        <v>General Plant Depreciation Expense</v>
      </c>
      <c r="C268" s="5"/>
      <c r="D268" s="1071"/>
      <c r="E268" s="1071"/>
      <c r="I268" t="s">
        <v>1078</v>
      </c>
      <c r="J268" s="527">
        <v>0</v>
      </c>
      <c r="L268" t="s">
        <v>1108</v>
      </c>
      <c r="M268" s="527">
        <f t="shared" si="23"/>
        <v>0</v>
      </c>
    </row>
    <row r="269" spans="1:13">
      <c r="A269" s="449">
        <f>IF(B269="","",COUNTA(B$11:B269))</f>
        <v>226</v>
      </c>
      <c r="B269" s="1068" t="str">
        <f t="shared" ref="B269:C274" si="24">B50</f>
        <v>Land and Land Rights</v>
      </c>
      <c r="C269" s="1075">
        <f t="shared" si="24"/>
        <v>389</v>
      </c>
      <c r="D269" s="1070">
        <f>'EOP Depn Exp Adj'!E33*12</f>
        <v>0</v>
      </c>
      <c r="E269" s="1071"/>
      <c r="I269" t="s">
        <v>1078</v>
      </c>
      <c r="J269" s="527">
        <v>0</v>
      </c>
      <c r="L269" t="s">
        <v>1112</v>
      </c>
      <c r="M269" s="527">
        <f t="shared" si="23"/>
        <v>2579.42</v>
      </c>
    </row>
    <row r="270" spans="1:13">
      <c r="A270" s="449">
        <f>IF(B270="","",COUNTA(B$11:B270))</f>
        <v>227</v>
      </c>
      <c r="B270" s="1068" t="str">
        <f t="shared" si="24"/>
        <v>Structures and Improvements</v>
      </c>
      <c r="C270" s="1075">
        <f t="shared" si="24"/>
        <v>390</v>
      </c>
      <c r="D270" s="1070">
        <f>SUM('EOP Depn Exp Adj'!E34:E35)*12</f>
        <v>252506.46614400001</v>
      </c>
      <c r="E270" s="1071"/>
      <c r="I270" t="s">
        <v>1078</v>
      </c>
      <c r="J270" s="527">
        <v>3082.92</v>
      </c>
      <c r="L270" t="s">
        <v>1114</v>
      </c>
      <c r="M270" s="527">
        <f t="shared" si="23"/>
        <v>821197.5</v>
      </c>
    </row>
    <row r="271" spans="1:13">
      <c r="A271" s="449">
        <f>IF(B271="","",COUNTA(B$11:B271))</f>
        <v>228</v>
      </c>
      <c r="B271" s="1068" t="str">
        <f t="shared" si="24"/>
        <v>Office Furniture and Equipment</v>
      </c>
      <c r="C271" s="1075">
        <f t="shared" si="24"/>
        <v>391</v>
      </c>
      <c r="D271" s="1070">
        <f>SUM('EOP Depn Exp Adj'!E36:E39)*12</f>
        <v>841128.97507399996</v>
      </c>
      <c r="E271" s="1071"/>
      <c r="I271" t="s">
        <v>1078</v>
      </c>
      <c r="J271" s="527">
        <v>24488.760000000002</v>
      </c>
      <c r="L271" t="s">
        <v>1115</v>
      </c>
      <c r="M271" s="527">
        <f t="shared" si="23"/>
        <v>1423.8</v>
      </c>
    </row>
    <row r="272" spans="1:13">
      <c r="A272" s="449">
        <f>IF(B272="","",COUNTA(B$11:B272))</f>
        <v>229</v>
      </c>
      <c r="B272" s="1068" t="str">
        <f t="shared" si="24"/>
        <v>Transportation Equipment</v>
      </c>
      <c r="C272" s="1075">
        <f t="shared" si="24"/>
        <v>392</v>
      </c>
      <c r="D272" s="1070">
        <v>0</v>
      </c>
      <c r="E272" s="1071"/>
      <c r="I272" t="s">
        <v>1078</v>
      </c>
      <c r="J272" s="527">
        <v>10553.04</v>
      </c>
      <c r="L272" t="s">
        <v>1116</v>
      </c>
      <c r="M272" s="527">
        <f t="shared" si="23"/>
        <v>8628.84</v>
      </c>
    </row>
    <row r="273" spans="1:13">
      <c r="A273" s="449">
        <f>IF(B273="","",COUNTA(B$11:B273))</f>
        <v>230</v>
      </c>
      <c r="B273" s="1068" t="str">
        <f t="shared" si="24"/>
        <v>Stores Equipment</v>
      </c>
      <c r="C273" s="1075">
        <f t="shared" si="24"/>
        <v>393</v>
      </c>
      <c r="D273" s="1070">
        <f>SUM('EOP Depn Exp Adj'!E42*12)</f>
        <v>5211.5674800000006</v>
      </c>
      <c r="E273" s="1071"/>
      <c r="I273" t="s">
        <v>1078</v>
      </c>
      <c r="J273" s="527">
        <v>0</v>
      </c>
      <c r="L273" t="s">
        <v>1119</v>
      </c>
      <c r="M273" s="527">
        <f t="shared" si="23"/>
        <v>43667.070000000007</v>
      </c>
    </row>
    <row r="274" spans="1:13">
      <c r="A274" s="449">
        <f>IF(B274="","",COUNTA(B$11:B274))</f>
        <v>231</v>
      </c>
      <c r="B274" s="1068" t="str">
        <f t="shared" si="24"/>
        <v xml:space="preserve">Tools, Shop, and Garage Equipment </v>
      </c>
      <c r="C274" s="1075">
        <f t="shared" si="24"/>
        <v>394</v>
      </c>
      <c r="D274" s="1070">
        <f>SUM('EOP Depn Exp Adj'!E43:E44)*12</f>
        <v>876583.33198799996</v>
      </c>
      <c r="E274" s="1071"/>
      <c r="I274" t="s">
        <v>1078</v>
      </c>
      <c r="J274" s="527">
        <v>0</v>
      </c>
      <c r="L274" t="s">
        <v>1120</v>
      </c>
      <c r="M274" s="527">
        <f t="shared" si="23"/>
        <v>67134.12000000001</v>
      </c>
    </row>
    <row r="275" spans="1:13">
      <c r="A275" s="449">
        <f>IF(B275="","",COUNTA(B$11:B275))</f>
        <v>232</v>
      </c>
      <c r="B275" s="1068" t="s">
        <v>3602</v>
      </c>
      <c r="C275" s="1075">
        <f>C56</f>
        <v>395</v>
      </c>
      <c r="D275" s="1070">
        <f>'EOP Depn Exp Adj'!E45*12</f>
        <v>8628.7945650000001</v>
      </c>
      <c r="E275" s="1071"/>
      <c r="I275" t="s">
        <v>1078</v>
      </c>
      <c r="J275" s="527">
        <v>15.26</v>
      </c>
      <c r="L275" t="s">
        <v>1121</v>
      </c>
      <c r="M275" s="527">
        <f t="shared" si="23"/>
        <v>82634.19</v>
      </c>
    </row>
    <row r="276" spans="1:13">
      <c r="A276" s="449">
        <f>IF(B276="","",COUNTA(B$11:B276))</f>
        <v>233</v>
      </c>
      <c r="B276" s="1068" t="str">
        <f t="shared" ref="B276:C278" si="25">B57</f>
        <v>Power Operated Equipment</v>
      </c>
      <c r="C276" s="1075">
        <f t="shared" si="25"/>
        <v>396</v>
      </c>
      <c r="D276" s="1070">
        <v>0</v>
      </c>
      <c r="E276" s="1071"/>
      <c r="I276" t="s">
        <v>1078</v>
      </c>
      <c r="J276" s="527">
        <v>134535.96</v>
      </c>
      <c r="L276" t="s">
        <v>1122</v>
      </c>
      <c r="M276" s="527">
        <f t="shared" si="23"/>
        <v>12071.04</v>
      </c>
    </row>
    <row r="277" spans="1:13">
      <c r="A277" s="449">
        <f>IF(B277="","",COUNTA(B$11:B277))</f>
        <v>234</v>
      </c>
      <c r="B277" s="1068" t="str">
        <f t="shared" si="25"/>
        <v>Communication Equipment</v>
      </c>
      <c r="C277" s="1075">
        <f t="shared" si="25"/>
        <v>397</v>
      </c>
      <c r="D277" s="1070">
        <f>SUM('EOP Depn Exp Adj'!E48:E51)*12</f>
        <v>312435.47789800004</v>
      </c>
      <c r="E277" s="1071"/>
      <c r="F277" s="579"/>
      <c r="I277" t="s">
        <v>1078</v>
      </c>
      <c r="J277" s="527">
        <v>2408.16</v>
      </c>
      <c r="L277" t="s">
        <v>1123</v>
      </c>
      <c r="M277" s="1188">
        <f t="shared" si="23"/>
        <v>3609.7200000000003</v>
      </c>
    </row>
    <row r="278" spans="1:13">
      <c r="A278" s="449">
        <f>IF(B278="","",COUNTA(B$11:B278))</f>
        <v>235</v>
      </c>
      <c r="B278" s="1068" t="str">
        <f t="shared" si="25"/>
        <v>Misc. Equipment</v>
      </c>
      <c r="C278" s="1075">
        <f t="shared" si="25"/>
        <v>398</v>
      </c>
      <c r="D278" s="1070">
        <f>'EOP Depn Exp Adj'!E52*12</f>
        <v>3609.6617550000001</v>
      </c>
      <c r="E278" s="1071"/>
      <c r="I278" t="s">
        <v>1078</v>
      </c>
      <c r="J278" s="527">
        <v>182338.32</v>
      </c>
      <c r="L278" s="4" t="s">
        <v>4085</v>
      </c>
      <c r="M278" s="530">
        <f>SUM(M262:M277)</f>
        <v>2183863.2600000007</v>
      </c>
    </row>
    <row r="279" spans="1:13">
      <c r="A279" s="449">
        <f>IF(B279="","",COUNTA(B$11:B279))</f>
        <v>236</v>
      </c>
      <c r="B279" t="str">
        <f>B60&amp;" Depreciation Expense"</f>
        <v>Subtotal - General Plant Depreciation Expense</v>
      </c>
      <c r="C279" s="1078"/>
      <c r="D279" s="578">
        <f>SUBTOTAL(9,D269:D278)</f>
        <v>2300104.2749040001</v>
      </c>
      <c r="E279" s="1071"/>
      <c r="I279" t="s">
        <v>1078</v>
      </c>
      <c r="J279" s="527">
        <v>34214.160000000003</v>
      </c>
    </row>
    <row r="280" spans="1:13">
      <c r="A280" s="449" t="str">
        <f>IF(B280="","",COUNTA(B$11:B280))</f>
        <v/>
      </c>
      <c r="B280" s="1"/>
      <c r="C280" s="562"/>
      <c r="D280" s="1071"/>
      <c r="E280" s="1071"/>
      <c r="G280" s="1497" t="s">
        <v>353</v>
      </c>
      <c r="H280" s="1497"/>
      <c r="I280" t="s">
        <v>1078</v>
      </c>
      <c r="J280" s="527">
        <v>81572.72</v>
      </c>
    </row>
    <row r="281" spans="1:13">
      <c r="A281" s="449">
        <f>IF(B281="","",COUNTA(B$11:B281))</f>
        <v>237</v>
      </c>
      <c r="B281" s="1073" t="str">
        <f>"Total "&amp;B231</f>
        <v>Total Adjustments, Depreciation and Amortization Expense</v>
      </c>
      <c r="C281" s="1078"/>
      <c r="D281" s="578">
        <f>SUBTOTAL(9,D232:D280)</f>
        <v>32285329.299140997</v>
      </c>
      <c r="E281" s="1071"/>
      <c r="G281" s="579">
        <f>'Exh JAD-3 ROO Summary'!G24</f>
        <v>32285329.299141005</v>
      </c>
      <c r="H281" s="579">
        <f>D281-G281</f>
        <v>0</v>
      </c>
      <c r="I281" t="s">
        <v>1078</v>
      </c>
      <c r="J281" s="527">
        <v>0</v>
      </c>
    </row>
    <row r="282" spans="1:13">
      <c r="A282" s="449" t="str">
        <f>IF(B282="","",COUNTA(B$11:B282))</f>
        <v/>
      </c>
      <c r="C282" s="1078"/>
      <c r="D282" s="1071"/>
      <c r="E282" s="1071"/>
      <c r="I282" t="s">
        <v>1078</v>
      </c>
      <c r="J282" s="527">
        <v>0</v>
      </c>
    </row>
    <row r="283" spans="1:13">
      <c r="A283" s="449">
        <f>IF(B283="","",COUNTA(B$11:B283))</f>
        <v>238</v>
      </c>
      <c r="B283" s="1073" t="s">
        <v>1391</v>
      </c>
      <c r="C283" s="1078"/>
      <c r="D283" s="1071"/>
      <c r="E283" s="1071"/>
      <c r="I283" t="s">
        <v>1078</v>
      </c>
      <c r="J283" s="527">
        <v>0</v>
      </c>
    </row>
    <row r="284" spans="1:13">
      <c r="A284" s="449">
        <f>IF(B284="","",COUNTA(B$11:B284))</f>
        <v>239</v>
      </c>
      <c r="B284" s="4" t="s">
        <v>555</v>
      </c>
      <c r="C284" s="1078"/>
      <c r="D284" s="1071"/>
      <c r="E284" s="1071"/>
      <c r="I284" t="s">
        <v>1078</v>
      </c>
      <c r="J284" s="527">
        <v>0</v>
      </c>
    </row>
    <row r="285" spans="1:13">
      <c r="A285" s="449">
        <f>IF(B285="","",COUNTA(B$11:B285))</f>
        <v>240</v>
      </c>
      <c r="B285" s="1068" t="s">
        <v>555</v>
      </c>
      <c r="C285" s="1075">
        <v>408.5</v>
      </c>
      <c r="D285" s="1084">
        <f>'Operating Report'!AD54</f>
        <v>23745033.612662204</v>
      </c>
      <c r="E285" s="1071"/>
      <c r="G285" s="1497" t="s">
        <v>353</v>
      </c>
      <c r="H285" s="1497"/>
      <c r="I285" t="s">
        <v>1078</v>
      </c>
      <c r="J285" s="527">
        <v>0</v>
      </c>
    </row>
    <row r="286" spans="1:13">
      <c r="A286" s="449"/>
      <c r="B286" t="str">
        <f>"Subtotal - "&amp;B284</f>
        <v>Subtotal - Revenue Taxes</v>
      </c>
      <c r="C286" s="1078"/>
      <c r="D286" s="578">
        <f>SUBTOTAL(9,D285:D285)</f>
        <v>23745033.612662204</v>
      </c>
      <c r="E286" s="1071"/>
      <c r="G286" s="579">
        <f>'Exh JAD-3 ROO Summary'!G17</f>
        <v>23745033.612662204</v>
      </c>
      <c r="H286" s="579">
        <f>D286-G286</f>
        <v>0</v>
      </c>
      <c r="I286" t="s">
        <v>1078</v>
      </c>
      <c r="J286" s="527">
        <v>248528.4</v>
      </c>
    </row>
    <row r="287" spans="1:13">
      <c r="A287" s="449" t="str">
        <f>IF(B287="","",COUNTA(B$11:B287))</f>
        <v/>
      </c>
      <c r="B287" s="1073"/>
      <c r="C287" s="1078"/>
      <c r="D287" s="1071"/>
      <c r="E287" s="1071"/>
      <c r="I287" t="s">
        <v>1078</v>
      </c>
      <c r="J287" s="527">
        <v>70174.080000000002</v>
      </c>
    </row>
    <row r="288" spans="1:13">
      <c r="A288" s="449">
        <f>IF(B288="","",COUNTA(B$11:B288))</f>
        <v>242</v>
      </c>
      <c r="B288" s="4" t="s">
        <v>3695</v>
      </c>
      <c r="C288" s="1078"/>
      <c r="D288" s="1071"/>
      <c r="E288" s="1071"/>
      <c r="I288" t="s">
        <v>1078</v>
      </c>
      <c r="J288" s="527">
        <v>13256.16</v>
      </c>
    </row>
    <row r="289" spans="1:10">
      <c r="A289" s="449">
        <f>IF(B289="","",COUNTA(B$11:B289))</f>
        <v>243</v>
      </c>
      <c r="B289" s="1068" t="s">
        <v>3696</v>
      </c>
      <c r="C289" s="1075">
        <v>408.1</v>
      </c>
      <c r="D289" s="1084">
        <f>'Operating Report'!AD143</f>
        <v>4589139.722218222</v>
      </c>
      <c r="E289" s="1071"/>
      <c r="G289" s="1497" t="s">
        <v>353</v>
      </c>
      <c r="H289" s="1497"/>
      <c r="I289" t="s">
        <v>1078</v>
      </c>
      <c r="J289" s="527">
        <v>41954.879999999997</v>
      </c>
    </row>
    <row r="290" spans="1:10">
      <c r="A290" s="449">
        <f>IF(B290="","",COUNTA(B$11:B290))</f>
        <v>244</v>
      </c>
      <c r="B290" t="str">
        <f>"Subtotal - "&amp;B288</f>
        <v>Subtotal - Taxes Other Than Income Taxes</v>
      </c>
      <c r="C290" s="1078"/>
      <c r="D290" s="578">
        <f>SUBTOTAL(9,D289:D289)</f>
        <v>4589139.722218222</v>
      </c>
      <c r="E290" s="1071"/>
      <c r="G290" s="579">
        <f>'Exh JAD-3 ROO Summary'!G26</f>
        <v>4589139.722218222</v>
      </c>
      <c r="H290" s="522">
        <f>D290-G290</f>
        <v>0</v>
      </c>
      <c r="I290" t="s">
        <v>1078</v>
      </c>
      <c r="J290" s="527">
        <v>34519.32</v>
      </c>
    </row>
    <row r="291" spans="1:10">
      <c r="A291" s="449" t="str">
        <f>IF(B291="","",COUNTA(B$11:B291))</f>
        <v/>
      </c>
      <c r="B291" s="577"/>
      <c r="C291" s="1078"/>
      <c r="D291" s="1071"/>
      <c r="E291" s="1071"/>
      <c r="I291" t="s">
        <v>1078</v>
      </c>
      <c r="J291" s="527">
        <v>34556.28</v>
      </c>
    </row>
    <row r="292" spans="1:10">
      <c r="A292" s="449">
        <f>IF(B292="","",COUNTA(B$11:B292))</f>
        <v>245</v>
      </c>
      <c r="B292" s="4" t="s">
        <v>3697</v>
      </c>
      <c r="C292" s="1078"/>
      <c r="D292" s="1071"/>
      <c r="E292" s="1071"/>
      <c r="I292" t="s">
        <v>1078</v>
      </c>
      <c r="J292" s="527">
        <v>2848.8</v>
      </c>
    </row>
    <row r="293" spans="1:10">
      <c r="A293" s="449">
        <f>IF(B293="","",COUNTA(B$11:B293))</f>
        <v>246</v>
      </c>
      <c r="B293" s="1068" t="s">
        <v>3698</v>
      </c>
      <c r="C293" s="1075">
        <v>409.1</v>
      </c>
      <c r="D293" s="1070">
        <f>'Operating Report'!AD146</f>
        <v>-5096067.8929358954</v>
      </c>
      <c r="E293" s="1071"/>
      <c r="I293" t="s">
        <v>1078</v>
      </c>
      <c r="J293" s="527">
        <v>0</v>
      </c>
    </row>
    <row r="294" spans="1:10">
      <c r="A294" s="449">
        <f>IF(B294="","",COUNTA(B$11:B294))</f>
        <v>247</v>
      </c>
      <c r="B294" s="1068" t="s">
        <v>3699</v>
      </c>
      <c r="C294" s="1075">
        <v>410.1</v>
      </c>
      <c r="D294" s="1070">
        <f>'Operating Report'!AD148</f>
        <v>43294488.670000002</v>
      </c>
      <c r="E294" s="1071"/>
      <c r="I294" t="s">
        <v>1078</v>
      </c>
      <c r="J294" s="527">
        <v>0</v>
      </c>
    </row>
    <row r="295" spans="1:10">
      <c r="A295" s="449">
        <f>IF(B295="","",COUNTA(B$11:B295))</f>
        <v>248</v>
      </c>
      <c r="B295" s="1068" t="s">
        <v>3700</v>
      </c>
      <c r="C295" s="1075">
        <v>411.1</v>
      </c>
      <c r="D295" s="1070">
        <f>'Operating Report'!AD150</f>
        <v>-38804558.600000001</v>
      </c>
      <c r="E295" s="1071"/>
      <c r="I295" t="s">
        <v>1078</v>
      </c>
      <c r="J295" s="527">
        <v>0</v>
      </c>
    </row>
    <row r="296" spans="1:10">
      <c r="A296" s="449">
        <f>IF(B296="","",COUNTA(B$11:B296))</f>
        <v>249</v>
      </c>
      <c r="B296" s="1068" t="s">
        <v>958</v>
      </c>
      <c r="C296" s="1075">
        <v>411.4</v>
      </c>
      <c r="D296" s="1070">
        <f>'Operating Report'!AD151</f>
        <v>-33270.6</v>
      </c>
      <c r="E296" s="1071"/>
      <c r="G296" s="1497" t="s">
        <v>353</v>
      </c>
      <c r="H296" s="1497"/>
      <c r="I296" t="s">
        <v>1078</v>
      </c>
      <c r="J296" s="527">
        <v>195354.6</v>
      </c>
    </row>
    <row r="297" spans="1:10">
      <c r="A297" s="449">
        <f>IF(B297="","",COUNTA(B$11:B297))</f>
        <v>250</v>
      </c>
      <c r="B297" t="str">
        <f>"Subtotal - "&amp;B292</f>
        <v>Subtotal - Income Taxes</v>
      </c>
      <c r="C297" s="1078"/>
      <c r="D297" s="578">
        <f>SUBTOTAL(9,D293:D296)</f>
        <v>-639408.42293589411</v>
      </c>
      <c r="E297" s="1071"/>
      <c r="G297" s="579">
        <f>'Exh JAD-3 ROO Summary'!G27</f>
        <v>-639408.42293589201</v>
      </c>
      <c r="H297" s="522">
        <f>D297-G297</f>
        <v>-2.0954757928848267E-9</v>
      </c>
      <c r="I297" t="s">
        <v>1079</v>
      </c>
      <c r="J297" s="527">
        <v>0</v>
      </c>
    </row>
    <row r="298" spans="1:10">
      <c r="A298" s="449" t="str">
        <f>IF(B298="","",COUNTA(B$11:B298))</f>
        <v/>
      </c>
      <c r="C298" s="1078"/>
      <c r="D298" s="1071"/>
      <c r="E298" s="1071"/>
      <c r="I298" t="s">
        <v>1079</v>
      </c>
      <c r="J298" s="527">
        <v>0</v>
      </c>
    </row>
    <row r="299" spans="1:10">
      <c r="A299" s="449">
        <f>IF(B299="","",COUNTA(B$11:B299))</f>
        <v>251</v>
      </c>
      <c r="B299" s="1073" t="str">
        <f>"Total "&amp;B283</f>
        <v>Total Taxes</v>
      </c>
      <c r="C299" s="1078"/>
      <c r="D299" s="578">
        <f>SUBTOTAL(9,D285:D297)</f>
        <v>27694764.911944531</v>
      </c>
      <c r="E299" s="1071"/>
      <c r="G299" s="579">
        <f>G290+G297+G286</f>
        <v>27694764.911944535</v>
      </c>
      <c r="H299" s="522">
        <f>D299-G299</f>
        <v>0</v>
      </c>
      <c r="I299" t="s">
        <v>1080</v>
      </c>
      <c r="J299" s="527">
        <v>0</v>
      </c>
    </row>
    <row r="300" spans="1:10">
      <c r="A300" s="449" t="str">
        <f>IF(B300="","",COUNTA(B$11:B300))</f>
        <v/>
      </c>
      <c r="C300" s="1078"/>
      <c r="D300" s="1071"/>
      <c r="E300" s="1071"/>
      <c r="I300" t="s">
        <v>1080</v>
      </c>
      <c r="J300" s="527">
        <v>6792.12</v>
      </c>
    </row>
    <row r="301" spans="1:10">
      <c r="A301" s="449">
        <f>IF(B301="","",COUNTA(B$11:B301))</f>
        <v>252</v>
      </c>
      <c r="B301" s="1073" t="s">
        <v>3701</v>
      </c>
      <c r="C301" s="1078"/>
      <c r="D301" s="1071"/>
      <c r="E301" s="1071"/>
      <c r="I301" t="s">
        <v>1081</v>
      </c>
      <c r="J301" s="527">
        <v>310.78000000000003</v>
      </c>
    </row>
    <row r="302" spans="1:10">
      <c r="A302" s="449">
        <f>IF(B302="","",COUNTA(B$11:B302))</f>
        <v>253</v>
      </c>
      <c r="B302" s="1068" t="s">
        <v>3702</v>
      </c>
      <c r="C302" s="1069" t="s">
        <v>3703</v>
      </c>
      <c r="D302" s="1070">
        <f>'Operating Report'!AD18</f>
        <v>113327111.62771219</v>
      </c>
      <c r="E302" s="1071"/>
      <c r="I302" t="s">
        <v>1082</v>
      </c>
      <c r="J302" s="527">
        <v>0</v>
      </c>
    </row>
    <row r="303" spans="1:10">
      <c r="A303" s="449">
        <f>IF(B303="","",COUNTA(B$11:B303))</f>
        <v>254</v>
      </c>
      <c r="B303" s="1068" t="s">
        <v>3704</v>
      </c>
      <c r="C303" s="1069">
        <v>489</v>
      </c>
      <c r="D303" s="1070">
        <f>'Operating Report'!AD22</f>
        <v>31540921.217156187</v>
      </c>
      <c r="E303" s="1071"/>
      <c r="I303" t="s">
        <v>1082</v>
      </c>
      <c r="J303" s="527">
        <v>253728.49000000002</v>
      </c>
    </row>
    <row r="304" spans="1:10">
      <c r="A304" s="449">
        <f>IF(B304="","",COUNTA(B$11:B304))</f>
        <v>255</v>
      </c>
      <c r="B304" s="1068" t="s">
        <v>551</v>
      </c>
      <c r="C304" s="1069">
        <v>488</v>
      </c>
      <c r="D304" s="1070">
        <f>SUM('Operating Report'!AD21,'Operating Report'!AD23:AD27)</f>
        <v>761216.75999999966</v>
      </c>
      <c r="E304" s="1071"/>
      <c r="G304" s="1497" t="s">
        <v>353</v>
      </c>
      <c r="H304" s="1497"/>
      <c r="I304" t="s">
        <v>1083</v>
      </c>
      <c r="J304" s="527">
        <v>0</v>
      </c>
    </row>
    <row r="305" spans="1:10">
      <c r="A305" s="449">
        <f>IF(B305="","",COUNTA(B$11:B305))</f>
        <v>256</v>
      </c>
      <c r="B305" s="1073" t="str">
        <f>"Total "&amp;B301</f>
        <v>Total Operating Revenue</v>
      </c>
      <c r="C305" s="1078"/>
      <c r="D305" s="578">
        <f>SUM(D302:D304)</f>
        <v>145629249.60486835</v>
      </c>
      <c r="E305" s="1071"/>
      <c r="G305" s="579">
        <f>'Exh JAD-3 ROO Summary'!G13</f>
        <v>145629249.60486835</v>
      </c>
      <c r="H305" s="522">
        <f>D305-G305</f>
        <v>0</v>
      </c>
      <c r="I305" t="s">
        <v>1083</v>
      </c>
      <c r="J305" s="527">
        <v>0</v>
      </c>
    </row>
    <row r="306" spans="1:10">
      <c r="A306" s="449" t="str">
        <f>IF(B306="","",COUNTA(B$11:B306))</f>
        <v/>
      </c>
      <c r="B306" s="1073"/>
      <c r="C306" s="1078"/>
      <c r="D306" s="1071"/>
      <c r="E306" s="1071"/>
      <c r="I306" t="s">
        <v>1085</v>
      </c>
      <c r="J306" s="527">
        <v>0</v>
      </c>
    </row>
    <row r="307" spans="1:10">
      <c r="A307" s="449">
        <f>IF(B307="","",COUNTA(B$11:B307))</f>
        <v>257</v>
      </c>
      <c r="B307" s="1073" t="s">
        <v>3705</v>
      </c>
      <c r="C307" s="1078"/>
      <c r="D307" s="1071">
        <f>D305-D229-D281-D299</f>
        <v>26054777.272812575</v>
      </c>
      <c r="E307" s="1071"/>
      <c r="G307" s="1074">
        <f>'Exh JAD-3 ROO Summary'!G30</f>
        <v>26054777.272812575</v>
      </c>
      <c r="H307" s="522">
        <f>D307-G307</f>
        <v>0</v>
      </c>
      <c r="I307" t="s">
        <v>1085</v>
      </c>
      <c r="J307" s="527">
        <v>0</v>
      </c>
    </row>
    <row r="308" spans="1:10">
      <c r="A308" s="449" t="str">
        <f>IF(B308="","",COUNTA(B$11:B308))</f>
        <v/>
      </c>
      <c r="D308" s="1071"/>
      <c r="E308" s="1071"/>
      <c r="I308" t="s">
        <v>1085</v>
      </c>
      <c r="J308" s="527">
        <v>0</v>
      </c>
    </row>
    <row r="309" spans="1:10">
      <c r="A309" s="449">
        <f>IF(B309="","",COUNTA(B$11:B309))</f>
        <v>258</v>
      </c>
      <c r="B309" s="4" t="s">
        <v>3706</v>
      </c>
      <c r="C309" s="1078"/>
      <c r="D309" s="1071"/>
      <c r="E309" s="1071"/>
      <c r="I309" t="s">
        <v>1086</v>
      </c>
      <c r="J309" s="527">
        <v>0</v>
      </c>
    </row>
    <row r="310" spans="1:10">
      <c r="A310" s="449">
        <f>IF(B310="","",COUNTA(B$11:B310))</f>
        <v>259</v>
      </c>
      <c r="B310" s="4" t="s">
        <v>3707</v>
      </c>
      <c r="C310" s="1078"/>
      <c r="D310" s="1071">
        <f>SUBTOTAL(9,D126:D299)</f>
        <v>119574472.33205581</v>
      </c>
      <c r="E310" s="1071"/>
      <c r="G310" s="579">
        <f>'Exh JAD-3 ROO Summary'!G28</f>
        <v>119574472.33205578</v>
      </c>
      <c r="H310" s="522">
        <f>D310-G310</f>
        <v>0</v>
      </c>
      <c r="I310" t="s">
        <v>1086</v>
      </c>
      <c r="J310" s="527">
        <v>35102.160000000003</v>
      </c>
    </row>
    <row r="311" spans="1:10">
      <c r="A311" s="449">
        <f>IF(B311="","",COUNTA(B$11:B311))</f>
        <v>260</v>
      </c>
      <c r="B311" s="4" t="s">
        <v>3708</v>
      </c>
      <c r="C311" s="1078"/>
      <c r="D311" s="1071"/>
      <c r="E311" s="1071"/>
      <c r="G311" s="579"/>
      <c r="H311" s="522"/>
      <c r="I311" t="s">
        <v>1087</v>
      </c>
      <c r="J311" s="527">
        <v>0</v>
      </c>
    </row>
    <row r="312" spans="1:10">
      <c r="A312" s="449">
        <f>IF(B312="","",COUNTA(B$11:B312))</f>
        <v>261</v>
      </c>
      <c r="B312" s="4" t="s">
        <v>3709</v>
      </c>
      <c r="C312" s="1078"/>
      <c r="D312" s="578"/>
      <c r="E312" s="1071"/>
      <c r="I312" t="s">
        <v>1087</v>
      </c>
      <c r="J312" s="527">
        <v>6233.42</v>
      </c>
    </row>
    <row r="313" spans="1:10">
      <c r="A313" s="449">
        <f>IF(B313="","",COUNTA(B$11:B313))</f>
        <v>262</v>
      </c>
      <c r="B313" s="1068" t="s">
        <v>3710</v>
      </c>
      <c r="C313" s="1078"/>
      <c r="D313" s="1070">
        <f>'Exh JAD-3 ROO Summary'!H27</f>
        <v>6081309.2879862664</v>
      </c>
      <c r="E313" s="1071"/>
      <c r="I313" t="s">
        <v>1087</v>
      </c>
      <c r="J313" s="527">
        <v>2566.56</v>
      </c>
    </row>
    <row r="314" spans="1:10">
      <c r="A314" s="449">
        <f>IF(B314="","",COUNTA(B$11:B314))</f>
        <v>263</v>
      </c>
      <c r="B314" s="1068" t="s">
        <v>618</v>
      </c>
      <c r="C314" s="1078"/>
      <c r="D314" s="1070">
        <v>0</v>
      </c>
      <c r="I314" t="s">
        <v>1088</v>
      </c>
      <c r="J314" s="527">
        <v>0</v>
      </c>
    </row>
    <row r="315" spans="1:10">
      <c r="A315" s="449">
        <f>IF(B315="","",COUNTA(B$11:B315))</f>
        <v>264</v>
      </c>
      <c r="B315" s="1068" t="s">
        <v>3711</v>
      </c>
      <c r="C315" s="1078">
        <v>904</v>
      </c>
      <c r="D315" s="1070">
        <f>'Exh JAD-3 ROO Summary'!H20</f>
        <v>204645.3009225378</v>
      </c>
      <c r="I315" t="s">
        <v>1088</v>
      </c>
      <c r="J315" s="527">
        <v>0</v>
      </c>
    </row>
    <row r="316" spans="1:10">
      <c r="A316" s="449">
        <f>IF(B316="","",COUNTA(B$11:B316))</f>
        <v>265</v>
      </c>
      <c r="B316" s="1068" t="s">
        <v>555</v>
      </c>
      <c r="C316" s="1078">
        <v>408.5</v>
      </c>
      <c r="D316" s="1070">
        <f>'Exh JAD-3 ROO Summary'!H17</f>
        <v>1295089.0420000001</v>
      </c>
      <c r="I316" t="s">
        <v>1088</v>
      </c>
      <c r="J316" s="527">
        <v>3745559.6</v>
      </c>
    </row>
    <row r="317" spans="1:10">
      <c r="A317" s="449">
        <f>IF(B317="","",COUNTA(B$11:B317))</f>
        <v>266</v>
      </c>
      <c r="B317" s="1073" t="str">
        <f>"TOTAL "&amp;B309</f>
        <v>TOTAL REVENUE REQUIREMENT AT EQUAL RATES OF RETURN</v>
      </c>
      <c r="C317" s="1078"/>
      <c r="D317" s="1085">
        <f>'Exh JAD-5, Rev Req Calc'!C15</f>
        <v>30458350</v>
      </c>
      <c r="G317" s="579">
        <f>'Exh JAD-3 ROO Summary'!H13</f>
        <v>30458350</v>
      </c>
      <c r="H317" s="522">
        <f>D317-G317</f>
        <v>0</v>
      </c>
      <c r="I317" t="s">
        <v>1088</v>
      </c>
      <c r="J317" s="527">
        <v>0</v>
      </c>
    </row>
    <row r="318" spans="1:10">
      <c r="C318" s="1078"/>
      <c r="I318" t="s">
        <v>1089</v>
      </c>
      <c r="J318" s="527">
        <v>0</v>
      </c>
    </row>
    <row r="319" spans="1:10">
      <c r="C319" s="449"/>
      <c r="D319" s="1084"/>
      <c r="I319" t="s">
        <v>1089</v>
      </c>
      <c r="J319" s="527">
        <v>0</v>
      </c>
    </row>
    <row r="320" spans="1:10">
      <c r="I320" t="s">
        <v>1089</v>
      </c>
      <c r="J320" s="527">
        <v>5444159.8399999999</v>
      </c>
    </row>
    <row r="321" spans="9:10">
      <c r="I321" t="s">
        <v>1089</v>
      </c>
      <c r="J321" s="527">
        <v>0</v>
      </c>
    </row>
    <row r="322" spans="9:10">
      <c r="I322" t="s">
        <v>1090</v>
      </c>
      <c r="J322" s="527">
        <v>0</v>
      </c>
    </row>
    <row r="323" spans="9:10">
      <c r="I323" t="s">
        <v>1090</v>
      </c>
      <c r="J323" s="527">
        <v>0</v>
      </c>
    </row>
    <row r="324" spans="9:10">
      <c r="I324" t="s">
        <v>1090</v>
      </c>
      <c r="J324" s="527">
        <v>4457932.3899999997</v>
      </c>
    </row>
    <row r="325" spans="9:10">
      <c r="I325" t="s">
        <v>1091</v>
      </c>
      <c r="J325" s="527">
        <v>42940.19</v>
      </c>
    </row>
    <row r="326" spans="9:10">
      <c r="I326" t="s">
        <v>1092</v>
      </c>
      <c r="J326" s="527">
        <v>0</v>
      </c>
    </row>
    <row r="327" spans="9:10">
      <c r="I327" t="s">
        <v>1092</v>
      </c>
      <c r="J327" s="527">
        <v>713823.12</v>
      </c>
    </row>
    <row r="328" spans="9:10">
      <c r="I328" t="s">
        <v>3607</v>
      </c>
      <c r="J328" s="527">
        <v>0</v>
      </c>
    </row>
    <row r="329" spans="9:10">
      <c r="I329" t="s">
        <v>3607</v>
      </c>
      <c r="J329" s="527">
        <v>92407.89</v>
      </c>
    </row>
    <row r="330" spans="9:10">
      <c r="I330" t="s">
        <v>3608</v>
      </c>
      <c r="J330" s="527">
        <v>0</v>
      </c>
    </row>
    <row r="331" spans="9:10">
      <c r="I331" t="s">
        <v>3608</v>
      </c>
      <c r="J331" s="527">
        <v>0</v>
      </c>
    </row>
    <row r="332" spans="9:10">
      <c r="I332" t="s">
        <v>3608</v>
      </c>
      <c r="J332" s="527">
        <v>6041552.6900000004</v>
      </c>
    </row>
    <row r="333" spans="9:10">
      <c r="I333" t="s">
        <v>3609</v>
      </c>
      <c r="J333" s="527">
        <v>0</v>
      </c>
    </row>
    <row r="334" spans="9:10">
      <c r="I334" t="s">
        <v>3609</v>
      </c>
      <c r="J334" s="527">
        <v>2130796.37</v>
      </c>
    </row>
    <row r="335" spans="9:10">
      <c r="I335" t="s">
        <v>3610</v>
      </c>
      <c r="J335" s="527">
        <v>1365.6100000000001</v>
      </c>
    </row>
    <row r="336" spans="9:10">
      <c r="I336" t="s">
        <v>3612</v>
      </c>
      <c r="J336" s="527">
        <v>2188228.8199999998</v>
      </c>
    </row>
    <row r="337" spans="9:10">
      <c r="I337" t="s">
        <v>1098</v>
      </c>
      <c r="J337" s="527">
        <v>213740.75</v>
      </c>
    </row>
    <row r="338" spans="9:10">
      <c r="I338" t="s">
        <v>1099</v>
      </c>
      <c r="J338" s="527">
        <v>0</v>
      </c>
    </row>
    <row r="339" spans="9:10">
      <c r="I339" t="s">
        <v>1099</v>
      </c>
      <c r="J339" s="527">
        <v>174973.56</v>
      </c>
    </row>
    <row r="340" spans="9:10">
      <c r="I340" t="s">
        <v>1100</v>
      </c>
      <c r="J340" s="527">
        <v>0</v>
      </c>
    </row>
    <row r="341" spans="9:10">
      <c r="I341" t="s">
        <v>1100</v>
      </c>
      <c r="J341" s="527">
        <v>0</v>
      </c>
    </row>
    <row r="342" spans="9:10">
      <c r="I342" t="s">
        <v>1100</v>
      </c>
      <c r="J342" s="527">
        <v>0</v>
      </c>
    </row>
    <row r="343" spans="9:10">
      <c r="I343" t="s">
        <v>4079</v>
      </c>
      <c r="J343" s="527">
        <v>0</v>
      </c>
    </row>
    <row r="344" spans="9:10">
      <c r="I344" t="s">
        <v>1101</v>
      </c>
      <c r="J344" s="527">
        <v>114.24000000000001</v>
      </c>
    </row>
    <row r="345" spans="9:10">
      <c r="I345" t="s">
        <v>1102</v>
      </c>
      <c r="J345" s="527">
        <v>0</v>
      </c>
    </row>
    <row r="346" spans="9:10">
      <c r="I346" t="s">
        <v>1102</v>
      </c>
      <c r="J346" s="527">
        <v>248858.26</v>
      </c>
    </row>
    <row r="347" spans="9:10">
      <c r="I347" t="s">
        <v>1102</v>
      </c>
      <c r="J347" s="527">
        <v>0</v>
      </c>
    </row>
    <row r="348" spans="9:10">
      <c r="I348" t="s">
        <v>1104</v>
      </c>
      <c r="J348" s="527">
        <v>0</v>
      </c>
    </row>
    <row r="349" spans="9:10">
      <c r="I349" t="s">
        <v>1104</v>
      </c>
      <c r="J349" s="527">
        <v>601607.74</v>
      </c>
    </row>
    <row r="350" spans="9:10">
      <c r="I350" t="s">
        <v>1105</v>
      </c>
      <c r="J350" s="527">
        <v>0</v>
      </c>
    </row>
    <row r="351" spans="9:10">
      <c r="I351" t="s">
        <v>1105</v>
      </c>
      <c r="J351" s="527">
        <v>0</v>
      </c>
    </row>
    <row r="352" spans="9:10">
      <c r="I352" t="s">
        <v>1105</v>
      </c>
      <c r="J352" s="527">
        <v>31002.36</v>
      </c>
    </row>
    <row r="353" spans="9:11">
      <c r="I353" t="s">
        <v>1107</v>
      </c>
      <c r="J353" s="527">
        <v>0</v>
      </c>
    </row>
    <row r="354" spans="9:11">
      <c r="I354" t="s">
        <v>1107</v>
      </c>
      <c r="J354" s="527">
        <v>68278.930000000008</v>
      </c>
    </row>
    <row r="355" spans="9:11">
      <c r="I355" t="s">
        <v>1107</v>
      </c>
      <c r="J355" s="527">
        <v>191056.03</v>
      </c>
    </row>
    <row r="356" spans="9:11">
      <c r="I356" t="s">
        <v>1108</v>
      </c>
      <c r="J356" s="527">
        <v>0</v>
      </c>
    </row>
    <row r="357" spans="9:11">
      <c r="I357" t="s">
        <v>1109</v>
      </c>
      <c r="J357" s="527"/>
      <c r="K357" s="53" t="s">
        <v>1110</v>
      </c>
    </row>
    <row r="358" spans="9:11">
      <c r="I358" t="s">
        <v>1109</v>
      </c>
      <c r="J358" s="527"/>
      <c r="K358" s="53" t="s">
        <v>1110</v>
      </c>
    </row>
    <row r="359" spans="9:11">
      <c r="I359" t="s">
        <v>1109</v>
      </c>
      <c r="J359" s="527"/>
      <c r="K359" s="53" t="s">
        <v>1110</v>
      </c>
    </row>
    <row r="360" spans="9:11">
      <c r="I360" t="s">
        <v>1111</v>
      </c>
      <c r="J360" s="527"/>
      <c r="K360" s="53" t="s">
        <v>1110</v>
      </c>
    </row>
    <row r="361" spans="9:11">
      <c r="I361" t="s">
        <v>1111</v>
      </c>
      <c r="J361" s="527"/>
      <c r="K361" s="53" t="s">
        <v>1110</v>
      </c>
    </row>
    <row r="362" spans="9:11">
      <c r="I362" t="s">
        <v>1111</v>
      </c>
      <c r="J362" s="527"/>
      <c r="K362" s="53" t="s">
        <v>1110</v>
      </c>
    </row>
    <row r="363" spans="9:11">
      <c r="I363" t="s">
        <v>1112</v>
      </c>
      <c r="J363" s="527">
        <v>0</v>
      </c>
    </row>
    <row r="364" spans="9:11">
      <c r="I364" t="s">
        <v>1112</v>
      </c>
      <c r="J364" s="527">
        <v>2579.42</v>
      </c>
    </row>
    <row r="365" spans="9:11">
      <c r="I365" t="s">
        <v>1112</v>
      </c>
      <c r="J365" s="527">
        <v>0</v>
      </c>
    </row>
    <row r="366" spans="9:11">
      <c r="I366" t="s">
        <v>1114</v>
      </c>
      <c r="J366" s="527">
        <v>0</v>
      </c>
    </row>
    <row r="367" spans="9:11">
      <c r="I367" t="s">
        <v>1114</v>
      </c>
      <c r="J367" s="527">
        <v>554005.93000000005</v>
      </c>
    </row>
    <row r="368" spans="9:11">
      <c r="I368" t="s">
        <v>1114</v>
      </c>
      <c r="J368" s="527">
        <v>267191.57</v>
      </c>
    </row>
    <row r="369" spans="9:11">
      <c r="I369" t="s">
        <v>1115</v>
      </c>
      <c r="J369" s="527">
        <v>1423.8</v>
      </c>
    </row>
    <row r="370" spans="9:11">
      <c r="I370" t="s">
        <v>1116</v>
      </c>
      <c r="J370" s="527">
        <v>0</v>
      </c>
    </row>
    <row r="371" spans="9:11">
      <c r="I371" t="s">
        <v>1116</v>
      </c>
      <c r="J371" s="527">
        <v>8628.84</v>
      </c>
    </row>
    <row r="372" spans="9:11">
      <c r="I372" t="s">
        <v>1117</v>
      </c>
      <c r="J372" s="527"/>
      <c r="K372" s="53" t="s">
        <v>1110</v>
      </c>
    </row>
    <row r="373" spans="9:11">
      <c r="I373" t="s">
        <v>1117</v>
      </c>
      <c r="J373" s="527"/>
      <c r="K373" s="53" t="s">
        <v>1110</v>
      </c>
    </row>
    <row r="374" spans="9:11">
      <c r="I374" t="s">
        <v>1117</v>
      </c>
      <c r="J374" s="527"/>
      <c r="K374" s="53" t="s">
        <v>1110</v>
      </c>
    </row>
    <row r="375" spans="9:11">
      <c r="I375" t="s">
        <v>1118</v>
      </c>
      <c r="J375" s="527"/>
      <c r="K375" s="53" t="s">
        <v>1110</v>
      </c>
    </row>
    <row r="376" spans="9:11">
      <c r="I376" t="s">
        <v>1118</v>
      </c>
      <c r="J376" s="527"/>
      <c r="K376" s="53" t="s">
        <v>1110</v>
      </c>
    </row>
    <row r="377" spans="9:11">
      <c r="I377" t="s">
        <v>1119</v>
      </c>
      <c r="J377" s="527">
        <v>0</v>
      </c>
    </row>
    <row r="378" spans="9:11">
      <c r="I378" t="s">
        <v>1119</v>
      </c>
      <c r="J378" s="527">
        <v>6323.41</v>
      </c>
    </row>
    <row r="379" spans="9:11">
      <c r="I379" t="s">
        <v>1119</v>
      </c>
      <c r="J379" s="527">
        <v>37343.660000000003</v>
      </c>
    </row>
    <row r="380" spans="9:11">
      <c r="I380" t="s">
        <v>1120</v>
      </c>
      <c r="J380" s="527">
        <v>0</v>
      </c>
    </row>
    <row r="381" spans="9:11">
      <c r="I381" t="s">
        <v>1120</v>
      </c>
      <c r="J381" s="527">
        <v>66083.520000000004</v>
      </c>
    </row>
    <row r="382" spans="9:11">
      <c r="I382" t="s">
        <v>1120</v>
      </c>
      <c r="J382" s="527">
        <v>1050.5999999999999</v>
      </c>
    </row>
    <row r="383" spans="9:11">
      <c r="I383" t="s">
        <v>1121</v>
      </c>
      <c r="J383" s="527">
        <v>0</v>
      </c>
    </row>
    <row r="384" spans="9:11">
      <c r="I384" t="s">
        <v>1121</v>
      </c>
      <c r="J384" s="527">
        <v>54636.03</v>
      </c>
    </row>
    <row r="385" spans="9:10">
      <c r="I385" t="s">
        <v>1121</v>
      </c>
      <c r="J385" s="527">
        <v>27998.16</v>
      </c>
    </row>
    <row r="386" spans="9:10">
      <c r="I386" t="s">
        <v>1122</v>
      </c>
      <c r="J386" s="527">
        <v>0</v>
      </c>
    </row>
    <row r="387" spans="9:10">
      <c r="I387" t="s">
        <v>1122</v>
      </c>
      <c r="J387" s="527">
        <v>0</v>
      </c>
    </row>
    <row r="388" spans="9:10">
      <c r="I388" t="s">
        <v>1122</v>
      </c>
      <c r="J388" s="527">
        <v>12071.04</v>
      </c>
    </row>
    <row r="389" spans="9:10">
      <c r="I389" t="s">
        <v>1123</v>
      </c>
      <c r="J389" s="527">
        <v>0</v>
      </c>
    </row>
    <row r="390" spans="9:10">
      <c r="I390" t="s">
        <v>1123</v>
      </c>
      <c r="J390" s="527">
        <v>851.88</v>
      </c>
    </row>
    <row r="391" spans="9:10">
      <c r="I391" t="s">
        <v>1123</v>
      </c>
      <c r="J391" s="1188">
        <v>2757.84</v>
      </c>
    </row>
    <row r="392" spans="9:10">
      <c r="J392" s="527">
        <f>SUM(J232:J391)</f>
        <v>31072909.050000004</v>
      </c>
    </row>
  </sheetData>
  <mergeCells count="10">
    <mergeCell ref="G120:H120"/>
    <mergeCell ref="G296:H296"/>
    <mergeCell ref="G304:H304"/>
    <mergeCell ref="G285:H285"/>
    <mergeCell ref="G61:H61"/>
    <mergeCell ref="G113:H113"/>
    <mergeCell ref="G228:H228"/>
    <mergeCell ref="G280:H280"/>
    <mergeCell ref="G289:H289"/>
    <mergeCell ref="G212:H212"/>
  </mergeCells>
  <phoneticPr fontId="122" type="noConversion"/>
  <pageMargins left="0.7" right="0.7" top="0.75" bottom="0.75" header="0.3" footer="0.3"/>
  <pageSetup scale="37" orientation="landscape" r:id="rId1"/>
  <headerFooter>
    <oddHeader>&amp;R&amp;P of &amp;N</oddHeader>
    <oddFooter>&amp;L&amp;A</oddFooter>
  </headerFooter>
  <rowBreaks count="5" manualBreakCount="5">
    <brk id="62" max="16383" man="1"/>
    <brk id="123" max="16383" man="1"/>
    <brk id="188" max="16383" man="1"/>
    <brk id="244" max="16383" man="1"/>
    <brk id="317" max="16383" man="1"/>
  </rowBreaks>
  <colBreaks count="1" manualBreakCount="1">
    <brk id="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F7BB-2E9C-4EAA-A80E-308AAF384945}">
  <sheetPr codeName="Sheet49">
    <pageSetUpPr fitToPage="1"/>
  </sheetPr>
  <dimension ref="A1:V72"/>
  <sheetViews>
    <sheetView workbookViewId="0">
      <selection activeCell="D20" sqref="D20"/>
    </sheetView>
  </sheetViews>
  <sheetFormatPr defaultColWidth="12.28515625" defaultRowHeight="15"/>
  <cols>
    <col min="1" max="1" width="5.140625" style="124" bestFit="1" customWidth="1"/>
    <col min="2" max="2" width="31" style="124" bestFit="1" customWidth="1"/>
    <col min="3" max="3" width="14.28515625" style="53" bestFit="1" customWidth="1"/>
    <col min="4" max="4" width="11" style="53" bestFit="1" customWidth="1"/>
    <col min="5" max="7" width="14.28515625" style="53" bestFit="1" customWidth="1"/>
    <col min="8" max="10" width="12.85546875" style="53" customWidth="1"/>
    <col min="11" max="11" width="12" style="53" bestFit="1" customWidth="1"/>
    <col min="12" max="12" width="3.42578125" style="53" customWidth="1"/>
    <col min="13" max="13" width="12.28515625" style="53" bestFit="1" customWidth="1"/>
    <col min="14" max="14" width="16.28515625" style="53" customWidth="1"/>
    <col min="15" max="15" width="18" style="53" customWidth="1"/>
    <col min="16" max="16" width="16" style="53" customWidth="1"/>
    <col min="17" max="17" width="19.5703125" style="53" customWidth="1"/>
    <col min="18" max="18" width="16.140625" style="53" customWidth="1"/>
    <col min="19" max="19" width="14.7109375" style="53" bestFit="1" customWidth="1"/>
    <col min="20" max="20" width="12.28515625" style="53"/>
    <col min="21" max="21" width="2.7109375" style="53" bestFit="1" customWidth="1"/>
    <col min="22" max="16384" width="12.28515625" style="53"/>
  </cols>
  <sheetData>
    <row r="1" spans="1:14">
      <c r="A1" s="1401" t="str">
        <f>Company</f>
        <v>Cascade Natural Gas Corp.</v>
      </c>
      <c r="B1" s="1401"/>
      <c r="C1" s="1401"/>
      <c r="D1" s="1401"/>
      <c r="E1" s="1401"/>
      <c r="F1" s="1401"/>
      <c r="G1" s="1401"/>
      <c r="H1" s="1401"/>
      <c r="I1" s="1401"/>
      <c r="J1" s="1401"/>
      <c r="K1" s="1401"/>
    </row>
    <row r="2" spans="1:14">
      <c r="A2" s="1401" t="str">
        <f>Title1</f>
        <v>Washington Jurisdiction</v>
      </c>
      <c r="B2" s="1401"/>
      <c r="C2" s="1401"/>
      <c r="D2" s="1401"/>
      <c r="E2" s="1401"/>
      <c r="F2" s="1401"/>
      <c r="G2" s="1401"/>
      <c r="H2" s="1401"/>
      <c r="I2" s="1401"/>
      <c r="J2" s="1401"/>
      <c r="K2" s="1401"/>
    </row>
    <row r="3" spans="1:14">
      <c r="A3" s="1401" t="str">
        <f>Title2</f>
        <v>Twelve-Months ended December 31, 2023</v>
      </c>
      <c r="B3" s="1401"/>
      <c r="C3" s="1401"/>
      <c r="D3" s="1401"/>
      <c r="E3" s="1401"/>
      <c r="F3" s="1401"/>
      <c r="G3" s="1401"/>
      <c r="H3" s="1401"/>
      <c r="I3" s="1401"/>
      <c r="J3" s="1401"/>
      <c r="K3" s="1401"/>
    </row>
    <row r="4" spans="1:14">
      <c r="A4" s="323"/>
      <c r="B4" s="323"/>
      <c r="C4" s="323"/>
      <c r="D4" s="323"/>
      <c r="E4" s="1401" t="str">
        <f>Title8</f>
        <v>UG-240008</v>
      </c>
      <c r="F4" s="1401"/>
      <c r="G4" s="323"/>
      <c r="H4" s="323"/>
      <c r="I4" s="323"/>
      <c r="J4" s="323"/>
      <c r="K4" s="323"/>
    </row>
    <row r="5" spans="1:14">
      <c r="A5" s="323"/>
      <c r="B5" s="323"/>
      <c r="C5" s="323"/>
      <c r="D5" s="323"/>
      <c r="E5" s="1402" t="s">
        <v>3802</v>
      </c>
      <c r="F5" s="1402"/>
      <c r="G5" s="323"/>
      <c r="H5" s="323"/>
      <c r="I5" s="323"/>
      <c r="J5" s="323"/>
      <c r="K5" s="323"/>
    </row>
    <row r="6" spans="1:14">
      <c r="A6" s="1401" t="s">
        <v>3799</v>
      </c>
      <c r="B6" s="1401"/>
      <c r="C6" s="1401"/>
      <c r="D6" s="1401"/>
      <c r="E6" s="1401"/>
      <c r="F6" s="1401"/>
      <c r="G6" s="1401"/>
      <c r="H6" s="1401"/>
      <c r="I6" s="1401"/>
      <c r="J6" s="1401"/>
      <c r="K6" s="1401"/>
    </row>
    <row r="7" spans="1:14">
      <c r="A7" s="1435"/>
      <c r="B7" s="1435"/>
      <c r="C7" s="1435"/>
      <c r="D7" s="1435"/>
      <c r="E7" s="1435"/>
      <c r="F7" s="1435"/>
      <c r="G7" s="1435"/>
      <c r="H7" s="1435"/>
      <c r="I7" s="1435"/>
      <c r="J7" s="1435"/>
      <c r="K7" s="124"/>
    </row>
    <row r="8" spans="1:14" ht="30">
      <c r="A8" s="172" t="s">
        <v>536</v>
      </c>
      <c r="B8" s="60" t="s">
        <v>537</v>
      </c>
      <c r="C8" s="172" t="s">
        <v>3712</v>
      </c>
      <c r="D8" s="172" t="s">
        <v>3713</v>
      </c>
      <c r="E8" s="172" t="s">
        <v>3717</v>
      </c>
      <c r="F8" s="172" t="s">
        <v>3718</v>
      </c>
      <c r="G8" s="172" t="s">
        <v>3719</v>
      </c>
      <c r="H8" s="476" t="s">
        <v>3795</v>
      </c>
      <c r="I8" s="476" t="s">
        <v>3796</v>
      </c>
      <c r="J8" s="476" t="s">
        <v>3797</v>
      </c>
      <c r="K8" s="476" t="s">
        <v>3798</v>
      </c>
    </row>
    <row r="9" spans="1:14">
      <c r="A9" s="60"/>
      <c r="B9" s="487" t="s">
        <v>439</v>
      </c>
      <c r="C9" s="487" t="s">
        <v>208</v>
      </c>
      <c r="D9" s="487" t="s">
        <v>209</v>
      </c>
      <c r="E9" s="487" t="s">
        <v>440</v>
      </c>
      <c r="F9" s="487" t="s">
        <v>441</v>
      </c>
      <c r="G9" s="487" t="s">
        <v>442</v>
      </c>
      <c r="H9" s="706" t="s">
        <v>443</v>
      </c>
      <c r="I9" s="706" t="s">
        <v>444</v>
      </c>
      <c r="J9" s="706" t="s">
        <v>445</v>
      </c>
      <c r="K9" s="706" t="s">
        <v>446</v>
      </c>
      <c r="M9" s="124"/>
    </row>
    <row r="10" spans="1:14">
      <c r="A10" s="124">
        <v>1</v>
      </c>
      <c r="B10" s="1087">
        <v>45717</v>
      </c>
      <c r="C10" s="124"/>
      <c r="D10" s="124"/>
      <c r="E10" s="124"/>
      <c r="F10" s="124"/>
      <c r="G10" s="124"/>
      <c r="H10" s="449"/>
      <c r="I10" s="449"/>
      <c r="J10" s="449"/>
      <c r="K10" s="449"/>
      <c r="M10" s="124"/>
    </row>
    <row r="11" spans="1:14">
      <c r="A11" s="124">
        <f>MAX($A$10:A10)+1</f>
        <v>2</v>
      </c>
      <c r="B11" s="66" t="s">
        <v>3714</v>
      </c>
      <c r="C11" s="66"/>
      <c r="D11" s="66"/>
      <c r="E11" s="66"/>
      <c r="F11" s="66"/>
      <c r="G11" s="66"/>
      <c r="H11" s="66"/>
      <c r="I11" s="66"/>
      <c r="J11" s="66"/>
      <c r="K11" s="66"/>
    </row>
    <row r="12" spans="1:14">
      <c r="A12" s="124">
        <f>MAX($A$10:A11)+1</f>
        <v>3</v>
      </c>
      <c r="B12" s="53" t="s">
        <v>3722</v>
      </c>
      <c r="C12" s="522">
        <f>'EOP Calculations'!P55</f>
        <v>129913446.15533167</v>
      </c>
      <c r="D12" s="522">
        <f>'EOP Calculations'!P56</f>
        <v>91926474.127817988</v>
      </c>
      <c r="E12" s="522">
        <f>'EOP Calculations'!P58</f>
        <v>1786592.8920551969</v>
      </c>
      <c r="F12" s="522">
        <f>'EOP Calculations'!P59</f>
        <v>5648913.6805633102</v>
      </c>
      <c r="G12" s="522">
        <f>'EOP Calculations'!P60</f>
        <v>4738642.2882011691</v>
      </c>
      <c r="H12" s="522">
        <f>SUM(E12:G12)</f>
        <v>12174148.860819675</v>
      </c>
      <c r="I12" s="356">
        <f>'EOP Calculations'!P66</f>
        <v>16688677.44020408</v>
      </c>
      <c r="J12" s="356">
        <f>'EOP Calculations'!P70</f>
        <v>2097598</v>
      </c>
      <c r="K12" s="356">
        <f>'EOP Calculations'!P76</f>
        <v>854941070.21112645</v>
      </c>
    </row>
    <row r="13" spans="1:14">
      <c r="A13" s="124">
        <f>MAX($A$10:A12)+1</f>
        <v>4</v>
      </c>
      <c r="B13" t="s">
        <v>3724</v>
      </c>
      <c r="C13" s="522">
        <f>SUM('Provisional Plant Additions'!C90:N90)</f>
        <v>2271560.5793750421</v>
      </c>
      <c r="D13" s="522">
        <f>SUM('Provisional Plant Additions'!C91:N91)</f>
        <v>1482470.6197934202</v>
      </c>
      <c r="E13" s="522">
        <f>SUM('Provisional Plant Additions'!C92:N92)</f>
        <v>25264.949988659351</v>
      </c>
      <c r="F13" s="522">
        <f>SUM('Provisional Plant Additions'!C93:N93)</f>
        <v>79883.627805945798</v>
      </c>
      <c r="G13" s="522">
        <f>SUM('Provisional Plant Additions'!C94:N94)</f>
        <v>67011.103065471078</v>
      </c>
      <c r="H13" s="522">
        <f>SUM(E13:G13)</f>
        <v>172159.68086007622</v>
      </c>
      <c r="I13" s="356">
        <v>0</v>
      </c>
      <c r="J13" s="356">
        <v>0</v>
      </c>
      <c r="K13" s="356">
        <v>0</v>
      </c>
    </row>
    <row r="14" spans="1:14">
      <c r="A14" s="124">
        <f>MAX($A$10:A13)+1</f>
        <v>5</v>
      </c>
      <c r="B14" t="s">
        <v>3787</v>
      </c>
      <c r="C14" s="522">
        <f t="shared" ref="C14:K14" si="0">C13+C12</f>
        <v>132185006.73470671</v>
      </c>
      <c r="D14" s="522">
        <f t="shared" si="0"/>
        <v>93408944.747611403</v>
      </c>
      <c r="E14" s="522">
        <f t="shared" si="0"/>
        <v>1811857.8420438562</v>
      </c>
      <c r="F14" s="522">
        <f t="shared" si="0"/>
        <v>5728797.3083692556</v>
      </c>
      <c r="G14" s="522">
        <f t="shared" si="0"/>
        <v>4805653.3912666403</v>
      </c>
      <c r="H14" s="522">
        <f t="shared" si="0"/>
        <v>12346308.541679751</v>
      </c>
      <c r="I14" s="522">
        <f t="shared" si="0"/>
        <v>16688677.44020408</v>
      </c>
      <c r="J14" s="522">
        <f t="shared" si="0"/>
        <v>2097598</v>
      </c>
      <c r="K14" s="522">
        <f t="shared" si="0"/>
        <v>854941070.21112645</v>
      </c>
      <c r="M14" s="135"/>
      <c r="N14"/>
    </row>
    <row r="15" spans="1:14">
      <c r="A15" s="124">
        <f>MAX($A$10:A14)+1</f>
        <v>6</v>
      </c>
      <c r="B15" s="424"/>
      <c r="C15" s="357"/>
      <c r="D15" s="357"/>
      <c r="E15" s="357"/>
      <c r="F15" s="357"/>
      <c r="G15" s="357"/>
      <c r="H15" s="357"/>
      <c r="I15" s="357"/>
      <c r="J15" s="357"/>
      <c r="K15" s="357"/>
    </row>
    <row r="16" spans="1:14" s="124" customFormat="1" ht="15.75" customHeight="1">
      <c r="A16" s="124">
        <f>MAX($A$10:A15)+1</f>
        <v>7</v>
      </c>
      <c r="B16" s="66" t="s">
        <v>3715</v>
      </c>
      <c r="C16" s="66"/>
      <c r="D16" s="66"/>
      <c r="E16" s="66"/>
      <c r="F16" s="66"/>
      <c r="G16" s="66"/>
      <c r="H16" s="66"/>
      <c r="I16" s="66"/>
      <c r="J16" s="66"/>
      <c r="K16" s="66"/>
    </row>
    <row r="17" spans="1:22">
      <c r="A17" s="124">
        <f>MAX($A$10:A16)+1</f>
        <v>8</v>
      </c>
      <c r="B17" s="53" t="s">
        <v>3716</v>
      </c>
      <c r="C17" s="185">
        <f>'EOP Calculations'!D55+'Provisional Plant Additions'!C90</f>
        <v>22488823.882265437</v>
      </c>
      <c r="D17" s="185">
        <f>'EOP Calculations'!D56+'Provisional Plant Additions'!C91</f>
        <v>15087041.9519042</v>
      </c>
      <c r="E17" s="185"/>
      <c r="F17" s="185"/>
      <c r="G17" s="185"/>
      <c r="H17" s="185">
        <f>'EOP Calculations'!D61+SUM('Provisional Plant Additions'!C92:C94)</f>
        <v>1870247.5564516129</v>
      </c>
      <c r="I17" s="185">
        <f t="array" ref="I17:I28">TRANSPOSE('EOP Calculations'!D66:O66)</f>
        <v>2349439.29</v>
      </c>
      <c r="J17" s="185">
        <f t="array" ref="J17:J28">TRANSPOSE('EOP Calculations'!D70:O70)</f>
        <v>254735</v>
      </c>
      <c r="K17" s="185">
        <f t="array" ref="K17:K28">TRANSPOSE('EOP Calculations'!D76:O76)</f>
        <v>72733331.71794872</v>
      </c>
      <c r="L17" s="185"/>
      <c r="M17" s="135"/>
      <c r="O17" s="135"/>
      <c r="T17"/>
    </row>
    <row r="18" spans="1:22">
      <c r="A18" s="124">
        <f>MAX($A$10:A17)+1</f>
        <v>9</v>
      </c>
      <c r="B18" s="53" t="s">
        <v>3720</v>
      </c>
      <c r="C18" s="185">
        <f>'EOP Calculations'!E55+'Provisional Plant Additions'!D90</f>
        <v>17649088.751864944</v>
      </c>
      <c r="D18" s="185">
        <f>'EOP Calculations'!E56+'Provisional Plant Additions'!D91</f>
        <v>11992555.138146201</v>
      </c>
      <c r="E18" s="185"/>
      <c r="F18" s="185"/>
      <c r="G18" s="185"/>
      <c r="H18" s="185">
        <f>'EOP Calculations'!E61+SUM('Provisional Plant Additions'!D92:D94)</f>
        <v>1351073.2862903227</v>
      </c>
      <c r="I18" s="185">
        <v>3096067.59</v>
      </c>
      <c r="J18" s="185">
        <v>233311</v>
      </c>
      <c r="K18" s="185">
        <v>61152004.471794873</v>
      </c>
      <c r="L18" s="185"/>
      <c r="M18" s="135"/>
      <c r="O18" s="135"/>
    </row>
    <row r="19" spans="1:22">
      <c r="A19" s="124">
        <f>MAX($A$10:A18)+1</f>
        <v>10</v>
      </c>
      <c r="B19" s="53" t="s">
        <v>3721</v>
      </c>
      <c r="C19" s="185">
        <f>'EOP Calculations'!F55+'Provisional Plant Additions'!E90</f>
        <v>15072194.165189933</v>
      </c>
      <c r="D19" s="185">
        <f>'EOP Calculations'!F56+'Provisional Plant Additions'!E91</f>
        <v>9794427.6819577962</v>
      </c>
      <c r="E19" s="185"/>
      <c r="F19" s="185"/>
      <c r="G19" s="185"/>
      <c r="H19" s="185">
        <f>'EOP Calculations'!F61+SUM('Provisional Plant Additions'!E92:E94)</f>
        <v>1672523.0343434343</v>
      </c>
      <c r="I19" s="185">
        <v>1638334.17</v>
      </c>
      <c r="J19" s="185">
        <v>244613</v>
      </c>
      <c r="K19" s="185">
        <v>79073394.58461538</v>
      </c>
      <c r="L19" s="185"/>
      <c r="M19" s="135"/>
    </row>
    <row r="20" spans="1:22">
      <c r="A20" s="124">
        <f>MAX($A$10:A19)+1</f>
        <v>11</v>
      </c>
      <c r="B20" s="53" t="s">
        <v>3723</v>
      </c>
      <c r="C20" s="185">
        <f>'EOP Calculations'!G55+'Provisional Plant Additions'!F90</f>
        <v>9741847.5232911687</v>
      </c>
      <c r="D20" s="185">
        <f>'EOP Calculations'!G56+'Provisional Plant Additions'!F91</f>
        <v>6291497.8800618565</v>
      </c>
      <c r="E20" s="185"/>
      <c r="F20" s="185"/>
      <c r="G20" s="185"/>
      <c r="H20" s="185">
        <f>'EOP Calculations'!G61+SUM('Provisional Plant Additions'!F92:F94)</f>
        <v>1163198.4114052954</v>
      </c>
      <c r="I20" s="185">
        <v>1157894.0999999999</v>
      </c>
      <c r="J20" s="185">
        <v>207895</v>
      </c>
      <c r="K20" s="185">
        <v>70214275.392857149</v>
      </c>
      <c r="L20" s="185"/>
      <c r="M20" s="135"/>
      <c r="N20"/>
    </row>
    <row r="21" spans="1:22">
      <c r="A21" s="124">
        <f>MAX($A$10:A20)+1</f>
        <v>12</v>
      </c>
      <c r="B21" s="53" t="s">
        <v>3725</v>
      </c>
      <c r="C21" s="185">
        <f>'EOP Calculations'!H55+'Provisional Plant Additions'!G90</f>
        <v>6177365.8128786767</v>
      </c>
      <c r="D21" s="185">
        <f>'EOP Calculations'!H56+'Provisional Plant Additions'!G91</f>
        <v>4380949.2747116555</v>
      </c>
      <c r="E21" s="185"/>
      <c r="F21" s="185"/>
      <c r="G21" s="185"/>
      <c r="H21" s="185">
        <f>'EOP Calculations'!H61+SUM('Provisional Plant Additions'!G92:G94)</f>
        <v>909464.17959183676</v>
      </c>
      <c r="I21" s="185">
        <v>897016.22999999986</v>
      </c>
      <c r="J21" s="185">
        <v>123718</v>
      </c>
      <c r="K21" s="185">
        <v>37157853.523076922</v>
      </c>
      <c r="L21" s="185"/>
      <c r="M21" s="135"/>
      <c r="N21"/>
    </row>
    <row r="22" spans="1:22">
      <c r="A22" s="124">
        <f>MAX($A$10:A21)+1</f>
        <v>13</v>
      </c>
      <c r="B22" s="53" t="s">
        <v>3726</v>
      </c>
      <c r="C22" s="185">
        <f>'EOP Calculations'!I55+'Provisional Plant Additions'!H90</f>
        <v>3214119.9183472493</v>
      </c>
      <c r="D22" s="185">
        <f>'EOP Calculations'!I56+'Provisional Plant Additions'!H91</f>
        <v>2794326.6484336322</v>
      </c>
      <c r="E22" s="185"/>
      <c r="F22" s="185"/>
      <c r="G22" s="185"/>
      <c r="H22" s="185">
        <f>'EOP Calculations'!I61+SUM('Provisional Plant Additions'!H92:H94)</f>
        <v>552655.89795918367</v>
      </c>
      <c r="I22" s="185">
        <v>707155.0199999999</v>
      </c>
      <c r="J22" s="185">
        <v>98688</v>
      </c>
      <c r="K22" s="185">
        <v>40867560</v>
      </c>
      <c r="L22" s="185"/>
      <c r="M22" s="135"/>
      <c r="U22" s="263"/>
      <c r="V22" s="185"/>
    </row>
    <row r="23" spans="1:22">
      <c r="A23" s="124">
        <f>MAX($A$10:A22)+1</f>
        <v>14</v>
      </c>
      <c r="B23" s="53" t="s">
        <v>3727</v>
      </c>
      <c r="C23" s="185">
        <f>'EOP Calculations'!J55+'Provisional Plant Additions'!I90</f>
        <v>3320636.1637978242</v>
      </c>
      <c r="D23" s="185">
        <f>'EOP Calculations'!J56+'Provisional Plant Additions'!I91</f>
        <v>2887369.364801696</v>
      </c>
      <c r="E23" s="185"/>
      <c r="F23" s="185"/>
      <c r="G23" s="185"/>
      <c r="H23" s="185">
        <f>'EOP Calculations'!J61+SUM('Provisional Plant Additions'!I92:I94)</f>
        <v>451364.72801635991</v>
      </c>
      <c r="I23" s="185">
        <v>878127.03</v>
      </c>
      <c r="J23" s="185">
        <v>86202</v>
      </c>
      <c r="K23" s="185">
        <v>71703139</v>
      </c>
      <c r="L23" s="185"/>
      <c r="M23" s="135"/>
      <c r="T23" s="135"/>
      <c r="U23" s="68"/>
      <c r="V23" s="185"/>
    </row>
    <row r="24" spans="1:22">
      <c r="A24" s="124">
        <f>MAX($A$10:A23)+1</f>
        <v>15</v>
      </c>
      <c r="B24" s="53" t="s">
        <v>3728</v>
      </c>
      <c r="C24" s="185">
        <f>'EOP Calculations'!K55+'Provisional Plant Additions'!J90</f>
        <v>1742851.4551867836</v>
      </c>
      <c r="D24" s="185">
        <f>'EOP Calculations'!K56+'Provisional Plant Additions'!J91</f>
        <v>2887410.2914435351</v>
      </c>
      <c r="E24" s="185"/>
      <c r="F24" s="185"/>
      <c r="G24" s="185"/>
      <c r="H24" s="185">
        <f>'EOP Calculations'!K61+SUM('Provisional Plant Additions'!J92:J94)</f>
        <v>499303.80737704923</v>
      </c>
      <c r="I24" s="185">
        <v>968498</v>
      </c>
      <c r="J24" s="185">
        <v>85131</v>
      </c>
      <c r="K24" s="185">
        <v>81641857</v>
      </c>
      <c r="L24" s="185"/>
      <c r="M24" s="135"/>
      <c r="N24"/>
      <c r="U24" s="263"/>
      <c r="V24" s="185"/>
    </row>
    <row r="25" spans="1:22">
      <c r="A25" s="124">
        <f>MAX($A$10:A24)+1</f>
        <v>16</v>
      </c>
      <c r="B25" s="53" t="s">
        <v>3730</v>
      </c>
      <c r="C25" s="185">
        <f>'EOP Calculations'!L55+'Provisional Plant Additions'!K90</f>
        <v>3795726.2761420133</v>
      </c>
      <c r="D25" s="185">
        <f>'EOP Calculations'!L56+'Provisional Plant Additions'!K91</f>
        <v>4057680.6029422241</v>
      </c>
      <c r="E25" s="185"/>
      <c r="F25" s="185"/>
      <c r="G25" s="185"/>
      <c r="H25" s="185">
        <f>'EOP Calculations'!L61+SUM('Provisional Plant Additions'!K92:K94)</f>
        <v>550131.30737704923</v>
      </c>
      <c r="I25" s="185">
        <v>630536.05102040828</v>
      </c>
      <c r="J25" s="185">
        <v>107273</v>
      </c>
      <c r="K25" s="185">
        <v>85129383</v>
      </c>
      <c r="L25" s="185"/>
      <c r="M25" s="135"/>
      <c r="N25"/>
      <c r="U25" s="143"/>
    </row>
    <row r="26" spans="1:22">
      <c r="A26" s="124">
        <f>MAX($A$10:A25)+1</f>
        <v>17</v>
      </c>
      <c r="B26" s="53" t="s">
        <v>3731</v>
      </c>
      <c r="C26" s="185">
        <f>'EOP Calculations'!M55+'Provisional Plant Additions'!L90</f>
        <v>9240948.6422871519</v>
      </c>
      <c r="D26" s="185">
        <f>'EOP Calculations'!M56+'Provisional Plant Additions'!L91</f>
        <v>7401627.4767222079</v>
      </c>
      <c r="E26" s="185"/>
      <c r="F26" s="185"/>
      <c r="G26" s="185"/>
      <c r="H26" s="185">
        <f>'EOP Calculations'!M61+SUM('Provisional Plant Additions'!L92:L94)</f>
        <v>942073.68979591841</v>
      </c>
      <c r="I26" s="185">
        <v>1203514.7142857143</v>
      </c>
      <c r="J26" s="185">
        <v>169608</v>
      </c>
      <c r="K26" s="185">
        <v>84384386.802083343</v>
      </c>
      <c r="L26" s="185"/>
      <c r="M26" s="135"/>
      <c r="O26" s="135"/>
      <c r="P26" s="522"/>
      <c r="R26" s="522"/>
      <c r="S26" s="522"/>
      <c r="T26" s="522"/>
    </row>
    <row r="27" spans="1:22">
      <c r="A27" s="124">
        <f>MAX($A$10:A26)+1</f>
        <v>18</v>
      </c>
      <c r="B27" s="53" t="s">
        <v>3732</v>
      </c>
      <c r="C27" s="185">
        <f>'EOP Calculations'!N55+'Provisional Plant Additions'!M90</f>
        <v>17341165.19363929</v>
      </c>
      <c r="D27" s="185">
        <f>'EOP Calculations'!N56+'Provisional Plant Additions'!M91</f>
        <v>10969043.267989578</v>
      </c>
      <c r="E27" s="185"/>
      <c r="F27" s="185"/>
      <c r="G27" s="185"/>
      <c r="H27" s="185">
        <f>'EOP Calculations'!N61+SUM('Provisional Plant Additions'!M92:M94)</f>
        <v>1007467.1602434077</v>
      </c>
      <c r="I27" s="185">
        <v>1561254.2448979591</v>
      </c>
      <c r="J27" s="185">
        <v>236897</v>
      </c>
      <c r="K27" s="185">
        <v>84341331.71875</v>
      </c>
      <c r="L27" s="185"/>
      <c r="M27" s="135"/>
      <c r="N27"/>
      <c r="T27" s="263"/>
      <c r="U27" s="263"/>
    </row>
    <row r="28" spans="1:22">
      <c r="A28" s="124">
        <f>MAX($A$10:A27)+1</f>
        <v>19</v>
      </c>
      <c r="B28" s="53" t="s">
        <v>3733</v>
      </c>
      <c r="C28" s="185">
        <f>'EOP Calculations'!O55+'Provisional Plant Additions'!N90</f>
        <v>22400238.949816242</v>
      </c>
      <c r="D28" s="185">
        <f>'EOP Calculations'!O56+'Provisional Plant Additions'!N91</f>
        <v>14865015.168496821</v>
      </c>
      <c r="E28" s="185"/>
      <c r="F28" s="185"/>
      <c r="G28" s="185"/>
      <c r="H28" s="185">
        <f>'EOP Calculations'!O61+SUM('Provisional Plant Additions'!N92:N94)</f>
        <v>1376805.4828282828</v>
      </c>
      <c r="I28" s="185">
        <v>1600841</v>
      </c>
      <c r="J28" s="185">
        <v>249527</v>
      </c>
      <c r="K28" s="185">
        <v>86542553</v>
      </c>
      <c r="L28" s="185"/>
      <c r="M28" s="135"/>
    </row>
    <row r="29" spans="1:22">
      <c r="A29" s="124">
        <f>MAX($A$10:A28)+1</f>
        <v>20</v>
      </c>
      <c r="B29" s="224" t="s">
        <v>200</v>
      </c>
      <c r="C29" s="1086">
        <f>SUM(C17:C28)</f>
        <v>132185006.73470673</v>
      </c>
      <c r="D29" s="1086">
        <f>SUM(D17:D28)</f>
        <v>93408944.747611389</v>
      </c>
      <c r="E29" s="185"/>
      <c r="F29" s="185"/>
      <c r="G29" s="185"/>
      <c r="H29" s="1086">
        <f>SUM(H17:H28)</f>
        <v>12346308.541679751</v>
      </c>
      <c r="I29" s="1086">
        <f>SUM(I17:I28)</f>
        <v>16688677.44020408</v>
      </c>
      <c r="J29" s="1086">
        <f>SUM(J17:J28)</f>
        <v>2097598</v>
      </c>
      <c r="K29" s="1086">
        <f>SUM(K17:K28)</f>
        <v>854941070.21112645</v>
      </c>
      <c r="L29" s="135"/>
      <c r="M29" s="135"/>
    </row>
    <row r="30" spans="1:22">
      <c r="A30" s="124">
        <f>MAX($A$10:A29)+1</f>
        <v>21</v>
      </c>
      <c r="C30" s="124"/>
      <c r="D30" s="124"/>
      <c r="E30" s="185"/>
      <c r="F30" s="185"/>
      <c r="G30" s="185"/>
      <c r="H30" s="124"/>
      <c r="I30" s="124"/>
      <c r="J30" s="124"/>
      <c r="K30" s="124"/>
    </row>
    <row r="31" spans="1:22">
      <c r="A31" s="124">
        <f>MAX($A$10:A30)+1</f>
        <v>22</v>
      </c>
      <c r="B31" s="66" t="s">
        <v>3793</v>
      </c>
      <c r="C31"/>
      <c r="D31"/>
      <c r="E31"/>
      <c r="F31"/>
      <c r="G31"/>
      <c r="H31"/>
      <c r="I31"/>
      <c r="J31"/>
      <c r="K31"/>
      <c r="O31" s="135"/>
      <c r="P31" s="522"/>
      <c r="R31" s="522"/>
      <c r="S31" s="522"/>
      <c r="T31" s="522"/>
    </row>
    <row r="32" spans="1:22">
      <c r="A32" s="124">
        <f>MAX($A$10:A31)+1</f>
        <v>23</v>
      </c>
      <c r="B32" t="s">
        <v>3722</v>
      </c>
      <c r="C32" s="135">
        <f>'EOP Calculations'!Q55</f>
        <v>2454192</v>
      </c>
      <c r="D32" s="135">
        <f>'EOP Calculations'!Q56</f>
        <v>331872</v>
      </c>
      <c r="F32" s="135"/>
      <c r="G32" s="135"/>
      <c r="H32" s="135">
        <f>'EOP Calculations'!Q58</f>
        <v>5940</v>
      </c>
      <c r="I32" s="135">
        <f>'EOP Calculations'!Q63</f>
        <v>1188</v>
      </c>
      <c r="J32" s="135">
        <f>'EOP Calculations'!Q68</f>
        <v>84</v>
      </c>
      <c r="K32" s="135">
        <f>'EOP Calculations'!Q72</f>
        <v>2316</v>
      </c>
      <c r="N32"/>
    </row>
    <row r="33" spans="1:20">
      <c r="A33" s="124">
        <f>MAX($A$10:A32)+1</f>
        <v>24</v>
      </c>
      <c r="B33" s="53" t="s">
        <v>3724</v>
      </c>
      <c r="C33" s="356">
        <f>SUM('Provisional Plant Additions'!C78:N78)</f>
        <v>42912</v>
      </c>
      <c r="D33" s="356">
        <f>SUM('Provisional Plant Additions'!C79:N79)</f>
        <v>5352</v>
      </c>
      <c r="E33" s="356"/>
      <c r="F33" s="356"/>
      <c r="G33" s="356"/>
      <c r="H33" s="356">
        <f>SUM('Provisional Plant Additions'!C80:N80)</f>
        <v>84</v>
      </c>
      <c r="I33" s="356">
        <v>0</v>
      </c>
      <c r="J33" s="356">
        <v>0</v>
      </c>
      <c r="K33" s="356">
        <v>0</v>
      </c>
      <c r="N33"/>
    </row>
    <row r="34" spans="1:20">
      <c r="A34" s="124">
        <f>MAX($A$10:A33)+1</f>
        <v>25</v>
      </c>
      <c r="B34" t="s">
        <v>3787</v>
      </c>
      <c r="C34" s="135">
        <f>C32+C33</f>
        <v>2497104</v>
      </c>
      <c r="D34" s="522">
        <f>D32+D33</f>
        <v>337224</v>
      </c>
      <c r="F34" s="522"/>
      <c r="G34" s="522"/>
      <c r="H34" s="522">
        <f>H32+H33</f>
        <v>6024</v>
      </c>
      <c r="I34" s="522">
        <f>I32+I33</f>
        <v>1188</v>
      </c>
      <c r="J34" s="522">
        <f>J32+J33</f>
        <v>84</v>
      </c>
      <c r="K34" s="522">
        <f>K32+K33</f>
        <v>2316</v>
      </c>
      <c r="O34" s="135"/>
      <c r="P34" s="522"/>
      <c r="R34" s="522"/>
      <c r="S34" s="522"/>
      <c r="T34" s="522"/>
    </row>
    <row r="35" spans="1:20">
      <c r="A35" s="124">
        <f>MAX($A$10:A34)+1</f>
        <v>26</v>
      </c>
      <c r="B35"/>
      <c r="C35"/>
      <c r="D35"/>
      <c r="E35"/>
      <c r="F35"/>
      <c r="G35"/>
      <c r="H35"/>
      <c r="I35"/>
      <c r="J35"/>
      <c r="K35"/>
      <c r="O35" s="135"/>
      <c r="P35" s="522"/>
      <c r="Q35" s="522"/>
      <c r="R35" s="522"/>
      <c r="S35" s="522"/>
    </row>
    <row r="36" spans="1:20">
      <c r="A36" s="124">
        <f>MAX($A$10:A35)+1</f>
        <v>27</v>
      </c>
      <c r="B36" s="66" t="s">
        <v>3794</v>
      </c>
      <c r="K36" s="356"/>
    </row>
    <row r="37" spans="1:20">
      <c r="A37" s="124">
        <f>MAX($A$10:A36)+1</f>
        <v>28</v>
      </c>
      <c r="B37" t="s">
        <v>3722</v>
      </c>
      <c r="C37" s="356">
        <f>'EOP Calculations'!R55</f>
        <v>204516</v>
      </c>
      <c r="D37" s="356">
        <f>'EOP Calculations'!R56</f>
        <v>27656</v>
      </c>
      <c r="E37" s="356"/>
      <c r="F37" s="356"/>
      <c r="G37" s="356"/>
      <c r="H37" s="356">
        <f>'EOP Calculations'!R58</f>
        <v>495</v>
      </c>
      <c r="I37" s="356">
        <f>'EOP Calculations'!R63</f>
        <v>99</v>
      </c>
      <c r="J37" s="356">
        <f>'EOP Calculations'!R68</f>
        <v>7</v>
      </c>
      <c r="K37" s="579">
        <f>'EOP Calculations'!R72</f>
        <v>193</v>
      </c>
    </row>
    <row r="38" spans="1:20">
      <c r="A38" s="124">
        <f>MAX($A$10:A37)+1</f>
        <v>29</v>
      </c>
      <c r="B38" s="53" t="s">
        <v>3724</v>
      </c>
      <c r="C38" s="356">
        <f>+'Provisional Plant Additions'!C78</f>
        <v>3576</v>
      </c>
      <c r="D38" s="356">
        <f>+'Provisional Plant Additions'!C79</f>
        <v>446</v>
      </c>
      <c r="E38" s="356"/>
      <c r="F38" s="356"/>
      <c r="G38" s="356"/>
      <c r="H38" s="356">
        <f>+'Provisional Plant Additions'!C80</f>
        <v>7</v>
      </c>
      <c r="I38" s="356">
        <v>0</v>
      </c>
      <c r="J38" s="356">
        <v>0</v>
      </c>
      <c r="K38" s="356">
        <v>0</v>
      </c>
    </row>
    <row r="39" spans="1:20">
      <c r="A39" s="124">
        <f>MAX($A$10:A38)+1</f>
        <v>30</v>
      </c>
      <c r="B39" t="s">
        <v>3787</v>
      </c>
      <c r="C39" s="522">
        <f>C37+C38</f>
        <v>208092</v>
      </c>
      <c r="D39" s="522">
        <f>D37+D38</f>
        <v>28102</v>
      </c>
      <c r="E39"/>
      <c r="F39"/>
      <c r="G39"/>
      <c r="H39" s="522">
        <f>H37+H38</f>
        <v>502</v>
      </c>
      <c r="I39" s="522">
        <f>I37+I38</f>
        <v>99</v>
      </c>
      <c r="J39" s="522">
        <f>J37+J38</f>
        <v>7</v>
      </c>
      <c r="K39" s="522">
        <f>K37+K38</f>
        <v>193</v>
      </c>
    </row>
    <row r="40" spans="1:20">
      <c r="A40" s="124">
        <f>MAX($A$10:A39)+1</f>
        <v>31</v>
      </c>
      <c r="B40"/>
      <c r="C40" s="522"/>
      <c r="D40" s="522"/>
      <c r="E40" s="522"/>
      <c r="F40" s="522"/>
      <c r="G40" s="522"/>
      <c r="H40" s="522"/>
      <c r="I40" s="522"/>
      <c r="J40" s="522"/>
      <c r="K40" s="522"/>
    </row>
    <row r="41" spans="1:20">
      <c r="A41" s="124">
        <f>MAX($A$10:A40)+1</f>
        <v>32</v>
      </c>
      <c r="B41" s="1087">
        <v>46082</v>
      </c>
      <c r="C41"/>
      <c r="D41"/>
      <c r="E41"/>
      <c r="F41"/>
      <c r="G41"/>
      <c r="H41"/>
      <c r="I41"/>
      <c r="J41"/>
      <c r="K41"/>
    </row>
    <row r="42" spans="1:20">
      <c r="A42" s="124">
        <f>MAX($A$10:A41)+1</f>
        <v>33</v>
      </c>
      <c r="B42" s="66" t="s">
        <v>3714</v>
      </c>
      <c r="K42" s="356"/>
      <c r="M42" s="135"/>
      <c r="N42"/>
    </row>
    <row r="43" spans="1:20">
      <c r="A43" s="124">
        <f>MAX($A$10:A42)+1</f>
        <v>34</v>
      </c>
      <c r="B43" t="s">
        <v>3729</v>
      </c>
      <c r="C43" s="522">
        <f>SUM('Provisional Plant Additions'!O90:Z90)</f>
        <v>2265843.5644940645</v>
      </c>
      <c r="D43" s="522">
        <f>SUM('Provisional Plant Additions'!O91:Z91)</f>
        <v>1455879.2185415199</v>
      </c>
      <c r="E43" s="522">
        <f>SUM('Provisional Plant Additions'!O92:Z92)</f>
        <v>21655.67141885087</v>
      </c>
      <c r="F43" s="522">
        <f>SUM('Provisional Plant Additions'!O93:Z93)</f>
        <v>68471.680976524978</v>
      </c>
      <c r="G43" s="522">
        <f>SUM('Provisional Plant Additions'!O94:Z94)</f>
        <v>57438.08834183235</v>
      </c>
      <c r="H43" s="522">
        <f>SUM(E43:G43)</f>
        <v>147565.44073720818</v>
      </c>
      <c r="I43" s="522">
        <v>0</v>
      </c>
      <c r="J43" s="522">
        <v>0</v>
      </c>
      <c r="K43" s="356">
        <v>0</v>
      </c>
      <c r="M43" s="135"/>
      <c r="N43"/>
    </row>
    <row r="44" spans="1:20">
      <c r="A44" s="124">
        <f>MAX($A$10:A43)+1</f>
        <v>35</v>
      </c>
      <c r="B44" t="s">
        <v>3788</v>
      </c>
      <c r="C44" s="522">
        <f t="shared" ref="C44:K44" si="1">C14+C43</f>
        <v>134450850.29920077</v>
      </c>
      <c r="D44" s="522">
        <f t="shared" si="1"/>
        <v>94864823.966152921</v>
      </c>
      <c r="E44" s="522">
        <f t="shared" si="1"/>
        <v>1833513.5134627069</v>
      </c>
      <c r="F44" s="522">
        <f t="shared" si="1"/>
        <v>5797268.9893457806</v>
      </c>
      <c r="G44" s="522">
        <f t="shared" si="1"/>
        <v>4863091.4796084724</v>
      </c>
      <c r="H44" s="522">
        <f t="shared" si="1"/>
        <v>12493873.982416959</v>
      </c>
      <c r="I44" s="522">
        <f t="shared" si="1"/>
        <v>16688677.44020408</v>
      </c>
      <c r="J44" s="522">
        <f t="shared" si="1"/>
        <v>2097598</v>
      </c>
      <c r="K44" s="522">
        <f t="shared" si="1"/>
        <v>854941070.21112645</v>
      </c>
      <c r="M44" s="135"/>
      <c r="N44"/>
    </row>
    <row r="45" spans="1:20">
      <c r="A45" s="124">
        <f>MAX($A$10:A44)+1</f>
        <v>36</v>
      </c>
      <c r="B45" s="424"/>
      <c r="C45" s="357"/>
      <c r="D45" s="357"/>
      <c r="E45" s="357"/>
      <c r="F45" s="357"/>
      <c r="G45" s="357"/>
      <c r="H45" s="357"/>
      <c r="I45" s="357"/>
      <c r="J45" s="357"/>
      <c r="K45" s="357"/>
    </row>
    <row r="46" spans="1:20">
      <c r="A46" s="124">
        <f>MAX($A$10:A45)+1</f>
        <v>37</v>
      </c>
      <c r="B46" s="66" t="s">
        <v>3715</v>
      </c>
      <c r="C46" s="66"/>
      <c r="D46" s="66"/>
      <c r="E46" s="66"/>
      <c r="F46" s="66"/>
      <c r="G46" s="66"/>
      <c r="H46" s="66"/>
      <c r="I46" s="66"/>
      <c r="J46" s="66"/>
      <c r="K46" s="66"/>
    </row>
    <row r="47" spans="1:20">
      <c r="A47" s="124">
        <f>MAX($A$10:A46)+1</f>
        <v>38</v>
      </c>
      <c r="B47" s="53" t="s">
        <v>3716</v>
      </c>
      <c r="C47" s="185">
        <f>C17+'Provisional Plant Additions'!O90</f>
        <v>22874315.082254101</v>
      </c>
      <c r="D47" s="185">
        <f>D17+'Provisional Plant Additions'!O91</f>
        <v>15322189.783906693</v>
      </c>
      <c r="E47" s="185"/>
      <c r="F47" s="185"/>
      <c r="G47" s="185"/>
      <c r="H47" s="185">
        <f>H17+SUM('Provisional Plant Additions'!O92:O94)</f>
        <v>1892601.1129032257</v>
      </c>
      <c r="I47" s="185">
        <f t="shared" ref="I47:K58" si="2">I17</f>
        <v>2349439.29</v>
      </c>
      <c r="J47" s="185">
        <f t="shared" si="2"/>
        <v>254735</v>
      </c>
      <c r="K47" s="185">
        <f t="shared" si="2"/>
        <v>72733331.71794872</v>
      </c>
    </row>
    <row r="48" spans="1:20">
      <c r="A48" s="124">
        <f>MAX($A$10:A47)+1</f>
        <v>39</v>
      </c>
      <c r="B48" s="53" t="s">
        <v>3720</v>
      </c>
      <c r="C48" s="185">
        <f>C18+'Provisional Plant Additions'!P90</f>
        <v>17951619.841853518</v>
      </c>
      <c r="D48" s="185">
        <f>D18+'Provisional Plant Additions'!P91</f>
        <v>12179472.053330461</v>
      </c>
      <c r="E48" s="185"/>
      <c r="F48" s="185"/>
      <c r="G48" s="185"/>
      <c r="H48" s="185">
        <f>H18+SUM('Provisional Plant Additions'!P92:P94)</f>
        <v>1367221.5725806453</v>
      </c>
      <c r="I48" s="185">
        <f t="shared" si="2"/>
        <v>3096067.59</v>
      </c>
      <c r="J48" s="185">
        <f t="shared" si="2"/>
        <v>233311</v>
      </c>
      <c r="K48" s="185">
        <f t="shared" ref="K48:K58" si="3">K18</f>
        <v>61152004.471794873</v>
      </c>
    </row>
    <row r="49" spans="1:11">
      <c r="A49" s="124">
        <f>MAX($A$10:A48)+1</f>
        <v>40</v>
      </c>
      <c r="B49" s="53" t="s">
        <v>3721</v>
      </c>
      <c r="C49" s="185">
        <f>C19+'Provisional Plant Additions'!Q90</f>
        <v>15330553.528294871</v>
      </c>
      <c r="D49" s="185">
        <f>D19+'Provisional Plant Additions'!Q91</f>
        <v>9947084.4083366133</v>
      </c>
      <c r="E49" s="185"/>
      <c r="F49" s="185"/>
      <c r="G49" s="185"/>
      <c r="H49" s="185">
        <f>H19+SUM('Provisional Plant Additions'!Q92:Q94)</f>
        <v>1692513.3494949494</v>
      </c>
      <c r="I49" s="185">
        <f t="shared" si="2"/>
        <v>1638334.17</v>
      </c>
      <c r="J49" s="185">
        <f t="shared" si="2"/>
        <v>244613</v>
      </c>
      <c r="K49" s="185">
        <f t="shared" si="3"/>
        <v>79073394.58461538</v>
      </c>
    </row>
    <row r="50" spans="1:11">
      <c r="A50" s="124">
        <f>MAX($A$10:A49)+1</f>
        <v>41</v>
      </c>
      <c r="B50" s="53" t="s">
        <v>3723</v>
      </c>
      <c r="C50" s="185">
        <f>C20+'Provisional Plant Additions'!R90</f>
        <v>9908836.9804331046</v>
      </c>
      <c r="D50" s="185">
        <f>D20+'Provisional Plant Additions'!R91</f>
        <v>6389557.6648268942</v>
      </c>
      <c r="E50" s="185"/>
      <c r="F50" s="185"/>
      <c r="G50" s="185"/>
      <c r="H50" s="185">
        <f>H20+SUM('Provisional Plant Additions'!R92:R94)</f>
        <v>1177101.1812627292</v>
      </c>
      <c r="I50" s="185">
        <f t="shared" si="2"/>
        <v>1157894.0999999999</v>
      </c>
      <c r="J50" s="185">
        <f t="shared" si="2"/>
        <v>207895</v>
      </c>
      <c r="K50" s="185">
        <f t="shared" si="3"/>
        <v>70214275.392857149</v>
      </c>
    </row>
    <row r="51" spans="1:11">
      <c r="A51" s="124">
        <f>MAX($A$10:A50)+1</f>
        <v>42</v>
      </c>
      <c r="B51" s="53" t="s">
        <v>3725</v>
      </c>
      <c r="C51" s="185">
        <f>C21+'Provisional Plant Additions'!S90</f>
        <v>6283254.8612540979</v>
      </c>
      <c r="D51" s="185">
        <f>D21+'Provisional Plant Additions'!S91</f>
        <v>4449231.0974404188</v>
      </c>
      <c r="E51" s="185"/>
      <c r="F51" s="185"/>
      <c r="G51" s="185"/>
      <c r="H51" s="185">
        <f>H21+SUM('Provisional Plant Additions'!S92:S94)</f>
        <v>920334.26938775508</v>
      </c>
      <c r="I51" s="185">
        <f t="shared" si="2"/>
        <v>897016.22999999986</v>
      </c>
      <c r="J51" s="185">
        <f t="shared" si="2"/>
        <v>123718</v>
      </c>
      <c r="K51" s="185">
        <f t="shared" si="3"/>
        <v>37157853.523076922</v>
      </c>
    </row>
    <row r="52" spans="1:11">
      <c r="A52" s="124">
        <f>MAX($A$10:A51)+1</f>
        <v>43</v>
      </c>
      <c r="B52" s="53" t="s">
        <v>3726</v>
      </c>
      <c r="C52" s="185">
        <f>C22+'Provisional Plant Additions'!T90</f>
        <v>3269214.6156385657</v>
      </c>
      <c r="D52" s="185">
        <f>D22+'Provisional Plant Additions'!T91</f>
        <v>2837879.2451176378</v>
      </c>
      <c r="E52" s="185"/>
      <c r="F52" s="185"/>
      <c r="G52" s="185"/>
      <c r="H52" s="185">
        <f>H22+SUM('Provisional Plant Additions'!T92:T94)</f>
        <v>559261.3469387755</v>
      </c>
      <c r="I52" s="185">
        <f t="shared" si="2"/>
        <v>707155.0199999999</v>
      </c>
      <c r="J52" s="185">
        <f t="shared" si="2"/>
        <v>98688</v>
      </c>
      <c r="K52" s="185">
        <f t="shared" si="3"/>
        <v>40867560</v>
      </c>
    </row>
    <row r="53" spans="1:11">
      <c r="A53" s="124">
        <f>MAX($A$10:A52)+1</f>
        <v>44</v>
      </c>
      <c r="B53" s="53" t="s">
        <v>3727</v>
      </c>
      <c r="C53" s="185">
        <f>C23+'Provisional Plant Additions'!U90</f>
        <v>3377556.7046944797</v>
      </c>
      <c r="D53" s="185">
        <f>D23+'Provisional Plant Additions'!U91</f>
        <v>2932372.1326396842</v>
      </c>
      <c r="E53" s="185"/>
      <c r="F53" s="185"/>
      <c r="G53" s="185"/>
      <c r="H53" s="185">
        <f>H23+SUM('Provisional Plant Additions'!U92:U94)</f>
        <v>456759.52556237218</v>
      </c>
      <c r="I53" s="185">
        <f t="shared" si="2"/>
        <v>878127.03</v>
      </c>
      <c r="J53" s="185">
        <f t="shared" si="2"/>
        <v>86202</v>
      </c>
      <c r="K53" s="185">
        <f t="shared" si="3"/>
        <v>71703139</v>
      </c>
    </row>
    <row r="54" spans="1:11">
      <c r="A54" s="124">
        <f>MAX($A$10:A53)+1</f>
        <v>45</v>
      </c>
      <c r="B54" s="53" t="s">
        <v>3728</v>
      </c>
      <c r="C54" s="185">
        <f>C24+'Provisional Plant Additions'!V90</f>
        <v>1772726.4678766094</v>
      </c>
      <c r="D54" s="185">
        <f>D24+'Provisional Plant Additions'!V91</f>
        <v>2932413.6971674077</v>
      </c>
      <c r="E54" s="185"/>
      <c r="F54" s="185"/>
      <c r="G54" s="185"/>
      <c r="H54" s="185">
        <f>H24+SUM('Provisional Plant Additions'!V92:V94)</f>
        <v>505271.58196721319</v>
      </c>
      <c r="I54" s="185">
        <f t="shared" si="2"/>
        <v>968498</v>
      </c>
      <c r="J54" s="185">
        <f t="shared" si="2"/>
        <v>85131</v>
      </c>
      <c r="K54" s="185">
        <f t="shared" si="3"/>
        <v>81641857</v>
      </c>
    </row>
    <row r="55" spans="1:11">
      <c r="A55" s="124">
        <f>MAX($A$10:A54)+1</f>
        <v>46</v>
      </c>
      <c r="B55" s="53" t="s">
        <v>3730</v>
      </c>
      <c r="C55" s="185">
        <f>C25+'Provisional Plant Additions'!W90</f>
        <v>3860790.5536106261</v>
      </c>
      <c r="D55" s="185">
        <f>D25+'Provisional Plant Additions'!W91</f>
        <v>4120923.9345232039</v>
      </c>
      <c r="E55" s="185"/>
      <c r="F55" s="185"/>
      <c r="G55" s="185"/>
      <c r="H55" s="185">
        <f>H25+SUM('Provisional Plant Additions'!W92:W94)</f>
        <v>556706.58196721319</v>
      </c>
      <c r="I55" s="185">
        <f t="shared" si="2"/>
        <v>630536.05102040828</v>
      </c>
      <c r="J55" s="185">
        <f t="shared" si="2"/>
        <v>107273</v>
      </c>
      <c r="K55" s="185">
        <f t="shared" si="3"/>
        <v>85129383</v>
      </c>
    </row>
    <row r="56" spans="1:11">
      <c r="A56" s="124">
        <f>MAX($A$10:A55)+1</f>
        <v>47</v>
      </c>
      <c r="B56" s="53" t="s">
        <v>3731</v>
      </c>
      <c r="C56" s="185">
        <f>C26+'Provisional Plant Additions'!X90</f>
        <v>9399351.9629676118</v>
      </c>
      <c r="D56" s="185">
        <f>D26+'Provisional Plant Additions'!X91</f>
        <v>7516989.8293947699</v>
      </c>
      <c r="E56" s="185"/>
      <c r="F56" s="185"/>
      <c r="G56" s="185"/>
      <c r="H56" s="185">
        <f>H26+SUM('Provisional Plant Additions'!X92:X94)</f>
        <v>953333.53469387756</v>
      </c>
      <c r="I56" s="185">
        <f t="shared" si="2"/>
        <v>1203514.7142857143</v>
      </c>
      <c r="J56" s="185">
        <f t="shared" si="2"/>
        <v>169608</v>
      </c>
      <c r="K56" s="185">
        <f t="shared" si="3"/>
        <v>84384386.802083343</v>
      </c>
    </row>
    <row r="57" spans="1:11">
      <c r="A57" s="124">
        <f>MAX($A$10:A56)+1</f>
        <v>48</v>
      </c>
      <c r="B57" s="53" t="s">
        <v>3732</v>
      </c>
      <c r="C57" s="185">
        <f>C27+'Provisional Plant Additions'!Y90</f>
        <v>17638418.025298897</v>
      </c>
      <c r="D57" s="185">
        <f>D27+'Provisional Plant Additions'!Y91</f>
        <v>11140007.646018879</v>
      </c>
      <c r="E57" s="185"/>
      <c r="F57" s="185"/>
      <c r="G57" s="185"/>
      <c r="H57" s="185">
        <f>H27+SUM('Provisional Plant Additions'!Y92:Y94)</f>
        <v>1019508.6004056796</v>
      </c>
      <c r="I57" s="185">
        <f t="shared" si="2"/>
        <v>1561254.2448979591</v>
      </c>
      <c r="J57" s="185">
        <f t="shared" si="2"/>
        <v>236897</v>
      </c>
      <c r="K57" s="185">
        <f t="shared" si="3"/>
        <v>84341331.71875</v>
      </c>
    </row>
    <row r="58" spans="1:11">
      <c r="A58" s="124">
        <f>MAX($A$10:A57)+1</f>
        <v>49</v>
      </c>
      <c r="B58" s="53" t="s">
        <v>3733</v>
      </c>
      <c r="C58" s="185">
        <f>C28+'Provisional Plant Additions'!Z90</f>
        <v>22784211.675024297</v>
      </c>
      <c r="D58" s="185">
        <f>D28+'Provisional Plant Additions'!Z91</f>
        <v>15096702.473450262</v>
      </c>
      <c r="E58" s="185"/>
      <c r="F58" s="185"/>
      <c r="G58" s="185"/>
      <c r="H58" s="185">
        <f>H28+SUM('Provisional Plant Additions'!Z92:Z94)</f>
        <v>1393261.3252525253</v>
      </c>
      <c r="I58" s="185">
        <f t="shared" si="2"/>
        <v>1600841</v>
      </c>
      <c r="J58" s="185">
        <f t="shared" si="2"/>
        <v>249527</v>
      </c>
      <c r="K58" s="185">
        <f t="shared" si="3"/>
        <v>86542553</v>
      </c>
    </row>
    <row r="59" spans="1:11">
      <c r="A59" s="124">
        <f>MAX($A$10:A58)+1</f>
        <v>50</v>
      </c>
      <c r="B59" s="224" t="s">
        <v>200</v>
      </c>
      <c r="C59" s="1086">
        <f>SUM(C47:C58)</f>
        <v>134450850.29920077</v>
      </c>
      <c r="D59" s="1086">
        <f>SUM(D47:D58)</f>
        <v>94864823.966152906</v>
      </c>
      <c r="E59" s="185"/>
      <c r="F59" s="185"/>
      <c r="G59" s="185"/>
      <c r="H59" s="488">
        <f>SUM(H47:H58)</f>
        <v>12493873.982416963</v>
      </c>
      <c r="I59" s="488">
        <f>SUM(I47:I58)</f>
        <v>16688677.44020408</v>
      </c>
      <c r="J59" s="488">
        <f>SUM(J47:J58)</f>
        <v>2097598</v>
      </c>
      <c r="K59" s="488">
        <f>SUM(K47:K58)</f>
        <v>854941070.21112645</v>
      </c>
    </row>
    <row r="60" spans="1:11">
      <c r="A60" s="124">
        <f>MAX($A$10:A59)+1</f>
        <v>51</v>
      </c>
      <c r="C60" s="124"/>
      <c r="D60" s="124"/>
      <c r="E60" s="185"/>
      <c r="F60" s="185"/>
      <c r="G60" s="185"/>
      <c r="H60" s="124"/>
      <c r="I60" s="124"/>
      <c r="J60" s="124"/>
      <c r="K60" s="124"/>
    </row>
    <row r="61" spans="1:11">
      <c r="A61" s="124">
        <f>MAX($A$10:A60)+1</f>
        <v>52</v>
      </c>
      <c r="B61" s="66" t="s">
        <v>3793</v>
      </c>
      <c r="C61"/>
      <c r="D61"/>
      <c r="E61"/>
      <c r="F61"/>
      <c r="G61"/>
      <c r="H61"/>
      <c r="I61"/>
      <c r="J61"/>
      <c r="K61"/>
    </row>
    <row r="62" spans="1:11">
      <c r="A62" s="124">
        <f>MAX($A$10:A61)+1</f>
        <v>53</v>
      </c>
      <c r="B62" s="53" t="s">
        <v>3729</v>
      </c>
      <c r="C62" s="135">
        <f>SUM('Provisional Plant Additions'!O78:Z78)</f>
        <v>42804</v>
      </c>
      <c r="D62" s="522">
        <f>SUM('Provisional Plant Additions'!O79:Z79)</f>
        <v>5256</v>
      </c>
      <c r="F62" s="522"/>
      <c r="G62" s="522"/>
      <c r="H62" s="522">
        <f>SUM('Provisional Plant Additions'!O80:Z80)</f>
        <v>72</v>
      </c>
      <c r="I62" s="522">
        <v>0</v>
      </c>
      <c r="J62" s="522">
        <v>0</v>
      </c>
      <c r="K62" s="522">
        <v>0</v>
      </c>
    </row>
    <row r="63" spans="1:11">
      <c r="A63" s="124">
        <f>MAX($A$10:A62)+1</f>
        <v>54</v>
      </c>
      <c r="B63" t="s">
        <v>3788</v>
      </c>
      <c r="C63" s="135">
        <f>C34+C62</f>
        <v>2539908</v>
      </c>
      <c r="D63" s="135">
        <f>D34+D62</f>
        <v>342480</v>
      </c>
      <c r="F63" s="522"/>
      <c r="G63" s="522"/>
      <c r="H63" s="135">
        <f>H34+H62</f>
        <v>6096</v>
      </c>
      <c r="I63" s="135">
        <f>I34+I62</f>
        <v>1188</v>
      </c>
      <c r="J63" s="135">
        <f>J34+J62</f>
        <v>84</v>
      </c>
      <c r="K63" s="135">
        <f>K34+K62</f>
        <v>2316</v>
      </c>
    </row>
    <row r="64" spans="1:11">
      <c r="A64" s="124">
        <f>MAX($A$10:A63)+1</f>
        <v>55</v>
      </c>
      <c r="B64"/>
      <c r="C64"/>
      <c r="D64"/>
      <c r="E64"/>
      <c r="F64"/>
      <c r="G64"/>
      <c r="H64"/>
      <c r="I64"/>
      <c r="J64"/>
      <c r="K64"/>
    </row>
    <row r="65" spans="1:11">
      <c r="A65" s="124">
        <f>MAX($A$10:A64)+1</f>
        <v>56</v>
      </c>
      <c r="B65" s="66" t="s">
        <v>3794</v>
      </c>
      <c r="C65"/>
      <c r="D65"/>
      <c r="E65"/>
      <c r="F65"/>
      <c r="G65"/>
      <c r="H65"/>
      <c r="I65"/>
      <c r="J65"/>
      <c r="K65"/>
    </row>
    <row r="66" spans="1:11">
      <c r="A66" s="124">
        <f>MAX($A$10:A65)+1</f>
        <v>57</v>
      </c>
      <c r="B66" s="53" t="s">
        <v>3729</v>
      </c>
      <c r="C66" s="356">
        <f>+'Provisional Plant Additions'!O78</f>
        <v>3567</v>
      </c>
      <c r="D66" s="356">
        <f>+'Provisional Plant Additions'!O79</f>
        <v>438</v>
      </c>
      <c r="E66" s="356"/>
      <c r="F66" s="356"/>
      <c r="G66" s="356"/>
      <c r="H66" s="356">
        <f>+'Provisional Plant Additions'!O80</f>
        <v>6</v>
      </c>
      <c r="I66" s="522">
        <v>0</v>
      </c>
      <c r="J66" s="522">
        <v>0</v>
      </c>
      <c r="K66" s="522">
        <v>0</v>
      </c>
    </row>
    <row r="67" spans="1:11">
      <c r="A67" s="124">
        <f>MAX($A$10:A66)+1</f>
        <v>58</v>
      </c>
      <c r="B67" t="s">
        <v>3788</v>
      </c>
      <c r="C67" s="356">
        <f>C39+C66</f>
        <v>211659</v>
      </c>
      <c r="D67" s="356">
        <f>D39+D66</f>
        <v>28540</v>
      </c>
      <c r="E67" s="356"/>
      <c r="F67" s="356"/>
      <c r="G67" s="356"/>
      <c r="H67" s="356">
        <f>H39+H66</f>
        <v>508</v>
      </c>
      <c r="I67" s="356">
        <f>I39+I66</f>
        <v>99</v>
      </c>
      <c r="J67" s="356">
        <f>J39+J66</f>
        <v>7</v>
      </c>
      <c r="K67" s="356">
        <f>K39+K66</f>
        <v>193</v>
      </c>
    </row>
    <row r="68" spans="1:11">
      <c r="A68"/>
      <c r="B68"/>
      <c r="C68" s="522"/>
      <c r="D68" s="522"/>
      <c r="E68" s="522"/>
      <c r="F68" s="522"/>
      <c r="G68" s="522"/>
      <c r="H68" s="522"/>
      <c r="I68" s="522"/>
      <c r="J68" s="522"/>
      <c r="K68" s="522"/>
    </row>
    <row r="69" spans="1:11">
      <c r="A69"/>
      <c r="B69" s="520"/>
      <c r="C69" s="135"/>
      <c r="D69" s="356"/>
      <c r="E69" s="356"/>
      <c r="F69" s="356"/>
      <c r="G69" s="356"/>
      <c r="H69" s="356"/>
      <c r="I69" s="356"/>
      <c r="J69" s="356"/>
      <c r="K69"/>
    </row>
    <row r="70" spans="1:11">
      <c r="A70"/>
      <c r="B70"/>
      <c r="C70"/>
      <c r="D70"/>
      <c r="E70"/>
      <c r="F70"/>
      <c r="G70"/>
      <c r="H70"/>
      <c r="I70"/>
      <c r="J70"/>
      <c r="K70"/>
    </row>
    <row r="71" spans="1:11">
      <c r="A71"/>
      <c r="B71"/>
      <c r="C71"/>
      <c r="D71"/>
      <c r="E71"/>
      <c r="F71"/>
      <c r="G71"/>
      <c r="H71"/>
      <c r="I71"/>
      <c r="J71"/>
      <c r="K71"/>
    </row>
    <row r="72" spans="1:11">
      <c r="A72"/>
      <c r="B72"/>
      <c r="C72"/>
      <c r="D72"/>
      <c r="E72"/>
      <c r="F72"/>
      <c r="G72"/>
      <c r="H72"/>
      <c r="I72"/>
      <c r="J72"/>
      <c r="K72"/>
    </row>
  </sheetData>
  <mergeCells count="7">
    <mergeCell ref="A7:J7"/>
    <mergeCell ref="A6:K6"/>
    <mergeCell ref="A1:K1"/>
    <mergeCell ref="A2:K2"/>
    <mergeCell ref="A3:K3"/>
    <mergeCell ref="E4:F4"/>
    <mergeCell ref="E5:F5"/>
  </mergeCells>
  <phoneticPr fontId="122" type="noConversion"/>
  <pageMargins left="1" right="1" top="1" bottom="1" header="0.3" footer="0.3"/>
  <pageSetup scale="53" fitToHeight="0" orientation="portrait" r:id="rId1"/>
  <headerFooter scaleWithDoc="0">
    <oddHeader xml:space="preserve">&amp;RPage 1 of 1
</oddHeader>
    <oddFooter>&amp;L&amp;A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BF80-D4D3-4672-8FC2-E04AA6BA1E6B}">
  <sheetPr codeName="Sheet81"/>
  <dimension ref="A1:AE370"/>
  <sheetViews>
    <sheetView topLeftCell="A190" zoomScale="85" zoomScaleNormal="85" workbookViewId="0">
      <selection activeCell="C5" sqref="C5:H5"/>
    </sheetView>
  </sheetViews>
  <sheetFormatPr defaultColWidth="8.7109375" defaultRowHeight="15.75" outlineLevelRow="2"/>
  <cols>
    <col min="1" max="1" width="8.7109375" style="1107"/>
    <col min="2" max="2" width="38.140625" style="1107" customWidth="1"/>
    <col min="3" max="3" width="70.85546875" style="1107" customWidth="1"/>
    <col min="4" max="4" width="18" style="1107" bestFit="1" customWidth="1"/>
    <col min="5" max="5" width="30.5703125" style="1107" bestFit="1" customWidth="1"/>
    <col min="6" max="16" width="28.85546875" style="1107" customWidth="1"/>
    <col min="17" max="17" width="33.5703125" style="1107" customWidth="1"/>
    <col min="18" max="26" width="28.85546875" style="1107" customWidth="1"/>
    <col min="27" max="27" width="33.5703125" style="1107" customWidth="1"/>
    <col min="28" max="28" width="19.7109375" style="1107" customWidth="1"/>
    <col min="29" max="29" width="15.85546875" style="1107" customWidth="1"/>
    <col min="30" max="30" width="42.42578125" style="1107" bestFit="1" customWidth="1"/>
    <col min="31" max="31" width="16.42578125" style="1107" bestFit="1" customWidth="1"/>
    <col min="32" max="16384" width="8.7109375" style="1107"/>
  </cols>
  <sheetData>
    <row r="1" spans="1:31">
      <c r="A1" s="4" t="str">
        <f>Company</f>
        <v>Cascade Natural Gas Corp.</v>
      </c>
      <c r="B1" s="4"/>
      <c r="C1" s="4"/>
      <c r="D1" s="4"/>
      <c r="E1" s="4"/>
      <c r="F1" s="4"/>
      <c r="G1" s="4"/>
      <c r="H1" s="4"/>
      <c r="I1" s="4"/>
      <c r="J1" s="4"/>
      <c r="K1" s="4"/>
    </row>
    <row r="2" spans="1:31">
      <c r="A2" s="4" t="str">
        <f>Title1</f>
        <v>Washington Jurisdiction</v>
      </c>
      <c r="B2" s="4"/>
      <c r="C2" s="4"/>
      <c r="D2" s="4"/>
      <c r="E2" s="4"/>
      <c r="F2" s="4"/>
      <c r="G2" s="4"/>
      <c r="H2" s="4"/>
      <c r="I2" s="4"/>
      <c r="J2" s="4"/>
      <c r="K2" s="4"/>
    </row>
    <row r="3" spans="1:31">
      <c r="A3" s="4" t="str">
        <f>Title2</f>
        <v>Twelve-Months ended December 31, 2023</v>
      </c>
      <c r="B3" s="4"/>
      <c r="C3" s="4"/>
      <c r="D3" s="4"/>
      <c r="E3" s="4"/>
      <c r="F3" s="4"/>
      <c r="G3" s="4"/>
      <c r="H3" s="4"/>
      <c r="I3" s="4"/>
      <c r="J3" s="4"/>
      <c r="K3" s="4"/>
    </row>
    <row r="4" spans="1:31">
      <c r="A4" s="4" t="str">
        <f>Title8</f>
        <v>UG-240008</v>
      </c>
      <c r="B4" s="323"/>
      <c r="C4" s="323"/>
      <c r="D4" s="323"/>
      <c r="F4" s="4"/>
      <c r="G4" s="323"/>
      <c r="H4" s="323"/>
      <c r="I4" s="323"/>
      <c r="J4" s="323"/>
      <c r="K4" s="323"/>
    </row>
    <row r="5" spans="1:31">
      <c r="A5" s="91" t="s">
        <v>4096</v>
      </c>
      <c r="B5" s="323"/>
      <c r="C5" s="323"/>
      <c r="D5" s="323"/>
      <c r="F5" s="91"/>
      <c r="G5" s="323"/>
      <c r="H5" s="323"/>
      <c r="I5" s="323"/>
      <c r="J5" s="323"/>
      <c r="K5" s="323"/>
    </row>
    <row r="6" spans="1:31">
      <c r="A6" s="4" t="s">
        <v>4095</v>
      </c>
      <c r="B6" s="4"/>
      <c r="C6" s="4"/>
      <c r="D6" s="4"/>
      <c r="E6" s="4"/>
      <c r="F6" s="4"/>
      <c r="G6" s="4"/>
      <c r="H6" s="4"/>
      <c r="I6" s="4"/>
      <c r="J6" s="4"/>
      <c r="K6" s="4"/>
    </row>
    <row r="8" spans="1:31" s="1097" customFormat="1">
      <c r="A8" s="1097" t="s">
        <v>439</v>
      </c>
      <c r="B8" s="1097" t="s">
        <v>208</v>
      </c>
      <c r="E8" s="1097" t="s">
        <v>209</v>
      </c>
      <c r="Q8" s="1097" t="s">
        <v>440</v>
      </c>
      <c r="AA8" s="1097" t="s">
        <v>441</v>
      </c>
      <c r="AB8" s="1097" t="s">
        <v>442</v>
      </c>
      <c r="AC8" s="1097" t="s">
        <v>443</v>
      </c>
      <c r="AD8" s="1097" t="s">
        <v>444</v>
      </c>
      <c r="AE8" s="1097" t="s">
        <v>445</v>
      </c>
    </row>
    <row r="9" spans="1:31" s="1098" customFormat="1" ht="47.25">
      <c r="A9" s="1098" t="s">
        <v>504</v>
      </c>
      <c r="B9" s="1099"/>
      <c r="C9" s="1100"/>
      <c r="D9" s="1101" t="s">
        <v>3805</v>
      </c>
      <c r="E9" s="1102" t="s">
        <v>3806</v>
      </c>
      <c r="F9" s="1191" t="str">
        <f>'Operating Report'!H13</f>
        <v>Remove Supplemental Schedules Adjustment</v>
      </c>
      <c r="G9" s="1191" t="str">
        <f>'Operating Report'!I13</f>
        <v>Normalize Revenue Adjustment</v>
      </c>
      <c r="H9" s="1191" t="str">
        <f>'Operating Report'!J13</f>
        <v>Restate End of Period Adjustment</v>
      </c>
      <c r="I9" s="1191" t="str">
        <f>'Operating Report'!K13</f>
        <v>Annualized CRM Adjustment</v>
      </c>
      <c r="J9" s="1191" t="str">
        <f>'Operating Report'!L13</f>
        <v>Promotional Advertising Adjustment</v>
      </c>
      <c r="K9" s="1191" t="str">
        <f>'Operating Report'!M13</f>
        <v>Restate Wages Adjustment</v>
      </c>
      <c r="L9" s="1191" t="str">
        <f>'Operating Report'!N13</f>
        <v>Restate Incentives Adjustment</v>
      </c>
      <c r="M9" s="1191" t="str">
        <f>'Operating Report'!O13</f>
        <v>Director &amp; Officers Adjustment</v>
      </c>
      <c r="N9" s="1191" t="str">
        <f>'Operating Report'!P13</f>
        <v>Restate COVID-19 Deferral Offsets Adjustment</v>
      </c>
      <c r="O9" s="1191" t="str">
        <f>'Operating Report'!Q13</f>
        <v>Restate CCA Labor Expense Adjustment</v>
      </c>
      <c r="P9" s="1191" t="str">
        <f>'Operating Report'!R13</f>
        <v>Restate Commission Fees Adjustment</v>
      </c>
      <c r="Q9" s="1102" t="s">
        <v>3807</v>
      </c>
      <c r="R9" s="1191" t="str">
        <f>'Operating Report'!T13</f>
        <v>Interest  Coordination Adjustment</v>
      </c>
      <c r="S9" s="1191" t="str">
        <f>'Operating Report'!U13</f>
        <v>2024 Pro Forma Wage Adjustment</v>
      </c>
      <c r="T9" s="1191" t="str">
        <f>'Operating Report'!V13</f>
        <v>MAOP Deferral Amortization</v>
      </c>
      <c r="U9" s="1191" t="str">
        <f>'Operating Report'!W13</f>
        <v>Pro Forma Rate Case Expense Adjustment</v>
      </c>
      <c r="V9" s="1191" t="str">
        <f>'Operating Report'!X13</f>
        <v>Pro Forma Medical, Dental, &amp; Life Insurance Expense Adjustment</v>
      </c>
      <c r="W9" s="1191" t="str">
        <f>'Operating Report'!Y13</f>
        <v>Pro Forma Property Tax Adjustment</v>
      </c>
      <c r="X9" s="1191" t="str">
        <f>'Operating Report'!Z13</f>
        <v>2024 Pro Forma Pension Expense Adjustment</v>
      </c>
      <c r="Y9" s="1191" t="str">
        <f>'Operating Report'!AA13</f>
        <v>2024 Pro Forma Tax Flow-Through Adjustment</v>
      </c>
      <c r="Z9" s="1191" t="str">
        <f>'Operating Report'!AB13</f>
        <v>2024 Pro Forma Misc. O&amp;M Expense Adjustment</v>
      </c>
      <c r="AA9" s="1102" t="s">
        <v>3808</v>
      </c>
      <c r="AB9" s="1102" t="s">
        <v>3809</v>
      </c>
      <c r="AC9" s="1102" t="s">
        <v>3810</v>
      </c>
      <c r="AD9" s="1102" t="s">
        <v>543</v>
      </c>
      <c r="AE9" s="1103" t="s">
        <v>3811</v>
      </c>
    </row>
    <row r="10" spans="1:31" s="1098" customFormat="1" ht="15.6" customHeight="1">
      <c r="A10" s="1098">
        <v>1</v>
      </c>
      <c r="B10" s="1498" t="s">
        <v>3812</v>
      </c>
      <c r="C10" s="1499"/>
      <c r="D10" s="1499"/>
      <c r="E10" s="1104"/>
      <c r="F10" s="1195">
        <v>1.01</v>
      </c>
      <c r="G10" s="1195">
        <v>1.02</v>
      </c>
      <c r="H10" s="1195">
        <v>1.03</v>
      </c>
      <c r="I10" s="1195">
        <v>1.04</v>
      </c>
      <c r="J10" s="1195">
        <v>1.05</v>
      </c>
      <c r="K10" s="1195">
        <v>1.06</v>
      </c>
      <c r="L10" s="1195">
        <v>1.07</v>
      </c>
      <c r="M10" s="1195">
        <v>1.08</v>
      </c>
      <c r="N10" s="1195">
        <v>1.0900000000000001</v>
      </c>
      <c r="O10" s="1195">
        <v>1.1000000000000001</v>
      </c>
      <c r="P10" s="1195">
        <v>1.1100000000000001</v>
      </c>
      <c r="Q10" s="1104" t="s">
        <v>3813</v>
      </c>
      <c r="R10" s="1195">
        <v>2.0099999999999998</v>
      </c>
      <c r="S10" s="1195">
        <v>2.02</v>
      </c>
      <c r="T10" s="1195">
        <v>2.0299999999999998</v>
      </c>
      <c r="U10" s="1195">
        <v>2.04</v>
      </c>
      <c r="V10" s="1195">
        <v>2.0499999999999998</v>
      </c>
      <c r="W10" s="1195">
        <v>2.06</v>
      </c>
      <c r="X10" s="1195">
        <v>2.0699999999999998</v>
      </c>
      <c r="Y10" s="1195">
        <v>2.08</v>
      </c>
      <c r="Z10" s="1195">
        <v>2.09</v>
      </c>
      <c r="AA10" s="1104" t="s">
        <v>3814</v>
      </c>
      <c r="AB10" s="1104" t="s">
        <v>3815</v>
      </c>
      <c r="AC10" s="1104" t="s">
        <v>3816</v>
      </c>
      <c r="AD10" s="1104" t="s">
        <v>3817</v>
      </c>
      <c r="AE10" s="1104" t="s">
        <v>3818</v>
      </c>
    </row>
    <row r="11" spans="1:31" outlineLevel="1">
      <c r="A11" s="1098">
        <v>2</v>
      </c>
      <c r="B11" s="1500" t="s">
        <v>3819</v>
      </c>
      <c r="C11" s="1105" t="s">
        <v>3820</v>
      </c>
      <c r="D11" s="1106">
        <v>480</v>
      </c>
      <c r="E11" s="1189">
        <f>'Operating Report'!F16</f>
        <v>184788541.16999999</v>
      </c>
      <c r="F11" s="1189">
        <f>'Operating Report'!H16</f>
        <v>-116632080.3452</v>
      </c>
      <c r="G11" s="1189">
        <f>'Operating Report'!I16</f>
        <v>-1607680.8659822065</v>
      </c>
      <c r="H11" s="1189">
        <f>'Operating Report'!J16</f>
        <v>299472.23647885129</v>
      </c>
      <c r="I11" s="1189">
        <f>'Operating Report'!K16</f>
        <v>924919.66538781719</v>
      </c>
      <c r="J11" s="1189">
        <f>'Operating Report'!L16</f>
        <v>0</v>
      </c>
      <c r="K11" s="1189">
        <f>'Operating Report'!M16</f>
        <v>0</v>
      </c>
      <c r="L11" s="1189">
        <f>'Operating Report'!N16</f>
        <v>0</v>
      </c>
      <c r="M11" s="1189">
        <f>'Operating Report'!O16</f>
        <v>0</v>
      </c>
      <c r="N11" s="1189">
        <f>'Operating Report'!P16</f>
        <v>0</v>
      </c>
      <c r="O11" s="1189">
        <f>'Operating Report'!Q16</f>
        <v>0</v>
      </c>
      <c r="P11" s="1189">
        <f>'Operating Report'!R16</f>
        <v>0</v>
      </c>
      <c r="Q11" s="1189">
        <f>SUM(F11:P11)</f>
        <v>-117015369.30931553</v>
      </c>
      <c r="R11" s="1189">
        <f>'Operating Report'!T16</f>
        <v>0</v>
      </c>
      <c r="S11" s="1189">
        <f>'Operating Report'!U16</f>
        <v>0</v>
      </c>
      <c r="T11" s="1189">
        <f>'Operating Report'!V16</f>
        <v>0</v>
      </c>
      <c r="U11" s="1189">
        <f>'Operating Report'!W16</f>
        <v>0</v>
      </c>
      <c r="V11" s="1189">
        <f>'Operating Report'!X16</f>
        <v>0</v>
      </c>
      <c r="W11" s="1189">
        <f>'Operating Report'!Y16</f>
        <v>0</v>
      </c>
      <c r="X11" s="1189">
        <f>'Operating Report'!Z16</f>
        <v>0</v>
      </c>
      <c r="Y11" s="1189">
        <f>'Operating Report'!AA16</f>
        <v>0</v>
      </c>
      <c r="Z11" s="1189">
        <f>'Operating Report'!AB16</f>
        <v>0</v>
      </c>
      <c r="AA11" s="1192">
        <f>SUM(R11:Z11)</f>
        <v>0</v>
      </c>
      <c r="AB11" s="1192">
        <f>Q11+AA11</f>
        <v>-117015369.30931553</v>
      </c>
      <c r="AC11" s="1192">
        <f>E11+AB11</f>
        <v>67773171.860684454</v>
      </c>
      <c r="AD11" s="1189">
        <f>'Exh JAD-3 ROO Summary'!H10</f>
        <v>30458350</v>
      </c>
      <c r="AE11" s="1192">
        <f>AC11+AD11</f>
        <v>98231521.860684454</v>
      </c>
    </row>
    <row r="12" spans="1:31" outlineLevel="1">
      <c r="A12" s="1098">
        <v>3</v>
      </c>
      <c r="B12" s="1501"/>
      <c r="C12" s="1108" t="s">
        <v>3821</v>
      </c>
      <c r="D12" s="1109">
        <v>481</v>
      </c>
      <c r="E12" s="1189">
        <f>'Operating Report'!F17</f>
        <v>158423482.77000001</v>
      </c>
      <c r="F12" s="1189">
        <f>'Operating Report'!H17</f>
        <v>-113380355.92844389</v>
      </c>
      <c r="G12" s="1189">
        <f>'Operating Report'!I17</f>
        <v>-52252.886246555194</v>
      </c>
      <c r="H12" s="1189">
        <f>'Operating Report'!J17</f>
        <v>112614.6161110813</v>
      </c>
      <c r="I12" s="1189">
        <f>'Operating Report'!K17</f>
        <v>450451.19560709898</v>
      </c>
      <c r="J12" s="1189">
        <f>'Operating Report'!L17</f>
        <v>0</v>
      </c>
      <c r="K12" s="1189">
        <f>'Operating Report'!M17</f>
        <v>0</v>
      </c>
      <c r="L12" s="1189">
        <f>'Operating Report'!N17</f>
        <v>0</v>
      </c>
      <c r="M12" s="1189">
        <f>'Operating Report'!O17</f>
        <v>0</v>
      </c>
      <c r="N12" s="1189">
        <f>'Operating Report'!P17</f>
        <v>0</v>
      </c>
      <c r="O12" s="1189">
        <f>'Operating Report'!Q17</f>
        <v>0</v>
      </c>
      <c r="P12" s="1189">
        <f>'Operating Report'!R17</f>
        <v>0</v>
      </c>
      <c r="Q12" s="1189">
        <f>SUM(F12:P12)</f>
        <v>-112869543.00297228</v>
      </c>
      <c r="R12" s="1189">
        <f>'Operating Report'!T17</f>
        <v>0</v>
      </c>
      <c r="S12" s="1189">
        <f>'Operating Report'!U17</f>
        <v>0</v>
      </c>
      <c r="T12" s="1189">
        <f>'Operating Report'!V17</f>
        <v>0</v>
      </c>
      <c r="U12" s="1189">
        <f>'Operating Report'!W17</f>
        <v>0</v>
      </c>
      <c r="V12" s="1189">
        <f>'Operating Report'!X17</f>
        <v>0</v>
      </c>
      <c r="W12" s="1189">
        <f>'Operating Report'!Y17</f>
        <v>0</v>
      </c>
      <c r="X12" s="1189">
        <f>'Operating Report'!Z17</f>
        <v>0</v>
      </c>
      <c r="Y12" s="1189">
        <f>'Operating Report'!AA17</f>
        <v>0</v>
      </c>
      <c r="Z12" s="1189">
        <f>'Operating Report'!AB17</f>
        <v>0</v>
      </c>
      <c r="AA12" s="1192">
        <f>SUM(R12:Z12)</f>
        <v>0</v>
      </c>
      <c r="AB12" s="1192">
        <f>Q12+AA12</f>
        <v>-112869543.00297228</v>
      </c>
      <c r="AC12" s="1192">
        <f>E12+AB12</f>
        <v>45553939.767027736</v>
      </c>
      <c r="AE12" s="1192">
        <f>AC12+AD12</f>
        <v>45553939.767027736</v>
      </c>
    </row>
    <row r="13" spans="1:31" outlineLevel="1">
      <c r="A13" s="1098">
        <v>4</v>
      </c>
      <c r="B13" s="1501"/>
      <c r="C13" s="1108" t="s">
        <v>3822</v>
      </c>
      <c r="D13" s="1109">
        <v>482</v>
      </c>
      <c r="E13" s="1189"/>
      <c r="Q13" s="1189">
        <f>SUM(F13:P13)</f>
        <v>0</v>
      </c>
      <c r="AA13" s="1192">
        <f>SUM(R13:Z13)</f>
        <v>0</v>
      </c>
      <c r="AB13" s="1192">
        <f>Q13+AA13</f>
        <v>0</v>
      </c>
      <c r="AC13" s="1192">
        <f>E13+AB13</f>
        <v>0</v>
      </c>
      <c r="AE13" s="1192">
        <f>AC13+AD13</f>
        <v>0</v>
      </c>
    </row>
    <row r="14" spans="1:31" outlineLevel="1">
      <c r="A14" s="1098">
        <v>5</v>
      </c>
      <c r="B14" s="1501"/>
      <c r="C14" s="1108" t="s">
        <v>3823</v>
      </c>
      <c r="D14" s="1110">
        <v>484</v>
      </c>
      <c r="E14" s="1189"/>
      <c r="Q14" s="1189">
        <f>SUM(F14:P14)</f>
        <v>0</v>
      </c>
      <c r="AA14" s="1192">
        <f>SUM(R14:Z14)</f>
        <v>0</v>
      </c>
      <c r="AB14" s="1192">
        <f>Q14+AA14</f>
        <v>0</v>
      </c>
      <c r="AC14" s="1192">
        <f>E14+AB14</f>
        <v>0</v>
      </c>
      <c r="AE14" s="1192">
        <f>AC14+AD14</f>
        <v>0</v>
      </c>
    </row>
    <row r="15" spans="1:31" outlineLevel="1">
      <c r="A15" s="1098">
        <v>6</v>
      </c>
      <c r="B15" s="1501"/>
      <c r="C15" s="1108" t="s">
        <v>3824</v>
      </c>
      <c r="D15" s="1110">
        <v>485</v>
      </c>
      <c r="E15" s="1189"/>
      <c r="Q15" s="1189">
        <f>SUM(F15:P15)</f>
        <v>0</v>
      </c>
      <c r="AA15" s="1192">
        <f>SUM(R15:Z15)</f>
        <v>0</v>
      </c>
      <c r="AB15" s="1192">
        <f>Q15+AA15</f>
        <v>0</v>
      </c>
      <c r="AC15" s="1192">
        <f>E15+AB15</f>
        <v>0</v>
      </c>
      <c r="AE15" s="1192">
        <f>AC15+AD15</f>
        <v>0</v>
      </c>
    </row>
    <row r="16" spans="1:31">
      <c r="A16" s="1098">
        <v>7</v>
      </c>
      <c r="B16" s="1501"/>
      <c r="C16" s="1503" t="s">
        <v>3825</v>
      </c>
      <c r="D16" s="1504"/>
      <c r="E16" s="1189">
        <f>SUM(E11:E15)</f>
        <v>343212023.94</v>
      </c>
      <c r="F16" s="1189">
        <f t="shared" ref="F16:P16" si="0">SUM(F11:F15)</f>
        <v>-230012436.27364391</v>
      </c>
      <c r="G16" s="1189">
        <f t="shared" si="0"/>
        <v>-1659933.7522287618</v>
      </c>
      <c r="H16" s="1189">
        <f t="shared" si="0"/>
        <v>412086.85258993262</v>
      </c>
      <c r="I16" s="1189">
        <f t="shared" si="0"/>
        <v>1375370.8609949162</v>
      </c>
      <c r="J16" s="1189">
        <f t="shared" si="0"/>
        <v>0</v>
      </c>
      <c r="K16" s="1189">
        <f t="shared" si="0"/>
        <v>0</v>
      </c>
      <c r="L16" s="1189">
        <f t="shared" si="0"/>
        <v>0</v>
      </c>
      <c r="M16" s="1189">
        <f t="shared" si="0"/>
        <v>0</v>
      </c>
      <c r="N16" s="1189">
        <f t="shared" si="0"/>
        <v>0</v>
      </c>
      <c r="O16" s="1189">
        <f t="shared" si="0"/>
        <v>0</v>
      </c>
      <c r="P16" s="1189">
        <f t="shared" si="0"/>
        <v>0</v>
      </c>
      <c r="Q16" s="1189">
        <f t="shared" ref="Q16:AE16" si="1">SUM(Q11:Q15)</f>
        <v>-229884912.31228781</v>
      </c>
      <c r="R16" s="1189">
        <f t="shared" si="1"/>
        <v>0</v>
      </c>
      <c r="S16" s="1189">
        <f t="shared" si="1"/>
        <v>0</v>
      </c>
      <c r="T16" s="1189">
        <f t="shared" si="1"/>
        <v>0</v>
      </c>
      <c r="U16" s="1189">
        <f t="shared" si="1"/>
        <v>0</v>
      </c>
      <c r="V16" s="1189">
        <f t="shared" si="1"/>
        <v>0</v>
      </c>
      <c r="W16" s="1189">
        <f t="shared" si="1"/>
        <v>0</v>
      </c>
      <c r="X16" s="1189">
        <f t="shared" si="1"/>
        <v>0</v>
      </c>
      <c r="Y16" s="1189">
        <f t="shared" si="1"/>
        <v>0</v>
      </c>
      <c r="Z16" s="1189">
        <f t="shared" si="1"/>
        <v>0</v>
      </c>
      <c r="AA16" s="1189">
        <f t="shared" si="1"/>
        <v>0</v>
      </c>
      <c r="AB16" s="1189">
        <f t="shared" si="1"/>
        <v>-229884912.31228781</v>
      </c>
      <c r="AC16" s="1189">
        <f t="shared" si="1"/>
        <v>113327111.62771219</v>
      </c>
      <c r="AD16" s="1189">
        <f t="shared" si="1"/>
        <v>30458350</v>
      </c>
      <c r="AE16" s="1189">
        <f t="shared" si="1"/>
        <v>143785461.62771219</v>
      </c>
    </row>
    <row r="17" spans="1:31" outlineLevel="1">
      <c r="A17" s="1098">
        <v>8</v>
      </c>
      <c r="B17" s="1501"/>
      <c r="C17" s="1111" t="s">
        <v>3826</v>
      </c>
      <c r="D17" s="1110">
        <v>483</v>
      </c>
      <c r="E17" s="1189"/>
    </row>
    <row r="18" spans="1:31">
      <c r="A18" s="1098">
        <v>9</v>
      </c>
      <c r="B18" s="1501"/>
      <c r="C18" s="1505" t="s">
        <v>3827</v>
      </c>
      <c r="D18" s="1506"/>
      <c r="E18" s="1189">
        <f>E16+E17</f>
        <v>343212023.94</v>
      </c>
      <c r="F18" s="1189">
        <f t="shared" ref="F18:AE18" si="2">F16+F17</f>
        <v>-230012436.27364391</v>
      </c>
      <c r="G18" s="1189">
        <f t="shared" si="2"/>
        <v>-1659933.7522287618</v>
      </c>
      <c r="H18" s="1189">
        <f t="shared" si="2"/>
        <v>412086.85258993262</v>
      </c>
      <c r="I18" s="1189">
        <f t="shared" si="2"/>
        <v>1375370.8609949162</v>
      </c>
      <c r="J18" s="1189">
        <f t="shared" si="2"/>
        <v>0</v>
      </c>
      <c r="K18" s="1189">
        <f t="shared" si="2"/>
        <v>0</v>
      </c>
      <c r="L18" s="1189">
        <f t="shared" si="2"/>
        <v>0</v>
      </c>
      <c r="M18" s="1189">
        <f t="shared" si="2"/>
        <v>0</v>
      </c>
      <c r="N18" s="1189">
        <f t="shared" si="2"/>
        <v>0</v>
      </c>
      <c r="O18" s="1189">
        <f t="shared" si="2"/>
        <v>0</v>
      </c>
      <c r="P18" s="1189">
        <f t="shared" si="2"/>
        <v>0</v>
      </c>
      <c r="Q18" s="1189">
        <f t="shared" si="2"/>
        <v>-229884912.31228781</v>
      </c>
      <c r="R18" s="1189">
        <f t="shared" si="2"/>
        <v>0</v>
      </c>
      <c r="S18" s="1189">
        <f t="shared" si="2"/>
        <v>0</v>
      </c>
      <c r="T18" s="1189">
        <f t="shared" si="2"/>
        <v>0</v>
      </c>
      <c r="U18" s="1189">
        <f t="shared" si="2"/>
        <v>0</v>
      </c>
      <c r="V18" s="1189">
        <f t="shared" si="2"/>
        <v>0</v>
      </c>
      <c r="W18" s="1189">
        <f t="shared" si="2"/>
        <v>0</v>
      </c>
      <c r="X18" s="1189">
        <f t="shared" si="2"/>
        <v>0</v>
      </c>
      <c r="Y18" s="1189">
        <f t="shared" si="2"/>
        <v>0</v>
      </c>
      <c r="Z18" s="1189">
        <f t="shared" si="2"/>
        <v>0</v>
      </c>
      <c r="AA18" s="1189">
        <f t="shared" si="2"/>
        <v>0</v>
      </c>
      <c r="AB18" s="1189">
        <f t="shared" si="2"/>
        <v>-229884912.31228781</v>
      </c>
      <c r="AC18" s="1189">
        <f t="shared" si="2"/>
        <v>113327111.62771219</v>
      </c>
      <c r="AD18" s="1189">
        <f t="shared" si="2"/>
        <v>30458350</v>
      </c>
      <c r="AE18" s="1189">
        <f t="shared" si="2"/>
        <v>143785461.62771219</v>
      </c>
    </row>
    <row r="19" spans="1:31" outlineLevel="1">
      <c r="A19" s="1098">
        <v>10</v>
      </c>
      <c r="B19" s="1501"/>
      <c r="C19" s="1112" t="s">
        <v>3828</v>
      </c>
      <c r="D19" s="1110">
        <v>496</v>
      </c>
      <c r="E19" s="1189">
        <f>'Operating Report'!F27</f>
        <v>1214363.21</v>
      </c>
      <c r="F19" s="1192">
        <f>'Operating Report'!H27</f>
        <v>-1384432.9500000002</v>
      </c>
      <c r="G19" s="1192">
        <f>'Operating Report'!I27</f>
        <v>0</v>
      </c>
      <c r="H19" s="1192">
        <f>'Operating Report'!J27</f>
        <v>0</v>
      </c>
      <c r="I19" s="1192">
        <f>'Operating Report'!K27</f>
        <v>0</v>
      </c>
      <c r="J19" s="1192">
        <f>'Operating Report'!L27</f>
        <v>0</v>
      </c>
      <c r="K19" s="1192">
        <f>'Operating Report'!M27</f>
        <v>0</v>
      </c>
      <c r="L19" s="1192">
        <f>'Operating Report'!N27</f>
        <v>0</v>
      </c>
      <c r="M19" s="1192">
        <f>'Operating Report'!O27</f>
        <v>0</v>
      </c>
      <c r="N19" s="1192">
        <f>'Operating Report'!P27</f>
        <v>0</v>
      </c>
      <c r="O19" s="1192">
        <f>'Operating Report'!Q27</f>
        <v>0</v>
      </c>
      <c r="P19" s="1192">
        <f>'Operating Report'!R27</f>
        <v>0</v>
      </c>
      <c r="Q19" s="1189">
        <f>SUM(F19:P19)</f>
        <v>-1384432.9500000002</v>
      </c>
      <c r="R19" s="1192">
        <f>'Operating Report'!T27</f>
        <v>0</v>
      </c>
      <c r="S19" s="1192">
        <f>'Operating Report'!U27</f>
        <v>0</v>
      </c>
      <c r="T19" s="1192">
        <f>'Operating Report'!V27</f>
        <v>0</v>
      </c>
      <c r="U19" s="1192">
        <f>'Operating Report'!W27</f>
        <v>0</v>
      </c>
      <c r="V19" s="1192">
        <f>'Operating Report'!X27</f>
        <v>0</v>
      </c>
      <c r="W19" s="1192">
        <f>'Operating Report'!Y27</f>
        <v>0</v>
      </c>
      <c r="X19" s="1192">
        <f>'Operating Report'!Z27</f>
        <v>0</v>
      </c>
      <c r="Y19" s="1192">
        <f>'Operating Report'!AA27</f>
        <v>0</v>
      </c>
      <c r="Z19" s="1192">
        <f>'Operating Report'!AB27</f>
        <v>0</v>
      </c>
      <c r="AA19" s="1192">
        <f>SUM(R19:Z19)</f>
        <v>0</v>
      </c>
      <c r="AB19" s="1192">
        <f>Q19+AA19</f>
        <v>-1384432.9500000002</v>
      </c>
      <c r="AC19" s="1192">
        <f>E19+AB19</f>
        <v>-170069.74000000022</v>
      </c>
      <c r="AE19" s="1192">
        <f>AC19+AD19</f>
        <v>-170069.74000000022</v>
      </c>
    </row>
    <row r="20" spans="1:31">
      <c r="A20" s="1098">
        <v>11</v>
      </c>
      <c r="B20" s="1501"/>
      <c r="C20" s="1505" t="s">
        <v>3829</v>
      </c>
      <c r="D20" s="1506"/>
      <c r="E20" s="1189">
        <f>E18+E19</f>
        <v>344426387.14999998</v>
      </c>
      <c r="F20" s="1189">
        <f t="shared" ref="F20:AE20" si="3">F18+F19</f>
        <v>-231396869.2236439</v>
      </c>
      <c r="G20" s="1189">
        <f t="shared" si="3"/>
        <v>-1659933.7522287618</v>
      </c>
      <c r="H20" s="1189">
        <f t="shared" si="3"/>
        <v>412086.85258993262</v>
      </c>
      <c r="I20" s="1189">
        <f t="shared" si="3"/>
        <v>1375370.8609949162</v>
      </c>
      <c r="J20" s="1189">
        <f t="shared" si="3"/>
        <v>0</v>
      </c>
      <c r="K20" s="1189">
        <f t="shared" si="3"/>
        <v>0</v>
      </c>
      <c r="L20" s="1189">
        <f t="shared" si="3"/>
        <v>0</v>
      </c>
      <c r="M20" s="1189">
        <f t="shared" si="3"/>
        <v>0</v>
      </c>
      <c r="N20" s="1189">
        <f t="shared" si="3"/>
        <v>0</v>
      </c>
      <c r="O20" s="1189">
        <f t="shared" si="3"/>
        <v>0</v>
      </c>
      <c r="P20" s="1189">
        <f t="shared" si="3"/>
        <v>0</v>
      </c>
      <c r="Q20" s="1189">
        <f t="shared" si="3"/>
        <v>-231269345.2622878</v>
      </c>
      <c r="R20" s="1189">
        <f t="shared" si="3"/>
        <v>0</v>
      </c>
      <c r="S20" s="1189">
        <f t="shared" si="3"/>
        <v>0</v>
      </c>
      <c r="T20" s="1189">
        <f t="shared" si="3"/>
        <v>0</v>
      </c>
      <c r="U20" s="1189">
        <f t="shared" si="3"/>
        <v>0</v>
      </c>
      <c r="V20" s="1189">
        <f t="shared" si="3"/>
        <v>0</v>
      </c>
      <c r="W20" s="1189">
        <f t="shared" si="3"/>
        <v>0</v>
      </c>
      <c r="X20" s="1189">
        <f t="shared" si="3"/>
        <v>0</v>
      </c>
      <c r="Y20" s="1189">
        <f t="shared" si="3"/>
        <v>0</v>
      </c>
      <c r="Z20" s="1189">
        <f t="shared" si="3"/>
        <v>0</v>
      </c>
      <c r="AA20" s="1189">
        <f t="shared" si="3"/>
        <v>0</v>
      </c>
      <c r="AB20" s="1189">
        <f t="shared" si="3"/>
        <v>-231269345.2622878</v>
      </c>
      <c r="AC20" s="1189">
        <f t="shared" si="3"/>
        <v>113157041.8877122</v>
      </c>
      <c r="AD20" s="1189">
        <f t="shared" si="3"/>
        <v>30458350</v>
      </c>
      <c r="AE20" s="1189">
        <f t="shared" si="3"/>
        <v>143615391.88771218</v>
      </c>
    </row>
    <row r="21" spans="1:31" outlineLevel="1">
      <c r="A21" s="1098">
        <v>12</v>
      </c>
      <c r="B21" s="1501"/>
      <c r="C21" s="1107" t="s">
        <v>3830</v>
      </c>
      <c r="D21" s="1114">
        <v>489.1</v>
      </c>
      <c r="E21" s="1189"/>
    </row>
    <row r="22" spans="1:31" outlineLevel="1">
      <c r="A22" s="1098">
        <v>13</v>
      </c>
      <c r="B22" s="1501"/>
      <c r="C22" s="1107" t="s">
        <v>3831</v>
      </c>
      <c r="D22" s="1114">
        <v>489.2</v>
      </c>
      <c r="E22" s="1189"/>
    </row>
    <row r="23" spans="1:31" outlineLevel="1">
      <c r="A23" s="1098">
        <v>14</v>
      </c>
      <c r="B23" s="1501"/>
      <c r="C23" s="1107" t="s">
        <v>3832</v>
      </c>
      <c r="D23" s="1114">
        <v>489.3</v>
      </c>
      <c r="E23" s="1189">
        <f>'Operating Report'!F22</f>
        <v>30892186.289999999</v>
      </c>
      <c r="F23" s="1189">
        <f>'Operating Report'!H22</f>
        <v>282531.02000000008</v>
      </c>
      <c r="G23" s="1189">
        <f>'Operating Report'!I22</f>
        <v>-114550.24414999811</v>
      </c>
      <c r="H23" s="1189">
        <f>'Operating Report'!J22</f>
        <v>24160.173712721902</v>
      </c>
      <c r="I23" s="1189">
        <f>'Operating Report'!K22</f>
        <v>456593.97759346548</v>
      </c>
      <c r="J23" s="1189">
        <f>'Operating Report'!L22</f>
        <v>0</v>
      </c>
      <c r="K23" s="1189">
        <f>'Operating Report'!M22</f>
        <v>0</v>
      </c>
      <c r="L23" s="1189">
        <f>'Operating Report'!N22</f>
        <v>0</v>
      </c>
      <c r="M23" s="1189">
        <f>'Operating Report'!O22</f>
        <v>0</v>
      </c>
      <c r="N23" s="1189">
        <f>'Operating Report'!P22</f>
        <v>0</v>
      </c>
      <c r="O23" s="1189">
        <f>'Operating Report'!Q22</f>
        <v>0</v>
      </c>
      <c r="P23" s="1189">
        <f>'Operating Report'!R22</f>
        <v>0</v>
      </c>
      <c r="Q23" s="1189">
        <f>SUM(F23:P23)</f>
        <v>648734.92715618934</v>
      </c>
      <c r="R23" s="1189">
        <f>'Operating Report'!T22</f>
        <v>0</v>
      </c>
      <c r="S23" s="1189">
        <f>'Operating Report'!U22</f>
        <v>0</v>
      </c>
      <c r="T23" s="1189">
        <f>'Operating Report'!V22</f>
        <v>0</v>
      </c>
      <c r="U23" s="1189">
        <f>'Operating Report'!W22</f>
        <v>0</v>
      </c>
      <c r="V23" s="1189">
        <f>'Operating Report'!X22</f>
        <v>0</v>
      </c>
      <c r="W23" s="1189">
        <f>'Operating Report'!Y22</f>
        <v>0</v>
      </c>
      <c r="X23" s="1189">
        <f>'Operating Report'!Z22</f>
        <v>0</v>
      </c>
      <c r="Y23" s="1189">
        <f>'Operating Report'!AA22</f>
        <v>0</v>
      </c>
      <c r="Z23" s="1189">
        <f>'Operating Report'!AB22</f>
        <v>0</v>
      </c>
      <c r="AA23" s="1192">
        <f>SUM(R23:Z23)</f>
        <v>0</v>
      </c>
      <c r="AB23" s="1192">
        <f>Q23+AA23</f>
        <v>648734.92715618934</v>
      </c>
      <c r="AC23" s="1192">
        <f>E23+AB23</f>
        <v>31540921.217156187</v>
      </c>
      <c r="AE23" s="1192">
        <f>AC23+AD23</f>
        <v>31540921.217156187</v>
      </c>
    </row>
    <row r="24" spans="1:31" outlineLevel="1">
      <c r="A24" s="1098">
        <v>15</v>
      </c>
      <c r="B24" s="1501"/>
      <c r="C24" s="1505" t="s">
        <v>3833</v>
      </c>
      <c r="D24" s="1506"/>
      <c r="E24" s="1189">
        <f>SUM(E21:E23)</f>
        <v>30892186.289999999</v>
      </c>
      <c r="F24" s="1189">
        <f t="shared" ref="F24:AE24" si="4">SUM(F21:F23)</f>
        <v>282531.02000000008</v>
      </c>
      <c r="G24" s="1189">
        <f t="shared" si="4"/>
        <v>-114550.24414999811</v>
      </c>
      <c r="H24" s="1189">
        <f t="shared" si="4"/>
        <v>24160.173712721902</v>
      </c>
      <c r="I24" s="1189">
        <f t="shared" si="4"/>
        <v>456593.97759346548</v>
      </c>
      <c r="J24" s="1189">
        <f t="shared" si="4"/>
        <v>0</v>
      </c>
      <c r="K24" s="1189">
        <f t="shared" si="4"/>
        <v>0</v>
      </c>
      <c r="L24" s="1189">
        <f t="shared" si="4"/>
        <v>0</v>
      </c>
      <c r="M24" s="1189">
        <f t="shared" si="4"/>
        <v>0</v>
      </c>
      <c r="N24" s="1189">
        <f t="shared" si="4"/>
        <v>0</v>
      </c>
      <c r="O24" s="1189">
        <f t="shared" si="4"/>
        <v>0</v>
      </c>
      <c r="P24" s="1189">
        <f t="shared" si="4"/>
        <v>0</v>
      </c>
      <c r="Q24" s="1189">
        <f t="shared" si="4"/>
        <v>648734.92715618934</v>
      </c>
      <c r="R24" s="1189">
        <f t="shared" si="4"/>
        <v>0</v>
      </c>
      <c r="S24" s="1189">
        <f t="shared" si="4"/>
        <v>0</v>
      </c>
      <c r="T24" s="1189">
        <f t="shared" si="4"/>
        <v>0</v>
      </c>
      <c r="U24" s="1189">
        <f t="shared" si="4"/>
        <v>0</v>
      </c>
      <c r="V24" s="1189">
        <f t="shared" si="4"/>
        <v>0</v>
      </c>
      <c r="W24" s="1189">
        <f t="shared" si="4"/>
        <v>0</v>
      </c>
      <c r="X24" s="1189">
        <f t="shared" si="4"/>
        <v>0</v>
      </c>
      <c r="Y24" s="1189">
        <f t="shared" si="4"/>
        <v>0</v>
      </c>
      <c r="Z24" s="1189">
        <f t="shared" si="4"/>
        <v>0</v>
      </c>
      <c r="AA24" s="1189">
        <f t="shared" si="4"/>
        <v>0</v>
      </c>
      <c r="AB24" s="1189">
        <f t="shared" si="4"/>
        <v>648734.92715618934</v>
      </c>
      <c r="AC24" s="1189">
        <f t="shared" si="4"/>
        <v>31540921.217156187</v>
      </c>
      <c r="AD24" s="1189">
        <f t="shared" si="4"/>
        <v>0</v>
      </c>
      <c r="AE24" s="1189">
        <f t="shared" si="4"/>
        <v>31540921.217156187</v>
      </c>
    </row>
    <row r="25" spans="1:31" outlineLevel="1">
      <c r="A25" s="1098">
        <v>16</v>
      </c>
      <c r="B25" s="1501"/>
      <c r="C25" s="1107" t="s">
        <v>3834</v>
      </c>
      <c r="D25" s="1114">
        <v>489.4</v>
      </c>
      <c r="E25" s="1189"/>
    </row>
    <row r="26" spans="1:31" outlineLevel="1">
      <c r="A26" s="1098">
        <v>17</v>
      </c>
      <c r="B26" s="1501"/>
      <c r="C26" s="1107" t="s">
        <v>3835</v>
      </c>
      <c r="D26" s="1114">
        <v>487</v>
      </c>
      <c r="E26" s="1189"/>
    </row>
    <row r="27" spans="1:31" outlineLevel="1">
      <c r="A27" s="1098">
        <v>18</v>
      </c>
      <c r="B27" s="1501"/>
      <c r="C27" s="1107" t="s">
        <v>3836</v>
      </c>
      <c r="D27" s="1114">
        <v>488</v>
      </c>
      <c r="E27" s="1189">
        <f>'Operating Report'!F21</f>
        <v>363239.85</v>
      </c>
      <c r="F27" s="1189">
        <f>'Operating Report'!H21</f>
        <v>0</v>
      </c>
      <c r="G27" s="1189">
        <f>'Operating Report'!I21</f>
        <v>0</v>
      </c>
      <c r="H27" s="1189">
        <f>'Operating Report'!J21</f>
        <v>0</v>
      </c>
      <c r="I27" s="1189">
        <f>'Operating Report'!K21</f>
        <v>0</v>
      </c>
      <c r="J27" s="1189">
        <f>'Operating Report'!L21</f>
        <v>0</v>
      </c>
      <c r="K27" s="1189">
        <f>'Operating Report'!M21</f>
        <v>0</v>
      </c>
      <c r="L27" s="1189">
        <f>'Operating Report'!N21</f>
        <v>0</v>
      </c>
      <c r="M27" s="1189">
        <f>'Operating Report'!O21</f>
        <v>0</v>
      </c>
      <c r="N27" s="1189">
        <f>'Operating Report'!P21</f>
        <v>0</v>
      </c>
      <c r="O27" s="1189">
        <f>'Operating Report'!Q21</f>
        <v>0</v>
      </c>
      <c r="P27" s="1189">
        <f>'Operating Report'!R21</f>
        <v>0</v>
      </c>
      <c r="Q27" s="1189">
        <f>SUM(F27:P27)</f>
        <v>0</v>
      </c>
      <c r="R27" s="1189">
        <f>'Operating Report'!T21</f>
        <v>0</v>
      </c>
      <c r="S27" s="1189">
        <f>'Operating Report'!U21</f>
        <v>0</v>
      </c>
      <c r="T27" s="1189">
        <f>'Operating Report'!V21</f>
        <v>0</v>
      </c>
      <c r="U27" s="1189">
        <f>'Operating Report'!W21</f>
        <v>0</v>
      </c>
      <c r="V27" s="1189">
        <f>'Operating Report'!X21</f>
        <v>0</v>
      </c>
      <c r="W27" s="1189">
        <f>'Operating Report'!Y21</f>
        <v>0</v>
      </c>
      <c r="X27" s="1189">
        <f>'Operating Report'!Z21</f>
        <v>0</v>
      </c>
      <c r="Y27" s="1189">
        <f>'Operating Report'!AA21</f>
        <v>0</v>
      </c>
      <c r="Z27" s="1189">
        <f>'Operating Report'!AB21</f>
        <v>0</v>
      </c>
      <c r="AA27" s="1192">
        <f>SUM(R27:Z27)</f>
        <v>0</v>
      </c>
      <c r="AB27" s="1192">
        <f>Q27+AA27</f>
        <v>0</v>
      </c>
      <c r="AC27" s="1192">
        <f>E27+AB27</f>
        <v>363239.85</v>
      </c>
      <c r="AE27" s="1192">
        <f>AC27+AD27</f>
        <v>363239.85</v>
      </c>
    </row>
    <row r="28" spans="1:31" outlineLevel="1">
      <c r="A28" s="1098">
        <v>19</v>
      </c>
      <c r="B28" s="1501"/>
      <c r="C28" s="1107" t="s">
        <v>3837</v>
      </c>
      <c r="D28" s="1114">
        <v>490</v>
      </c>
      <c r="E28" s="1189"/>
      <c r="F28" s="1189"/>
      <c r="G28" s="1189"/>
      <c r="H28" s="1189"/>
      <c r="I28" s="1189"/>
      <c r="J28" s="1189"/>
      <c r="K28" s="1189"/>
      <c r="L28" s="1189"/>
      <c r="M28" s="1189"/>
      <c r="N28" s="1189"/>
      <c r="O28" s="1189"/>
      <c r="P28" s="1189"/>
      <c r="R28" s="1189"/>
      <c r="S28" s="1189"/>
      <c r="T28" s="1189"/>
      <c r="U28" s="1189"/>
      <c r="V28" s="1189"/>
      <c r="W28" s="1189"/>
      <c r="X28" s="1189"/>
      <c r="Y28" s="1189"/>
      <c r="Z28" s="1189"/>
      <c r="AC28" s="1192"/>
    </row>
    <row r="29" spans="1:31" outlineLevel="1">
      <c r="A29" s="1098">
        <v>20</v>
      </c>
      <c r="B29" s="1501"/>
      <c r="C29" s="1107" t="s">
        <v>3838</v>
      </c>
      <c r="D29" s="1114">
        <v>491</v>
      </c>
      <c r="E29" s="1189"/>
      <c r="F29" s="1189"/>
      <c r="G29" s="1189"/>
      <c r="H29" s="1189"/>
      <c r="I29" s="1189"/>
      <c r="J29" s="1189"/>
      <c r="K29" s="1189"/>
      <c r="L29" s="1189"/>
      <c r="M29" s="1189"/>
      <c r="N29" s="1189"/>
      <c r="O29" s="1189"/>
      <c r="P29" s="1189"/>
      <c r="R29" s="1189"/>
      <c r="S29" s="1189"/>
      <c r="T29" s="1189"/>
      <c r="U29" s="1189"/>
      <c r="V29" s="1189"/>
      <c r="W29" s="1189"/>
      <c r="X29" s="1189"/>
      <c r="Y29" s="1189"/>
      <c r="Z29" s="1189"/>
      <c r="AC29" s="1192"/>
    </row>
    <row r="30" spans="1:31" outlineLevel="1">
      <c r="A30" s="1098">
        <v>21</v>
      </c>
      <c r="B30" s="1501"/>
      <c r="C30" s="1107" t="s">
        <v>3839</v>
      </c>
      <c r="D30" s="1114">
        <v>492</v>
      </c>
      <c r="E30" s="1189"/>
      <c r="F30" s="1189"/>
      <c r="G30" s="1189"/>
      <c r="H30" s="1189"/>
      <c r="I30" s="1189"/>
      <c r="J30" s="1189"/>
      <c r="K30" s="1189"/>
      <c r="L30" s="1189"/>
      <c r="M30" s="1189"/>
      <c r="N30" s="1189"/>
      <c r="O30" s="1189"/>
      <c r="P30" s="1189"/>
      <c r="R30" s="1189"/>
      <c r="S30" s="1189"/>
      <c r="T30" s="1189"/>
      <c r="U30" s="1189"/>
      <c r="V30" s="1189"/>
      <c r="W30" s="1189"/>
      <c r="X30" s="1189"/>
      <c r="Y30" s="1189"/>
      <c r="Z30" s="1189"/>
      <c r="AC30" s="1192"/>
    </row>
    <row r="31" spans="1:31" outlineLevel="1">
      <c r="A31" s="1098">
        <v>22</v>
      </c>
      <c r="B31" s="1501"/>
      <c r="C31" s="1107" t="s">
        <v>3840</v>
      </c>
      <c r="D31" s="1114">
        <v>493</v>
      </c>
      <c r="E31" s="1189">
        <f>'Operating Report'!F23</f>
        <v>330510.09999999998</v>
      </c>
      <c r="F31" s="1189">
        <f>'Operating Report'!H23</f>
        <v>0</v>
      </c>
      <c r="G31" s="1189">
        <f>'Operating Report'!I23</f>
        <v>0</v>
      </c>
      <c r="H31" s="1189">
        <f>'Operating Report'!J23</f>
        <v>0</v>
      </c>
      <c r="I31" s="1189">
        <f>'Operating Report'!K23</f>
        <v>0</v>
      </c>
      <c r="J31" s="1189">
        <f>'Operating Report'!L23</f>
        <v>0</v>
      </c>
      <c r="K31" s="1189">
        <f>'Operating Report'!M23</f>
        <v>0</v>
      </c>
      <c r="L31" s="1189">
        <f>'Operating Report'!N23</f>
        <v>0</v>
      </c>
      <c r="M31" s="1189">
        <f>'Operating Report'!O23</f>
        <v>0</v>
      </c>
      <c r="N31" s="1189">
        <f>'Operating Report'!P23</f>
        <v>0</v>
      </c>
      <c r="O31" s="1189">
        <f>'Operating Report'!Q23</f>
        <v>0</v>
      </c>
      <c r="P31" s="1189">
        <f>'Operating Report'!R23</f>
        <v>0</v>
      </c>
      <c r="Q31" s="1189">
        <f>SUM(F31:P31)</f>
        <v>0</v>
      </c>
      <c r="R31" s="1189">
        <f>'Operating Report'!T23</f>
        <v>0</v>
      </c>
      <c r="S31" s="1189">
        <f>'Operating Report'!U23</f>
        <v>0</v>
      </c>
      <c r="T31" s="1189">
        <f>'Operating Report'!V23</f>
        <v>0</v>
      </c>
      <c r="U31" s="1189">
        <f>'Operating Report'!W23</f>
        <v>0</v>
      </c>
      <c r="V31" s="1189">
        <f>'Operating Report'!X23</f>
        <v>0</v>
      </c>
      <c r="W31" s="1189">
        <f>'Operating Report'!Y23</f>
        <v>0</v>
      </c>
      <c r="X31" s="1189">
        <f>'Operating Report'!Z23</f>
        <v>0</v>
      </c>
      <c r="Y31" s="1189">
        <f>'Operating Report'!AA23</f>
        <v>0</v>
      </c>
      <c r="Z31" s="1189">
        <f>'Operating Report'!AB23</f>
        <v>0</v>
      </c>
      <c r="AA31" s="1192">
        <f>SUM(R31:Z31)</f>
        <v>0</v>
      </c>
      <c r="AB31" s="1192">
        <f>Q31+AA31</f>
        <v>0</v>
      </c>
      <c r="AC31" s="1192">
        <f>E31+AB31</f>
        <v>330510.09999999998</v>
      </c>
      <c r="AE31" s="1192">
        <f>AC31+AD31</f>
        <v>330510.09999999998</v>
      </c>
    </row>
    <row r="32" spans="1:31" outlineLevel="1">
      <c r="A32" s="1098">
        <v>23</v>
      </c>
      <c r="B32" s="1501"/>
      <c r="C32" s="1107" t="s">
        <v>3841</v>
      </c>
      <c r="D32" s="1114">
        <v>494</v>
      </c>
      <c r="E32" s="1189">
        <f>'Operating Report'!F24</f>
        <v>96651.1</v>
      </c>
      <c r="F32" s="1189">
        <f>'Operating Report'!H24</f>
        <v>0</v>
      </c>
      <c r="G32" s="1189">
        <f>'Operating Report'!I24</f>
        <v>0</v>
      </c>
      <c r="H32" s="1189">
        <f>'Operating Report'!J24</f>
        <v>0</v>
      </c>
      <c r="I32" s="1189">
        <f>'Operating Report'!K24</f>
        <v>0</v>
      </c>
      <c r="J32" s="1189">
        <f>'Operating Report'!L24</f>
        <v>0</v>
      </c>
      <c r="K32" s="1189">
        <f>'Operating Report'!M24</f>
        <v>0</v>
      </c>
      <c r="L32" s="1189">
        <f>'Operating Report'!N24</f>
        <v>0</v>
      </c>
      <c r="M32" s="1189">
        <f>'Operating Report'!O24</f>
        <v>0</v>
      </c>
      <c r="N32" s="1189">
        <f>'Operating Report'!P24</f>
        <v>0</v>
      </c>
      <c r="O32" s="1189">
        <f>'Operating Report'!Q24</f>
        <v>0</v>
      </c>
      <c r="P32" s="1189">
        <f>'Operating Report'!R24</f>
        <v>0</v>
      </c>
      <c r="Q32" s="1189">
        <f>SUM(F32:P32)</f>
        <v>0</v>
      </c>
      <c r="R32" s="1189">
        <f>'Operating Report'!T24</f>
        <v>0</v>
      </c>
      <c r="S32" s="1189">
        <f>'Operating Report'!U24</f>
        <v>0</v>
      </c>
      <c r="T32" s="1189">
        <f>'Operating Report'!V24</f>
        <v>0</v>
      </c>
      <c r="U32" s="1189">
        <f>'Operating Report'!W24</f>
        <v>0</v>
      </c>
      <c r="V32" s="1189">
        <f>'Operating Report'!X24</f>
        <v>0</v>
      </c>
      <c r="W32" s="1189">
        <f>'Operating Report'!Y24</f>
        <v>0</v>
      </c>
      <c r="X32" s="1189">
        <f>'Operating Report'!Z24</f>
        <v>0</v>
      </c>
      <c r="Y32" s="1189">
        <f>'Operating Report'!AA24</f>
        <v>0</v>
      </c>
      <c r="Z32" s="1189">
        <f>'Operating Report'!AB24</f>
        <v>0</v>
      </c>
      <c r="AA32" s="1192">
        <f>SUM(R32:Z32)</f>
        <v>0</v>
      </c>
      <c r="AB32" s="1192">
        <f>Q32+AA32</f>
        <v>0</v>
      </c>
      <c r="AC32" s="1192">
        <f>E32+AB32</f>
        <v>96651.1</v>
      </c>
      <c r="AE32" s="1192">
        <f>AC32+AD32</f>
        <v>96651.1</v>
      </c>
    </row>
    <row r="33" spans="1:31" outlineLevel="1">
      <c r="A33" s="1098">
        <v>24</v>
      </c>
      <c r="B33" s="1501"/>
      <c r="C33" s="1107" t="s">
        <v>3842</v>
      </c>
      <c r="D33" s="1114">
        <v>495</v>
      </c>
      <c r="E33" s="1189">
        <f>'Operating Report'!F25+'Operating Report'!F26</f>
        <v>140885.44999999998</v>
      </c>
      <c r="F33" s="1189">
        <f>'Operating Report'!H25+'Operating Report'!H26</f>
        <v>0</v>
      </c>
      <c r="G33" s="1189">
        <f>'Operating Report'!I25+'Operating Report'!I26</f>
        <v>0</v>
      </c>
      <c r="H33" s="1189">
        <f>'Operating Report'!J25+'Operating Report'!J26</f>
        <v>0</v>
      </c>
      <c r="I33" s="1189">
        <f>'Operating Report'!K25+'Operating Report'!K26</f>
        <v>0</v>
      </c>
      <c r="J33" s="1189">
        <f>'Operating Report'!L25+'Operating Report'!L26</f>
        <v>0</v>
      </c>
      <c r="K33" s="1189">
        <f>'Operating Report'!M25+'Operating Report'!M26</f>
        <v>0</v>
      </c>
      <c r="L33" s="1189">
        <f>'Operating Report'!N25+'Operating Report'!N26</f>
        <v>0</v>
      </c>
      <c r="M33" s="1189">
        <f>'Operating Report'!O25+'Operating Report'!O26</f>
        <v>0</v>
      </c>
      <c r="N33" s="1189">
        <f>'Operating Report'!P25+'Operating Report'!P26</f>
        <v>0</v>
      </c>
      <c r="O33" s="1189">
        <f>'Operating Report'!Q25+'Operating Report'!Q26</f>
        <v>0</v>
      </c>
      <c r="P33" s="1189">
        <f>'Operating Report'!R25+'Operating Report'!R26</f>
        <v>0</v>
      </c>
      <c r="Q33" s="1189">
        <f>SUM(F33:P33)</f>
        <v>0</v>
      </c>
      <c r="R33" s="1189">
        <f>'Operating Report'!T25+'Operating Report'!T26</f>
        <v>0</v>
      </c>
      <c r="S33" s="1189">
        <f>'Operating Report'!U25+'Operating Report'!U26</f>
        <v>0</v>
      </c>
      <c r="T33" s="1189">
        <f>'Operating Report'!V25+'Operating Report'!V26</f>
        <v>0</v>
      </c>
      <c r="U33" s="1189">
        <f>'Operating Report'!W25+'Operating Report'!W26</f>
        <v>0</v>
      </c>
      <c r="V33" s="1189">
        <f>'Operating Report'!X25+'Operating Report'!X26</f>
        <v>0</v>
      </c>
      <c r="W33" s="1189">
        <f>'Operating Report'!Y25+'Operating Report'!Y26</f>
        <v>0</v>
      </c>
      <c r="X33" s="1189">
        <f>'Operating Report'!Z25+'Operating Report'!Z26</f>
        <v>0</v>
      </c>
      <c r="Y33" s="1189">
        <f>'Operating Report'!AA25+'Operating Report'!AA26</f>
        <v>0</v>
      </c>
      <c r="Z33" s="1189">
        <f>'Operating Report'!AB25+'Operating Report'!AB26</f>
        <v>0</v>
      </c>
      <c r="AA33" s="1192">
        <f>SUM(R33:Z33)</f>
        <v>0</v>
      </c>
      <c r="AB33" s="1192">
        <f>Q33+AA33</f>
        <v>0</v>
      </c>
      <c r="AC33" s="1192">
        <f>E33+AB33</f>
        <v>140885.44999999998</v>
      </c>
      <c r="AE33" s="1192">
        <f>AC33+AD33</f>
        <v>140885.44999999998</v>
      </c>
    </row>
    <row r="34" spans="1:31">
      <c r="A34" s="1098">
        <v>25</v>
      </c>
      <c r="B34" s="1502"/>
      <c r="C34" s="1507" t="s">
        <v>3843</v>
      </c>
      <c r="D34" s="1506"/>
      <c r="E34" s="1189">
        <f>SUM(E25:E33)</f>
        <v>931286.49999999988</v>
      </c>
      <c r="F34" s="1189">
        <f t="shared" ref="F34:AE34" si="5">SUM(F25:F33)</f>
        <v>0</v>
      </c>
      <c r="G34" s="1189">
        <f t="shared" si="5"/>
        <v>0</v>
      </c>
      <c r="H34" s="1189">
        <f t="shared" si="5"/>
        <v>0</v>
      </c>
      <c r="I34" s="1189">
        <f t="shared" si="5"/>
        <v>0</v>
      </c>
      <c r="J34" s="1189">
        <f t="shared" si="5"/>
        <v>0</v>
      </c>
      <c r="K34" s="1189">
        <f t="shared" si="5"/>
        <v>0</v>
      </c>
      <c r="L34" s="1189">
        <f t="shared" si="5"/>
        <v>0</v>
      </c>
      <c r="M34" s="1189">
        <f t="shared" si="5"/>
        <v>0</v>
      </c>
      <c r="N34" s="1189">
        <f t="shared" si="5"/>
        <v>0</v>
      </c>
      <c r="O34" s="1189">
        <f t="shared" si="5"/>
        <v>0</v>
      </c>
      <c r="P34" s="1189">
        <f t="shared" si="5"/>
        <v>0</v>
      </c>
      <c r="Q34" s="1189">
        <f t="shared" si="5"/>
        <v>0</v>
      </c>
      <c r="R34" s="1189">
        <f t="shared" si="5"/>
        <v>0</v>
      </c>
      <c r="S34" s="1189">
        <f t="shared" si="5"/>
        <v>0</v>
      </c>
      <c r="T34" s="1189">
        <f t="shared" si="5"/>
        <v>0</v>
      </c>
      <c r="U34" s="1189">
        <f t="shared" si="5"/>
        <v>0</v>
      </c>
      <c r="V34" s="1189">
        <f t="shared" si="5"/>
        <v>0</v>
      </c>
      <c r="W34" s="1189">
        <f t="shared" si="5"/>
        <v>0</v>
      </c>
      <c r="X34" s="1189">
        <f t="shared" si="5"/>
        <v>0</v>
      </c>
      <c r="Y34" s="1189">
        <f t="shared" si="5"/>
        <v>0</v>
      </c>
      <c r="Z34" s="1189">
        <f t="shared" si="5"/>
        <v>0</v>
      </c>
      <c r="AA34" s="1189">
        <f t="shared" si="5"/>
        <v>0</v>
      </c>
      <c r="AB34" s="1189">
        <f t="shared" si="5"/>
        <v>0</v>
      </c>
      <c r="AC34" s="1189">
        <f t="shared" si="5"/>
        <v>931286.49999999988</v>
      </c>
      <c r="AD34" s="1189">
        <f t="shared" si="5"/>
        <v>0</v>
      </c>
      <c r="AE34" s="1189">
        <f t="shared" si="5"/>
        <v>931286.49999999988</v>
      </c>
    </row>
    <row r="35" spans="1:31">
      <c r="A35" s="1098">
        <v>26</v>
      </c>
      <c r="B35" s="1510" t="s">
        <v>3844</v>
      </c>
      <c r="C35" s="1510"/>
      <c r="D35" s="1511"/>
      <c r="E35" s="1189">
        <f>E20+E24+E34</f>
        <v>376249859.94</v>
      </c>
      <c r="F35" s="1189">
        <f t="shared" ref="F35:AE35" si="6">F20+F24+F34</f>
        <v>-231114338.20364389</v>
      </c>
      <c r="G35" s="1189">
        <f t="shared" si="6"/>
        <v>-1774483.9963787599</v>
      </c>
      <c r="H35" s="1189">
        <f t="shared" si="6"/>
        <v>436247.02630265453</v>
      </c>
      <c r="I35" s="1189">
        <f t="shared" si="6"/>
        <v>1831964.8385883817</v>
      </c>
      <c r="J35" s="1189">
        <f t="shared" si="6"/>
        <v>0</v>
      </c>
      <c r="K35" s="1189">
        <f t="shared" si="6"/>
        <v>0</v>
      </c>
      <c r="L35" s="1189">
        <f t="shared" si="6"/>
        <v>0</v>
      </c>
      <c r="M35" s="1189">
        <f t="shared" si="6"/>
        <v>0</v>
      </c>
      <c r="N35" s="1189">
        <f t="shared" si="6"/>
        <v>0</v>
      </c>
      <c r="O35" s="1189">
        <f t="shared" si="6"/>
        <v>0</v>
      </c>
      <c r="P35" s="1189">
        <f t="shared" si="6"/>
        <v>0</v>
      </c>
      <c r="Q35" s="1189">
        <f t="shared" si="6"/>
        <v>-230620610.33513162</v>
      </c>
      <c r="R35" s="1189">
        <f t="shared" si="6"/>
        <v>0</v>
      </c>
      <c r="S35" s="1189">
        <f t="shared" si="6"/>
        <v>0</v>
      </c>
      <c r="T35" s="1189">
        <f t="shared" si="6"/>
        <v>0</v>
      </c>
      <c r="U35" s="1189">
        <f t="shared" si="6"/>
        <v>0</v>
      </c>
      <c r="V35" s="1189">
        <f t="shared" si="6"/>
        <v>0</v>
      </c>
      <c r="W35" s="1189">
        <f t="shared" si="6"/>
        <v>0</v>
      </c>
      <c r="X35" s="1189">
        <f t="shared" si="6"/>
        <v>0</v>
      </c>
      <c r="Y35" s="1189">
        <f t="shared" si="6"/>
        <v>0</v>
      </c>
      <c r="Z35" s="1189">
        <f t="shared" si="6"/>
        <v>0</v>
      </c>
      <c r="AA35" s="1189">
        <f t="shared" si="6"/>
        <v>0</v>
      </c>
      <c r="AB35" s="1189">
        <f t="shared" si="6"/>
        <v>-230620610.33513162</v>
      </c>
      <c r="AC35" s="1189">
        <f t="shared" si="6"/>
        <v>145629249.60486838</v>
      </c>
      <c r="AD35" s="1189">
        <f t="shared" si="6"/>
        <v>30458350</v>
      </c>
      <c r="AE35" s="1189">
        <f t="shared" si="6"/>
        <v>176087599.60486835</v>
      </c>
    </row>
    <row r="36" spans="1:31" ht="15" customHeight="1" outlineLevel="1">
      <c r="A36" s="1098">
        <v>27</v>
      </c>
      <c r="B36" s="1500" t="s">
        <v>3845</v>
      </c>
      <c r="C36" s="1115" t="s">
        <v>3846</v>
      </c>
      <c r="D36" s="1114">
        <v>710</v>
      </c>
      <c r="E36" s="1189"/>
    </row>
    <row r="37" spans="1:31" ht="15" customHeight="1" outlineLevel="1">
      <c r="A37" s="1098">
        <v>28</v>
      </c>
      <c r="B37" s="1501"/>
      <c r="C37" s="1107" t="s">
        <v>3847</v>
      </c>
      <c r="D37" s="1114">
        <v>711</v>
      </c>
      <c r="E37" s="1189"/>
    </row>
    <row r="38" spans="1:31" ht="15" customHeight="1" outlineLevel="1">
      <c r="A38" s="1098">
        <v>29</v>
      </c>
      <c r="B38" s="1501"/>
      <c r="C38" s="1107" t="s">
        <v>3848</v>
      </c>
      <c r="D38" s="1114">
        <v>712</v>
      </c>
      <c r="E38" s="1189">
        <f>'Operating Report'!F41</f>
        <v>0</v>
      </c>
      <c r="F38" s="1189">
        <f>'Operating Report'!H41</f>
        <v>0</v>
      </c>
      <c r="G38" s="1189">
        <f>'Operating Report'!I41</f>
        <v>0</v>
      </c>
      <c r="H38" s="1189">
        <f>'Operating Report'!J41</f>
        <v>0</v>
      </c>
      <c r="I38" s="1189">
        <f>'Operating Report'!K41</f>
        <v>0</v>
      </c>
      <c r="J38" s="1189">
        <f>'Operating Report'!L41</f>
        <v>0</v>
      </c>
      <c r="K38" s="1189">
        <f>'Operating Report'!M41</f>
        <v>0</v>
      </c>
      <c r="L38" s="1189">
        <f>'Operating Report'!N41</f>
        <v>0</v>
      </c>
      <c r="M38" s="1189">
        <f>'Operating Report'!O41</f>
        <v>0</v>
      </c>
      <c r="N38" s="1189">
        <f>'Operating Report'!P41</f>
        <v>0</v>
      </c>
      <c r="O38" s="1189">
        <f>'Operating Report'!Q41</f>
        <v>0</v>
      </c>
      <c r="P38" s="1189">
        <f>'Operating Report'!R41</f>
        <v>0</v>
      </c>
      <c r="Q38" s="1189">
        <f>SUM(F38:P38)</f>
        <v>0</v>
      </c>
      <c r="R38" s="1189">
        <f>'Operating Report'!T41</f>
        <v>0</v>
      </c>
      <c r="S38" s="1189">
        <f>'Operating Report'!U41</f>
        <v>0</v>
      </c>
      <c r="T38" s="1189">
        <f>'Operating Report'!V41</f>
        <v>0</v>
      </c>
      <c r="U38" s="1189">
        <f>'Operating Report'!W41</f>
        <v>0</v>
      </c>
      <c r="V38" s="1189">
        <f>'Operating Report'!X41</f>
        <v>0</v>
      </c>
      <c r="W38" s="1189">
        <f>'Operating Report'!Y41</f>
        <v>0</v>
      </c>
      <c r="X38" s="1189">
        <f>'Operating Report'!Z41</f>
        <v>0</v>
      </c>
      <c r="Y38" s="1189">
        <f>'Operating Report'!AA41</f>
        <v>0</v>
      </c>
      <c r="Z38" s="1189">
        <f>'Operating Report'!AB41</f>
        <v>0</v>
      </c>
      <c r="AA38" s="1192">
        <f>SUM(R38:Z38)</f>
        <v>0</v>
      </c>
      <c r="AB38" s="1192">
        <f>Q38+AA38</f>
        <v>0</v>
      </c>
      <c r="AC38" s="1192">
        <f>E38+AB38</f>
        <v>0</v>
      </c>
      <c r="AE38" s="1192">
        <f>AC38+AD38</f>
        <v>0</v>
      </c>
    </row>
    <row r="39" spans="1:31" ht="15" customHeight="1" outlineLevel="1">
      <c r="A39" s="1098">
        <v>30</v>
      </c>
      <c r="B39" s="1501"/>
      <c r="C39" s="1107" t="s">
        <v>3849</v>
      </c>
      <c r="D39" s="1114">
        <v>713</v>
      </c>
      <c r="E39" s="1189"/>
      <c r="F39" s="1189"/>
      <c r="G39" s="1189"/>
      <c r="H39" s="1189"/>
      <c r="I39" s="1189"/>
      <c r="J39" s="1189"/>
      <c r="K39" s="1189"/>
      <c r="L39" s="1189"/>
      <c r="M39" s="1189"/>
      <c r="N39" s="1189"/>
      <c r="O39" s="1189"/>
      <c r="P39" s="1189"/>
      <c r="R39" s="1189"/>
      <c r="S39" s="1189"/>
      <c r="T39" s="1189"/>
      <c r="U39" s="1189"/>
      <c r="V39" s="1189"/>
      <c r="W39" s="1189"/>
      <c r="X39" s="1189"/>
      <c r="Y39" s="1189"/>
      <c r="Z39" s="1189"/>
    </row>
    <row r="40" spans="1:31" ht="15" customHeight="1" outlineLevel="1">
      <c r="A40" s="1098">
        <v>31</v>
      </c>
      <c r="B40" s="1501"/>
      <c r="C40" s="1107" t="s">
        <v>3850</v>
      </c>
      <c r="D40" s="1114">
        <v>714</v>
      </c>
      <c r="E40" s="1189"/>
      <c r="F40" s="1189"/>
      <c r="G40" s="1189"/>
      <c r="H40" s="1189"/>
      <c r="I40" s="1189"/>
      <c r="J40" s="1189"/>
      <c r="K40" s="1189"/>
      <c r="L40" s="1189"/>
      <c r="M40" s="1189"/>
      <c r="N40" s="1189"/>
      <c r="O40" s="1189"/>
      <c r="P40" s="1189"/>
      <c r="R40" s="1189"/>
      <c r="S40" s="1189"/>
      <c r="T40" s="1189"/>
      <c r="U40" s="1189"/>
      <c r="V40" s="1189"/>
      <c r="W40" s="1189"/>
      <c r="X40" s="1189"/>
      <c r="Y40" s="1189"/>
      <c r="Z40" s="1189"/>
    </row>
    <row r="41" spans="1:31" ht="15" customHeight="1" outlineLevel="1">
      <c r="A41" s="1098">
        <v>32</v>
      </c>
      <c r="B41" s="1501"/>
      <c r="C41" s="1107" t="s">
        <v>3851</v>
      </c>
      <c r="D41" s="1114">
        <v>715</v>
      </c>
      <c r="E41" s="1189"/>
      <c r="F41" s="1189"/>
      <c r="G41" s="1189"/>
      <c r="H41" s="1189"/>
      <c r="I41" s="1189"/>
      <c r="J41" s="1189"/>
      <c r="K41" s="1189"/>
      <c r="L41" s="1189"/>
      <c r="M41" s="1189"/>
      <c r="N41" s="1189"/>
      <c r="O41" s="1189"/>
      <c r="P41" s="1189"/>
      <c r="R41" s="1189"/>
      <c r="S41" s="1189"/>
      <c r="T41" s="1189"/>
      <c r="U41" s="1189"/>
      <c r="V41" s="1189"/>
      <c r="W41" s="1189"/>
      <c r="X41" s="1189"/>
      <c r="Y41" s="1189"/>
      <c r="Z41" s="1189"/>
    </row>
    <row r="42" spans="1:31" ht="15" customHeight="1" outlineLevel="1">
      <c r="A42" s="1098">
        <v>33</v>
      </c>
      <c r="B42" s="1501"/>
      <c r="C42" s="1107" t="s">
        <v>3852</v>
      </c>
      <c r="D42" s="1114">
        <v>716</v>
      </c>
      <c r="E42" s="1189"/>
      <c r="F42" s="1189"/>
      <c r="G42" s="1189"/>
      <c r="H42" s="1189"/>
      <c r="I42" s="1189"/>
      <c r="J42" s="1189"/>
      <c r="K42" s="1189"/>
      <c r="L42" s="1189"/>
      <c r="M42" s="1189"/>
      <c r="N42" s="1189"/>
      <c r="O42" s="1189"/>
      <c r="P42" s="1189"/>
      <c r="R42" s="1189"/>
      <c r="S42" s="1189"/>
      <c r="T42" s="1189"/>
      <c r="U42" s="1189"/>
      <c r="V42" s="1189"/>
      <c r="W42" s="1189"/>
      <c r="X42" s="1189"/>
      <c r="Y42" s="1189"/>
      <c r="Z42" s="1189"/>
    </row>
    <row r="43" spans="1:31" ht="15" customHeight="1" outlineLevel="1">
      <c r="A43" s="1098">
        <v>34</v>
      </c>
      <c r="B43" s="1501"/>
      <c r="C43" s="1107" t="s">
        <v>3853</v>
      </c>
      <c r="D43" s="1114">
        <v>717</v>
      </c>
      <c r="E43" s="1189">
        <f>'Operating Report'!F42</f>
        <v>0</v>
      </c>
      <c r="F43" s="1189">
        <f>'Operating Report'!H42</f>
        <v>0</v>
      </c>
      <c r="G43" s="1189">
        <f>'Operating Report'!I42</f>
        <v>0</v>
      </c>
      <c r="H43" s="1189">
        <f>'Operating Report'!J42</f>
        <v>0</v>
      </c>
      <c r="I43" s="1189">
        <f>'Operating Report'!K42</f>
        <v>0</v>
      </c>
      <c r="J43" s="1189">
        <f>'Operating Report'!L42</f>
        <v>0</v>
      </c>
      <c r="K43" s="1189">
        <f>'Operating Report'!M42</f>
        <v>0</v>
      </c>
      <c r="L43" s="1189">
        <f>'Operating Report'!N42</f>
        <v>0</v>
      </c>
      <c r="M43" s="1189">
        <f>'Operating Report'!O42</f>
        <v>0</v>
      </c>
      <c r="N43" s="1189">
        <f>'Operating Report'!P42</f>
        <v>0</v>
      </c>
      <c r="O43" s="1189">
        <f>'Operating Report'!Q42</f>
        <v>0</v>
      </c>
      <c r="P43" s="1189">
        <f>'Operating Report'!R42</f>
        <v>0</v>
      </c>
      <c r="Q43" s="1189">
        <f>SUM(F43:P43)</f>
        <v>0</v>
      </c>
      <c r="R43" s="1189">
        <f>'Operating Report'!T42</f>
        <v>0</v>
      </c>
      <c r="S43" s="1189">
        <f>'Operating Report'!U42</f>
        <v>0</v>
      </c>
      <c r="T43" s="1189">
        <f>'Operating Report'!V42</f>
        <v>0</v>
      </c>
      <c r="U43" s="1189">
        <f>'Operating Report'!W42</f>
        <v>0</v>
      </c>
      <c r="V43" s="1189">
        <f>'Operating Report'!X42</f>
        <v>0</v>
      </c>
      <c r="W43" s="1189">
        <f>'Operating Report'!Y42</f>
        <v>0</v>
      </c>
      <c r="X43" s="1189">
        <f>'Operating Report'!Z42</f>
        <v>0</v>
      </c>
      <c r="Y43" s="1189">
        <f>'Operating Report'!AA42</f>
        <v>0</v>
      </c>
      <c r="Z43" s="1189">
        <f>'Operating Report'!AB42</f>
        <v>0</v>
      </c>
      <c r="AA43" s="1192">
        <f>SUM(R43:Z43)</f>
        <v>0</v>
      </c>
      <c r="AB43" s="1192">
        <f>Q43+AA43</f>
        <v>0</v>
      </c>
      <c r="AC43" s="1192">
        <f>E43+AB43</f>
        <v>0</v>
      </c>
      <c r="AE43" s="1192">
        <f>AC43+AD43</f>
        <v>0</v>
      </c>
    </row>
    <row r="44" spans="1:31" ht="15" customHeight="1" outlineLevel="1">
      <c r="A44" s="1098">
        <v>35</v>
      </c>
      <c r="B44" s="1501"/>
      <c r="C44" s="1107" t="s">
        <v>3854</v>
      </c>
      <c r="D44" s="1114">
        <v>718</v>
      </c>
      <c r="E44" s="1189">
        <f>'Operating Report'!F43</f>
        <v>0</v>
      </c>
      <c r="F44" s="1189">
        <f>'Operating Report'!H43</f>
        <v>0</v>
      </c>
      <c r="G44" s="1189">
        <f>'Operating Report'!I43</f>
        <v>0</v>
      </c>
      <c r="H44" s="1189">
        <f>'Operating Report'!J43</f>
        <v>0</v>
      </c>
      <c r="I44" s="1189">
        <f>'Operating Report'!K43</f>
        <v>0</v>
      </c>
      <c r="J44" s="1189">
        <f>'Operating Report'!L43</f>
        <v>0</v>
      </c>
      <c r="K44" s="1189">
        <f>'Operating Report'!M43</f>
        <v>0</v>
      </c>
      <c r="L44" s="1189">
        <f>'Operating Report'!N43</f>
        <v>0</v>
      </c>
      <c r="M44" s="1189">
        <f>'Operating Report'!O43</f>
        <v>0</v>
      </c>
      <c r="N44" s="1189">
        <f>'Operating Report'!P43</f>
        <v>0</v>
      </c>
      <c r="O44" s="1189">
        <f>'Operating Report'!Q43</f>
        <v>0</v>
      </c>
      <c r="P44" s="1189">
        <f>'Operating Report'!R43</f>
        <v>0</v>
      </c>
      <c r="Q44" s="1189">
        <f>SUM(F44:P44)</f>
        <v>0</v>
      </c>
      <c r="R44" s="1189">
        <f>'Operating Report'!T43</f>
        <v>0</v>
      </c>
      <c r="S44" s="1189">
        <f>'Operating Report'!U43</f>
        <v>0</v>
      </c>
      <c r="T44" s="1189">
        <f>'Operating Report'!V43</f>
        <v>0</v>
      </c>
      <c r="U44" s="1189">
        <f>'Operating Report'!W43</f>
        <v>0</v>
      </c>
      <c r="V44" s="1189">
        <f>'Operating Report'!X43</f>
        <v>0</v>
      </c>
      <c r="W44" s="1189">
        <f>'Operating Report'!Y43</f>
        <v>0</v>
      </c>
      <c r="X44" s="1189">
        <f>'Operating Report'!Z43</f>
        <v>0</v>
      </c>
      <c r="Y44" s="1189">
        <f>'Operating Report'!AA43</f>
        <v>0</v>
      </c>
      <c r="Z44" s="1189">
        <f>'Operating Report'!AB43</f>
        <v>0</v>
      </c>
      <c r="AA44" s="1192">
        <f>SUM(R44:Z44)</f>
        <v>0</v>
      </c>
      <c r="AB44" s="1192">
        <f>Q44+AA44</f>
        <v>0</v>
      </c>
      <c r="AC44" s="1192">
        <f>E44+AB44</f>
        <v>0</v>
      </c>
      <c r="AE44" s="1192">
        <f>AC44+AD44</f>
        <v>0</v>
      </c>
    </row>
    <row r="45" spans="1:31" ht="15" customHeight="1" outlineLevel="1">
      <c r="A45" s="1098">
        <v>36</v>
      </c>
      <c r="B45" s="1501"/>
      <c r="C45" s="1107" t="s">
        <v>3855</v>
      </c>
      <c r="D45" s="1114">
        <v>719</v>
      </c>
      <c r="E45" s="1189"/>
      <c r="F45" s="1189"/>
      <c r="G45" s="1189"/>
      <c r="H45" s="1189"/>
      <c r="I45" s="1189"/>
      <c r="J45" s="1189"/>
      <c r="K45" s="1189"/>
      <c r="L45" s="1189"/>
      <c r="M45" s="1189"/>
      <c r="N45" s="1189"/>
      <c r="O45" s="1189"/>
      <c r="P45" s="1189"/>
      <c r="R45" s="1189"/>
      <c r="S45" s="1189"/>
      <c r="T45" s="1189"/>
      <c r="U45" s="1189"/>
      <c r="V45" s="1189"/>
      <c r="W45" s="1189"/>
      <c r="X45" s="1189"/>
      <c r="Y45" s="1189"/>
      <c r="Z45" s="1189"/>
    </row>
    <row r="46" spans="1:31" ht="15" customHeight="1" outlineLevel="1">
      <c r="A46" s="1098">
        <v>37</v>
      </c>
      <c r="B46" s="1501"/>
      <c r="C46" s="1107" t="s">
        <v>3856</v>
      </c>
      <c r="D46" s="1114">
        <v>720</v>
      </c>
      <c r="E46" s="1189"/>
      <c r="F46" s="1189"/>
      <c r="G46" s="1189"/>
      <c r="H46" s="1189"/>
      <c r="I46" s="1189"/>
      <c r="J46" s="1189"/>
      <c r="K46" s="1189"/>
      <c r="L46" s="1189"/>
      <c r="M46" s="1189"/>
      <c r="N46" s="1189"/>
      <c r="O46" s="1189"/>
      <c r="P46" s="1189"/>
      <c r="R46" s="1189"/>
      <c r="S46" s="1189"/>
      <c r="T46" s="1189"/>
      <c r="U46" s="1189"/>
      <c r="V46" s="1189"/>
      <c r="W46" s="1189"/>
      <c r="X46" s="1189"/>
      <c r="Y46" s="1189"/>
      <c r="Z46" s="1189"/>
    </row>
    <row r="47" spans="1:31" ht="15" customHeight="1" outlineLevel="1">
      <c r="A47" s="1098">
        <v>38</v>
      </c>
      <c r="B47" s="1501"/>
      <c r="C47" s="1107" t="s">
        <v>3857</v>
      </c>
      <c r="D47" s="1114">
        <v>721</v>
      </c>
      <c r="E47" s="1189"/>
      <c r="F47" s="1189"/>
      <c r="G47" s="1189"/>
      <c r="H47" s="1189"/>
      <c r="I47" s="1189"/>
      <c r="J47" s="1189"/>
      <c r="K47" s="1189"/>
      <c r="L47" s="1189"/>
      <c r="M47" s="1189"/>
      <c r="N47" s="1189"/>
      <c r="O47" s="1189"/>
      <c r="P47" s="1189"/>
      <c r="R47" s="1189"/>
      <c r="S47" s="1189"/>
      <c r="T47" s="1189"/>
      <c r="U47" s="1189"/>
      <c r="V47" s="1189"/>
      <c r="W47" s="1189"/>
      <c r="X47" s="1189"/>
      <c r="Y47" s="1189"/>
      <c r="Z47" s="1189"/>
    </row>
    <row r="48" spans="1:31" ht="15" customHeight="1" outlineLevel="1">
      <c r="A48" s="1098">
        <v>39</v>
      </c>
      <c r="B48" s="1501"/>
      <c r="C48" s="1107" t="s">
        <v>3858</v>
      </c>
      <c r="D48" s="1114">
        <v>722</v>
      </c>
      <c r="E48" s="1189"/>
      <c r="F48" s="1189"/>
      <c r="G48" s="1189"/>
      <c r="H48" s="1189"/>
      <c r="I48" s="1189"/>
      <c r="J48" s="1189"/>
      <c r="K48" s="1189"/>
      <c r="L48" s="1189"/>
      <c r="M48" s="1189"/>
      <c r="N48" s="1189"/>
      <c r="O48" s="1189"/>
      <c r="P48" s="1189"/>
      <c r="R48" s="1189"/>
      <c r="S48" s="1189"/>
      <c r="T48" s="1189"/>
      <c r="U48" s="1189"/>
      <c r="V48" s="1189"/>
      <c r="W48" s="1189"/>
      <c r="X48" s="1189"/>
      <c r="Y48" s="1189"/>
      <c r="Z48" s="1189"/>
    </row>
    <row r="49" spans="1:31" ht="15" customHeight="1" outlineLevel="1">
      <c r="A49" s="1098">
        <v>40</v>
      </c>
      <c r="B49" s="1501"/>
      <c r="C49" s="1107" t="s">
        <v>3859</v>
      </c>
      <c r="D49" s="1114">
        <v>723</v>
      </c>
      <c r="E49" s="1189">
        <f>'Operating Report'!F44</f>
        <v>0</v>
      </c>
      <c r="F49" s="1189">
        <f>'Operating Report'!H44</f>
        <v>0</v>
      </c>
      <c r="G49" s="1189">
        <f>'Operating Report'!I44</f>
        <v>0</v>
      </c>
      <c r="H49" s="1189">
        <f>'Operating Report'!J44</f>
        <v>0</v>
      </c>
      <c r="I49" s="1189">
        <f>'Operating Report'!K44</f>
        <v>0</v>
      </c>
      <c r="J49" s="1189">
        <f>'Operating Report'!L44</f>
        <v>0</v>
      </c>
      <c r="K49" s="1189">
        <f>'Operating Report'!M44</f>
        <v>0</v>
      </c>
      <c r="L49" s="1189">
        <f>'Operating Report'!N44</f>
        <v>0</v>
      </c>
      <c r="M49" s="1189">
        <f>'Operating Report'!O44</f>
        <v>0</v>
      </c>
      <c r="N49" s="1189">
        <f>'Operating Report'!P44</f>
        <v>0</v>
      </c>
      <c r="O49" s="1189">
        <f>'Operating Report'!Q44</f>
        <v>0</v>
      </c>
      <c r="P49" s="1189">
        <f>'Operating Report'!R44</f>
        <v>0</v>
      </c>
      <c r="Q49" s="1189">
        <f>SUM(F49:P49)</f>
        <v>0</v>
      </c>
      <c r="R49" s="1189">
        <f>'Operating Report'!T44</f>
        <v>0</v>
      </c>
      <c r="S49" s="1189">
        <f>'Operating Report'!U44</f>
        <v>0</v>
      </c>
      <c r="T49" s="1189">
        <f>'Operating Report'!V44</f>
        <v>0</v>
      </c>
      <c r="U49" s="1189">
        <f>'Operating Report'!W44</f>
        <v>0</v>
      </c>
      <c r="V49" s="1189">
        <f>'Operating Report'!X44</f>
        <v>0</v>
      </c>
      <c r="W49" s="1189">
        <f>'Operating Report'!Y44</f>
        <v>0</v>
      </c>
      <c r="X49" s="1189">
        <f>'Operating Report'!Z44</f>
        <v>0</v>
      </c>
      <c r="Y49" s="1189">
        <f>'Operating Report'!AA44</f>
        <v>0</v>
      </c>
      <c r="Z49" s="1189">
        <f>'Operating Report'!AB44</f>
        <v>0</v>
      </c>
      <c r="AA49" s="1192">
        <f>SUM(R49:Z49)</f>
        <v>0</v>
      </c>
      <c r="AB49" s="1192">
        <f>Q49+AA49</f>
        <v>0</v>
      </c>
      <c r="AC49" s="1192">
        <f>E49+AB49</f>
        <v>0</v>
      </c>
      <c r="AE49" s="1192">
        <f>AC49+AD49</f>
        <v>0</v>
      </c>
    </row>
    <row r="50" spans="1:31" ht="15" customHeight="1" outlineLevel="1">
      <c r="A50" s="1098">
        <v>41</v>
      </c>
      <c r="B50" s="1501"/>
      <c r="C50" s="1107" t="s">
        <v>3860</v>
      </c>
      <c r="D50" s="1114">
        <v>724</v>
      </c>
      <c r="E50" s="1189"/>
      <c r="F50" s="1189"/>
      <c r="G50" s="1189"/>
      <c r="H50" s="1189"/>
      <c r="I50" s="1189"/>
      <c r="J50" s="1189"/>
      <c r="K50" s="1189"/>
      <c r="L50" s="1189"/>
      <c r="M50" s="1189"/>
      <c r="N50" s="1189"/>
      <c r="O50" s="1189"/>
      <c r="P50" s="1189"/>
      <c r="R50" s="1189"/>
      <c r="S50" s="1189"/>
      <c r="T50" s="1189"/>
      <c r="U50" s="1189"/>
      <c r="V50" s="1189"/>
      <c r="W50" s="1189"/>
      <c r="X50" s="1189"/>
      <c r="Y50" s="1189"/>
      <c r="Z50" s="1189"/>
    </row>
    <row r="51" spans="1:31" ht="15" customHeight="1" outlineLevel="1">
      <c r="A51" s="1098">
        <v>42</v>
      </c>
      <c r="B51" s="1501"/>
      <c r="C51" s="1107" t="s">
        <v>3861</v>
      </c>
      <c r="D51" s="1114">
        <v>725</v>
      </c>
      <c r="E51" s="1189"/>
      <c r="F51" s="1189"/>
      <c r="G51" s="1189"/>
      <c r="H51" s="1189"/>
      <c r="I51" s="1189"/>
      <c r="J51" s="1189"/>
      <c r="K51" s="1189"/>
      <c r="L51" s="1189"/>
      <c r="M51" s="1189"/>
      <c r="N51" s="1189"/>
      <c r="O51" s="1189"/>
      <c r="P51" s="1189"/>
      <c r="R51" s="1189"/>
      <c r="S51" s="1189"/>
      <c r="T51" s="1189"/>
      <c r="U51" s="1189"/>
      <c r="V51" s="1189"/>
      <c r="W51" s="1189"/>
      <c r="X51" s="1189"/>
      <c r="Y51" s="1189"/>
      <c r="Z51" s="1189"/>
    </row>
    <row r="52" spans="1:31" ht="15" customHeight="1" outlineLevel="1">
      <c r="A52" s="1098">
        <v>43</v>
      </c>
      <c r="B52" s="1501"/>
      <c r="C52" s="1107" t="s">
        <v>3862</v>
      </c>
      <c r="D52" s="1114">
        <v>726</v>
      </c>
      <c r="E52" s="1189"/>
      <c r="F52" s="1189"/>
      <c r="G52" s="1189"/>
      <c r="H52" s="1189"/>
      <c r="I52" s="1189"/>
      <c r="J52" s="1189"/>
      <c r="K52" s="1189"/>
      <c r="L52" s="1189"/>
      <c r="M52" s="1189"/>
      <c r="N52" s="1189"/>
      <c r="O52" s="1189"/>
      <c r="P52" s="1189"/>
      <c r="R52" s="1189"/>
      <c r="S52" s="1189"/>
      <c r="T52" s="1189"/>
      <c r="U52" s="1189"/>
      <c r="V52" s="1189"/>
      <c r="W52" s="1189"/>
      <c r="X52" s="1189"/>
      <c r="Y52" s="1189"/>
      <c r="Z52" s="1189"/>
    </row>
    <row r="53" spans="1:31" ht="15" customHeight="1" outlineLevel="1">
      <c r="A53" s="1098">
        <v>44</v>
      </c>
      <c r="B53" s="1501"/>
      <c r="C53" s="1107" t="s">
        <v>3863</v>
      </c>
      <c r="D53" s="1114">
        <v>727</v>
      </c>
      <c r="E53" s="1189"/>
      <c r="F53" s="1189"/>
      <c r="G53" s="1189"/>
      <c r="H53" s="1189"/>
      <c r="I53" s="1189"/>
      <c r="J53" s="1189"/>
      <c r="K53" s="1189"/>
      <c r="L53" s="1189"/>
      <c r="M53" s="1189"/>
      <c r="N53" s="1189"/>
      <c r="O53" s="1189"/>
      <c r="P53" s="1189"/>
      <c r="R53" s="1189"/>
      <c r="S53" s="1189"/>
      <c r="T53" s="1189"/>
      <c r="U53" s="1189"/>
      <c r="V53" s="1189"/>
      <c r="W53" s="1189"/>
      <c r="X53" s="1189"/>
      <c r="Y53" s="1189"/>
      <c r="Z53" s="1189"/>
    </row>
    <row r="54" spans="1:31" ht="15" customHeight="1" outlineLevel="1">
      <c r="A54" s="1098">
        <v>45</v>
      </c>
      <c r="B54" s="1501"/>
      <c r="C54" s="1107" t="s">
        <v>3864</v>
      </c>
      <c r="D54" s="1114">
        <v>728</v>
      </c>
      <c r="E54" s="1189">
        <f>'Operating Report'!F46</f>
        <v>0</v>
      </c>
      <c r="F54" s="1189">
        <f>'Operating Report'!H46</f>
        <v>0</v>
      </c>
      <c r="G54" s="1189">
        <f>'Operating Report'!I46</f>
        <v>0</v>
      </c>
      <c r="H54" s="1189">
        <f>'Operating Report'!J46</f>
        <v>0</v>
      </c>
      <c r="I54" s="1189">
        <f>'Operating Report'!K46</f>
        <v>0</v>
      </c>
      <c r="J54" s="1189">
        <f>'Operating Report'!L46</f>
        <v>0</v>
      </c>
      <c r="K54" s="1189">
        <f>'Operating Report'!M46</f>
        <v>0</v>
      </c>
      <c r="L54" s="1189">
        <f>'Operating Report'!N46</f>
        <v>0</v>
      </c>
      <c r="M54" s="1189">
        <f>'Operating Report'!O46</f>
        <v>0</v>
      </c>
      <c r="N54" s="1189">
        <f>'Operating Report'!P46</f>
        <v>0</v>
      </c>
      <c r="O54" s="1189">
        <f>'Operating Report'!Q46</f>
        <v>0</v>
      </c>
      <c r="P54" s="1189">
        <f>'Operating Report'!R46</f>
        <v>0</v>
      </c>
      <c r="Q54" s="1189">
        <f>SUM(F54:P54)</f>
        <v>0</v>
      </c>
      <c r="R54" s="1189">
        <f>'Operating Report'!T46</f>
        <v>0</v>
      </c>
      <c r="S54" s="1189">
        <f>'Operating Report'!U46</f>
        <v>0</v>
      </c>
      <c r="T54" s="1189">
        <f>'Operating Report'!V46</f>
        <v>0</v>
      </c>
      <c r="U54" s="1189">
        <f>'Operating Report'!W46</f>
        <v>0</v>
      </c>
      <c r="V54" s="1189">
        <f>'Operating Report'!X46</f>
        <v>0</v>
      </c>
      <c r="W54" s="1189">
        <f>'Operating Report'!Y46</f>
        <v>0</v>
      </c>
      <c r="X54" s="1189">
        <f>'Operating Report'!Z46</f>
        <v>0</v>
      </c>
      <c r="Y54" s="1189">
        <f>'Operating Report'!AA46</f>
        <v>0</v>
      </c>
      <c r="Z54" s="1189">
        <f>'Operating Report'!AB46</f>
        <v>0</v>
      </c>
      <c r="AA54" s="1192">
        <f>SUM(R54:Z54)</f>
        <v>0</v>
      </c>
      <c r="AB54" s="1192">
        <f>Q54+AA54</f>
        <v>0</v>
      </c>
      <c r="AC54" s="1192">
        <f>E54+AB54</f>
        <v>0</v>
      </c>
      <c r="AE54" s="1192">
        <f>AC54+AD54</f>
        <v>0</v>
      </c>
    </row>
    <row r="55" spans="1:31" ht="15" customHeight="1" outlineLevel="1">
      <c r="A55" s="1098">
        <v>46</v>
      </c>
      <c r="B55" s="1501"/>
      <c r="C55" s="1107" t="s">
        <v>3865</v>
      </c>
      <c r="D55" s="1114">
        <v>729</v>
      </c>
      <c r="E55" s="1189"/>
      <c r="F55" s="1189"/>
      <c r="G55" s="1189"/>
      <c r="H55" s="1189"/>
      <c r="I55" s="1189"/>
      <c r="J55" s="1189"/>
      <c r="K55" s="1189"/>
      <c r="L55" s="1189"/>
      <c r="M55" s="1189"/>
      <c r="N55" s="1189"/>
      <c r="O55" s="1189"/>
      <c r="P55" s="1189"/>
      <c r="R55" s="1189"/>
      <c r="S55" s="1189"/>
      <c r="T55" s="1189"/>
      <c r="U55" s="1189"/>
      <c r="V55" s="1189"/>
      <c r="W55" s="1189"/>
      <c r="X55" s="1189"/>
      <c r="Y55" s="1189"/>
      <c r="Z55" s="1189"/>
    </row>
    <row r="56" spans="1:31" ht="15" customHeight="1" outlineLevel="1">
      <c r="A56" s="1098">
        <v>47</v>
      </c>
      <c r="B56" s="1501"/>
      <c r="C56" s="1107" t="s">
        <v>3866</v>
      </c>
      <c r="D56" s="1114">
        <v>730</v>
      </c>
      <c r="E56" s="1189"/>
      <c r="F56" s="1189"/>
      <c r="G56" s="1189"/>
      <c r="H56" s="1189"/>
      <c r="I56" s="1189"/>
      <c r="J56" s="1189"/>
      <c r="K56" s="1189"/>
      <c r="L56" s="1189"/>
      <c r="M56" s="1189"/>
      <c r="N56" s="1189"/>
      <c r="O56" s="1189"/>
      <c r="P56" s="1189"/>
      <c r="R56" s="1189"/>
      <c r="S56" s="1189"/>
      <c r="T56" s="1189"/>
      <c r="U56" s="1189"/>
      <c r="V56" s="1189"/>
      <c r="W56" s="1189"/>
      <c r="X56" s="1189"/>
      <c r="Y56" s="1189"/>
      <c r="Z56" s="1189"/>
    </row>
    <row r="57" spans="1:31" ht="15" customHeight="1" outlineLevel="1">
      <c r="A57" s="1098">
        <v>48</v>
      </c>
      <c r="B57" s="1501"/>
      <c r="C57" s="1107" t="s">
        <v>3867</v>
      </c>
      <c r="D57" s="1114">
        <v>731</v>
      </c>
      <c r="E57" s="1189"/>
      <c r="F57" s="1189"/>
      <c r="G57" s="1189"/>
      <c r="H57" s="1189"/>
      <c r="I57" s="1189"/>
      <c r="J57" s="1189"/>
      <c r="K57" s="1189"/>
      <c r="L57" s="1189"/>
      <c r="M57" s="1189"/>
      <c r="N57" s="1189"/>
      <c r="O57" s="1189"/>
      <c r="P57" s="1189"/>
      <c r="R57" s="1189"/>
      <c r="S57" s="1189"/>
      <c r="T57" s="1189"/>
      <c r="U57" s="1189"/>
      <c r="V57" s="1189"/>
      <c r="W57" s="1189"/>
      <c r="X57" s="1189"/>
      <c r="Y57" s="1189"/>
      <c r="Z57" s="1189"/>
    </row>
    <row r="58" spans="1:31" ht="15" customHeight="1" outlineLevel="1">
      <c r="A58" s="1098">
        <v>49</v>
      </c>
      <c r="B58" s="1501"/>
      <c r="C58" s="1107" t="s">
        <v>3868</v>
      </c>
      <c r="D58" s="1114">
        <v>732</v>
      </c>
      <c r="E58" s="1189"/>
      <c r="F58" s="1189"/>
      <c r="G58" s="1189"/>
      <c r="H58" s="1189"/>
      <c r="I58" s="1189"/>
      <c r="J58" s="1189"/>
      <c r="K58" s="1189"/>
      <c r="L58" s="1189"/>
      <c r="M58" s="1189"/>
      <c r="N58" s="1189"/>
      <c r="O58" s="1189"/>
      <c r="P58" s="1189"/>
      <c r="R58" s="1189"/>
      <c r="S58" s="1189"/>
      <c r="T58" s="1189"/>
      <c r="U58" s="1189"/>
      <c r="V58" s="1189"/>
      <c r="W58" s="1189"/>
      <c r="X58" s="1189"/>
      <c r="Y58" s="1189"/>
      <c r="Z58" s="1189"/>
    </row>
    <row r="59" spans="1:31" ht="15" customHeight="1" outlineLevel="1">
      <c r="A59" s="1098">
        <v>50</v>
      </c>
      <c r="B59" s="1501"/>
      <c r="C59" s="1107" t="s">
        <v>3869</v>
      </c>
      <c r="D59" s="1114">
        <v>733</v>
      </c>
      <c r="E59" s="1189">
        <f>'Operating Report'!F47</f>
        <v>0</v>
      </c>
      <c r="F59" s="1189">
        <f>'Operating Report'!H47</f>
        <v>0</v>
      </c>
      <c r="G59" s="1189">
        <f>'Operating Report'!I47</f>
        <v>0</v>
      </c>
      <c r="H59" s="1189">
        <f>'Operating Report'!J47</f>
        <v>0</v>
      </c>
      <c r="I59" s="1189">
        <f>'Operating Report'!K47</f>
        <v>0</v>
      </c>
      <c r="J59" s="1189">
        <f>'Operating Report'!L47</f>
        <v>0</v>
      </c>
      <c r="K59" s="1189">
        <f>'Operating Report'!M47</f>
        <v>0</v>
      </c>
      <c r="L59" s="1189">
        <f>'Operating Report'!N47</f>
        <v>0</v>
      </c>
      <c r="M59" s="1189">
        <f>'Operating Report'!O47</f>
        <v>0</v>
      </c>
      <c r="N59" s="1189">
        <f>'Operating Report'!P47</f>
        <v>0</v>
      </c>
      <c r="O59" s="1189">
        <f>'Operating Report'!Q47</f>
        <v>0</v>
      </c>
      <c r="P59" s="1189">
        <f>'Operating Report'!R47</f>
        <v>0</v>
      </c>
      <c r="Q59" s="1189">
        <f>SUM(F59:P59)</f>
        <v>0</v>
      </c>
      <c r="R59" s="1189">
        <f>'Operating Report'!T47</f>
        <v>0</v>
      </c>
      <c r="S59" s="1189">
        <f>'Operating Report'!U47</f>
        <v>0</v>
      </c>
      <c r="T59" s="1189">
        <f>'Operating Report'!V47</f>
        <v>0</v>
      </c>
      <c r="U59" s="1189">
        <f>'Operating Report'!W47</f>
        <v>0</v>
      </c>
      <c r="V59" s="1189">
        <f>'Operating Report'!X47</f>
        <v>0</v>
      </c>
      <c r="W59" s="1189">
        <f>'Operating Report'!Y47</f>
        <v>0</v>
      </c>
      <c r="X59" s="1189">
        <f>'Operating Report'!Z47</f>
        <v>0</v>
      </c>
      <c r="Y59" s="1189">
        <f>'Operating Report'!AA47</f>
        <v>0</v>
      </c>
      <c r="Z59" s="1189">
        <f>'Operating Report'!AB47</f>
        <v>0</v>
      </c>
      <c r="AA59" s="1192">
        <f>SUM(R59:Z59)</f>
        <v>0</v>
      </c>
      <c r="AB59" s="1192">
        <f>Q59+AA59</f>
        <v>0</v>
      </c>
      <c r="AC59" s="1192">
        <f>E59+AB59</f>
        <v>0</v>
      </c>
      <c r="AE59" s="1192">
        <f>AC59+AD59</f>
        <v>0</v>
      </c>
    </row>
    <row r="60" spans="1:31" ht="15" customHeight="1" outlineLevel="1">
      <c r="A60" s="1098">
        <v>51</v>
      </c>
      <c r="B60" s="1501"/>
      <c r="C60" s="1107" t="s">
        <v>3870</v>
      </c>
      <c r="D60" s="1114">
        <v>734</v>
      </c>
      <c r="E60" s="1189"/>
      <c r="F60" s="1189"/>
      <c r="G60" s="1189"/>
      <c r="H60" s="1189"/>
      <c r="I60" s="1189"/>
      <c r="J60" s="1189"/>
      <c r="K60" s="1189"/>
      <c r="L60" s="1189"/>
      <c r="M60" s="1189"/>
      <c r="N60" s="1189"/>
      <c r="O60" s="1189"/>
      <c r="P60" s="1189"/>
      <c r="R60" s="1189"/>
      <c r="S60" s="1189"/>
      <c r="T60" s="1189"/>
      <c r="U60" s="1189"/>
      <c r="V60" s="1189"/>
      <c r="W60" s="1189"/>
      <c r="X60" s="1189"/>
      <c r="Y60" s="1189"/>
      <c r="Z60" s="1189"/>
    </row>
    <row r="61" spans="1:31" ht="15" customHeight="1" outlineLevel="1">
      <c r="A61" s="1098">
        <v>52</v>
      </c>
      <c r="B61" s="1501"/>
      <c r="C61" s="1107" t="s">
        <v>3871</v>
      </c>
      <c r="D61" s="1114">
        <v>735</v>
      </c>
      <c r="E61" s="1189"/>
      <c r="F61" s="1189"/>
      <c r="G61" s="1189"/>
      <c r="H61" s="1189"/>
      <c r="I61" s="1189"/>
      <c r="J61" s="1189"/>
      <c r="K61" s="1189"/>
      <c r="L61" s="1189"/>
      <c r="M61" s="1189"/>
      <c r="N61" s="1189"/>
      <c r="O61" s="1189"/>
      <c r="P61" s="1189"/>
      <c r="R61" s="1189"/>
      <c r="S61" s="1189"/>
      <c r="T61" s="1189"/>
      <c r="U61" s="1189"/>
      <c r="V61" s="1189"/>
      <c r="W61" s="1189"/>
      <c r="X61" s="1189"/>
      <c r="Y61" s="1189"/>
      <c r="Z61" s="1189"/>
    </row>
    <row r="62" spans="1:31" ht="15" customHeight="1" outlineLevel="1">
      <c r="A62" s="1098">
        <v>53</v>
      </c>
      <c r="B62" s="1501"/>
      <c r="C62" s="1107" t="s">
        <v>855</v>
      </c>
      <c r="D62" s="1114">
        <v>736</v>
      </c>
      <c r="E62" s="1189"/>
      <c r="F62" s="1189"/>
      <c r="G62" s="1189"/>
      <c r="H62" s="1189"/>
      <c r="I62" s="1189"/>
      <c r="J62" s="1189"/>
      <c r="K62" s="1189"/>
      <c r="L62" s="1189"/>
      <c r="M62" s="1189"/>
      <c r="N62" s="1189"/>
      <c r="O62" s="1189"/>
      <c r="P62" s="1189"/>
      <c r="R62" s="1189"/>
      <c r="S62" s="1189"/>
      <c r="T62" s="1189"/>
      <c r="U62" s="1189"/>
      <c r="V62" s="1189"/>
      <c r="W62" s="1189"/>
      <c r="X62" s="1189"/>
      <c r="Y62" s="1189"/>
      <c r="Z62" s="1189"/>
    </row>
    <row r="63" spans="1:31" ht="15" customHeight="1" outlineLevel="1">
      <c r="A63" s="1098">
        <v>54</v>
      </c>
      <c r="B63" s="1501"/>
      <c r="C63" s="1107" t="s">
        <v>3656</v>
      </c>
      <c r="D63" s="1114">
        <v>740</v>
      </c>
      <c r="E63" s="1189">
        <f>'Operating Report'!F49</f>
        <v>0</v>
      </c>
      <c r="F63" s="1189">
        <f>'Operating Report'!H49</f>
        <v>0</v>
      </c>
      <c r="G63" s="1189">
        <f>'Operating Report'!I49</f>
        <v>0</v>
      </c>
      <c r="H63" s="1189">
        <f>'Operating Report'!J49</f>
        <v>0</v>
      </c>
      <c r="I63" s="1189">
        <f>'Operating Report'!K49</f>
        <v>0</v>
      </c>
      <c r="J63" s="1189">
        <f>'Operating Report'!L49</f>
        <v>0</v>
      </c>
      <c r="K63" s="1189">
        <f>'Operating Report'!M49</f>
        <v>0</v>
      </c>
      <c r="L63" s="1189">
        <f>'Operating Report'!N49</f>
        <v>0</v>
      </c>
      <c r="M63" s="1189">
        <f>'Operating Report'!O49</f>
        <v>0</v>
      </c>
      <c r="N63" s="1189">
        <f>'Operating Report'!P49</f>
        <v>0</v>
      </c>
      <c r="O63" s="1189">
        <f>'Operating Report'!Q49</f>
        <v>0</v>
      </c>
      <c r="P63" s="1189">
        <f>'Operating Report'!R49</f>
        <v>0</v>
      </c>
      <c r="Q63" s="1189">
        <f>SUM(F63:P63)</f>
        <v>0</v>
      </c>
      <c r="R63" s="1189">
        <f>'Operating Report'!T49</f>
        <v>0</v>
      </c>
      <c r="S63" s="1189">
        <f>'Operating Report'!U49</f>
        <v>0</v>
      </c>
      <c r="T63" s="1189">
        <f>'Operating Report'!V49</f>
        <v>0</v>
      </c>
      <c r="U63" s="1189">
        <f>'Operating Report'!W49</f>
        <v>0</v>
      </c>
      <c r="V63" s="1189">
        <f>'Operating Report'!X49</f>
        <v>0</v>
      </c>
      <c r="W63" s="1189">
        <f>'Operating Report'!Y49</f>
        <v>0</v>
      </c>
      <c r="X63" s="1189">
        <f>'Operating Report'!Z49</f>
        <v>0</v>
      </c>
      <c r="Y63" s="1189">
        <f>'Operating Report'!AA49</f>
        <v>0</v>
      </c>
      <c r="Z63" s="1189">
        <f>'Operating Report'!AB49</f>
        <v>0</v>
      </c>
      <c r="AA63" s="1192">
        <f>SUM(R63:Z63)</f>
        <v>0</v>
      </c>
      <c r="AB63" s="1192">
        <f>Q63+AA63</f>
        <v>0</v>
      </c>
      <c r="AC63" s="1192">
        <f>E63+AB63</f>
        <v>0</v>
      </c>
      <c r="AE63" s="1192">
        <f>AC63+AD63</f>
        <v>0</v>
      </c>
    </row>
    <row r="64" spans="1:31" ht="15" customHeight="1" outlineLevel="1">
      <c r="A64" s="1098">
        <v>55</v>
      </c>
      <c r="B64" s="1501"/>
      <c r="C64" s="1107" t="s">
        <v>3627</v>
      </c>
      <c r="D64" s="1114">
        <v>741</v>
      </c>
      <c r="E64" s="1189">
        <f>'Operating Report'!F50</f>
        <v>0</v>
      </c>
      <c r="F64" s="1189">
        <f>'Operating Report'!H50</f>
        <v>0</v>
      </c>
      <c r="G64" s="1189">
        <f>'Operating Report'!I50</f>
        <v>0</v>
      </c>
      <c r="H64" s="1189">
        <f>'Operating Report'!J50</f>
        <v>0</v>
      </c>
      <c r="I64" s="1189">
        <f>'Operating Report'!K50</f>
        <v>0</v>
      </c>
      <c r="J64" s="1189">
        <f>'Operating Report'!L50</f>
        <v>0</v>
      </c>
      <c r="K64" s="1189">
        <f>'Operating Report'!M50</f>
        <v>0</v>
      </c>
      <c r="L64" s="1189">
        <f>'Operating Report'!N50</f>
        <v>0</v>
      </c>
      <c r="M64" s="1189">
        <f>'Operating Report'!O50</f>
        <v>0</v>
      </c>
      <c r="N64" s="1189">
        <f>'Operating Report'!P50</f>
        <v>0</v>
      </c>
      <c r="O64" s="1189">
        <f>'Operating Report'!Q50</f>
        <v>0</v>
      </c>
      <c r="P64" s="1189">
        <f>'Operating Report'!R50</f>
        <v>0</v>
      </c>
      <c r="Q64" s="1189">
        <f>SUM(F64:P64)</f>
        <v>0</v>
      </c>
      <c r="R64" s="1189">
        <f>'Operating Report'!T50</f>
        <v>0</v>
      </c>
      <c r="S64" s="1189">
        <f>'Operating Report'!U50</f>
        <v>0</v>
      </c>
      <c r="T64" s="1189">
        <f>'Operating Report'!V50</f>
        <v>0</v>
      </c>
      <c r="U64" s="1189">
        <f>'Operating Report'!W50</f>
        <v>0</v>
      </c>
      <c r="V64" s="1189">
        <f>'Operating Report'!X50</f>
        <v>0</v>
      </c>
      <c r="W64" s="1189">
        <f>'Operating Report'!Y50</f>
        <v>0</v>
      </c>
      <c r="X64" s="1189">
        <f>'Operating Report'!Z50</f>
        <v>0</v>
      </c>
      <c r="Y64" s="1189">
        <f>'Operating Report'!AA50</f>
        <v>0</v>
      </c>
      <c r="Z64" s="1189">
        <f>'Operating Report'!AB50</f>
        <v>0</v>
      </c>
      <c r="AA64" s="1192">
        <f>SUM(R64:Z64)</f>
        <v>0</v>
      </c>
      <c r="AB64" s="1192">
        <f>Q64+AA64</f>
        <v>0</v>
      </c>
      <c r="AC64" s="1192">
        <f>E64+AB64</f>
        <v>0</v>
      </c>
      <c r="AE64" s="1192">
        <f>AC64+AD64</f>
        <v>0</v>
      </c>
    </row>
    <row r="65" spans="1:31" ht="15" customHeight="1" outlineLevel="1">
      <c r="A65" s="1098">
        <v>56</v>
      </c>
      <c r="B65" s="1501"/>
      <c r="C65" s="1107" t="s">
        <v>3872</v>
      </c>
      <c r="D65" s="1114">
        <v>742</v>
      </c>
      <c r="E65" s="1189">
        <f>'Operating Report'!F51</f>
        <v>0</v>
      </c>
      <c r="F65" s="1189">
        <f>'Operating Report'!H51</f>
        <v>0</v>
      </c>
      <c r="G65" s="1189">
        <f>'Operating Report'!I51</f>
        <v>0</v>
      </c>
      <c r="H65" s="1189">
        <f>'Operating Report'!J51</f>
        <v>0</v>
      </c>
      <c r="I65" s="1189">
        <f>'Operating Report'!K51</f>
        <v>0</v>
      </c>
      <c r="J65" s="1189">
        <f>'Operating Report'!L51</f>
        <v>0</v>
      </c>
      <c r="K65" s="1189">
        <f>'Operating Report'!M51</f>
        <v>0</v>
      </c>
      <c r="L65" s="1189">
        <f>'Operating Report'!N51</f>
        <v>0</v>
      </c>
      <c r="M65" s="1189">
        <f>'Operating Report'!O51</f>
        <v>0</v>
      </c>
      <c r="N65" s="1189">
        <f>'Operating Report'!P51</f>
        <v>0</v>
      </c>
      <c r="O65" s="1189">
        <f>'Operating Report'!Q51</f>
        <v>0</v>
      </c>
      <c r="P65" s="1189">
        <f>'Operating Report'!R51</f>
        <v>0</v>
      </c>
      <c r="Q65" s="1189">
        <f>SUM(F65:P65)</f>
        <v>0</v>
      </c>
      <c r="R65" s="1189">
        <f>'Operating Report'!T51</f>
        <v>0</v>
      </c>
      <c r="S65" s="1189">
        <f>'Operating Report'!U51</f>
        <v>0</v>
      </c>
      <c r="T65" s="1189">
        <f>'Operating Report'!V51</f>
        <v>0</v>
      </c>
      <c r="U65" s="1189">
        <f>'Operating Report'!W51</f>
        <v>0</v>
      </c>
      <c r="V65" s="1189">
        <f>'Operating Report'!X51</f>
        <v>0</v>
      </c>
      <c r="W65" s="1189">
        <f>'Operating Report'!Y51</f>
        <v>0</v>
      </c>
      <c r="X65" s="1189">
        <f>'Operating Report'!Z51</f>
        <v>0</v>
      </c>
      <c r="Y65" s="1189">
        <f>'Operating Report'!AA51</f>
        <v>0</v>
      </c>
      <c r="Z65" s="1189">
        <f>'Operating Report'!AB51</f>
        <v>0</v>
      </c>
      <c r="AA65" s="1192">
        <f>SUM(R65:Z65)</f>
        <v>0</v>
      </c>
      <c r="AB65" s="1192">
        <f>Q65+AA65</f>
        <v>0</v>
      </c>
      <c r="AC65" s="1192">
        <f>E65+AB65</f>
        <v>0</v>
      </c>
      <c r="AE65" s="1192">
        <f>AC65+AD65</f>
        <v>0</v>
      </c>
    </row>
    <row r="66" spans="1:31" ht="15" customHeight="1">
      <c r="A66" s="1098">
        <v>57</v>
      </c>
      <c r="B66" s="1501"/>
      <c r="C66" s="1506" t="s">
        <v>3873</v>
      </c>
      <c r="D66" s="1512"/>
      <c r="E66" s="1189">
        <f>SUM(E36:E65)</f>
        <v>0</v>
      </c>
      <c r="F66" s="1189">
        <f t="shared" ref="F66:AD66" si="7">SUM(F36:F65)</f>
        <v>0</v>
      </c>
      <c r="G66" s="1189">
        <f t="shared" si="7"/>
        <v>0</v>
      </c>
      <c r="H66" s="1189">
        <f t="shared" si="7"/>
        <v>0</v>
      </c>
      <c r="I66" s="1189">
        <f t="shared" si="7"/>
        <v>0</v>
      </c>
      <c r="J66" s="1189">
        <f t="shared" si="7"/>
        <v>0</v>
      </c>
      <c r="K66" s="1189">
        <f t="shared" si="7"/>
        <v>0</v>
      </c>
      <c r="L66" s="1189">
        <f t="shared" si="7"/>
        <v>0</v>
      </c>
      <c r="M66" s="1189">
        <f t="shared" si="7"/>
        <v>0</v>
      </c>
      <c r="N66" s="1189">
        <f t="shared" si="7"/>
        <v>0</v>
      </c>
      <c r="O66" s="1189">
        <f t="shared" si="7"/>
        <v>0</v>
      </c>
      <c r="P66" s="1189">
        <f t="shared" si="7"/>
        <v>0</v>
      </c>
      <c r="Q66" s="1189">
        <f t="shared" si="7"/>
        <v>0</v>
      </c>
      <c r="R66" s="1189">
        <f t="shared" si="7"/>
        <v>0</v>
      </c>
      <c r="S66" s="1189">
        <f t="shared" si="7"/>
        <v>0</v>
      </c>
      <c r="T66" s="1189">
        <f t="shared" si="7"/>
        <v>0</v>
      </c>
      <c r="U66" s="1189">
        <f t="shared" si="7"/>
        <v>0</v>
      </c>
      <c r="V66" s="1189">
        <f t="shared" si="7"/>
        <v>0</v>
      </c>
      <c r="W66" s="1189">
        <f t="shared" si="7"/>
        <v>0</v>
      </c>
      <c r="X66" s="1189">
        <f t="shared" si="7"/>
        <v>0</v>
      </c>
      <c r="Y66" s="1189">
        <f t="shared" si="7"/>
        <v>0</v>
      </c>
      <c r="Z66" s="1189">
        <f t="shared" si="7"/>
        <v>0</v>
      </c>
      <c r="AA66" s="1189">
        <f t="shared" si="7"/>
        <v>0</v>
      </c>
      <c r="AB66" s="1189">
        <f t="shared" si="7"/>
        <v>0</v>
      </c>
      <c r="AC66" s="1189">
        <f t="shared" si="7"/>
        <v>0</v>
      </c>
      <c r="AD66" s="1189">
        <f t="shared" si="7"/>
        <v>0</v>
      </c>
      <c r="AE66" s="1189">
        <f>SUM(AE36:AE65)</f>
        <v>0</v>
      </c>
    </row>
    <row r="67" spans="1:31" ht="15" customHeight="1" outlineLevel="1">
      <c r="A67" s="1098">
        <v>58</v>
      </c>
      <c r="B67" s="1501"/>
      <c r="C67" s="1108" t="s">
        <v>3874</v>
      </c>
      <c r="D67" s="1116">
        <v>800</v>
      </c>
      <c r="E67" s="1189"/>
    </row>
    <row r="68" spans="1:31" ht="15" customHeight="1" outlineLevel="1">
      <c r="A68" s="1098">
        <v>59</v>
      </c>
      <c r="B68" s="1501"/>
      <c r="C68" s="1107" t="s">
        <v>3875</v>
      </c>
      <c r="D68" s="1117">
        <v>800.1</v>
      </c>
      <c r="E68" s="1189"/>
    </row>
    <row r="69" spans="1:31" ht="15" customHeight="1" outlineLevel="1">
      <c r="A69" s="1098">
        <v>60</v>
      </c>
      <c r="B69" s="1501"/>
      <c r="C69" s="1107" t="s">
        <v>3876</v>
      </c>
      <c r="D69" s="1116">
        <v>801</v>
      </c>
      <c r="E69" s="1189"/>
    </row>
    <row r="70" spans="1:31" ht="15" customHeight="1" outlineLevel="1">
      <c r="A70" s="1098">
        <v>61</v>
      </c>
      <c r="B70" s="1501"/>
      <c r="C70" s="1107" t="s">
        <v>3877</v>
      </c>
      <c r="D70" s="1116">
        <v>802</v>
      </c>
      <c r="E70" s="1189"/>
    </row>
    <row r="71" spans="1:31" ht="15" customHeight="1" outlineLevel="1">
      <c r="A71" s="1098">
        <v>62</v>
      </c>
      <c r="B71" s="1501"/>
      <c r="C71" s="1107" t="s">
        <v>3878</v>
      </c>
      <c r="D71" s="1116">
        <v>803</v>
      </c>
      <c r="E71" s="1189"/>
    </row>
    <row r="72" spans="1:31" ht="15" customHeight="1" outlineLevel="1">
      <c r="A72" s="1098">
        <v>63</v>
      </c>
      <c r="B72" s="1501"/>
      <c r="C72" s="1107" t="s">
        <v>3879</v>
      </c>
      <c r="D72" s="1116">
        <v>804</v>
      </c>
      <c r="E72" s="1189">
        <f>'Operating Report'!F32</f>
        <v>291587555.47000003</v>
      </c>
      <c r="F72" s="1189">
        <f>'Operating Report'!H32</f>
        <v>-212859301.60000002</v>
      </c>
      <c r="G72" s="1189">
        <f>'Operating Report'!I32</f>
        <v>0</v>
      </c>
      <c r="H72" s="1189">
        <f>'Operating Report'!J32</f>
        <v>0</v>
      </c>
      <c r="I72" s="1189">
        <f>'Operating Report'!K32</f>
        <v>0</v>
      </c>
      <c r="J72" s="1189">
        <f>'Operating Report'!L32</f>
        <v>0</v>
      </c>
      <c r="K72" s="1189">
        <f>'Operating Report'!M32</f>
        <v>0</v>
      </c>
      <c r="L72" s="1189">
        <f>'Operating Report'!N32</f>
        <v>0</v>
      </c>
      <c r="M72" s="1189">
        <f>'Operating Report'!O32</f>
        <v>0</v>
      </c>
      <c r="N72" s="1189">
        <f>'Operating Report'!P32</f>
        <v>0</v>
      </c>
      <c r="O72" s="1189">
        <f>'Operating Report'!Q32</f>
        <v>0</v>
      </c>
      <c r="P72" s="1189">
        <f>'Operating Report'!R32</f>
        <v>0</v>
      </c>
      <c r="Q72" s="1189">
        <f>SUM(F72:P72)</f>
        <v>-212859301.60000002</v>
      </c>
      <c r="R72" s="1189">
        <f>'Operating Report'!T32</f>
        <v>0</v>
      </c>
      <c r="S72" s="1189">
        <f>'Operating Report'!U32</f>
        <v>0</v>
      </c>
      <c r="T72" s="1189">
        <f>'Operating Report'!V32</f>
        <v>0</v>
      </c>
      <c r="U72" s="1189">
        <f>'Operating Report'!W32</f>
        <v>0</v>
      </c>
      <c r="V72" s="1189">
        <f>'Operating Report'!X32</f>
        <v>0</v>
      </c>
      <c r="W72" s="1189">
        <f>'Operating Report'!Y32</f>
        <v>0</v>
      </c>
      <c r="X72" s="1189">
        <f>'Operating Report'!Z32</f>
        <v>0</v>
      </c>
      <c r="Y72" s="1189">
        <f>'Operating Report'!AA32</f>
        <v>0</v>
      </c>
      <c r="Z72" s="1189">
        <f>'Operating Report'!AB32</f>
        <v>0</v>
      </c>
      <c r="AA72" s="1192">
        <f>SUM(R72:Z72)</f>
        <v>0</v>
      </c>
      <c r="AB72" s="1192">
        <f>Q72+AA72</f>
        <v>-212859301.60000002</v>
      </c>
      <c r="AC72" s="1192">
        <f>E72+AB72</f>
        <v>78728253.870000005</v>
      </c>
      <c r="AE72" s="1192">
        <f>AC72+AD72</f>
        <v>78728253.870000005</v>
      </c>
    </row>
    <row r="73" spans="1:31" ht="15" customHeight="1" outlineLevel="1">
      <c r="A73" s="1098">
        <v>64</v>
      </c>
      <c r="B73" s="1501"/>
      <c r="C73" s="1107" t="s">
        <v>3880</v>
      </c>
      <c r="D73" s="1117">
        <v>804.1</v>
      </c>
      <c r="E73" s="1189"/>
      <c r="F73" s="1189"/>
      <c r="G73" s="1189"/>
      <c r="H73" s="1189"/>
      <c r="I73" s="1189"/>
      <c r="J73" s="1189"/>
      <c r="K73" s="1189"/>
      <c r="L73" s="1189"/>
      <c r="M73" s="1189"/>
      <c r="N73" s="1189"/>
      <c r="O73" s="1189"/>
      <c r="P73" s="1189"/>
      <c r="R73" s="1189"/>
      <c r="S73" s="1189"/>
      <c r="T73" s="1189"/>
      <c r="U73" s="1189"/>
      <c r="V73" s="1189"/>
      <c r="W73" s="1189"/>
      <c r="X73" s="1189"/>
      <c r="Y73" s="1189"/>
      <c r="Z73" s="1189"/>
    </row>
    <row r="74" spans="1:31" ht="15" customHeight="1" outlineLevel="1">
      <c r="A74" s="1098">
        <v>65</v>
      </c>
      <c r="B74" s="1501"/>
      <c r="C74" s="1107" t="s">
        <v>3881</v>
      </c>
      <c r="D74" s="1116">
        <v>805</v>
      </c>
      <c r="E74" s="1189">
        <f>'Operating Report'!F33</f>
        <v>0</v>
      </c>
      <c r="F74" s="1189">
        <f>'Operating Report'!H33</f>
        <v>0</v>
      </c>
      <c r="G74" s="1189">
        <f>'Operating Report'!I33</f>
        <v>0</v>
      </c>
      <c r="H74" s="1189">
        <f>'Operating Report'!J33</f>
        <v>0</v>
      </c>
      <c r="I74" s="1189">
        <f>'Operating Report'!K33</f>
        <v>0</v>
      </c>
      <c r="J74" s="1189">
        <f>'Operating Report'!L33</f>
        <v>0</v>
      </c>
      <c r="K74" s="1189">
        <f>'Operating Report'!M33</f>
        <v>0</v>
      </c>
      <c r="L74" s="1189">
        <f>'Operating Report'!N33</f>
        <v>0</v>
      </c>
      <c r="M74" s="1189">
        <f>'Operating Report'!O33</f>
        <v>0</v>
      </c>
      <c r="N74" s="1189">
        <f>'Operating Report'!P33</f>
        <v>0</v>
      </c>
      <c r="O74" s="1189">
        <f>'Operating Report'!Q33</f>
        <v>0</v>
      </c>
      <c r="P74" s="1189">
        <f>'Operating Report'!R33</f>
        <v>0</v>
      </c>
      <c r="Q74" s="1189">
        <f>SUM(F74:P74)</f>
        <v>0</v>
      </c>
      <c r="R74" s="1189">
        <f>'Operating Report'!T33</f>
        <v>0</v>
      </c>
      <c r="S74" s="1189">
        <f>'Operating Report'!U33</f>
        <v>0</v>
      </c>
      <c r="T74" s="1189">
        <f>'Operating Report'!V33</f>
        <v>0</v>
      </c>
      <c r="U74" s="1189">
        <f>'Operating Report'!W33</f>
        <v>0</v>
      </c>
      <c r="V74" s="1189">
        <f>'Operating Report'!X33</f>
        <v>0</v>
      </c>
      <c r="W74" s="1189">
        <f>'Operating Report'!Y33</f>
        <v>0</v>
      </c>
      <c r="X74" s="1189">
        <f>'Operating Report'!Z33</f>
        <v>0</v>
      </c>
      <c r="Y74" s="1189">
        <f>'Operating Report'!AA33</f>
        <v>0</v>
      </c>
      <c r="Z74" s="1189">
        <f>'Operating Report'!AB33</f>
        <v>0</v>
      </c>
      <c r="AA74" s="1192">
        <f>SUM(R74:Z74)</f>
        <v>0</v>
      </c>
      <c r="AB74" s="1192">
        <f>Q74+AA74</f>
        <v>0</v>
      </c>
      <c r="AC74" s="1192">
        <f>E74+AB74</f>
        <v>0</v>
      </c>
      <c r="AE74" s="1192">
        <f>AC74+AD74</f>
        <v>0</v>
      </c>
    </row>
    <row r="75" spans="1:31" ht="15" customHeight="1" outlineLevel="1">
      <c r="A75" s="1098">
        <v>66</v>
      </c>
      <c r="B75" s="1501"/>
      <c r="C75" s="1107" t="s">
        <v>3882</v>
      </c>
      <c r="D75" s="1117">
        <v>805.1</v>
      </c>
      <c r="E75" s="1189">
        <f>'Operating Report'!F34</f>
        <v>-77022264.359999999</v>
      </c>
      <c r="F75" s="1189">
        <f>'Operating Report'!H34</f>
        <v>0</v>
      </c>
      <c r="G75" s="1189">
        <f>'Operating Report'!I34</f>
        <v>0</v>
      </c>
      <c r="H75" s="1189">
        <f>'Operating Report'!J34</f>
        <v>0</v>
      </c>
      <c r="I75" s="1189">
        <f>'Operating Report'!K34</f>
        <v>0</v>
      </c>
      <c r="J75" s="1189">
        <f>'Operating Report'!L34</f>
        <v>0</v>
      </c>
      <c r="K75" s="1189">
        <f>'Operating Report'!M34</f>
        <v>0</v>
      </c>
      <c r="L75" s="1189">
        <f>'Operating Report'!N34</f>
        <v>0</v>
      </c>
      <c r="M75" s="1189">
        <f>'Operating Report'!O34</f>
        <v>0</v>
      </c>
      <c r="N75" s="1189">
        <f>'Operating Report'!P34</f>
        <v>0</v>
      </c>
      <c r="O75" s="1189">
        <f>'Operating Report'!Q34</f>
        <v>0</v>
      </c>
      <c r="P75" s="1189">
        <f>'Operating Report'!R34</f>
        <v>0</v>
      </c>
      <c r="Q75" s="1189">
        <f>SUM(F75:P75)</f>
        <v>0</v>
      </c>
      <c r="R75" s="1189">
        <f>'Operating Report'!T34</f>
        <v>0</v>
      </c>
      <c r="S75" s="1189">
        <f>'Operating Report'!U34</f>
        <v>0</v>
      </c>
      <c r="T75" s="1189">
        <f>'Operating Report'!V34</f>
        <v>0</v>
      </c>
      <c r="U75" s="1189">
        <f>'Operating Report'!W34</f>
        <v>0</v>
      </c>
      <c r="V75" s="1189">
        <f>'Operating Report'!X34</f>
        <v>0</v>
      </c>
      <c r="W75" s="1189">
        <f>'Operating Report'!Y34</f>
        <v>0</v>
      </c>
      <c r="X75" s="1189">
        <f>'Operating Report'!Z34</f>
        <v>0</v>
      </c>
      <c r="Y75" s="1189">
        <f>'Operating Report'!AA34</f>
        <v>0</v>
      </c>
      <c r="Z75" s="1189">
        <f>'Operating Report'!AB34</f>
        <v>0</v>
      </c>
      <c r="AA75" s="1192">
        <f>SUM(R75:Z75)</f>
        <v>0</v>
      </c>
      <c r="AB75" s="1192">
        <f>Q75+AA75</f>
        <v>0</v>
      </c>
      <c r="AC75" s="1192">
        <f>E75+AB75</f>
        <v>-77022264.359999999</v>
      </c>
      <c r="AE75" s="1192">
        <f>AC75+AD75</f>
        <v>-77022264.359999999</v>
      </c>
    </row>
    <row r="76" spans="1:31" ht="15" customHeight="1" outlineLevel="1">
      <c r="A76" s="1098">
        <v>67</v>
      </c>
      <c r="B76" s="1501"/>
      <c r="C76" s="1107" t="s">
        <v>3883</v>
      </c>
      <c r="D76" s="1116">
        <v>806</v>
      </c>
      <c r="E76" s="1189"/>
      <c r="F76" s="1189"/>
      <c r="G76" s="1189"/>
      <c r="H76" s="1189"/>
      <c r="I76" s="1189"/>
      <c r="J76" s="1189"/>
      <c r="K76" s="1189"/>
      <c r="L76" s="1189"/>
      <c r="M76" s="1189"/>
      <c r="N76" s="1189"/>
      <c r="O76" s="1189"/>
      <c r="P76" s="1189"/>
      <c r="R76" s="1189"/>
      <c r="S76" s="1189"/>
      <c r="T76" s="1189"/>
      <c r="U76" s="1189"/>
      <c r="V76" s="1189"/>
      <c r="W76" s="1189"/>
      <c r="X76" s="1189"/>
      <c r="Y76" s="1189"/>
      <c r="Z76" s="1189"/>
    </row>
    <row r="77" spans="1:31" ht="15" customHeight="1" outlineLevel="1">
      <c r="A77" s="1098">
        <v>68</v>
      </c>
      <c r="B77" s="1501"/>
      <c r="C77" s="1107" t="s">
        <v>3884</v>
      </c>
      <c r="D77" s="1116">
        <v>807</v>
      </c>
      <c r="E77" s="1189"/>
      <c r="F77" s="1189"/>
      <c r="G77" s="1189"/>
      <c r="H77" s="1189"/>
      <c r="I77" s="1189"/>
      <c r="J77" s="1189"/>
      <c r="K77" s="1189"/>
      <c r="L77" s="1189"/>
      <c r="M77" s="1189"/>
      <c r="N77" s="1189"/>
      <c r="O77" s="1189"/>
      <c r="P77" s="1189"/>
      <c r="R77" s="1189"/>
      <c r="S77" s="1189"/>
      <c r="T77" s="1189"/>
      <c r="U77" s="1189"/>
      <c r="V77" s="1189"/>
      <c r="W77" s="1189"/>
      <c r="X77" s="1189"/>
      <c r="Y77" s="1189"/>
      <c r="Z77" s="1189"/>
    </row>
    <row r="78" spans="1:31" ht="15" customHeight="1" outlineLevel="1">
      <c r="A78" s="1098">
        <v>69</v>
      </c>
      <c r="B78" s="1501"/>
      <c r="C78" s="1107" t="s">
        <v>3885</v>
      </c>
      <c r="D78" s="1117">
        <v>808.1</v>
      </c>
      <c r="E78" s="1189">
        <f>'Operating Report'!F35</f>
        <v>18052002</v>
      </c>
      <c r="F78" s="1189">
        <f>'Operating Report'!H35</f>
        <v>0</v>
      </c>
      <c r="G78" s="1189">
        <f>'Operating Report'!I35</f>
        <v>0</v>
      </c>
      <c r="H78" s="1189">
        <f>'Operating Report'!J35</f>
        <v>0</v>
      </c>
      <c r="I78" s="1189">
        <f>'Operating Report'!K35</f>
        <v>0</v>
      </c>
      <c r="J78" s="1189">
        <f>'Operating Report'!L35</f>
        <v>0</v>
      </c>
      <c r="K78" s="1189">
        <f>'Operating Report'!M35</f>
        <v>0</v>
      </c>
      <c r="L78" s="1189">
        <f>'Operating Report'!N35</f>
        <v>0</v>
      </c>
      <c r="M78" s="1189">
        <f>'Operating Report'!O35</f>
        <v>0</v>
      </c>
      <c r="N78" s="1189">
        <f>'Operating Report'!P35</f>
        <v>0</v>
      </c>
      <c r="O78" s="1189">
        <f>'Operating Report'!Q35</f>
        <v>0</v>
      </c>
      <c r="P78" s="1189">
        <f>'Operating Report'!R35</f>
        <v>0</v>
      </c>
      <c r="Q78" s="1189">
        <f>SUM(F78:P78)</f>
        <v>0</v>
      </c>
      <c r="R78" s="1189">
        <f>'Operating Report'!T35</f>
        <v>0</v>
      </c>
      <c r="S78" s="1189">
        <f>'Operating Report'!U35</f>
        <v>0</v>
      </c>
      <c r="T78" s="1189">
        <f>'Operating Report'!V35</f>
        <v>0</v>
      </c>
      <c r="U78" s="1189">
        <f>'Operating Report'!W35</f>
        <v>0</v>
      </c>
      <c r="V78" s="1189">
        <f>'Operating Report'!X35</f>
        <v>0</v>
      </c>
      <c r="W78" s="1189">
        <f>'Operating Report'!Y35</f>
        <v>0</v>
      </c>
      <c r="X78" s="1189">
        <f>'Operating Report'!Z35</f>
        <v>0</v>
      </c>
      <c r="Y78" s="1189">
        <f>'Operating Report'!AA35</f>
        <v>0</v>
      </c>
      <c r="Z78" s="1189">
        <f>'Operating Report'!AB35</f>
        <v>0</v>
      </c>
      <c r="AA78" s="1192">
        <f>SUM(R78:Z78)</f>
        <v>0</v>
      </c>
      <c r="AB78" s="1192">
        <f>Q78+AA78</f>
        <v>0</v>
      </c>
      <c r="AC78" s="1192">
        <f>E78+AB78</f>
        <v>18052002</v>
      </c>
      <c r="AE78" s="1192">
        <f>AC78+AD78</f>
        <v>18052002</v>
      </c>
    </row>
    <row r="79" spans="1:31" ht="15" customHeight="1" outlineLevel="1">
      <c r="A79" s="1098">
        <v>70</v>
      </c>
      <c r="B79" s="1501"/>
      <c r="C79" s="1107" t="s">
        <v>3886</v>
      </c>
      <c r="D79" s="1117">
        <v>808.2</v>
      </c>
      <c r="E79" s="1189">
        <f>'Operating Report'!F36</f>
        <v>-19336006.359999999</v>
      </c>
      <c r="F79" s="1189">
        <f>'Operating Report'!H36</f>
        <v>0</v>
      </c>
      <c r="G79" s="1189">
        <f>'Operating Report'!I36</f>
        <v>0</v>
      </c>
      <c r="H79" s="1189">
        <f>'Operating Report'!J36</f>
        <v>0</v>
      </c>
      <c r="I79" s="1189">
        <f>'Operating Report'!K36</f>
        <v>0</v>
      </c>
      <c r="J79" s="1189">
        <f>'Operating Report'!L36</f>
        <v>0</v>
      </c>
      <c r="K79" s="1189">
        <f>'Operating Report'!M36</f>
        <v>0</v>
      </c>
      <c r="L79" s="1189">
        <f>'Operating Report'!N36</f>
        <v>0</v>
      </c>
      <c r="M79" s="1189">
        <f>'Operating Report'!O36</f>
        <v>0</v>
      </c>
      <c r="N79" s="1189">
        <f>'Operating Report'!P36</f>
        <v>0</v>
      </c>
      <c r="O79" s="1189">
        <f>'Operating Report'!Q36</f>
        <v>0</v>
      </c>
      <c r="P79" s="1189">
        <f>'Operating Report'!R36</f>
        <v>0</v>
      </c>
      <c r="Q79" s="1189">
        <f>SUM(F79:P79)</f>
        <v>0</v>
      </c>
      <c r="R79" s="1189">
        <f>'Operating Report'!T36</f>
        <v>0</v>
      </c>
      <c r="S79" s="1189">
        <f>'Operating Report'!U36</f>
        <v>0</v>
      </c>
      <c r="T79" s="1189">
        <f>'Operating Report'!V36</f>
        <v>0</v>
      </c>
      <c r="U79" s="1189">
        <f>'Operating Report'!W36</f>
        <v>0</v>
      </c>
      <c r="V79" s="1189">
        <f>'Operating Report'!X36</f>
        <v>0</v>
      </c>
      <c r="W79" s="1189">
        <f>'Operating Report'!Y36</f>
        <v>0</v>
      </c>
      <c r="X79" s="1189">
        <f>'Operating Report'!Z36</f>
        <v>0</v>
      </c>
      <c r="Y79" s="1189">
        <f>'Operating Report'!AA36</f>
        <v>0</v>
      </c>
      <c r="Z79" s="1189">
        <f>'Operating Report'!AB36</f>
        <v>0</v>
      </c>
      <c r="AA79" s="1192">
        <f>SUM(R79:Z79)</f>
        <v>0</v>
      </c>
      <c r="AB79" s="1192">
        <f>Q79+AA79</f>
        <v>0</v>
      </c>
      <c r="AC79" s="1192">
        <f>E79+AB79</f>
        <v>-19336006.359999999</v>
      </c>
      <c r="AE79" s="1192">
        <f>AC79+AD79</f>
        <v>-19336006.359999999</v>
      </c>
    </row>
    <row r="80" spans="1:31" ht="15" customHeight="1" outlineLevel="1">
      <c r="A80" s="1098">
        <v>71</v>
      </c>
      <c r="B80" s="1501"/>
      <c r="C80" s="1107" t="s">
        <v>3887</v>
      </c>
      <c r="D80" s="1117">
        <v>809.1</v>
      </c>
      <c r="E80" s="1189"/>
      <c r="F80" s="1189"/>
      <c r="G80" s="1189"/>
      <c r="H80" s="1189"/>
      <c r="I80" s="1189"/>
      <c r="J80" s="1189"/>
      <c r="K80" s="1189"/>
      <c r="L80" s="1189"/>
      <c r="M80" s="1189"/>
      <c r="N80" s="1189"/>
      <c r="O80" s="1189"/>
      <c r="P80" s="1189"/>
      <c r="R80" s="1189"/>
      <c r="S80" s="1189"/>
      <c r="T80" s="1189"/>
      <c r="U80" s="1189"/>
      <c r="V80" s="1189"/>
      <c r="W80" s="1189"/>
      <c r="X80" s="1189"/>
      <c r="Y80" s="1189"/>
      <c r="Z80" s="1189"/>
    </row>
    <row r="81" spans="1:31" ht="15" customHeight="1" outlineLevel="1">
      <c r="A81" s="1098">
        <v>72</v>
      </c>
      <c r="B81" s="1501"/>
      <c r="C81" s="1107" t="s">
        <v>3888</v>
      </c>
      <c r="D81" s="1117">
        <v>809.2</v>
      </c>
      <c r="E81" s="1189"/>
      <c r="F81" s="1189"/>
      <c r="G81" s="1189"/>
      <c r="H81" s="1189"/>
      <c r="I81" s="1189"/>
      <c r="J81" s="1189"/>
      <c r="K81" s="1189"/>
      <c r="L81" s="1189"/>
      <c r="M81" s="1189"/>
      <c r="N81" s="1189"/>
      <c r="O81" s="1189"/>
      <c r="P81" s="1189"/>
      <c r="R81" s="1189"/>
      <c r="S81" s="1189"/>
      <c r="T81" s="1189"/>
      <c r="U81" s="1189"/>
      <c r="V81" s="1189"/>
      <c r="W81" s="1189"/>
      <c r="X81" s="1189"/>
      <c r="Y81" s="1189"/>
      <c r="Z81" s="1189"/>
    </row>
    <row r="82" spans="1:31" ht="15" customHeight="1" outlineLevel="1">
      <c r="A82" s="1098">
        <v>73</v>
      </c>
      <c r="B82" s="1501"/>
      <c r="C82" s="1107" t="s">
        <v>3889</v>
      </c>
      <c r="D82" s="1116">
        <v>810</v>
      </c>
      <c r="E82" s="1189"/>
      <c r="F82" s="1189"/>
      <c r="G82" s="1189"/>
      <c r="H82" s="1189"/>
      <c r="I82" s="1189"/>
      <c r="J82" s="1189"/>
      <c r="K82" s="1189"/>
      <c r="L82" s="1189"/>
      <c r="M82" s="1189"/>
      <c r="N82" s="1189"/>
      <c r="O82" s="1189"/>
      <c r="P82" s="1189"/>
      <c r="R82" s="1189"/>
      <c r="S82" s="1189"/>
      <c r="T82" s="1189"/>
      <c r="U82" s="1189"/>
      <c r="V82" s="1189"/>
      <c r="W82" s="1189"/>
      <c r="X82" s="1189"/>
      <c r="Y82" s="1189"/>
      <c r="Z82" s="1189"/>
    </row>
    <row r="83" spans="1:31" ht="15" customHeight="1" outlineLevel="1">
      <c r="A83" s="1098">
        <v>74</v>
      </c>
      <c r="B83" s="1501"/>
      <c r="C83" s="1107" t="s">
        <v>3890</v>
      </c>
      <c r="D83" s="1116">
        <v>811</v>
      </c>
      <c r="E83" s="1189"/>
      <c r="F83" s="1189"/>
      <c r="G83" s="1189"/>
      <c r="H83" s="1189"/>
      <c r="I83" s="1189"/>
      <c r="J83" s="1189"/>
      <c r="K83" s="1189"/>
      <c r="L83" s="1189"/>
      <c r="M83" s="1189"/>
      <c r="N83" s="1189"/>
      <c r="O83" s="1189"/>
      <c r="P83" s="1189"/>
      <c r="R83" s="1189"/>
      <c r="S83" s="1189"/>
      <c r="T83" s="1189"/>
      <c r="U83" s="1189"/>
      <c r="V83" s="1189"/>
      <c r="W83" s="1189"/>
      <c r="X83" s="1189"/>
      <c r="Y83" s="1189"/>
      <c r="Z83" s="1189"/>
    </row>
    <row r="84" spans="1:31" ht="15" customHeight="1" outlineLevel="1">
      <c r="A84" s="1098">
        <v>75</v>
      </c>
      <c r="B84" s="1501"/>
      <c r="C84" s="1107" t="s">
        <v>3891</v>
      </c>
      <c r="D84" s="1116">
        <v>812</v>
      </c>
      <c r="E84" s="1189">
        <f>'Operating Report'!F37</f>
        <v>-421985.15</v>
      </c>
      <c r="F84" s="1189">
        <f>'Operating Report'!H37</f>
        <v>0</v>
      </c>
      <c r="G84" s="1189">
        <f>'Operating Report'!I37</f>
        <v>0</v>
      </c>
      <c r="H84" s="1189">
        <f>'Operating Report'!J37</f>
        <v>0</v>
      </c>
      <c r="I84" s="1189">
        <f>'Operating Report'!K37</f>
        <v>0</v>
      </c>
      <c r="J84" s="1189">
        <f>'Operating Report'!L37</f>
        <v>0</v>
      </c>
      <c r="K84" s="1189">
        <f>'Operating Report'!M37</f>
        <v>0</v>
      </c>
      <c r="L84" s="1189">
        <f>'Operating Report'!N37</f>
        <v>0</v>
      </c>
      <c r="M84" s="1189">
        <f>'Operating Report'!O37</f>
        <v>0</v>
      </c>
      <c r="N84" s="1189">
        <f>'Operating Report'!P37</f>
        <v>0</v>
      </c>
      <c r="O84" s="1189">
        <f>'Operating Report'!Q37</f>
        <v>0</v>
      </c>
      <c r="P84" s="1189">
        <f>'Operating Report'!R37</f>
        <v>0</v>
      </c>
      <c r="Q84" s="1189">
        <f>SUM(F84:P84)</f>
        <v>0</v>
      </c>
      <c r="R84" s="1189">
        <f>'Operating Report'!T37</f>
        <v>0</v>
      </c>
      <c r="S84" s="1189">
        <f>'Operating Report'!U37</f>
        <v>0</v>
      </c>
      <c r="T84" s="1189">
        <f>'Operating Report'!V37</f>
        <v>0</v>
      </c>
      <c r="U84" s="1189">
        <f>'Operating Report'!W37</f>
        <v>0</v>
      </c>
      <c r="V84" s="1189">
        <f>'Operating Report'!X37</f>
        <v>0</v>
      </c>
      <c r="W84" s="1189">
        <f>'Operating Report'!Y37</f>
        <v>0</v>
      </c>
      <c r="X84" s="1189">
        <f>'Operating Report'!Z37</f>
        <v>0</v>
      </c>
      <c r="Y84" s="1189">
        <f>'Operating Report'!AA37</f>
        <v>0</v>
      </c>
      <c r="Z84" s="1189">
        <f>'Operating Report'!AB37</f>
        <v>0</v>
      </c>
      <c r="AA84" s="1192">
        <f>SUM(R84:Z84)</f>
        <v>0</v>
      </c>
      <c r="AB84" s="1192">
        <f>Q84+AA84</f>
        <v>0</v>
      </c>
      <c r="AC84" s="1192">
        <f>E84+AB84</f>
        <v>-421985.15</v>
      </c>
      <c r="AE84" s="1192">
        <f>AC84+AD84</f>
        <v>-421985.15</v>
      </c>
    </row>
    <row r="85" spans="1:31" ht="15" customHeight="1" outlineLevel="1">
      <c r="A85" s="1098">
        <v>76</v>
      </c>
      <c r="B85" s="1501"/>
      <c r="C85" s="1107" t="s">
        <v>3619</v>
      </c>
      <c r="D85" s="1116">
        <v>813</v>
      </c>
      <c r="E85" s="1189">
        <f>'Operating Report'!F58</f>
        <v>585410.31000000006</v>
      </c>
      <c r="F85" s="1189">
        <f>'Operating Report'!H58</f>
        <v>0</v>
      </c>
      <c r="G85" s="1189">
        <f>'Operating Report'!I58</f>
        <v>0</v>
      </c>
      <c r="H85" s="1189">
        <f>'Operating Report'!J58</f>
        <v>0</v>
      </c>
      <c r="I85" s="1189">
        <f>'Operating Report'!K58</f>
        <v>0</v>
      </c>
      <c r="J85" s="1189">
        <f>'Operating Report'!L58</f>
        <v>0</v>
      </c>
      <c r="K85" s="1189">
        <f>'Operating Report'!M58</f>
        <v>0</v>
      </c>
      <c r="L85" s="1189">
        <f>'Operating Report'!N58</f>
        <v>-33688.839999999997</v>
      </c>
      <c r="M85" s="1189">
        <f>'Operating Report'!O58</f>
        <v>0</v>
      </c>
      <c r="N85" s="1189">
        <f>'Operating Report'!P58</f>
        <v>0</v>
      </c>
      <c r="O85" s="1189">
        <f>'Operating Report'!Q58</f>
        <v>0</v>
      </c>
      <c r="P85" s="1189">
        <f>'Operating Report'!R58</f>
        <v>0</v>
      </c>
      <c r="Q85" s="1189">
        <f>SUM(F85:P85)</f>
        <v>-33688.839999999997</v>
      </c>
      <c r="R85" s="1189">
        <f>'Operating Report'!T58</f>
        <v>0</v>
      </c>
      <c r="S85" s="1189">
        <f>'Operating Report'!U58</f>
        <v>16334.516615</v>
      </c>
      <c r="T85" s="1189">
        <f>'Operating Report'!V58</f>
        <v>0</v>
      </c>
      <c r="U85" s="1189">
        <f>'Operating Report'!W58</f>
        <v>0</v>
      </c>
      <c r="V85" s="1189">
        <f>'Operating Report'!X58</f>
        <v>0</v>
      </c>
      <c r="W85" s="1189">
        <f>'Operating Report'!Y58</f>
        <v>0</v>
      </c>
      <c r="X85" s="1189">
        <f>'Operating Report'!Z58</f>
        <v>0</v>
      </c>
      <c r="Y85" s="1189">
        <f>'Operating Report'!AA58</f>
        <v>0</v>
      </c>
      <c r="Z85" s="1189">
        <f>'Operating Report'!AB58</f>
        <v>4038.8167840976989</v>
      </c>
      <c r="AA85" s="1192">
        <f>SUM(R85:Z85)</f>
        <v>20373.333399097701</v>
      </c>
      <c r="AB85" s="1192">
        <f>Q85+AA85</f>
        <v>-13315.506600902296</v>
      </c>
      <c r="AC85" s="1192">
        <f>E85+AB85</f>
        <v>572094.80339909776</v>
      </c>
      <c r="AE85" s="1192">
        <f>AC85+AD85</f>
        <v>572094.80339909776</v>
      </c>
    </row>
    <row r="86" spans="1:31" ht="15" customHeight="1">
      <c r="A86" s="1098">
        <v>77</v>
      </c>
      <c r="B86" s="1502"/>
      <c r="C86" s="1506" t="s">
        <v>3892</v>
      </c>
      <c r="D86" s="1512"/>
      <c r="E86" s="1189">
        <f>SUM(E67:E85)</f>
        <v>213444711.91</v>
      </c>
      <c r="F86" s="1189">
        <f t="shared" ref="F86:AE86" si="8">SUM(F67:F85)</f>
        <v>-212859301.60000002</v>
      </c>
      <c r="G86" s="1189">
        <f t="shared" si="8"/>
        <v>0</v>
      </c>
      <c r="H86" s="1189">
        <f t="shared" si="8"/>
        <v>0</v>
      </c>
      <c r="I86" s="1189">
        <f t="shared" si="8"/>
        <v>0</v>
      </c>
      <c r="J86" s="1189">
        <f t="shared" si="8"/>
        <v>0</v>
      </c>
      <c r="K86" s="1189">
        <f t="shared" si="8"/>
        <v>0</v>
      </c>
      <c r="L86" s="1189">
        <f t="shared" si="8"/>
        <v>-33688.839999999997</v>
      </c>
      <c r="M86" s="1189">
        <f t="shared" si="8"/>
        <v>0</v>
      </c>
      <c r="N86" s="1189">
        <f t="shared" si="8"/>
        <v>0</v>
      </c>
      <c r="O86" s="1189">
        <f t="shared" si="8"/>
        <v>0</v>
      </c>
      <c r="P86" s="1189">
        <f t="shared" si="8"/>
        <v>0</v>
      </c>
      <c r="Q86" s="1189">
        <f t="shared" si="8"/>
        <v>-212892990.44000003</v>
      </c>
      <c r="R86" s="1189">
        <f t="shared" si="8"/>
        <v>0</v>
      </c>
      <c r="S86" s="1189">
        <f t="shared" si="8"/>
        <v>16334.516615</v>
      </c>
      <c r="T86" s="1189">
        <f t="shared" si="8"/>
        <v>0</v>
      </c>
      <c r="U86" s="1189">
        <f t="shared" si="8"/>
        <v>0</v>
      </c>
      <c r="V86" s="1189">
        <f t="shared" si="8"/>
        <v>0</v>
      </c>
      <c r="W86" s="1189">
        <f t="shared" si="8"/>
        <v>0</v>
      </c>
      <c r="X86" s="1189">
        <f t="shared" si="8"/>
        <v>0</v>
      </c>
      <c r="Y86" s="1189">
        <f t="shared" si="8"/>
        <v>0</v>
      </c>
      <c r="Z86" s="1189">
        <f t="shared" si="8"/>
        <v>4038.8167840976989</v>
      </c>
      <c r="AA86" s="1189">
        <f t="shared" si="8"/>
        <v>20373.333399097701</v>
      </c>
      <c r="AB86" s="1189">
        <f t="shared" si="8"/>
        <v>-212872617.10660094</v>
      </c>
      <c r="AC86" s="1189">
        <f t="shared" si="8"/>
        <v>572094.80339910369</v>
      </c>
      <c r="AD86" s="1189">
        <f t="shared" si="8"/>
        <v>0</v>
      </c>
      <c r="AE86" s="1189">
        <f t="shared" si="8"/>
        <v>572094.80339910369</v>
      </c>
    </row>
    <row r="87" spans="1:31" ht="15" customHeight="1">
      <c r="A87" s="1098">
        <v>78</v>
      </c>
      <c r="B87" s="1513" t="s">
        <v>3845</v>
      </c>
      <c r="C87" s="1513"/>
      <c r="D87" s="1513"/>
      <c r="E87" s="1189">
        <f>E66+E86</f>
        <v>213444711.91</v>
      </c>
      <c r="F87" s="1189">
        <f t="shared" ref="F87:AE87" si="9">F66+F86</f>
        <v>-212859301.60000002</v>
      </c>
      <c r="G87" s="1189">
        <f t="shared" si="9"/>
        <v>0</v>
      </c>
      <c r="H87" s="1189">
        <f t="shared" si="9"/>
        <v>0</v>
      </c>
      <c r="I87" s="1189">
        <f t="shared" si="9"/>
        <v>0</v>
      </c>
      <c r="J87" s="1189">
        <f t="shared" si="9"/>
        <v>0</v>
      </c>
      <c r="K87" s="1189">
        <f t="shared" si="9"/>
        <v>0</v>
      </c>
      <c r="L87" s="1189">
        <f t="shared" si="9"/>
        <v>-33688.839999999997</v>
      </c>
      <c r="M87" s="1189">
        <f t="shared" si="9"/>
        <v>0</v>
      </c>
      <c r="N87" s="1189">
        <f t="shared" si="9"/>
        <v>0</v>
      </c>
      <c r="O87" s="1189">
        <f t="shared" si="9"/>
        <v>0</v>
      </c>
      <c r="P87" s="1189">
        <f t="shared" si="9"/>
        <v>0</v>
      </c>
      <c r="Q87" s="1189">
        <f t="shared" si="9"/>
        <v>-212892990.44000003</v>
      </c>
      <c r="R87" s="1189">
        <f t="shared" si="9"/>
        <v>0</v>
      </c>
      <c r="S87" s="1189">
        <f t="shared" si="9"/>
        <v>16334.516615</v>
      </c>
      <c r="T87" s="1189">
        <f t="shared" si="9"/>
        <v>0</v>
      </c>
      <c r="U87" s="1189">
        <f t="shared" si="9"/>
        <v>0</v>
      </c>
      <c r="V87" s="1189">
        <f t="shared" si="9"/>
        <v>0</v>
      </c>
      <c r="W87" s="1189">
        <f t="shared" si="9"/>
        <v>0</v>
      </c>
      <c r="X87" s="1189">
        <f t="shared" si="9"/>
        <v>0</v>
      </c>
      <c r="Y87" s="1189">
        <f t="shared" si="9"/>
        <v>0</v>
      </c>
      <c r="Z87" s="1189">
        <f t="shared" si="9"/>
        <v>4038.8167840976989</v>
      </c>
      <c r="AA87" s="1189">
        <f t="shared" si="9"/>
        <v>20373.333399097701</v>
      </c>
      <c r="AB87" s="1189">
        <f t="shared" si="9"/>
        <v>-212872617.10660094</v>
      </c>
      <c r="AC87" s="1189">
        <f t="shared" si="9"/>
        <v>572094.80339910369</v>
      </c>
      <c r="AD87" s="1189">
        <f t="shared" si="9"/>
        <v>0</v>
      </c>
      <c r="AE87" s="1189">
        <f t="shared" si="9"/>
        <v>572094.80339910369</v>
      </c>
    </row>
    <row r="88" spans="1:31" ht="15" customHeight="1" outlineLevel="1">
      <c r="A88" s="1098">
        <v>79</v>
      </c>
      <c r="B88" s="1508" t="s">
        <v>3893</v>
      </c>
      <c r="C88" s="1107" t="s">
        <v>3622</v>
      </c>
      <c r="D88" s="1114">
        <v>814</v>
      </c>
      <c r="E88" s="1189"/>
    </row>
    <row r="89" spans="1:31" ht="15" customHeight="1" outlineLevel="1">
      <c r="A89" s="1098">
        <v>80</v>
      </c>
      <c r="B89" s="1508"/>
      <c r="C89" s="1107" t="s">
        <v>3894</v>
      </c>
      <c r="D89" s="1114">
        <v>815</v>
      </c>
      <c r="E89" s="1189"/>
    </row>
    <row r="90" spans="1:31" ht="15" customHeight="1" outlineLevel="1">
      <c r="A90" s="1098">
        <v>81</v>
      </c>
      <c r="B90" s="1508"/>
      <c r="C90" s="1107" t="s">
        <v>3895</v>
      </c>
      <c r="D90" s="1114">
        <v>816</v>
      </c>
      <c r="E90" s="1189"/>
    </row>
    <row r="91" spans="1:31" ht="15" customHeight="1" outlineLevel="1">
      <c r="A91" s="1098">
        <v>82</v>
      </c>
      <c r="B91" s="1508"/>
      <c r="C91" s="1107" t="s">
        <v>3896</v>
      </c>
      <c r="D91" s="1114">
        <v>817</v>
      </c>
      <c r="E91" s="1189"/>
    </row>
    <row r="92" spans="1:31" ht="15" customHeight="1" outlineLevel="1">
      <c r="A92" s="1098">
        <v>83</v>
      </c>
      <c r="B92" s="1508"/>
      <c r="C92" s="1107" t="s">
        <v>3897</v>
      </c>
      <c r="D92" s="1114">
        <v>818</v>
      </c>
      <c r="E92" s="1189"/>
    </row>
    <row r="93" spans="1:31" ht="15" customHeight="1" outlineLevel="1">
      <c r="A93" s="1098">
        <v>84</v>
      </c>
      <c r="B93" s="1508"/>
      <c r="C93" s="1107" t="s">
        <v>3898</v>
      </c>
      <c r="D93" s="1114">
        <v>819</v>
      </c>
      <c r="E93" s="1189"/>
    </row>
    <row r="94" spans="1:31" ht="15" customHeight="1" outlineLevel="1">
      <c r="A94" s="1098">
        <v>85</v>
      </c>
      <c r="B94" s="1508"/>
      <c r="C94" s="1107" t="s">
        <v>3899</v>
      </c>
      <c r="D94" s="1114">
        <v>820</v>
      </c>
      <c r="E94" s="1189"/>
    </row>
    <row r="95" spans="1:31" ht="15" customHeight="1" outlineLevel="1">
      <c r="A95" s="1098">
        <v>86</v>
      </c>
      <c r="B95" s="1508"/>
      <c r="C95" s="1107" t="s">
        <v>3868</v>
      </c>
      <c r="D95" s="1114">
        <v>821</v>
      </c>
      <c r="E95" s="1189"/>
    </row>
    <row r="96" spans="1:31" ht="15" customHeight="1" outlineLevel="1">
      <c r="A96" s="1098">
        <v>87</v>
      </c>
      <c r="B96" s="1508"/>
      <c r="C96" s="1107" t="s">
        <v>3900</v>
      </c>
      <c r="D96" s="1114">
        <v>822</v>
      </c>
      <c r="E96" s="1189"/>
    </row>
    <row r="97" spans="1:31" ht="15" customHeight="1" outlineLevel="1">
      <c r="A97" s="1098">
        <v>88</v>
      </c>
      <c r="B97" s="1508"/>
      <c r="C97" s="1107" t="s">
        <v>3901</v>
      </c>
      <c r="D97" s="1114">
        <v>823</v>
      </c>
      <c r="E97" s="1189"/>
    </row>
    <row r="98" spans="1:31" ht="15" customHeight="1" outlineLevel="1">
      <c r="A98" s="1098">
        <v>89</v>
      </c>
      <c r="B98" s="1508"/>
      <c r="C98" s="1107" t="s">
        <v>3649</v>
      </c>
      <c r="D98" s="1114">
        <v>824</v>
      </c>
      <c r="E98" s="1189"/>
    </row>
    <row r="99" spans="1:31" ht="15" customHeight="1" outlineLevel="1">
      <c r="A99" s="1098">
        <v>90</v>
      </c>
      <c r="B99" s="1508"/>
      <c r="C99" s="1107" t="s">
        <v>3902</v>
      </c>
      <c r="D99" s="1114">
        <v>825</v>
      </c>
      <c r="E99" s="1189"/>
    </row>
    <row r="100" spans="1:31" ht="15" customHeight="1" outlineLevel="1">
      <c r="A100" s="1098">
        <v>91</v>
      </c>
      <c r="B100" s="1508"/>
      <c r="C100" s="1107" t="s">
        <v>855</v>
      </c>
      <c r="D100" s="1114">
        <v>826</v>
      </c>
      <c r="E100" s="1189"/>
    </row>
    <row r="101" spans="1:31" ht="15" customHeight="1">
      <c r="A101" s="1098">
        <v>92</v>
      </c>
      <c r="B101" s="1508"/>
      <c r="C101" s="1503" t="s">
        <v>3903</v>
      </c>
      <c r="D101" s="1504"/>
      <c r="E101" s="1189">
        <f>SUM(E88:E100)</f>
        <v>0</v>
      </c>
      <c r="F101" s="1189">
        <f t="shared" ref="F101:AE101" si="10">SUM(F88:F100)</f>
        <v>0</v>
      </c>
      <c r="G101" s="1189">
        <f t="shared" si="10"/>
        <v>0</v>
      </c>
      <c r="H101" s="1189">
        <f t="shared" si="10"/>
        <v>0</v>
      </c>
      <c r="I101" s="1189">
        <f t="shared" si="10"/>
        <v>0</v>
      </c>
      <c r="J101" s="1189">
        <f t="shared" si="10"/>
        <v>0</v>
      </c>
      <c r="K101" s="1189">
        <f t="shared" si="10"/>
        <v>0</v>
      </c>
      <c r="L101" s="1189">
        <f t="shared" si="10"/>
        <v>0</v>
      </c>
      <c r="M101" s="1189">
        <f t="shared" si="10"/>
        <v>0</v>
      </c>
      <c r="N101" s="1189">
        <f t="shared" si="10"/>
        <v>0</v>
      </c>
      <c r="O101" s="1189">
        <f t="shared" si="10"/>
        <v>0</v>
      </c>
      <c r="P101" s="1189">
        <f t="shared" si="10"/>
        <v>0</v>
      </c>
      <c r="Q101" s="1189">
        <f t="shared" si="10"/>
        <v>0</v>
      </c>
      <c r="R101" s="1189">
        <f t="shared" si="10"/>
        <v>0</v>
      </c>
      <c r="S101" s="1189">
        <f t="shared" si="10"/>
        <v>0</v>
      </c>
      <c r="T101" s="1189">
        <f t="shared" si="10"/>
        <v>0</v>
      </c>
      <c r="U101" s="1189">
        <f t="shared" si="10"/>
        <v>0</v>
      </c>
      <c r="V101" s="1189">
        <f t="shared" si="10"/>
        <v>0</v>
      </c>
      <c r="W101" s="1189">
        <f t="shared" si="10"/>
        <v>0</v>
      </c>
      <c r="X101" s="1189">
        <f t="shared" si="10"/>
        <v>0</v>
      </c>
      <c r="Y101" s="1189">
        <f t="shared" si="10"/>
        <v>0</v>
      </c>
      <c r="Z101" s="1189">
        <f t="shared" si="10"/>
        <v>0</v>
      </c>
      <c r="AA101" s="1189">
        <f t="shared" si="10"/>
        <v>0</v>
      </c>
      <c r="AB101" s="1189">
        <f t="shared" si="10"/>
        <v>0</v>
      </c>
      <c r="AC101" s="1189">
        <f t="shared" si="10"/>
        <v>0</v>
      </c>
      <c r="AD101" s="1189">
        <f t="shared" si="10"/>
        <v>0</v>
      </c>
      <c r="AE101" s="1189">
        <f t="shared" si="10"/>
        <v>0</v>
      </c>
    </row>
    <row r="102" spans="1:31" ht="15" customHeight="1" outlineLevel="1">
      <c r="A102" s="1098">
        <v>93</v>
      </c>
      <c r="B102" s="1508"/>
      <c r="C102" s="1107" t="s">
        <v>3656</v>
      </c>
      <c r="D102" s="1114">
        <v>830</v>
      </c>
      <c r="E102" s="1189"/>
    </row>
    <row r="103" spans="1:31" ht="15" customHeight="1" outlineLevel="1">
      <c r="A103" s="1098">
        <v>94</v>
      </c>
      <c r="B103" s="1508"/>
      <c r="C103" s="1107" t="s">
        <v>3627</v>
      </c>
      <c r="D103" s="1114">
        <v>831</v>
      </c>
      <c r="E103" s="1189"/>
    </row>
    <row r="104" spans="1:31" ht="15" customHeight="1" outlineLevel="1">
      <c r="A104" s="1098">
        <v>95</v>
      </c>
      <c r="B104" s="1508"/>
      <c r="C104" s="1107" t="s">
        <v>3904</v>
      </c>
      <c r="D104" s="1114">
        <v>832</v>
      </c>
      <c r="E104" s="1189"/>
    </row>
    <row r="105" spans="1:31" ht="15" customHeight="1" outlineLevel="1">
      <c r="A105" s="1098">
        <v>96</v>
      </c>
      <c r="B105" s="1508"/>
      <c r="C105" s="1107" t="s">
        <v>3905</v>
      </c>
      <c r="D105" s="1114">
        <v>833</v>
      </c>
      <c r="E105" s="1189"/>
    </row>
    <row r="106" spans="1:31" ht="15" customHeight="1" outlineLevel="1">
      <c r="A106" s="1098">
        <v>97</v>
      </c>
      <c r="B106" s="1508"/>
      <c r="C106" s="1107" t="s">
        <v>3906</v>
      </c>
      <c r="D106" s="1114">
        <v>834</v>
      </c>
      <c r="E106" s="1189"/>
    </row>
    <row r="107" spans="1:31" ht="15" customHeight="1" outlineLevel="1">
      <c r="A107" s="1098">
        <v>98</v>
      </c>
      <c r="B107" s="1508"/>
      <c r="C107" s="1107" t="s">
        <v>3907</v>
      </c>
      <c r="D107" s="1114">
        <v>835</v>
      </c>
      <c r="E107" s="1189"/>
    </row>
    <row r="108" spans="1:31" ht="15" customHeight="1" outlineLevel="1">
      <c r="A108" s="1098">
        <v>99</v>
      </c>
      <c r="B108" s="1508"/>
      <c r="C108" s="1107" t="s">
        <v>3629</v>
      </c>
      <c r="D108" s="1114">
        <v>836</v>
      </c>
      <c r="E108" s="1189"/>
    </row>
    <row r="109" spans="1:31" ht="15" customHeight="1" outlineLevel="1">
      <c r="A109" s="1098">
        <v>100</v>
      </c>
      <c r="B109" s="1508"/>
      <c r="C109" s="1107" t="s">
        <v>3633</v>
      </c>
      <c r="D109" s="1114">
        <v>837</v>
      </c>
      <c r="E109" s="1189"/>
    </row>
    <row r="110" spans="1:31" ht="15" customHeight="1">
      <c r="A110" s="1098">
        <v>101</v>
      </c>
      <c r="B110" s="1508"/>
      <c r="C110" s="1509" t="s">
        <v>3908</v>
      </c>
      <c r="D110" s="1504"/>
      <c r="E110" s="1189">
        <f>SUM(E102:E109)</f>
        <v>0</v>
      </c>
      <c r="F110" s="1189">
        <f t="shared" ref="F110:AE110" si="11">SUM(F102:F109)</f>
        <v>0</v>
      </c>
      <c r="G110" s="1189">
        <f t="shared" si="11"/>
        <v>0</v>
      </c>
      <c r="H110" s="1189">
        <f t="shared" si="11"/>
        <v>0</v>
      </c>
      <c r="I110" s="1189">
        <f t="shared" si="11"/>
        <v>0</v>
      </c>
      <c r="J110" s="1189">
        <f t="shared" si="11"/>
        <v>0</v>
      </c>
      <c r="K110" s="1189">
        <f t="shared" si="11"/>
        <v>0</v>
      </c>
      <c r="L110" s="1189">
        <f t="shared" si="11"/>
        <v>0</v>
      </c>
      <c r="M110" s="1189">
        <f t="shared" si="11"/>
        <v>0</v>
      </c>
      <c r="N110" s="1189">
        <f t="shared" si="11"/>
        <v>0</v>
      </c>
      <c r="O110" s="1189">
        <f t="shared" si="11"/>
        <v>0</v>
      </c>
      <c r="P110" s="1189">
        <f t="shared" si="11"/>
        <v>0</v>
      </c>
      <c r="Q110" s="1189">
        <f t="shared" si="11"/>
        <v>0</v>
      </c>
      <c r="R110" s="1189">
        <f t="shared" si="11"/>
        <v>0</v>
      </c>
      <c r="S110" s="1189">
        <f t="shared" si="11"/>
        <v>0</v>
      </c>
      <c r="T110" s="1189">
        <f t="shared" si="11"/>
        <v>0</v>
      </c>
      <c r="U110" s="1189">
        <f t="shared" si="11"/>
        <v>0</v>
      </c>
      <c r="V110" s="1189">
        <f t="shared" si="11"/>
        <v>0</v>
      </c>
      <c r="W110" s="1189">
        <f t="shared" si="11"/>
        <v>0</v>
      </c>
      <c r="X110" s="1189">
        <f t="shared" si="11"/>
        <v>0</v>
      </c>
      <c r="Y110" s="1189">
        <f t="shared" si="11"/>
        <v>0</v>
      </c>
      <c r="Z110" s="1189">
        <f t="shared" si="11"/>
        <v>0</v>
      </c>
      <c r="AA110" s="1189">
        <f t="shared" si="11"/>
        <v>0</v>
      </c>
      <c r="AB110" s="1189">
        <f t="shared" si="11"/>
        <v>0</v>
      </c>
      <c r="AC110" s="1189">
        <f t="shared" si="11"/>
        <v>0</v>
      </c>
      <c r="AD110" s="1189">
        <f t="shared" si="11"/>
        <v>0</v>
      </c>
      <c r="AE110" s="1189">
        <f t="shared" si="11"/>
        <v>0</v>
      </c>
    </row>
    <row r="111" spans="1:31" ht="15" customHeight="1" outlineLevel="1">
      <c r="A111" s="1098">
        <v>102</v>
      </c>
      <c r="B111" s="1508"/>
      <c r="C111" s="1118" t="s">
        <v>3622</v>
      </c>
      <c r="D111" s="1119">
        <v>840</v>
      </c>
      <c r="E111" s="1189"/>
    </row>
    <row r="112" spans="1:31" ht="15" customHeight="1" outlineLevel="1">
      <c r="A112" s="1098">
        <v>103</v>
      </c>
      <c r="B112" s="1508"/>
      <c r="C112" s="1120" t="s">
        <v>3623</v>
      </c>
      <c r="D112" s="1119">
        <v>841</v>
      </c>
      <c r="E112" s="1189"/>
    </row>
    <row r="113" spans="1:31" ht="15" customHeight="1" outlineLevel="1">
      <c r="A113" s="1098">
        <v>104</v>
      </c>
      <c r="B113" s="1508"/>
      <c r="C113" s="1120" t="s">
        <v>855</v>
      </c>
      <c r="D113" s="1119">
        <v>842</v>
      </c>
      <c r="E113" s="1189"/>
    </row>
    <row r="114" spans="1:31" ht="15" customHeight="1" outlineLevel="1">
      <c r="A114" s="1098">
        <v>105</v>
      </c>
      <c r="B114" s="1508"/>
      <c r="C114" s="1120" t="s">
        <v>3624</v>
      </c>
      <c r="D114" s="1119">
        <v>842.1</v>
      </c>
      <c r="E114" s="1189"/>
    </row>
    <row r="115" spans="1:31" ht="15" customHeight="1" outlineLevel="1">
      <c r="A115" s="1098">
        <v>106</v>
      </c>
      <c r="B115" s="1508"/>
      <c r="C115" s="1121" t="s">
        <v>3625</v>
      </c>
      <c r="D115" s="1119">
        <v>842.2</v>
      </c>
      <c r="E115" s="1189"/>
    </row>
    <row r="116" spans="1:31" ht="15" customHeight="1" outlineLevel="1">
      <c r="A116" s="1098">
        <v>107</v>
      </c>
      <c r="B116" s="1508"/>
      <c r="C116" s="1121" t="s">
        <v>3901</v>
      </c>
      <c r="D116" s="1119">
        <v>842.3</v>
      </c>
      <c r="E116" s="1189"/>
    </row>
    <row r="117" spans="1:31" ht="15" customHeight="1">
      <c r="A117" s="1098">
        <v>108</v>
      </c>
      <c r="B117" s="1508"/>
      <c r="C117" s="1509" t="s">
        <v>3909</v>
      </c>
      <c r="D117" s="1504"/>
      <c r="E117" s="1189">
        <f>SUM(E111:E116)</f>
        <v>0</v>
      </c>
      <c r="F117" s="1189">
        <f t="shared" ref="F117:AE117" si="12">SUM(F111:F116)</f>
        <v>0</v>
      </c>
      <c r="G117" s="1189">
        <f t="shared" si="12"/>
        <v>0</v>
      </c>
      <c r="H117" s="1189">
        <f t="shared" si="12"/>
        <v>0</v>
      </c>
      <c r="I117" s="1189">
        <f t="shared" si="12"/>
        <v>0</v>
      </c>
      <c r="J117" s="1189">
        <f t="shared" si="12"/>
        <v>0</v>
      </c>
      <c r="K117" s="1189">
        <f t="shared" si="12"/>
        <v>0</v>
      </c>
      <c r="L117" s="1189">
        <f t="shared" si="12"/>
        <v>0</v>
      </c>
      <c r="M117" s="1189">
        <f t="shared" si="12"/>
        <v>0</v>
      </c>
      <c r="N117" s="1189">
        <f t="shared" si="12"/>
        <v>0</v>
      </c>
      <c r="O117" s="1189">
        <f t="shared" si="12"/>
        <v>0</v>
      </c>
      <c r="P117" s="1189">
        <f t="shared" si="12"/>
        <v>0</v>
      </c>
      <c r="Q117" s="1189">
        <f t="shared" si="12"/>
        <v>0</v>
      </c>
      <c r="R117" s="1189">
        <f t="shared" si="12"/>
        <v>0</v>
      </c>
      <c r="S117" s="1189">
        <f t="shared" si="12"/>
        <v>0</v>
      </c>
      <c r="T117" s="1189">
        <f t="shared" si="12"/>
        <v>0</v>
      </c>
      <c r="U117" s="1189">
        <f t="shared" si="12"/>
        <v>0</v>
      </c>
      <c r="V117" s="1189">
        <f t="shared" si="12"/>
        <v>0</v>
      </c>
      <c r="W117" s="1189">
        <f t="shared" si="12"/>
        <v>0</v>
      </c>
      <c r="X117" s="1189">
        <f t="shared" si="12"/>
        <v>0</v>
      </c>
      <c r="Y117" s="1189">
        <f t="shared" si="12"/>
        <v>0</v>
      </c>
      <c r="Z117" s="1189">
        <f t="shared" si="12"/>
        <v>0</v>
      </c>
      <c r="AA117" s="1189">
        <f t="shared" si="12"/>
        <v>0</v>
      </c>
      <c r="AB117" s="1189">
        <f t="shared" si="12"/>
        <v>0</v>
      </c>
      <c r="AC117" s="1189">
        <f t="shared" si="12"/>
        <v>0</v>
      </c>
      <c r="AD117" s="1189">
        <f t="shared" si="12"/>
        <v>0</v>
      </c>
      <c r="AE117" s="1189">
        <f t="shared" si="12"/>
        <v>0</v>
      </c>
    </row>
    <row r="118" spans="1:31" ht="15" customHeight="1" outlineLevel="1">
      <c r="A118" s="1098">
        <v>109</v>
      </c>
      <c r="B118" s="1508"/>
      <c r="C118" s="1120" t="s">
        <v>3656</v>
      </c>
      <c r="D118" s="1119">
        <v>843.1</v>
      </c>
      <c r="E118" s="1189"/>
    </row>
    <row r="119" spans="1:31" ht="15" customHeight="1" outlineLevel="1">
      <c r="A119" s="1098">
        <v>110</v>
      </c>
      <c r="B119" s="1508"/>
      <c r="C119" s="1120" t="s">
        <v>3627</v>
      </c>
      <c r="D119" s="1119">
        <v>843.2</v>
      </c>
      <c r="E119" s="1189"/>
    </row>
    <row r="120" spans="1:31" ht="15" customHeight="1" outlineLevel="1">
      <c r="A120" s="1098">
        <v>111</v>
      </c>
      <c r="B120" s="1508"/>
      <c r="C120" s="1120" t="s">
        <v>3628</v>
      </c>
      <c r="D120" s="1119">
        <v>843.3</v>
      </c>
      <c r="E120" s="1189"/>
    </row>
    <row r="121" spans="1:31" ht="15" customHeight="1" outlineLevel="1">
      <c r="A121" s="1098">
        <v>112</v>
      </c>
      <c r="B121" s="1508"/>
      <c r="C121" s="1120" t="s">
        <v>3629</v>
      </c>
      <c r="D121" s="1119">
        <v>843.4</v>
      </c>
      <c r="E121" s="1189"/>
    </row>
    <row r="122" spans="1:31" ht="15" customHeight="1" outlineLevel="1">
      <c r="A122" s="1098">
        <v>113</v>
      </c>
      <c r="B122" s="1508"/>
      <c r="C122" s="1120" t="s">
        <v>3630</v>
      </c>
      <c r="D122" s="1119">
        <v>843.5</v>
      </c>
      <c r="E122" s="1189"/>
    </row>
    <row r="123" spans="1:31" ht="15" customHeight="1" outlineLevel="1">
      <c r="A123" s="1098">
        <v>114</v>
      </c>
      <c r="B123" s="1508"/>
      <c r="C123" s="1120" t="s">
        <v>3631</v>
      </c>
      <c r="D123" s="1119">
        <v>843.6</v>
      </c>
      <c r="E123" s="1189"/>
    </row>
    <row r="124" spans="1:31" ht="15" customHeight="1" outlineLevel="1">
      <c r="A124" s="1098">
        <v>115</v>
      </c>
      <c r="B124" s="1508"/>
      <c r="C124" s="1120" t="s">
        <v>3632</v>
      </c>
      <c r="D124" s="1119">
        <v>843.7</v>
      </c>
      <c r="E124" s="1189"/>
    </row>
    <row r="125" spans="1:31" ht="15" customHeight="1" outlineLevel="1">
      <c r="A125" s="1098">
        <v>116</v>
      </c>
      <c r="B125" s="1508"/>
      <c r="C125" s="1120" t="s">
        <v>3910</v>
      </c>
      <c r="D125" s="1119">
        <v>843.8</v>
      </c>
      <c r="E125" s="1189"/>
    </row>
    <row r="126" spans="1:31" ht="15" customHeight="1" outlineLevel="1">
      <c r="A126" s="1098">
        <v>117</v>
      </c>
      <c r="B126" s="1508"/>
      <c r="C126" s="1120" t="s">
        <v>3633</v>
      </c>
      <c r="D126" s="1119">
        <v>843.9</v>
      </c>
      <c r="E126" s="1189"/>
    </row>
    <row r="127" spans="1:31" ht="15" customHeight="1">
      <c r="A127" s="1098">
        <v>118</v>
      </c>
      <c r="B127" s="1508"/>
      <c r="C127" s="1509" t="s">
        <v>3911</v>
      </c>
      <c r="D127" s="1504"/>
      <c r="E127" s="1189">
        <f>SUM(E118:E126)</f>
        <v>0</v>
      </c>
      <c r="F127" s="1189">
        <f t="shared" ref="F127:AE127" si="13">SUM(F118:F126)</f>
        <v>0</v>
      </c>
      <c r="G127" s="1189">
        <f t="shared" si="13"/>
        <v>0</v>
      </c>
      <c r="H127" s="1189">
        <f t="shared" si="13"/>
        <v>0</v>
      </c>
      <c r="I127" s="1189">
        <f t="shared" si="13"/>
        <v>0</v>
      </c>
      <c r="J127" s="1189">
        <f t="shared" si="13"/>
        <v>0</v>
      </c>
      <c r="K127" s="1189">
        <f t="shared" si="13"/>
        <v>0</v>
      </c>
      <c r="L127" s="1189">
        <f t="shared" si="13"/>
        <v>0</v>
      </c>
      <c r="M127" s="1189">
        <f t="shared" si="13"/>
        <v>0</v>
      </c>
      <c r="N127" s="1189">
        <f t="shared" si="13"/>
        <v>0</v>
      </c>
      <c r="O127" s="1189">
        <f t="shared" si="13"/>
        <v>0</v>
      </c>
      <c r="P127" s="1189">
        <f t="shared" si="13"/>
        <v>0</v>
      </c>
      <c r="Q127" s="1189">
        <f t="shared" si="13"/>
        <v>0</v>
      </c>
      <c r="R127" s="1189">
        <f t="shared" si="13"/>
        <v>0</v>
      </c>
      <c r="S127" s="1189">
        <f t="shared" si="13"/>
        <v>0</v>
      </c>
      <c r="T127" s="1189">
        <f t="shared" si="13"/>
        <v>0</v>
      </c>
      <c r="U127" s="1189">
        <f t="shared" si="13"/>
        <v>0</v>
      </c>
      <c r="V127" s="1189">
        <f t="shared" si="13"/>
        <v>0</v>
      </c>
      <c r="W127" s="1189">
        <f t="shared" si="13"/>
        <v>0</v>
      </c>
      <c r="X127" s="1189">
        <f t="shared" si="13"/>
        <v>0</v>
      </c>
      <c r="Y127" s="1189">
        <f t="shared" si="13"/>
        <v>0</v>
      </c>
      <c r="Z127" s="1189">
        <f t="shared" si="13"/>
        <v>0</v>
      </c>
      <c r="AA127" s="1189">
        <f t="shared" si="13"/>
        <v>0</v>
      </c>
      <c r="AB127" s="1189">
        <f t="shared" si="13"/>
        <v>0</v>
      </c>
      <c r="AC127" s="1189">
        <f t="shared" si="13"/>
        <v>0</v>
      </c>
      <c r="AD127" s="1189">
        <f t="shared" si="13"/>
        <v>0</v>
      </c>
      <c r="AE127" s="1189">
        <f t="shared" si="13"/>
        <v>0</v>
      </c>
    </row>
    <row r="128" spans="1:31" ht="15" customHeight="1">
      <c r="A128" s="1098">
        <v>119</v>
      </c>
      <c r="B128" s="1513" t="s">
        <v>3912</v>
      </c>
      <c r="C128" s="1513"/>
      <c r="D128" s="1513"/>
      <c r="E128" s="1189">
        <f>E101+E110+E117+E127</f>
        <v>0</v>
      </c>
      <c r="F128" s="1189">
        <f t="shared" ref="F128:AE128" si="14">F101+F110+F117+F127</f>
        <v>0</v>
      </c>
      <c r="G128" s="1189">
        <f t="shared" si="14"/>
        <v>0</v>
      </c>
      <c r="H128" s="1189">
        <f t="shared" si="14"/>
        <v>0</v>
      </c>
      <c r="I128" s="1189">
        <f t="shared" si="14"/>
        <v>0</v>
      </c>
      <c r="J128" s="1189">
        <f t="shared" si="14"/>
        <v>0</v>
      </c>
      <c r="K128" s="1189">
        <f t="shared" si="14"/>
        <v>0</v>
      </c>
      <c r="L128" s="1189">
        <f t="shared" si="14"/>
        <v>0</v>
      </c>
      <c r="M128" s="1189">
        <f t="shared" si="14"/>
        <v>0</v>
      </c>
      <c r="N128" s="1189">
        <f t="shared" si="14"/>
        <v>0</v>
      </c>
      <c r="O128" s="1189">
        <f t="shared" si="14"/>
        <v>0</v>
      </c>
      <c r="P128" s="1189">
        <f t="shared" si="14"/>
        <v>0</v>
      </c>
      <c r="Q128" s="1189">
        <f t="shared" si="14"/>
        <v>0</v>
      </c>
      <c r="R128" s="1189">
        <f t="shared" si="14"/>
        <v>0</v>
      </c>
      <c r="S128" s="1189">
        <f t="shared" si="14"/>
        <v>0</v>
      </c>
      <c r="T128" s="1189">
        <f t="shared" si="14"/>
        <v>0</v>
      </c>
      <c r="U128" s="1189">
        <f t="shared" si="14"/>
        <v>0</v>
      </c>
      <c r="V128" s="1189">
        <f t="shared" si="14"/>
        <v>0</v>
      </c>
      <c r="W128" s="1189">
        <f t="shared" si="14"/>
        <v>0</v>
      </c>
      <c r="X128" s="1189">
        <f t="shared" si="14"/>
        <v>0</v>
      </c>
      <c r="Y128" s="1189">
        <f t="shared" si="14"/>
        <v>0</v>
      </c>
      <c r="Z128" s="1189">
        <f t="shared" si="14"/>
        <v>0</v>
      </c>
      <c r="AA128" s="1189">
        <f t="shared" si="14"/>
        <v>0</v>
      </c>
      <c r="AB128" s="1189">
        <f t="shared" si="14"/>
        <v>0</v>
      </c>
      <c r="AC128" s="1189">
        <f t="shared" si="14"/>
        <v>0</v>
      </c>
      <c r="AD128" s="1189">
        <f t="shared" si="14"/>
        <v>0</v>
      </c>
      <c r="AE128" s="1189">
        <f t="shared" si="14"/>
        <v>0</v>
      </c>
    </row>
    <row r="129" spans="1:31" ht="15" customHeight="1" outlineLevel="1">
      <c r="A129" s="1098">
        <v>120</v>
      </c>
      <c r="B129" s="1500" t="s">
        <v>3913</v>
      </c>
      <c r="C129" s="1118" t="s">
        <v>3622</v>
      </c>
      <c r="D129" s="1122">
        <v>850</v>
      </c>
      <c r="E129" s="1189"/>
    </row>
    <row r="130" spans="1:31" ht="15" customHeight="1" outlineLevel="1">
      <c r="A130" s="1098">
        <v>121</v>
      </c>
      <c r="B130" s="1501"/>
      <c r="C130" s="1121" t="s">
        <v>3914</v>
      </c>
      <c r="D130" s="1116">
        <v>851</v>
      </c>
      <c r="E130" s="1189"/>
    </row>
    <row r="131" spans="1:31" ht="15" customHeight="1" outlineLevel="1">
      <c r="A131" s="1098">
        <v>122</v>
      </c>
      <c r="B131" s="1501"/>
      <c r="C131" s="1121" t="s">
        <v>3635</v>
      </c>
      <c r="D131" s="1116">
        <v>852</v>
      </c>
      <c r="E131" s="1189"/>
    </row>
    <row r="132" spans="1:31" ht="15" customHeight="1" outlineLevel="1">
      <c r="A132" s="1098">
        <v>123</v>
      </c>
      <c r="B132" s="1501"/>
      <c r="C132" s="1121" t="s">
        <v>3636</v>
      </c>
      <c r="D132" s="1116">
        <v>853</v>
      </c>
      <c r="E132" s="1189"/>
    </row>
    <row r="133" spans="1:31" ht="15" customHeight="1" outlineLevel="1">
      <c r="A133" s="1098">
        <v>124</v>
      </c>
      <c r="B133" s="1501"/>
      <c r="C133" s="1121" t="s">
        <v>3915</v>
      </c>
      <c r="D133" s="1116">
        <v>854</v>
      </c>
      <c r="E133" s="1189"/>
    </row>
    <row r="134" spans="1:31" ht="15" customHeight="1" outlineLevel="1">
      <c r="A134" s="1098">
        <v>125</v>
      </c>
      <c r="B134" s="1501"/>
      <c r="C134" s="1121" t="s">
        <v>3916</v>
      </c>
      <c r="D134" s="1116">
        <v>855</v>
      </c>
      <c r="E134" s="1189"/>
    </row>
    <row r="135" spans="1:31" ht="15" customHeight="1" outlineLevel="1">
      <c r="A135" s="1098">
        <v>126</v>
      </c>
      <c r="B135" s="1501"/>
      <c r="C135" s="1121" t="s">
        <v>3637</v>
      </c>
      <c r="D135" s="1116">
        <v>856</v>
      </c>
      <c r="E135" s="1189"/>
    </row>
    <row r="136" spans="1:31" ht="15" customHeight="1" outlineLevel="1">
      <c r="A136" s="1098">
        <v>127</v>
      </c>
      <c r="B136" s="1501"/>
      <c r="C136" s="1121" t="s">
        <v>3899</v>
      </c>
      <c r="D136" s="1116">
        <v>857</v>
      </c>
      <c r="E136" s="1189"/>
    </row>
    <row r="137" spans="1:31" ht="15" customHeight="1" outlineLevel="1">
      <c r="A137" s="1098">
        <v>128</v>
      </c>
      <c r="B137" s="1501"/>
      <c r="C137" s="1121" t="s">
        <v>3917</v>
      </c>
      <c r="D137" s="1116">
        <v>858</v>
      </c>
      <c r="E137" s="1189"/>
    </row>
    <row r="138" spans="1:31" ht="15" customHeight="1" outlineLevel="1">
      <c r="A138" s="1098">
        <v>129</v>
      </c>
      <c r="B138" s="1501"/>
      <c r="C138" s="1121" t="s">
        <v>3649</v>
      </c>
      <c r="D138" s="1116">
        <v>859</v>
      </c>
      <c r="E138" s="1189"/>
    </row>
    <row r="139" spans="1:31" ht="15" customHeight="1" outlineLevel="1">
      <c r="A139" s="1098">
        <v>130</v>
      </c>
      <c r="B139" s="1501"/>
      <c r="C139" s="1121" t="s">
        <v>855</v>
      </c>
      <c r="D139" s="1116">
        <v>860</v>
      </c>
      <c r="E139" s="1189"/>
    </row>
    <row r="140" spans="1:31" ht="15" customHeight="1">
      <c r="A140" s="1098">
        <v>131</v>
      </c>
      <c r="B140" s="1501"/>
      <c r="C140" s="1509" t="s">
        <v>3918</v>
      </c>
      <c r="D140" s="1504"/>
      <c r="E140" s="1189">
        <f>SUM(E129:E139)</f>
        <v>0</v>
      </c>
      <c r="F140" s="1189">
        <f t="shared" ref="F140:AE140" si="15">SUM(F129:F139)</f>
        <v>0</v>
      </c>
      <c r="G140" s="1189">
        <f t="shared" si="15"/>
        <v>0</v>
      </c>
      <c r="H140" s="1189">
        <f t="shared" si="15"/>
        <v>0</v>
      </c>
      <c r="I140" s="1189">
        <f t="shared" si="15"/>
        <v>0</v>
      </c>
      <c r="J140" s="1189">
        <f t="shared" si="15"/>
        <v>0</v>
      </c>
      <c r="K140" s="1189">
        <f t="shared" si="15"/>
        <v>0</v>
      </c>
      <c r="L140" s="1189">
        <f t="shared" si="15"/>
        <v>0</v>
      </c>
      <c r="M140" s="1189">
        <f t="shared" si="15"/>
        <v>0</v>
      </c>
      <c r="N140" s="1189">
        <f t="shared" si="15"/>
        <v>0</v>
      </c>
      <c r="O140" s="1189">
        <f t="shared" si="15"/>
        <v>0</v>
      </c>
      <c r="P140" s="1189">
        <f t="shared" si="15"/>
        <v>0</v>
      </c>
      <c r="Q140" s="1189">
        <f t="shared" si="15"/>
        <v>0</v>
      </c>
      <c r="R140" s="1189">
        <f t="shared" si="15"/>
        <v>0</v>
      </c>
      <c r="S140" s="1189">
        <f t="shared" si="15"/>
        <v>0</v>
      </c>
      <c r="T140" s="1189">
        <f t="shared" si="15"/>
        <v>0</v>
      </c>
      <c r="U140" s="1189">
        <f t="shared" si="15"/>
        <v>0</v>
      </c>
      <c r="V140" s="1189">
        <f t="shared" si="15"/>
        <v>0</v>
      </c>
      <c r="W140" s="1189">
        <f t="shared" si="15"/>
        <v>0</v>
      </c>
      <c r="X140" s="1189">
        <f t="shared" si="15"/>
        <v>0</v>
      </c>
      <c r="Y140" s="1189">
        <f t="shared" si="15"/>
        <v>0</v>
      </c>
      <c r="Z140" s="1189">
        <f t="shared" si="15"/>
        <v>0</v>
      </c>
      <c r="AA140" s="1189">
        <f t="shared" si="15"/>
        <v>0</v>
      </c>
      <c r="AB140" s="1189">
        <f t="shared" si="15"/>
        <v>0</v>
      </c>
      <c r="AC140" s="1189">
        <f t="shared" si="15"/>
        <v>0</v>
      </c>
      <c r="AD140" s="1189">
        <f t="shared" si="15"/>
        <v>0</v>
      </c>
      <c r="AE140" s="1189">
        <f t="shared" si="15"/>
        <v>0</v>
      </c>
    </row>
    <row r="141" spans="1:31" ht="15" customHeight="1" outlineLevel="1">
      <c r="A141" s="1098">
        <v>132</v>
      </c>
      <c r="B141" s="1501"/>
      <c r="C141" s="1118" t="s">
        <v>3656</v>
      </c>
      <c r="D141" s="1122">
        <v>861</v>
      </c>
      <c r="E141" s="1189"/>
    </row>
    <row r="142" spans="1:31" ht="15" customHeight="1" outlineLevel="1">
      <c r="A142" s="1098">
        <v>133</v>
      </c>
      <c r="B142" s="1501"/>
      <c r="C142" s="1121" t="s">
        <v>3627</v>
      </c>
      <c r="D142" s="1116">
        <v>862</v>
      </c>
      <c r="E142" s="1189"/>
    </row>
    <row r="143" spans="1:31" ht="15" customHeight="1" outlineLevel="1">
      <c r="A143" s="1098">
        <v>134</v>
      </c>
      <c r="B143" s="1501"/>
      <c r="C143" s="1121" t="s">
        <v>3639</v>
      </c>
      <c r="D143" s="1116">
        <v>863</v>
      </c>
      <c r="E143" s="1189"/>
    </row>
    <row r="144" spans="1:31" ht="15" customHeight="1" outlineLevel="1">
      <c r="A144" s="1098">
        <v>135</v>
      </c>
      <c r="B144" s="1501"/>
      <c r="C144" s="1121" t="s">
        <v>3906</v>
      </c>
      <c r="D144" s="1116">
        <v>864</v>
      </c>
      <c r="E144" s="1189"/>
    </row>
    <row r="145" spans="1:31" ht="15" customHeight="1" outlineLevel="1">
      <c r="A145" s="1098">
        <v>136</v>
      </c>
      <c r="B145" s="1501"/>
      <c r="C145" s="1121" t="s">
        <v>3907</v>
      </c>
      <c r="D145" s="1116">
        <v>865</v>
      </c>
      <c r="E145" s="1189"/>
    </row>
    <row r="146" spans="1:31" ht="15" customHeight="1" outlineLevel="1">
      <c r="A146" s="1098">
        <v>137</v>
      </c>
      <c r="B146" s="1501"/>
      <c r="C146" s="1121" t="s">
        <v>3641</v>
      </c>
      <c r="D146" s="1116">
        <v>866</v>
      </c>
      <c r="E146" s="1189"/>
    </row>
    <row r="147" spans="1:31" ht="15" customHeight="1" outlineLevel="1">
      <c r="A147" s="1098">
        <v>138</v>
      </c>
      <c r="B147" s="1501"/>
      <c r="C147" s="1121" t="s">
        <v>3633</v>
      </c>
      <c r="D147" s="1116">
        <v>867</v>
      </c>
      <c r="E147" s="1189"/>
    </row>
    <row r="148" spans="1:31" ht="15" customHeight="1" outlineLevel="1">
      <c r="A148" s="1098">
        <v>139</v>
      </c>
      <c r="B148" s="1501"/>
      <c r="C148" s="1121" t="s">
        <v>3622</v>
      </c>
      <c r="D148" s="1116">
        <v>870</v>
      </c>
      <c r="E148" s="1189">
        <f>'Operating Report'!F62</f>
        <v>2880277.23</v>
      </c>
      <c r="F148" s="1189">
        <f>'Operating Report'!H62</f>
        <v>0</v>
      </c>
      <c r="G148" s="1189">
        <f>'Operating Report'!I62</f>
        <v>0</v>
      </c>
      <c r="H148" s="1189">
        <f>'Operating Report'!J62</f>
        <v>0</v>
      </c>
      <c r="I148" s="1189">
        <f>'Operating Report'!K62</f>
        <v>0</v>
      </c>
      <c r="J148" s="1189">
        <f>'Operating Report'!L62</f>
        <v>0</v>
      </c>
      <c r="K148" s="1189">
        <f>'Operating Report'!M62</f>
        <v>0</v>
      </c>
      <c r="L148" s="1189">
        <f>'Operating Report'!N62</f>
        <v>-245992.69</v>
      </c>
      <c r="M148" s="1189">
        <f>'Operating Report'!O62</f>
        <v>0</v>
      </c>
      <c r="N148" s="1189">
        <f>'Operating Report'!P62</f>
        <v>0</v>
      </c>
      <c r="O148" s="1189">
        <f>'Operating Report'!Q62</f>
        <v>0</v>
      </c>
      <c r="P148" s="1189">
        <f>'Operating Report'!R62</f>
        <v>0</v>
      </c>
      <c r="Q148" s="1189">
        <f>SUM(F148:P148)</f>
        <v>-245992.69</v>
      </c>
      <c r="R148" s="1189">
        <f>'Operating Report'!T62</f>
        <v>0</v>
      </c>
      <c r="S148" s="1189">
        <f>'Operating Report'!U62</f>
        <v>137795.897062</v>
      </c>
      <c r="T148" s="1189">
        <f>'Operating Report'!V62</f>
        <v>0</v>
      </c>
      <c r="U148" s="1189">
        <f>'Operating Report'!W62</f>
        <v>0</v>
      </c>
      <c r="V148" s="1189">
        <f>'Operating Report'!X62</f>
        <v>0</v>
      </c>
      <c r="W148" s="1189">
        <f>'Operating Report'!Y62</f>
        <v>0</v>
      </c>
      <c r="X148" s="1189">
        <f>'Operating Report'!Z62</f>
        <v>0</v>
      </c>
      <c r="Y148" s="1189">
        <f>'Operating Report'!AA62</f>
        <v>0</v>
      </c>
      <c r="Z148" s="1189">
        <f>'Operating Report'!AB62</f>
        <v>3391.1604211755898</v>
      </c>
      <c r="AA148" s="1192">
        <f>SUM(R148:Z148)</f>
        <v>141187.05748317559</v>
      </c>
      <c r="AB148" s="1192">
        <f>Q148+AA148</f>
        <v>-104805.63251682441</v>
      </c>
      <c r="AC148" s="1192">
        <f>E148+AB148</f>
        <v>2775471.5974831758</v>
      </c>
      <c r="AE148" s="1192">
        <f>AC148+AD148</f>
        <v>2775471.5974831758</v>
      </c>
    </row>
    <row r="149" spans="1:31" ht="15" customHeight="1">
      <c r="A149" s="1098">
        <v>140</v>
      </c>
      <c r="B149" s="1502"/>
      <c r="C149" s="1509" t="s">
        <v>3919</v>
      </c>
      <c r="D149" s="1504"/>
      <c r="E149" s="1189">
        <f>SUM(E141:E148)</f>
        <v>2880277.23</v>
      </c>
      <c r="F149" s="1189">
        <f t="shared" ref="F149:AE149" si="16">SUM(F141:F148)</f>
        <v>0</v>
      </c>
      <c r="G149" s="1189">
        <f t="shared" si="16"/>
        <v>0</v>
      </c>
      <c r="H149" s="1189">
        <f t="shared" si="16"/>
        <v>0</v>
      </c>
      <c r="I149" s="1189">
        <f t="shared" si="16"/>
        <v>0</v>
      </c>
      <c r="J149" s="1189">
        <f t="shared" si="16"/>
        <v>0</v>
      </c>
      <c r="K149" s="1189">
        <f t="shared" si="16"/>
        <v>0</v>
      </c>
      <c r="L149" s="1189">
        <f t="shared" si="16"/>
        <v>-245992.69</v>
      </c>
      <c r="M149" s="1189">
        <f t="shared" si="16"/>
        <v>0</v>
      </c>
      <c r="N149" s="1189">
        <f t="shared" si="16"/>
        <v>0</v>
      </c>
      <c r="O149" s="1189">
        <f t="shared" si="16"/>
        <v>0</v>
      </c>
      <c r="P149" s="1189">
        <f t="shared" si="16"/>
        <v>0</v>
      </c>
      <c r="Q149" s="1189">
        <f t="shared" si="16"/>
        <v>-245992.69</v>
      </c>
      <c r="R149" s="1189">
        <f t="shared" si="16"/>
        <v>0</v>
      </c>
      <c r="S149" s="1189">
        <f t="shared" si="16"/>
        <v>137795.897062</v>
      </c>
      <c r="T149" s="1189">
        <f t="shared" si="16"/>
        <v>0</v>
      </c>
      <c r="U149" s="1189">
        <f t="shared" si="16"/>
        <v>0</v>
      </c>
      <c r="V149" s="1189">
        <f t="shared" si="16"/>
        <v>0</v>
      </c>
      <c r="W149" s="1189">
        <f t="shared" si="16"/>
        <v>0</v>
      </c>
      <c r="X149" s="1189">
        <f t="shared" si="16"/>
        <v>0</v>
      </c>
      <c r="Y149" s="1189">
        <f t="shared" si="16"/>
        <v>0</v>
      </c>
      <c r="Z149" s="1189">
        <f t="shared" si="16"/>
        <v>3391.1604211755898</v>
      </c>
      <c r="AA149" s="1189">
        <f t="shared" si="16"/>
        <v>141187.05748317559</v>
      </c>
      <c r="AB149" s="1189">
        <f t="shared" si="16"/>
        <v>-104805.63251682441</v>
      </c>
      <c r="AC149" s="1189">
        <f t="shared" si="16"/>
        <v>2775471.5974831758</v>
      </c>
      <c r="AD149" s="1189">
        <f t="shared" si="16"/>
        <v>0</v>
      </c>
      <c r="AE149" s="1189">
        <f t="shared" si="16"/>
        <v>2775471.5974831758</v>
      </c>
    </row>
    <row r="150" spans="1:31" ht="15" customHeight="1">
      <c r="A150" s="1098">
        <v>141</v>
      </c>
      <c r="B150" s="1513" t="s">
        <v>3920</v>
      </c>
      <c r="C150" s="1513"/>
      <c r="D150" s="1513"/>
      <c r="E150" s="1189">
        <f>E140+E149</f>
        <v>2880277.23</v>
      </c>
      <c r="F150" s="1189">
        <f t="shared" ref="F150:AE150" si="17">F140+F149</f>
        <v>0</v>
      </c>
      <c r="G150" s="1189">
        <f t="shared" si="17"/>
        <v>0</v>
      </c>
      <c r="H150" s="1189">
        <f t="shared" si="17"/>
        <v>0</v>
      </c>
      <c r="I150" s="1189">
        <f t="shared" si="17"/>
        <v>0</v>
      </c>
      <c r="J150" s="1189">
        <f t="shared" si="17"/>
        <v>0</v>
      </c>
      <c r="K150" s="1189">
        <f t="shared" si="17"/>
        <v>0</v>
      </c>
      <c r="L150" s="1189">
        <f t="shared" si="17"/>
        <v>-245992.69</v>
      </c>
      <c r="M150" s="1189">
        <f t="shared" si="17"/>
        <v>0</v>
      </c>
      <c r="N150" s="1189">
        <f t="shared" si="17"/>
        <v>0</v>
      </c>
      <c r="O150" s="1189">
        <f t="shared" si="17"/>
        <v>0</v>
      </c>
      <c r="P150" s="1189">
        <f t="shared" si="17"/>
        <v>0</v>
      </c>
      <c r="Q150" s="1189">
        <f t="shared" si="17"/>
        <v>-245992.69</v>
      </c>
      <c r="R150" s="1189">
        <f t="shared" si="17"/>
        <v>0</v>
      </c>
      <c r="S150" s="1189">
        <f t="shared" si="17"/>
        <v>137795.897062</v>
      </c>
      <c r="T150" s="1189">
        <f t="shared" si="17"/>
        <v>0</v>
      </c>
      <c r="U150" s="1189">
        <f t="shared" si="17"/>
        <v>0</v>
      </c>
      <c r="V150" s="1189">
        <f t="shared" si="17"/>
        <v>0</v>
      </c>
      <c r="W150" s="1189">
        <f t="shared" si="17"/>
        <v>0</v>
      </c>
      <c r="X150" s="1189">
        <f t="shared" si="17"/>
        <v>0</v>
      </c>
      <c r="Y150" s="1189">
        <f t="shared" si="17"/>
        <v>0</v>
      </c>
      <c r="Z150" s="1189">
        <f t="shared" si="17"/>
        <v>3391.1604211755898</v>
      </c>
      <c r="AA150" s="1189">
        <f t="shared" si="17"/>
        <v>141187.05748317559</v>
      </c>
      <c r="AB150" s="1189">
        <f t="shared" si="17"/>
        <v>-104805.63251682441</v>
      </c>
      <c r="AC150" s="1189">
        <f t="shared" si="17"/>
        <v>2775471.5974831758</v>
      </c>
      <c r="AD150" s="1189">
        <f t="shared" si="17"/>
        <v>0</v>
      </c>
      <c r="AE150" s="1189">
        <f t="shared" si="17"/>
        <v>2775471.5974831758</v>
      </c>
    </row>
    <row r="151" spans="1:31" ht="15" customHeight="1" outlineLevel="1">
      <c r="A151" s="1098">
        <v>142</v>
      </c>
      <c r="B151" s="1500" t="s">
        <v>3921</v>
      </c>
      <c r="C151" s="1107" t="s">
        <v>3643</v>
      </c>
      <c r="D151" s="1114">
        <v>871</v>
      </c>
      <c r="E151" s="1189">
        <f>'Operating Report'!F63</f>
        <v>229323.69999999998</v>
      </c>
      <c r="F151" s="1189">
        <f>'Operating Report'!H63</f>
        <v>0</v>
      </c>
      <c r="G151" s="1189">
        <f>'Operating Report'!I63</f>
        <v>0</v>
      </c>
      <c r="H151" s="1189">
        <f>'Operating Report'!J63</f>
        <v>0</v>
      </c>
      <c r="I151" s="1189">
        <f>'Operating Report'!K63</f>
        <v>0</v>
      </c>
      <c r="J151" s="1189">
        <f>'Operating Report'!L63</f>
        <v>0</v>
      </c>
      <c r="K151" s="1189">
        <f>'Operating Report'!M63</f>
        <v>11.099399999999999</v>
      </c>
      <c r="L151" s="1189">
        <f>'Operating Report'!N63</f>
        <v>-18626.41</v>
      </c>
      <c r="M151" s="1189">
        <f>'Operating Report'!O63</f>
        <v>0</v>
      </c>
      <c r="N151" s="1189">
        <f>'Operating Report'!P63</f>
        <v>0</v>
      </c>
      <c r="O151" s="1189">
        <f>'Operating Report'!Q63</f>
        <v>0</v>
      </c>
      <c r="P151" s="1189">
        <f>'Operating Report'!R63</f>
        <v>0</v>
      </c>
      <c r="Q151" s="1189">
        <f>SUM(F151:P151)</f>
        <v>-18615.310600000001</v>
      </c>
      <c r="R151" s="1189">
        <f>'Operating Report'!T63</f>
        <v>0</v>
      </c>
      <c r="S151" s="1189">
        <f>'Operating Report'!U63</f>
        <v>11964.020299</v>
      </c>
      <c r="T151" s="1189">
        <f>'Operating Report'!V63</f>
        <v>0</v>
      </c>
      <c r="U151" s="1189">
        <f>'Operating Report'!W63</f>
        <v>0</v>
      </c>
      <c r="V151" s="1189">
        <f>'Operating Report'!X63</f>
        <v>0</v>
      </c>
      <c r="W151" s="1189">
        <f>'Operating Report'!Y63</f>
        <v>0</v>
      </c>
      <c r="X151" s="1189">
        <f>'Operating Report'!Z63</f>
        <v>0</v>
      </c>
      <c r="Y151" s="1189">
        <f>'Operating Report'!AA63</f>
        <v>0</v>
      </c>
      <c r="Z151" s="1189">
        <f>'Operating Report'!AB63</f>
        <v>70.382162419211369</v>
      </c>
      <c r="AA151" s="1192">
        <f>SUM(R151:Z151)</f>
        <v>12034.402461419211</v>
      </c>
      <c r="AB151" s="1192">
        <f>Q151+AA151</f>
        <v>-6580.9081385807895</v>
      </c>
      <c r="AC151" s="1192">
        <f>E151+AB151</f>
        <v>222742.79186141919</v>
      </c>
      <c r="AE151" s="1192">
        <f>AC151+AD151</f>
        <v>222742.79186141919</v>
      </c>
    </row>
    <row r="152" spans="1:31" ht="15" customHeight="1" outlineLevel="1">
      <c r="A152" s="1098">
        <v>143</v>
      </c>
      <c r="B152" s="1501"/>
      <c r="C152" s="1107" t="s">
        <v>3636</v>
      </c>
      <c r="D152" s="1114">
        <v>872</v>
      </c>
      <c r="E152" s="1189">
        <f>'Operating Report'!F64</f>
        <v>74444.14</v>
      </c>
      <c r="F152" s="1189">
        <f>'Operating Report'!H64</f>
        <v>0</v>
      </c>
      <c r="G152" s="1189">
        <f>'Operating Report'!I64</f>
        <v>0</v>
      </c>
      <c r="H152" s="1189">
        <f>'Operating Report'!J64</f>
        <v>0</v>
      </c>
      <c r="I152" s="1189">
        <f>'Operating Report'!K64</f>
        <v>0</v>
      </c>
      <c r="J152" s="1189">
        <f>'Operating Report'!L64</f>
        <v>0</v>
      </c>
      <c r="K152" s="1189">
        <f>'Operating Report'!M64</f>
        <v>262.92</v>
      </c>
      <c r="L152" s="1189">
        <f>'Operating Report'!N64</f>
        <v>-2458.2199999999998</v>
      </c>
      <c r="M152" s="1189">
        <f>'Operating Report'!O64</f>
        <v>0</v>
      </c>
      <c r="N152" s="1189">
        <f>'Operating Report'!P64</f>
        <v>0</v>
      </c>
      <c r="O152" s="1189">
        <f>'Operating Report'!Q64</f>
        <v>0</v>
      </c>
      <c r="P152" s="1189">
        <f>'Operating Report'!R64</f>
        <v>0</v>
      </c>
      <c r="Q152" s="1189">
        <f>SUM(F152:P152)</f>
        <v>-2195.2999999999997</v>
      </c>
      <c r="R152" s="1189">
        <f>'Operating Report'!T64</f>
        <v>0</v>
      </c>
      <c r="S152" s="1189">
        <f>'Operating Report'!U64</f>
        <v>2450.6589350000004</v>
      </c>
      <c r="T152" s="1189">
        <f>'Operating Report'!V64</f>
        <v>0</v>
      </c>
      <c r="U152" s="1189">
        <f>'Operating Report'!W64</f>
        <v>0</v>
      </c>
      <c r="V152" s="1189">
        <f>'Operating Report'!X64</f>
        <v>0</v>
      </c>
      <c r="W152" s="1189">
        <f>'Operating Report'!Y64</f>
        <v>0</v>
      </c>
      <c r="X152" s="1189">
        <f>'Operating Report'!Z64</f>
        <v>0</v>
      </c>
      <c r="Y152" s="1189">
        <f>'Operating Report'!AA64</f>
        <v>0</v>
      </c>
      <c r="Z152" s="1189">
        <f>'Operating Report'!AB64</f>
        <v>437.76414708425301</v>
      </c>
      <c r="AA152" s="1192">
        <f>SUM(R152:Z152)</f>
        <v>2888.4230820842536</v>
      </c>
      <c r="AB152" s="1192">
        <f>Q152+AA152</f>
        <v>693.12308208425384</v>
      </c>
      <c r="AC152" s="1192">
        <f>E152+AB152</f>
        <v>75137.263082084246</v>
      </c>
      <c r="AE152" s="1192">
        <f>AC152+AD152</f>
        <v>75137.263082084246</v>
      </c>
    </row>
    <row r="153" spans="1:31" ht="15" customHeight="1" outlineLevel="1">
      <c r="A153" s="1098">
        <v>144</v>
      </c>
      <c r="B153" s="1501"/>
      <c r="C153" s="1107" t="s">
        <v>3922</v>
      </c>
      <c r="D153" s="1114">
        <v>873</v>
      </c>
      <c r="E153" s="1189"/>
      <c r="F153" s="1189"/>
      <c r="G153" s="1189"/>
      <c r="H153" s="1189"/>
      <c r="I153" s="1189"/>
      <c r="J153" s="1189"/>
      <c r="K153" s="1189"/>
      <c r="L153" s="1189"/>
      <c r="M153" s="1189"/>
      <c r="N153" s="1189"/>
      <c r="O153" s="1189"/>
      <c r="P153" s="1189"/>
      <c r="R153" s="1189"/>
      <c r="S153" s="1189"/>
      <c r="T153" s="1189"/>
      <c r="U153" s="1189"/>
      <c r="V153" s="1189"/>
      <c r="W153" s="1189"/>
      <c r="X153" s="1189"/>
      <c r="Y153" s="1189"/>
      <c r="Z153" s="1189"/>
    </row>
    <row r="154" spans="1:31" ht="15" customHeight="1" outlineLevel="1">
      <c r="A154" s="1098">
        <v>145</v>
      </c>
      <c r="B154" s="1501"/>
      <c r="C154" s="1107" t="s">
        <v>3644</v>
      </c>
      <c r="D154" s="1114">
        <v>874</v>
      </c>
      <c r="E154" s="1189">
        <f>'Operating Report'!F65</f>
        <v>3251427.07</v>
      </c>
      <c r="F154" s="1189">
        <f>'Operating Report'!H65</f>
        <v>0</v>
      </c>
      <c r="G154" s="1189">
        <f>'Operating Report'!I65</f>
        <v>0</v>
      </c>
      <c r="H154" s="1189">
        <f>'Operating Report'!J65</f>
        <v>0</v>
      </c>
      <c r="I154" s="1189">
        <f>'Operating Report'!K65</f>
        <v>0</v>
      </c>
      <c r="J154" s="1189">
        <f>'Operating Report'!L65</f>
        <v>0</v>
      </c>
      <c r="K154" s="1189">
        <f>'Operating Report'!M65</f>
        <v>13931.5461</v>
      </c>
      <c r="L154" s="1189">
        <f>'Operating Report'!N65</f>
        <v>-9449.89</v>
      </c>
      <c r="M154" s="1189">
        <f>'Operating Report'!O65</f>
        <v>0</v>
      </c>
      <c r="N154" s="1189">
        <f>'Operating Report'!P65</f>
        <v>0</v>
      </c>
      <c r="O154" s="1189">
        <f>'Operating Report'!Q65</f>
        <v>0</v>
      </c>
      <c r="P154" s="1189">
        <f>'Operating Report'!R65</f>
        <v>0</v>
      </c>
      <c r="Q154" s="1189">
        <f t="shared" ref="Q154:Q172" si="18">SUM(F154:P154)</f>
        <v>4481.6561000000002</v>
      </c>
      <c r="R154" s="1189">
        <f>'Operating Report'!T65</f>
        <v>0</v>
      </c>
      <c r="S154" s="1189">
        <f>'Operating Report'!U65</f>
        <v>115081.82205100001</v>
      </c>
      <c r="T154" s="1189">
        <f>'Operating Report'!V65</f>
        <v>0</v>
      </c>
      <c r="U154" s="1189">
        <f>'Operating Report'!W65</f>
        <v>0</v>
      </c>
      <c r="V154" s="1189">
        <f>'Operating Report'!X65</f>
        <v>0</v>
      </c>
      <c r="W154" s="1189">
        <f>'Operating Report'!Y65</f>
        <v>0</v>
      </c>
      <c r="X154" s="1189">
        <f>'Operating Report'!Z65</f>
        <v>0</v>
      </c>
      <c r="Y154" s="1189">
        <f>'Operating Report'!AA65</f>
        <v>0</v>
      </c>
      <c r="Z154" s="1189">
        <f>'Operating Report'!AB65</f>
        <v>14528.668431905906</v>
      </c>
      <c r="AA154" s="1192">
        <f t="shared" ref="AA154:AA161" si="19">SUM(R154:Z154)</f>
        <v>129610.49048290591</v>
      </c>
      <c r="AB154" s="1192">
        <f t="shared" ref="AB154:AB161" si="20">Q154+AA154</f>
        <v>134092.1465829059</v>
      </c>
      <c r="AC154" s="1192">
        <f t="shared" ref="AC154:AC161" si="21">E154+AB154</f>
        <v>3385519.2165829055</v>
      </c>
      <c r="AE154" s="1192">
        <f t="shared" ref="AE154:AE161" si="22">AC154+AD154</f>
        <v>3385519.2165829055</v>
      </c>
    </row>
    <row r="155" spans="1:31" ht="15" customHeight="1" outlineLevel="1">
      <c r="A155" s="1098">
        <v>146</v>
      </c>
      <c r="B155" s="1501"/>
      <c r="C155" s="1107" t="s">
        <v>3645</v>
      </c>
      <c r="D155" s="1114">
        <v>875</v>
      </c>
      <c r="E155" s="1189">
        <f>'Operating Report'!F66</f>
        <v>593850.21</v>
      </c>
      <c r="F155" s="1189">
        <f>'Operating Report'!H66</f>
        <v>0</v>
      </c>
      <c r="G155" s="1189">
        <f>'Operating Report'!I66</f>
        <v>0</v>
      </c>
      <c r="H155" s="1189">
        <f>'Operating Report'!J66</f>
        <v>0</v>
      </c>
      <c r="I155" s="1189">
        <f>'Operating Report'!K66</f>
        <v>0</v>
      </c>
      <c r="J155" s="1189">
        <f>'Operating Report'!L66</f>
        <v>0</v>
      </c>
      <c r="K155" s="1189">
        <f>'Operating Report'!M66</f>
        <v>2629.4915999999998</v>
      </c>
      <c r="L155" s="1189">
        <f>'Operating Report'!N66</f>
        <v>-11.42</v>
      </c>
      <c r="M155" s="1189">
        <f>'Operating Report'!O66</f>
        <v>0</v>
      </c>
      <c r="N155" s="1189">
        <f>'Operating Report'!P66</f>
        <v>0</v>
      </c>
      <c r="O155" s="1189">
        <f>'Operating Report'!Q66</f>
        <v>0</v>
      </c>
      <c r="P155" s="1189">
        <f>'Operating Report'!R66</f>
        <v>0</v>
      </c>
      <c r="Q155" s="1189">
        <f t="shared" si="18"/>
        <v>2618.0715999999998</v>
      </c>
      <c r="R155" s="1189">
        <f>'Operating Report'!T66</f>
        <v>0</v>
      </c>
      <c r="S155" s="1189">
        <f>'Operating Report'!U66</f>
        <v>9552.8931020000018</v>
      </c>
      <c r="T155" s="1189">
        <f>'Operating Report'!V66</f>
        <v>0</v>
      </c>
      <c r="U155" s="1189">
        <f>'Operating Report'!W66</f>
        <v>0</v>
      </c>
      <c r="V155" s="1189">
        <f>'Operating Report'!X66</f>
        <v>0</v>
      </c>
      <c r="W155" s="1189">
        <f>'Operating Report'!Y66</f>
        <v>0</v>
      </c>
      <c r="X155" s="1189">
        <f>'Operating Report'!Z66</f>
        <v>0</v>
      </c>
      <c r="Y155" s="1189">
        <f>'Operating Report'!AA66</f>
        <v>0</v>
      </c>
      <c r="Z155" s="1189">
        <f>'Operating Report'!AB66</f>
        <v>6273.9345376615229</v>
      </c>
      <c r="AA155" s="1192">
        <f t="shared" si="19"/>
        <v>15826.827639661526</v>
      </c>
      <c r="AB155" s="1192">
        <f t="shared" si="20"/>
        <v>18444.899239661525</v>
      </c>
      <c r="AC155" s="1192">
        <f t="shared" si="21"/>
        <v>612295.10923966148</v>
      </c>
      <c r="AE155" s="1192">
        <f t="shared" si="22"/>
        <v>612295.10923966148</v>
      </c>
    </row>
    <row r="156" spans="1:31" ht="15" customHeight="1" outlineLevel="1">
      <c r="A156" s="1098">
        <v>147</v>
      </c>
      <c r="B156" s="1501"/>
      <c r="C156" s="1107" t="s">
        <v>3646</v>
      </c>
      <c r="D156" s="1114">
        <v>876</v>
      </c>
      <c r="E156" s="1189">
        <f>'Operating Report'!F67</f>
        <v>601354.73999999987</v>
      </c>
      <c r="F156" s="1189">
        <f>'Operating Report'!H67</f>
        <v>0</v>
      </c>
      <c r="G156" s="1189">
        <f>'Operating Report'!I67</f>
        <v>0</v>
      </c>
      <c r="H156" s="1189">
        <f>'Operating Report'!J67</f>
        <v>0</v>
      </c>
      <c r="I156" s="1189">
        <f>'Operating Report'!K67</f>
        <v>0</v>
      </c>
      <c r="J156" s="1189">
        <f>'Operating Report'!L67</f>
        <v>0</v>
      </c>
      <c r="K156" s="1189">
        <f>'Operating Report'!M67</f>
        <v>2262.2226000000001</v>
      </c>
      <c r="L156" s="1189">
        <f>'Operating Report'!N67</f>
        <v>-39.53</v>
      </c>
      <c r="M156" s="1189">
        <f>'Operating Report'!O67</f>
        <v>0</v>
      </c>
      <c r="N156" s="1189">
        <f>'Operating Report'!P67</f>
        <v>0</v>
      </c>
      <c r="O156" s="1189">
        <f>'Operating Report'!Q67</f>
        <v>0</v>
      </c>
      <c r="P156" s="1189">
        <f>'Operating Report'!R67</f>
        <v>0</v>
      </c>
      <c r="Q156" s="1189">
        <f t="shared" si="18"/>
        <v>2222.6925999999999</v>
      </c>
      <c r="R156" s="1189">
        <f>'Operating Report'!T67</f>
        <v>0</v>
      </c>
      <c r="S156" s="1189">
        <f>'Operating Report'!U67</f>
        <v>18902.325108999998</v>
      </c>
      <c r="T156" s="1189">
        <f>'Operating Report'!V67</f>
        <v>0</v>
      </c>
      <c r="U156" s="1189">
        <f>'Operating Report'!W67</f>
        <v>0</v>
      </c>
      <c r="V156" s="1189">
        <f>'Operating Report'!X67</f>
        <v>0</v>
      </c>
      <c r="W156" s="1189">
        <f>'Operating Report'!Y67</f>
        <v>0</v>
      </c>
      <c r="X156" s="1189">
        <f>'Operating Report'!Z67</f>
        <v>0</v>
      </c>
      <c r="Y156" s="1189">
        <f>'Operating Report'!AA67</f>
        <v>0</v>
      </c>
      <c r="Z156" s="1189">
        <f>'Operating Report'!AB67</f>
        <v>3372.2899251552303</v>
      </c>
      <c r="AA156" s="1192">
        <f t="shared" si="19"/>
        <v>22274.615034155227</v>
      </c>
      <c r="AB156" s="1192">
        <f t="shared" si="20"/>
        <v>24497.307634155226</v>
      </c>
      <c r="AC156" s="1192">
        <f t="shared" si="21"/>
        <v>625852.04763415514</v>
      </c>
      <c r="AE156" s="1192">
        <f t="shared" si="22"/>
        <v>625852.04763415514</v>
      </c>
    </row>
    <row r="157" spans="1:31" ht="15" customHeight="1" outlineLevel="1">
      <c r="A157" s="1098">
        <v>148</v>
      </c>
      <c r="B157" s="1501"/>
      <c r="C157" s="1107" t="s">
        <v>3923</v>
      </c>
      <c r="D157" s="1114">
        <v>877</v>
      </c>
      <c r="E157" s="1189">
        <f>'Operating Report'!F68</f>
        <v>85000.01</v>
      </c>
      <c r="F157" s="1189">
        <f>'Operating Report'!H68</f>
        <v>0</v>
      </c>
      <c r="G157" s="1189">
        <f>'Operating Report'!I68</f>
        <v>0</v>
      </c>
      <c r="H157" s="1189">
        <f>'Operating Report'!J68</f>
        <v>0</v>
      </c>
      <c r="I157" s="1189">
        <f>'Operating Report'!K68</f>
        <v>0</v>
      </c>
      <c r="J157" s="1189">
        <f>'Operating Report'!L68</f>
        <v>0</v>
      </c>
      <c r="K157" s="1189">
        <f>'Operating Report'!M68</f>
        <v>130.63650000000001</v>
      </c>
      <c r="L157" s="1189">
        <f>'Operating Report'!N68</f>
        <v>-9.91</v>
      </c>
      <c r="M157" s="1189">
        <f>'Operating Report'!O68</f>
        <v>0</v>
      </c>
      <c r="N157" s="1189">
        <f>'Operating Report'!P68</f>
        <v>0</v>
      </c>
      <c r="O157" s="1189">
        <f>'Operating Report'!Q68</f>
        <v>0</v>
      </c>
      <c r="P157" s="1189">
        <f>'Operating Report'!R68</f>
        <v>0</v>
      </c>
      <c r="Q157" s="1189">
        <f t="shared" si="18"/>
        <v>120.72650000000002</v>
      </c>
      <c r="R157" s="1189">
        <f>'Operating Report'!T68</f>
        <v>0</v>
      </c>
      <c r="S157" s="1189">
        <f>'Operating Report'!U68</f>
        <v>1960.5691049999998</v>
      </c>
      <c r="T157" s="1189">
        <f>'Operating Report'!V68</f>
        <v>0</v>
      </c>
      <c r="U157" s="1189">
        <f>'Operating Report'!W68</f>
        <v>0</v>
      </c>
      <c r="V157" s="1189">
        <f>'Operating Report'!X68</f>
        <v>0</v>
      </c>
      <c r="W157" s="1189">
        <f>'Operating Report'!Y68</f>
        <v>0</v>
      </c>
      <c r="X157" s="1189">
        <f>'Operating Report'!Z68</f>
        <v>0</v>
      </c>
      <c r="Y157" s="1189">
        <f>'Operating Report'!AA68</f>
        <v>0</v>
      </c>
      <c r="Z157" s="1189">
        <f>'Operating Report'!AB68</f>
        <v>668.09869053253249</v>
      </c>
      <c r="AA157" s="1192">
        <f t="shared" si="19"/>
        <v>2628.6677955325322</v>
      </c>
      <c r="AB157" s="1192">
        <f t="shared" si="20"/>
        <v>2749.3942955325324</v>
      </c>
      <c r="AC157" s="1192">
        <f t="shared" si="21"/>
        <v>87749.404295532528</v>
      </c>
      <c r="AE157" s="1192">
        <f t="shared" si="22"/>
        <v>87749.404295532528</v>
      </c>
    </row>
    <row r="158" spans="1:31" ht="15" customHeight="1" outlineLevel="1">
      <c r="A158" s="1098">
        <v>149</v>
      </c>
      <c r="B158" s="1501"/>
      <c r="C158" s="1107" t="s">
        <v>3647</v>
      </c>
      <c r="D158" s="1114">
        <v>878</v>
      </c>
      <c r="E158" s="1189">
        <f>'Operating Report'!F69</f>
        <v>-218316.13</v>
      </c>
      <c r="F158" s="1189">
        <f>'Operating Report'!H69</f>
        <v>0</v>
      </c>
      <c r="G158" s="1189">
        <f>'Operating Report'!I69</f>
        <v>0</v>
      </c>
      <c r="H158" s="1189">
        <f>'Operating Report'!J69</f>
        <v>0</v>
      </c>
      <c r="I158" s="1189">
        <f>'Operating Report'!K69</f>
        <v>0</v>
      </c>
      <c r="J158" s="1189">
        <f>'Operating Report'!L69</f>
        <v>0</v>
      </c>
      <c r="K158" s="1189">
        <f>'Operating Report'!M69</f>
        <v>5380.4507999999996</v>
      </c>
      <c r="L158" s="1189">
        <f>'Operating Report'!N69</f>
        <v>0</v>
      </c>
      <c r="M158" s="1189">
        <f>'Operating Report'!O69</f>
        <v>0</v>
      </c>
      <c r="N158" s="1189">
        <f>'Operating Report'!P69</f>
        <v>0</v>
      </c>
      <c r="O158" s="1189">
        <f>'Operating Report'!Q69</f>
        <v>0</v>
      </c>
      <c r="P158" s="1189">
        <f>'Operating Report'!R69</f>
        <v>0</v>
      </c>
      <c r="Q158" s="1189">
        <f t="shared" si="18"/>
        <v>5380.4507999999996</v>
      </c>
      <c r="R158" s="1189">
        <f>'Operating Report'!T69</f>
        <v>0</v>
      </c>
      <c r="S158" s="1189">
        <f>'Operating Report'!U69</f>
        <v>40166.786040000006</v>
      </c>
      <c r="T158" s="1189">
        <f>'Operating Report'!V69</f>
        <v>0</v>
      </c>
      <c r="U158" s="1189">
        <f>'Operating Report'!W69</f>
        <v>0</v>
      </c>
      <c r="V158" s="1189">
        <f>'Operating Report'!X69</f>
        <v>0</v>
      </c>
      <c r="W158" s="1189">
        <f>'Operating Report'!Y69</f>
        <v>0</v>
      </c>
      <c r="X158" s="1189">
        <f>'Operating Report'!Z69</f>
        <v>0</v>
      </c>
      <c r="Y158" s="1189">
        <f>'Operating Report'!AA69</f>
        <v>0</v>
      </c>
      <c r="Z158" s="1189">
        <f>'Operating Report'!AB69</f>
        <v>-15549.510617452333</v>
      </c>
      <c r="AA158" s="1192">
        <f t="shared" si="19"/>
        <v>24617.275422547675</v>
      </c>
      <c r="AB158" s="1192">
        <f t="shared" si="20"/>
        <v>29997.726222547673</v>
      </c>
      <c r="AC158" s="1192">
        <f t="shared" si="21"/>
        <v>-188318.40377745233</v>
      </c>
      <c r="AE158" s="1192">
        <f t="shared" si="22"/>
        <v>-188318.40377745233</v>
      </c>
    </row>
    <row r="159" spans="1:31" ht="15" customHeight="1" outlineLevel="1">
      <c r="A159" s="1098">
        <v>150</v>
      </c>
      <c r="B159" s="1501"/>
      <c r="C159" s="1107" t="s">
        <v>3648</v>
      </c>
      <c r="D159" s="1114">
        <v>879</v>
      </c>
      <c r="E159" s="1189">
        <f>'Operating Report'!F70</f>
        <v>392583.16</v>
      </c>
      <c r="F159" s="1189">
        <f>'Operating Report'!H70</f>
        <v>0</v>
      </c>
      <c r="G159" s="1189">
        <f>'Operating Report'!I70</f>
        <v>0</v>
      </c>
      <c r="H159" s="1189">
        <f>'Operating Report'!J70</f>
        <v>0</v>
      </c>
      <c r="I159" s="1189">
        <f>'Operating Report'!K70</f>
        <v>0</v>
      </c>
      <c r="J159" s="1189">
        <f>'Operating Report'!L70</f>
        <v>0</v>
      </c>
      <c r="K159" s="1189">
        <f>'Operating Report'!M70</f>
        <v>2903.7359999999999</v>
      </c>
      <c r="L159" s="1189">
        <f>'Operating Report'!N70</f>
        <v>0</v>
      </c>
      <c r="M159" s="1189">
        <f>'Operating Report'!O70</f>
        <v>0</v>
      </c>
      <c r="N159" s="1189">
        <f>'Operating Report'!P70</f>
        <v>0</v>
      </c>
      <c r="O159" s="1189">
        <f>'Operating Report'!Q70</f>
        <v>0</v>
      </c>
      <c r="P159" s="1189">
        <f>'Operating Report'!R70</f>
        <v>0</v>
      </c>
      <c r="Q159" s="1189">
        <f t="shared" si="18"/>
        <v>2903.7359999999999</v>
      </c>
      <c r="R159" s="1189">
        <f>'Operating Report'!T70</f>
        <v>0</v>
      </c>
      <c r="S159" s="1189">
        <f>'Operating Report'!U70</f>
        <v>18878.549800000001</v>
      </c>
      <c r="T159" s="1189">
        <f>'Operating Report'!V70</f>
        <v>0</v>
      </c>
      <c r="U159" s="1189">
        <f>'Operating Report'!W70</f>
        <v>0</v>
      </c>
      <c r="V159" s="1189">
        <f>'Operating Report'!X70</f>
        <v>0</v>
      </c>
      <c r="W159" s="1189">
        <f>'Operating Report'!Y70</f>
        <v>0</v>
      </c>
      <c r="X159" s="1189">
        <f>'Operating Report'!Z70</f>
        <v>0</v>
      </c>
      <c r="Y159" s="1189">
        <f>'Operating Report'!AA70</f>
        <v>0</v>
      </c>
      <c r="Z159" s="1189">
        <f>'Operating Report'!AB70</f>
        <v>519.81816664413202</v>
      </c>
      <c r="AA159" s="1192">
        <f t="shared" si="19"/>
        <v>19398.367966644131</v>
      </c>
      <c r="AB159" s="1192">
        <f t="shared" si="20"/>
        <v>22302.103966644132</v>
      </c>
      <c r="AC159" s="1192">
        <f t="shared" si="21"/>
        <v>414885.26396664412</v>
      </c>
      <c r="AE159" s="1192">
        <f t="shared" si="22"/>
        <v>414885.26396664412</v>
      </c>
    </row>
    <row r="160" spans="1:31" ht="15" customHeight="1" outlineLevel="1">
      <c r="A160" s="1098">
        <v>151</v>
      </c>
      <c r="B160" s="1501"/>
      <c r="C160" s="1107" t="s">
        <v>3649</v>
      </c>
      <c r="D160" s="1114">
        <v>880</v>
      </c>
      <c r="E160" s="1189">
        <f>'Operating Report'!F71</f>
        <v>5459121.4300000006</v>
      </c>
      <c r="F160" s="1189">
        <f>'Operating Report'!H71</f>
        <v>0</v>
      </c>
      <c r="G160" s="1189">
        <f>'Operating Report'!I71</f>
        <v>0</v>
      </c>
      <c r="H160" s="1189">
        <f>'Operating Report'!J71</f>
        <v>0</v>
      </c>
      <c r="I160" s="1189">
        <f>'Operating Report'!K71</f>
        <v>0</v>
      </c>
      <c r="J160" s="1189">
        <f>'Operating Report'!L71</f>
        <v>0</v>
      </c>
      <c r="K160" s="1189">
        <f>'Operating Report'!M71</f>
        <v>29086.159199999998</v>
      </c>
      <c r="L160" s="1189">
        <f>'Operating Report'!N71</f>
        <v>-44121.27</v>
      </c>
      <c r="M160" s="1189">
        <f>'Operating Report'!O71</f>
        <v>0</v>
      </c>
      <c r="N160" s="1189">
        <f>'Operating Report'!P71</f>
        <v>0</v>
      </c>
      <c r="O160" s="1189">
        <f>'Operating Report'!Q71</f>
        <v>0</v>
      </c>
      <c r="P160" s="1189">
        <f>'Operating Report'!R71</f>
        <v>0</v>
      </c>
      <c r="Q160" s="1189">
        <f t="shared" si="18"/>
        <v>-15035.110799999999</v>
      </c>
      <c r="R160" s="1189">
        <f>'Operating Report'!T71</f>
        <v>0</v>
      </c>
      <c r="S160" s="1189">
        <f>'Operating Report'!U71</f>
        <v>188184.07516000001</v>
      </c>
      <c r="T160" s="1189">
        <f>'Operating Report'!V71</f>
        <v>0</v>
      </c>
      <c r="U160" s="1189">
        <f>'Operating Report'!W71</f>
        <v>0</v>
      </c>
      <c r="V160" s="1189">
        <f>'Operating Report'!X71</f>
        <v>0</v>
      </c>
      <c r="W160" s="1189">
        <f>'Operating Report'!Y71</f>
        <v>0</v>
      </c>
      <c r="X160" s="1189">
        <f>'Operating Report'!Z71</f>
        <v>0</v>
      </c>
      <c r="Y160" s="1189">
        <f>'Operating Report'!AA71</f>
        <v>0</v>
      </c>
      <c r="Z160" s="1189">
        <f>'Operating Report'!AB71</f>
        <v>27294.855409577787</v>
      </c>
      <c r="AA160" s="1192">
        <f t="shared" si="19"/>
        <v>215478.93056957779</v>
      </c>
      <c r="AB160" s="1192">
        <f t="shared" si="20"/>
        <v>200443.81976957779</v>
      </c>
      <c r="AC160" s="1192">
        <f t="shared" si="21"/>
        <v>5659565.2497695787</v>
      </c>
      <c r="AE160" s="1192">
        <f t="shared" si="22"/>
        <v>5659565.2497695787</v>
      </c>
    </row>
    <row r="161" spans="1:31" ht="15" customHeight="1" outlineLevel="1">
      <c r="A161" s="1098">
        <v>152</v>
      </c>
      <c r="B161" s="1501"/>
      <c r="C161" s="1107" t="s">
        <v>855</v>
      </c>
      <c r="D161" s="1114">
        <v>881</v>
      </c>
      <c r="E161" s="1189">
        <f>'Operating Report'!F72</f>
        <v>216918.48</v>
      </c>
      <c r="F161" s="1189">
        <f>'Operating Report'!H72</f>
        <v>0</v>
      </c>
      <c r="G161" s="1189">
        <f>'Operating Report'!I72</f>
        <v>0</v>
      </c>
      <c r="H161" s="1189">
        <f>'Operating Report'!J72</f>
        <v>0</v>
      </c>
      <c r="I161" s="1189">
        <f>'Operating Report'!K72</f>
        <v>0</v>
      </c>
      <c r="J161" s="1189">
        <f>'Operating Report'!L72</f>
        <v>0</v>
      </c>
      <c r="K161" s="1189">
        <f>'Operating Report'!M72</f>
        <v>0</v>
      </c>
      <c r="L161" s="1189">
        <f>'Operating Report'!N72</f>
        <v>0</v>
      </c>
      <c r="M161" s="1189">
        <f>'Operating Report'!O72</f>
        <v>0</v>
      </c>
      <c r="N161" s="1189">
        <f>'Operating Report'!P72</f>
        <v>0</v>
      </c>
      <c r="O161" s="1189">
        <f>'Operating Report'!Q72</f>
        <v>0</v>
      </c>
      <c r="P161" s="1189">
        <f>'Operating Report'!R72</f>
        <v>0</v>
      </c>
      <c r="Q161" s="1189">
        <f t="shared" si="18"/>
        <v>0</v>
      </c>
      <c r="R161" s="1189">
        <f>'Operating Report'!T72</f>
        <v>0</v>
      </c>
      <c r="S161" s="1189">
        <f>'Operating Report'!U72</f>
        <v>0</v>
      </c>
      <c r="T161" s="1189">
        <f>'Operating Report'!V72</f>
        <v>0</v>
      </c>
      <c r="U161" s="1189">
        <f>'Operating Report'!W72</f>
        <v>0</v>
      </c>
      <c r="V161" s="1189">
        <f>'Operating Report'!X72</f>
        <v>0</v>
      </c>
      <c r="W161" s="1189">
        <f>'Operating Report'!Y72</f>
        <v>0</v>
      </c>
      <c r="X161" s="1189">
        <f>'Operating Report'!Z72</f>
        <v>0</v>
      </c>
      <c r="Y161" s="1189">
        <f>'Operating Report'!AA72</f>
        <v>0</v>
      </c>
      <c r="Z161" s="1189">
        <f>'Operating Report'!AB72</f>
        <v>3299.0742074041755</v>
      </c>
      <c r="AA161" s="1192">
        <f t="shared" si="19"/>
        <v>3299.0742074041755</v>
      </c>
      <c r="AB161" s="1192">
        <f t="shared" si="20"/>
        <v>3299.0742074041755</v>
      </c>
      <c r="AC161" s="1192">
        <f t="shared" si="21"/>
        <v>220217.55420740417</v>
      </c>
      <c r="AE161" s="1192">
        <f t="shared" si="22"/>
        <v>220217.55420740417</v>
      </c>
    </row>
    <row r="162" spans="1:31" ht="15" customHeight="1">
      <c r="A162" s="1098">
        <v>153</v>
      </c>
      <c r="B162" s="1501"/>
      <c r="C162" s="1503" t="s">
        <v>3924</v>
      </c>
      <c r="D162" s="1504"/>
      <c r="E162" s="1189">
        <f>SUM(E151:E161)</f>
        <v>10685706.810000001</v>
      </c>
      <c r="F162" s="1189">
        <f t="shared" ref="F162:AE162" si="23">SUM(F151:F161)</f>
        <v>0</v>
      </c>
      <c r="G162" s="1189">
        <f t="shared" si="23"/>
        <v>0</v>
      </c>
      <c r="H162" s="1189">
        <f t="shared" si="23"/>
        <v>0</v>
      </c>
      <c r="I162" s="1189">
        <f t="shared" si="23"/>
        <v>0</v>
      </c>
      <c r="J162" s="1189">
        <f t="shared" si="23"/>
        <v>0</v>
      </c>
      <c r="K162" s="1189">
        <f t="shared" si="23"/>
        <v>56598.262199999997</v>
      </c>
      <c r="L162" s="1189">
        <f t="shared" si="23"/>
        <v>-74716.649999999994</v>
      </c>
      <c r="M162" s="1189">
        <f t="shared" si="23"/>
        <v>0</v>
      </c>
      <c r="N162" s="1189">
        <f t="shared" si="23"/>
        <v>0</v>
      </c>
      <c r="O162" s="1189">
        <f t="shared" si="23"/>
        <v>0</v>
      </c>
      <c r="P162" s="1189">
        <f t="shared" si="23"/>
        <v>0</v>
      </c>
      <c r="Q162" s="1189">
        <f t="shared" si="23"/>
        <v>-18118.387799999997</v>
      </c>
      <c r="R162" s="1189">
        <f t="shared" si="23"/>
        <v>0</v>
      </c>
      <c r="S162" s="1189">
        <f t="shared" si="23"/>
        <v>407141.69960100006</v>
      </c>
      <c r="T162" s="1189">
        <f t="shared" si="23"/>
        <v>0</v>
      </c>
      <c r="U162" s="1189">
        <f t="shared" si="23"/>
        <v>0</v>
      </c>
      <c r="V162" s="1189">
        <f t="shared" si="23"/>
        <v>0</v>
      </c>
      <c r="W162" s="1189">
        <f t="shared" si="23"/>
        <v>0</v>
      </c>
      <c r="X162" s="1189">
        <f t="shared" si="23"/>
        <v>0</v>
      </c>
      <c r="Y162" s="1189">
        <f t="shared" si="23"/>
        <v>0</v>
      </c>
      <c r="Z162" s="1189">
        <f t="shared" si="23"/>
        <v>40915.37506093242</v>
      </c>
      <c r="AA162" s="1189">
        <f t="shared" si="23"/>
        <v>448057.07466193242</v>
      </c>
      <c r="AB162" s="1189">
        <f t="shared" si="23"/>
        <v>429938.68686193239</v>
      </c>
      <c r="AC162" s="1189">
        <f t="shared" si="23"/>
        <v>11115645.496861935</v>
      </c>
      <c r="AD162" s="1189">
        <f t="shared" si="23"/>
        <v>0</v>
      </c>
      <c r="AE162" s="1189">
        <f t="shared" si="23"/>
        <v>11115645.496861935</v>
      </c>
    </row>
    <row r="163" spans="1:31" ht="15" customHeight="1" outlineLevel="1">
      <c r="A163" s="1098">
        <v>154</v>
      </c>
      <c r="B163" s="1501"/>
      <c r="C163" s="1107" t="s">
        <v>3656</v>
      </c>
      <c r="D163" s="1114">
        <v>885</v>
      </c>
      <c r="E163" s="1189">
        <f>'Operating Report'!F77</f>
        <v>1154263.98</v>
      </c>
      <c r="F163" s="1189">
        <f>'Operating Report'!H77</f>
        <v>0</v>
      </c>
      <c r="G163" s="1189">
        <f>'Operating Report'!I77</f>
        <v>0</v>
      </c>
      <c r="H163" s="1189">
        <f>'Operating Report'!J77</f>
        <v>0</v>
      </c>
      <c r="I163" s="1189">
        <f>'Operating Report'!K77</f>
        <v>0</v>
      </c>
      <c r="J163" s="1189">
        <f>'Operating Report'!L77</f>
        <v>0</v>
      </c>
      <c r="K163" s="1189">
        <f>'Operating Report'!M77</f>
        <v>0</v>
      </c>
      <c r="L163" s="1189">
        <f>'Operating Report'!N77</f>
        <v>-91083.1</v>
      </c>
      <c r="M163" s="1189">
        <f>'Operating Report'!O77</f>
        <v>0</v>
      </c>
      <c r="N163" s="1189">
        <f>'Operating Report'!P77</f>
        <v>0</v>
      </c>
      <c r="O163" s="1189">
        <f>'Operating Report'!Q77</f>
        <v>0</v>
      </c>
      <c r="P163" s="1189">
        <f>'Operating Report'!R77</f>
        <v>0</v>
      </c>
      <c r="Q163" s="1189">
        <f t="shared" si="18"/>
        <v>-91083.1</v>
      </c>
      <c r="R163" s="1189">
        <f>'Operating Report'!T77</f>
        <v>0</v>
      </c>
      <c r="S163" s="1189">
        <f>'Operating Report'!U77</f>
        <v>58677.235556</v>
      </c>
      <c r="T163" s="1189">
        <f>'Operating Report'!V77</f>
        <v>0</v>
      </c>
      <c r="U163" s="1189">
        <f>'Operating Report'!W77</f>
        <v>0</v>
      </c>
      <c r="V163" s="1189">
        <f>'Operating Report'!X77</f>
        <v>0</v>
      </c>
      <c r="W163" s="1189">
        <f>'Operating Report'!Y77</f>
        <v>0</v>
      </c>
      <c r="X163" s="1189">
        <f>'Operating Report'!Z77</f>
        <v>0</v>
      </c>
      <c r="Y163" s="1189">
        <f>'Operating Report'!AA77</f>
        <v>0</v>
      </c>
      <c r="Z163" s="1189">
        <f>'Operating Report'!AB77</f>
        <v>851.9369802907969</v>
      </c>
      <c r="AA163" s="1192">
        <f t="shared" ref="AA163:AA172" si="24">SUM(R163:Z163)</f>
        <v>59529.172536290796</v>
      </c>
      <c r="AB163" s="1192">
        <f t="shared" ref="AB163:AB172" si="25">Q163+AA163</f>
        <v>-31553.927463709209</v>
      </c>
      <c r="AC163" s="1192">
        <f t="shared" ref="AC163:AC172" si="26">E163+AB163</f>
        <v>1122710.0525362908</v>
      </c>
      <c r="AE163" s="1192">
        <f t="shared" ref="AE163:AE172" si="27">AC163+AD163</f>
        <v>1122710.0525362908</v>
      </c>
    </row>
    <row r="164" spans="1:31" ht="15" customHeight="1" outlineLevel="1">
      <c r="A164" s="1098">
        <v>155</v>
      </c>
      <c r="B164" s="1501"/>
      <c r="C164" s="1107" t="s">
        <v>3627</v>
      </c>
      <c r="D164" s="1114">
        <v>886</v>
      </c>
      <c r="E164" s="1189">
        <f>'Operating Report'!F78</f>
        <v>5181.9700000000012</v>
      </c>
      <c r="F164" s="1189">
        <f>'Operating Report'!H78</f>
        <v>0</v>
      </c>
      <c r="G164" s="1189">
        <f>'Operating Report'!I78</f>
        <v>0</v>
      </c>
      <c r="H164" s="1189">
        <f>'Operating Report'!J78</f>
        <v>0</v>
      </c>
      <c r="I164" s="1189">
        <f>'Operating Report'!K78</f>
        <v>0</v>
      </c>
      <c r="J164" s="1189">
        <f>'Operating Report'!L78</f>
        <v>0</v>
      </c>
      <c r="K164" s="1189">
        <f>'Operating Report'!M78</f>
        <v>0</v>
      </c>
      <c r="L164" s="1189">
        <f>'Operating Report'!N78</f>
        <v>0</v>
      </c>
      <c r="M164" s="1189">
        <f>'Operating Report'!O78</f>
        <v>0</v>
      </c>
      <c r="N164" s="1189">
        <f>'Operating Report'!P78</f>
        <v>0</v>
      </c>
      <c r="O164" s="1189">
        <f>'Operating Report'!Q78</f>
        <v>0</v>
      </c>
      <c r="P164" s="1189">
        <f>'Operating Report'!R78</f>
        <v>0</v>
      </c>
      <c r="Q164" s="1189">
        <f t="shared" si="18"/>
        <v>0</v>
      </c>
      <c r="R164" s="1189">
        <f>'Operating Report'!T78</f>
        <v>0</v>
      </c>
      <c r="S164" s="1189">
        <f>'Operating Report'!U78</f>
        <v>0</v>
      </c>
      <c r="T164" s="1189">
        <f>'Operating Report'!V78</f>
        <v>0</v>
      </c>
      <c r="U164" s="1189">
        <f>'Operating Report'!W78</f>
        <v>0</v>
      </c>
      <c r="V164" s="1189">
        <f>'Operating Report'!X78</f>
        <v>0</v>
      </c>
      <c r="W164" s="1189">
        <f>'Operating Report'!Y78</f>
        <v>0</v>
      </c>
      <c r="X164" s="1189">
        <f>'Operating Report'!Z78</f>
        <v>0</v>
      </c>
      <c r="Y164" s="1189">
        <f>'Operating Report'!AA78</f>
        <v>0</v>
      </c>
      <c r="Z164" s="1189">
        <f>'Operating Report'!AB78</f>
        <v>78.811651135220103</v>
      </c>
      <c r="AA164" s="1192">
        <f t="shared" si="24"/>
        <v>78.811651135220103</v>
      </c>
      <c r="AB164" s="1192">
        <f t="shared" si="25"/>
        <v>78.811651135220103</v>
      </c>
      <c r="AC164" s="1192">
        <f t="shared" si="26"/>
        <v>5260.7816511352212</v>
      </c>
      <c r="AE164" s="1192">
        <f t="shared" si="27"/>
        <v>5260.7816511352212</v>
      </c>
    </row>
    <row r="165" spans="1:31" ht="15" customHeight="1" outlineLevel="1">
      <c r="A165" s="1098">
        <v>156</v>
      </c>
      <c r="B165" s="1501"/>
      <c r="C165" s="1107" t="s">
        <v>3639</v>
      </c>
      <c r="D165" s="1114">
        <v>887</v>
      </c>
      <c r="E165" s="1189">
        <f>'Operating Report'!F79</f>
        <v>2746004.21</v>
      </c>
      <c r="F165" s="1189">
        <f>'Operating Report'!H79</f>
        <v>0</v>
      </c>
      <c r="G165" s="1189">
        <f>'Operating Report'!I79</f>
        <v>0</v>
      </c>
      <c r="H165" s="1189">
        <f>'Operating Report'!J79</f>
        <v>0</v>
      </c>
      <c r="I165" s="1189">
        <f>'Operating Report'!K79</f>
        <v>0</v>
      </c>
      <c r="J165" s="1189">
        <f>'Operating Report'!L79</f>
        <v>0</v>
      </c>
      <c r="K165" s="1189">
        <f>'Operating Report'!M79</f>
        <v>3180.4049999999997</v>
      </c>
      <c r="L165" s="1189">
        <f>'Operating Report'!N79</f>
        <v>-3142.84</v>
      </c>
      <c r="M165" s="1189">
        <f>'Operating Report'!O79</f>
        <v>0</v>
      </c>
      <c r="N165" s="1189">
        <f>'Operating Report'!P79</f>
        <v>0</v>
      </c>
      <c r="O165" s="1189">
        <f>'Operating Report'!Q79</f>
        <v>0</v>
      </c>
      <c r="P165" s="1189">
        <f>'Operating Report'!R79</f>
        <v>0</v>
      </c>
      <c r="Q165" s="1189">
        <f t="shared" si="18"/>
        <v>37.5649999999996</v>
      </c>
      <c r="R165" s="1189">
        <f>'Operating Report'!T79</f>
        <v>0</v>
      </c>
      <c r="S165" s="1189">
        <f>'Operating Report'!U79</f>
        <v>32045.795631000001</v>
      </c>
      <c r="T165" s="1189">
        <f>'Operating Report'!V79</f>
        <v>2018196.3840000001</v>
      </c>
      <c r="U165" s="1189">
        <f>'Operating Report'!W79</f>
        <v>0</v>
      </c>
      <c r="V165" s="1189">
        <f>'Operating Report'!X79</f>
        <v>0</v>
      </c>
      <c r="W165" s="1189">
        <f>'Operating Report'!Y79</f>
        <v>0</v>
      </c>
      <c r="X165" s="1189">
        <f>'Operating Report'!Z79</f>
        <v>0</v>
      </c>
      <c r="Y165" s="1189">
        <f>'Operating Report'!AA79</f>
        <v>0</v>
      </c>
      <c r="Z165" s="1189">
        <f>'Operating Report'!AB79</f>
        <v>13576.605931415503</v>
      </c>
      <c r="AA165" s="1192">
        <f t="shared" si="24"/>
        <v>2063818.7855624156</v>
      </c>
      <c r="AB165" s="1192">
        <f t="shared" si="25"/>
        <v>2063856.3505624156</v>
      </c>
      <c r="AC165" s="1192">
        <f t="shared" si="26"/>
        <v>4809860.560562415</v>
      </c>
      <c r="AE165" s="1192">
        <f t="shared" si="27"/>
        <v>4809860.560562415</v>
      </c>
    </row>
    <row r="166" spans="1:31" ht="15" customHeight="1" outlineLevel="1">
      <c r="A166" s="1098">
        <v>157</v>
      </c>
      <c r="B166" s="1501"/>
      <c r="C166" s="1107" t="s">
        <v>3906</v>
      </c>
      <c r="D166" s="1114">
        <v>888</v>
      </c>
      <c r="E166" s="1189">
        <f>'Operating Report'!F80</f>
        <v>474768.2</v>
      </c>
      <c r="F166" s="1189">
        <f>'Operating Report'!H80</f>
        <v>0</v>
      </c>
      <c r="G166" s="1189">
        <f>'Operating Report'!I80</f>
        <v>0</v>
      </c>
      <c r="H166" s="1189">
        <f>'Operating Report'!J80</f>
        <v>0</v>
      </c>
      <c r="I166" s="1189">
        <f>'Operating Report'!K80</f>
        <v>0</v>
      </c>
      <c r="J166" s="1189">
        <f>'Operating Report'!L80</f>
        <v>0</v>
      </c>
      <c r="K166" s="1189">
        <f>'Operating Report'!M80</f>
        <v>526.32690000000002</v>
      </c>
      <c r="L166" s="1189">
        <f>'Operating Report'!N80</f>
        <v>0</v>
      </c>
      <c r="M166" s="1189">
        <f>'Operating Report'!O80</f>
        <v>0</v>
      </c>
      <c r="N166" s="1189">
        <f>'Operating Report'!P80</f>
        <v>0</v>
      </c>
      <c r="O166" s="1189">
        <f>'Operating Report'!Q80</f>
        <v>0</v>
      </c>
      <c r="P166" s="1189">
        <f>'Operating Report'!R80</f>
        <v>0</v>
      </c>
      <c r="Q166" s="1189">
        <f t="shared" si="18"/>
        <v>526.32690000000002</v>
      </c>
      <c r="R166" s="1189">
        <f>'Operating Report'!T80</f>
        <v>0</v>
      </c>
      <c r="S166" s="1189">
        <f>'Operating Report'!U80</f>
        <v>2756.9968450000001</v>
      </c>
      <c r="T166" s="1189">
        <f>'Operating Report'!V80</f>
        <v>0</v>
      </c>
      <c r="U166" s="1189">
        <f>'Operating Report'!W80</f>
        <v>0</v>
      </c>
      <c r="V166" s="1189">
        <f>'Operating Report'!X80</f>
        <v>0</v>
      </c>
      <c r="W166" s="1189">
        <f>'Operating Report'!Y80</f>
        <v>0</v>
      </c>
      <c r="X166" s="1189">
        <f>'Operating Report'!Z80</f>
        <v>0</v>
      </c>
      <c r="Y166" s="1189">
        <f>'Operating Report'!AA80</f>
        <v>0</v>
      </c>
      <c r="Z166" s="1189">
        <f>'Operating Report'!AB80</f>
        <v>6299.568852385828</v>
      </c>
      <c r="AA166" s="1192">
        <f t="shared" si="24"/>
        <v>9056.5656973858277</v>
      </c>
      <c r="AB166" s="1192">
        <f t="shared" si="25"/>
        <v>9582.8925973858277</v>
      </c>
      <c r="AC166" s="1192">
        <f t="shared" si="26"/>
        <v>484351.09259738587</v>
      </c>
      <c r="AE166" s="1192">
        <f t="shared" si="27"/>
        <v>484351.09259738587</v>
      </c>
    </row>
    <row r="167" spans="1:31" ht="15" customHeight="1" outlineLevel="1">
      <c r="A167" s="1098">
        <v>158</v>
      </c>
      <c r="B167" s="1501"/>
      <c r="C167" s="1107" t="s">
        <v>3657</v>
      </c>
      <c r="D167" s="1114">
        <v>889</v>
      </c>
      <c r="E167" s="1189">
        <f>'Operating Report'!F81</f>
        <v>288648.95</v>
      </c>
      <c r="F167" s="1189">
        <f>'Operating Report'!H81</f>
        <v>0</v>
      </c>
      <c r="G167" s="1189">
        <f>'Operating Report'!I81</f>
        <v>0</v>
      </c>
      <c r="H167" s="1189">
        <f>'Operating Report'!J81</f>
        <v>0</v>
      </c>
      <c r="I167" s="1189">
        <f>'Operating Report'!K81</f>
        <v>0</v>
      </c>
      <c r="J167" s="1189">
        <f>'Operating Report'!L81</f>
        <v>0</v>
      </c>
      <c r="K167" s="1189">
        <f>'Operating Report'!M81</f>
        <v>1130.5292999999999</v>
      </c>
      <c r="L167" s="1189">
        <f>'Operating Report'!N81</f>
        <v>-32.200000000000003</v>
      </c>
      <c r="M167" s="1189">
        <f>'Operating Report'!O81</f>
        <v>0</v>
      </c>
      <c r="N167" s="1189">
        <f>'Operating Report'!P81</f>
        <v>0</v>
      </c>
      <c r="O167" s="1189">
        <f>'Operating Report'!Q81</f>
        <v>0</v>
      </c>
      <c r="P167" s="1189">
        <f>'Operating Report'!R81</f>
        <v>0</v>
      </c>
      <c r="Q167" s="1189">
        <f t="shared" si="18"/>
        <v>1098.3292999999999</v>
      </c>
      <c r="R167" s="1189">
        <f>'Operating Report'!T81</f>
        <v>0</v>
      </c>
      <c r="S167" s="1189">
        <f>'Operating Report'!U81</f>
        <v>8263.8605000000007</v>
      </c>
      <c r="T167" s="1189">
        <f>'Operating Report'!V81</f>
        <v>0</v>
      </c>
      <c r="U167" s="1189">
        <f>'Operating Report'!W81</f>
        <v>0</v>
      </c>
      <c r="V167" s="1189">
        <f>'Operating Report'!X81</f>
        <v>0</v>
      </c>
      <c r="W167" s="1189">
        <f>'Operating Report'!Y81</f>
        <v>0</v>
      </c>
      <c r="X167" s="1189">
        <f>'Operating Report'!Z81</f>
        <v>0</v>
      </c>
      <c r="Y167" s="1189">
        <f>'Operating Report'!AA81</f>
        <v>0</v>
      </c>
      <c r="Z167" s="1189">
        <f>'Operating Report'!AB81</f>
        <v>1902.6664751028545</v>
      </c>
      <c r="AA167" s="1192">
        <f t="shared" si="24"/>
        <v>10166.526975102855</v>
      </c>
      <c r="AB167" s="1192">
        <f t="shared" si="25"/>
        <v>11264.856275102855</v>
      </c>
      <c r="AC167" s="1192">
        <f t="shared" si="26"/>
        <v>299913.80627510289</v>
      </c>
      <c r="AE167" s="1192">
        <f t="shared" si="27"/>
        <v>299913.80627510289</v>
      </c>
    </row>
    <row r="168" spans="1:31" ht="15" customHeight="1" outlineLevel="1">
      <c r="A168" s="1098">
        <v>159</v>
      </c>
      <c r="B168" s="1501"/>
      <c r="C168" s="1107" t="s">
        <v>3658</v>
      </c>
      <c r="D168" s="1114">
        <v>890</v>
      </c>
      <c r="E168" s="1189">
        <f>'Operating Report'!F82</f>
        <v>356838.82</v>
      </c>
      <c r="F168" s="1189">
        <f>'Operating Report'!H82</f>
        <v>0</v>
      </c>
      <c r="G168" s="1189">
        <f>'Operating Report'!I82</f>
        <v>0</v>
      </c>
      <c r="H168" s="1189">
        <f>'Operating Report'!J82</f>
        <v>0</v>
      </c>
      <c r="I168" s="1189">
        <f>'Operating Report'!K82</f>
        <v>0</v>
      </c>
      <c r="J168" s="1189">
        <f>'Operating Report'!L82</f>
        <v>0</v>
      </c>
      <c r="K168" s="1189">
        <f>'Operating Report'!M82</f>
        <v>727.04279999999994</v>
      </c>
      <c r="L168" s="1189">
        <f>'Operating Report'!N82</f>
        <v>0</v>
      </c>
      <c r="M168" s="1189">
        <f>'Operating Report'!O82</f>
        <v>0</v>
      </c>
      <c r="N168" s="1189">
        <f>'Operating Report'!P82</f>
        <v>0</v>
      </c>
      <c r="O168" s="1189">
        <f>'Operating Report'!Q82</f>
        <v>0</v>
      </c>
      <c r="P168" s="1189">
        <f>'Operating Report'!R82</f>
        <v>0</v>
      </c>
      <c r="Q168" s="1189">
        <f t="shared" si="18"/>
        <v>727.04279999999994</v>
      </c>
      <c r="R168" s="1189">
        <f>'Operating Report'!T82</f>
        <v>0</v>
      </c>
      <c r="S168" s="1189">
        <f>'Operating Report'!U82</f>
        <v>11139.274140000001</v>
      </c>
      <c r="T168" s="1189">
        <f>'Operating Report'!V82</f>
        <v>0</v>
      </c>
      <c r="U168" s="1189">
        <f>'Operating Report'!W82</f>
        <v>0</v>
      </c>
      <c r="V168" s="1189">
        <f>'Operating Report'!X82</f>
        <v>0</v>
      </c>
      <c r="W168" s="1189">
        <f>'Operating Report'!Y82</f>
        <v>0</v>
      </c>
      <c r="X168" s="1189">
        <f>'Operating Report'!Z82</f>
        <v>0</v>
      </c>
      <c r="Y168" s="1189">
        <f>'Operating Report'!AA82</f>
        <v>0</v>
      </c>
      <c r="Z168" s="1189">
        <f>'Operating Report'!AB82</f>
        <v>1975.459691822741</v>
      </c>
      <c r="AA168" s="1192">
        <f t="shared" si="24"/>
        <v>13114.733831822743</v>
      </c>
      <c r="AB168" s="1192">
        <f t="shared" si="25"/>
        <v>13841.776631822742</v>
      </c>
      <c r="AC168" s="1192">
        <f t="shared" si="26"/>
        <v>370680.59663182276</v>
      </c>
      <c r="AE168" s="1192">
        <f t="shared" si="27"/>
        <v>370680.59663182276</v>
      </c>
    </row>
    <row r="169" spans="1:31" ht="15" customHeight="1" outlineLevel="1">
      <c r="A169" s="1098">
        <v>160</v>
      </c>
      <c r="B169" s="1501"/>
      <c r="C169" s="1107" t="s">
        <v>3925</v>
      </c>
      <c r="D169" s="1114">
        <v>891</v>
      </c>
      <c r="E169" s="1189">
        <f>'Operating Report'!F83</f>
        <v>115218.98999999999</v>
      </c>
      <c r="F169" s="1189">
        <f>'Operating Report'!H83</f>
        <v>0</v>
      </c>
      <c r="G169" s="1189">
        <f>'Operating Report'!I83</f>
        <v>0</v>
      </c>
      <c r="H169" s="1189">
        <f>'Operating Report'!J83</f>
        <v>0</v>
      </c>
      <c r="I169" s="1189">
        <f>'Operating Report'!K83</f>
        <v>0</v>
      </c>
      <c r="J169" s="1189">
        <f>'Operating Report'!L83</f>
        <v>0</v>
      </c>
      <c r="K169" s="1189">
        <f>'Operating Report'!M83</f>
        <v>305.31810000000002</v>
      </c>
      <c r="L169" s="1189">
        <f>'Operating Report'!N83</f>
        <v>0</v>
      </c>
      <c r="M169" s="1189">
        <f>'Operating Report'!O83</f>
        <v>0</v>
      </c>
      <c r="N169" s="1189">
        <f>'Operating Report'!P83</f>
        <v>0</v>
      </c>
      <c r="O169" s="1189">
        <f>'Operating Report'!Q83</f>
        <v>0</v>
      </c>
      <c r="P169" s="1189">
        <f>'Operating Report'!R83</f>
        <v>0</v>
      </c>
      <c r="Q169" s="1189">
        <f t="shared" si="18"/>
        <v>305.31810000000002</v>
      </c>
      <c r="R169" s="1189">
        <f>'Operating Report'!T83</f>
        <v>0</v>
      </c>
      <c r="S169" s="1189">
        <f>'Operating Report'!U83</f>
        <v>2980.1359050000001</v>
      </c>
      <c r="T169" s="1189">
        <f>'Operating Report'!V83</f>
        <v>0</v>
      </c>
      <c r="U169" s="1189">
        <f>'Operating Report'!W83</f>
        <v>0</v>
      </c>
      <c r="V169" s="1189">
        <f>'Operating Report'!X83</f>
        <v>0</v>
      </c>
      <c r="W169" s="1189">
        <f>'Operating Report'!Y83</f>
        <v>0</v>
      </c>
      <c r="X169" s="1189">
        <f>'Operating Report'!Z83</f>
        <v>0</v>
      </c>
      <c r="Y169" s="1189">
        <f>'Operating Report'!AA83</f>
        <v>0</v>
      </c>
      <c r="Z169" s="1189">
        <f>'Operating Report'!AB83</f>
        <v>805.38567067085921</v>
      </c>
      <c r="AA169" s="1192">
        <f t="shared" si="24"/>
        <v>3785.5215756708594</v>
      </c>
      <c r="AB169" s="1192">
        <f t="shared" si="25"/>
        <v>4090.8396756708594</v>
      </c>
      <c r="AC169" s="1192">
        <f t="shared" si="26"/>
        <v>119309.82967567084</v>
      </c>
      <c r="AE169" s="1192">
        <f t="shared" si="27"/>
        <v>119309.82967567084</v>
      </c>
    </row>
    <row r="170" spans="1:31" ht="15" customHeight="1" outlineLevel="1">
      <c r="A170" s="1098">
        <v>161</v>
      </c>
      <c r="B170" s="1501"/>
      <c r="C170" s="1107" t="s">
        <v>3660</v>
      </c>
      <c r="D170" s="1114">
        <v>892</v>
      </c>
      <c r="E170" s="1189">
        <f>'Operating Report'!F84</f>
        <v>1064198.2100000002</v>
      </c>
      <c r="F170" s="1189">
        <f>'Operating Report'!H84</f>
        <v>0</v>
      </c>
      <c r="G170" s="1189">
        <f>'Operating Report'!I84</f>
        <v>0</v>
      </c>
      <c r="H170" s="1189">
        <f>'Operating Report'!J84</f>
        <v>0</v>
      </c>
      <c r="I170" s="1189">
        <f>'Operating Report'!K84</f>
        <v>0</v>
      </c>
      <c r="J170" s="1189">
        <f>'Operating Report'!L84</f>
        <v>0</v>
      </c>
      <c r="K170" s="1189">
        <f>'Operating Report'!M84</f>
        <v>4003.7423999999996</v>
      </c>
      <c r="L170" s="1189">
        <f>'Operating Report'!N84</f>
        <v>-1633.86</v>
      </c>
      <c r="M170" s="1189">
        <f>'Operating Report'!O84</f>
        <v>0</v>
      </c>
      <c r="N170" s="1189">
        <f>'Operating Report'!P84</f>
        <v>0</v>
      </c>
      <c r="O170" s="1189">
        <f>'Operating Report'!Q84</f>
        <v>0</v>
      </c>
      <c r="P170" s="1189">
        <f>'Operating Report'!R84</f>
        <v>0</v>
      </c>
      <c r="Q170" s="1189">
        <f t="shared" si="18"/>
        <v>2369.8823999999995</v>
      </c>
      <c r="R170" s="1189">
        <f>'Operating Report'!T84</f>
        <v>0</v>
      </c>
      <c r="S170" s="1189">
        <f>'Operating Report'!U84</f>
        <v>35529.743848000006</v>
      </c>
      <c r="T170" s="1189">
        <f>'Operating Report'!V84</f>
        <v>0</v>
      </c>
      <c r="U170" s="1189">
        <f>'Operating Report'!W84</f>
        <v>0</v>
      </c>
      <c r="V170" s="1189">
        <f>'Operating Report'!X84</f>
        <v>0</v>
      </c>
      <c r="W170" s="1189">
        <f>'Operating Report'!Y84</f>
        <v>0</v>
      </c>
      <c r="X170" s="1189">
        <f>'Operating Report'!Z84</f>
        <v>0</v>
      </c>
      <c r="Y170" s="1189">
        <f>'Operating Report'!AA84</f>
        <v>0</v>
      </c>
      <c r="Z170" s="1189">
        <f>'Operating Report'!AB84</f>
        <v>6197.9325640101197</v>
      </c>
      <c r="AA170" s="1192">
        <f t="shared" si="24"/>
        <v>41727.676412010129</v>
      </c>
      <c r="AB170" s="1192">
        <f t="shared" si="25"/>
        <v>44097.558812010131</v>
      </c>
      <c r="AC170" s="1192">
        <f t="shared" si="26"/>
        <v>1108295.7688120103</v>
      </c>
      <c r="AE170" s="1192">
        <f t="shared" si="27"/>
        <v>1108295.7688120103</v>
      </c>
    </row>
    <row r="171" spans="1:31" ht="15" customHeight="1" outlineLevel="1">
      <c r="A171" s="1098">
        <v>162</v>
      </c>
      <c r="B171" s="1501"/>
      <c r="C171" s="1107" t="s">
        <v>3661</v>
      </c>
      <c r="D171" s="1114">
        <v>893</v>
      </c>
      <c r="E171" s="1189">
        <f>'Operating Report'!F85</f>
        <v>1417725.8</v>
      </c>
      <c r="F171" s="1189">
        <f>'Operating Report'!H85</f>
        <v>0</v>
      </c>
      <c r="G171" s="1189">
        <f>'Operating Report'!I85</f>
        <v>0</v>
      </c>
      <c r="H171" s="1189">
        <f>'Operating Report'!J85</f>
        <v>0</v>
      </c>
      <c r="I171" s="1189">
        <f>'Operating Report'!K85</f>
        <v>0</v>
      </c>
      <c r="J171" s="1189">
        <f>'Operating Report'!L85</f>
        <v>0</v>
      </c>
      <c r="K171" s="1189">
        <f>'Operating Report'!M85</f>
        <v>7359.3653999999997</v>
      </c>
      <c r="L171" s="1189">
        <f>'Operating Report'!N85</f>
        <v>-989.91</v>
      </c>
      <c r="M171" s="1189">
        <f>'Operating Report'!O85</f>
        <v>0</v>
      </c>
      <c r="N171" s="1189">
        <f>'Operating Report'!P85</f>
        <v>0</v>
      </c>
      <c r="O171" s="1189">
        <f>'Operating Report'!Q85</f>
        <v>0</v>
      </c>
      <c r="P171" s="1189">
        <f>'Operating Report'!R85</f>
        <v>0</v>
      </c>
      <c r="Q171" s="1189">
        <f t="shared" si="18"/>
        <v>6369.4553999999998</v>
      </c>
      <c r="R171" s="1189">
        <f>'Operating Report'!T85</f>
        <v>0</v>
      </c>
      <c r="S171" s="1189">
        <f>'Operating Report'!U85</f>
        <v>51779.883611000005</v>
      </c>
      <c r="T171" s="1189">
        <f>'Operating Report'!V85</f>
        <v>0</v>
      </c>
      <c r="U171" s="1189">
        <f>'Operating Report'!W85</f>
        <v>0</v>
      </c>
      <c r="V171" s="1189">
        <f>'Operating Report'!X85</f>
        <v>0</v>
      </c>
      <c r="W171" s="1189">
        <f>'Operating Report'!Y85</f>
        <v>0</v>
      </c>
      <c r="X171" s="1189">
        <f>'Operating Report'!Z85</f>
        <v>0</v>
      </c>
      <c r="Y171" s="1189">
        <f>'Operating Report'!AA85</f>
        <v>0</v>
      </c>
      <c r="Z171" s="1189">
        <f>'Operating Report'!AB85</f>
        <v>5612.616091359012</v>
      </c>
      <c r="AA171" s="1192">
        <f t="shared" si="24"/>
        <v>57392.499702359019</v>
      </c>
      <c r="AB171" s="1192">
        <f t="shared" si="25"/>
        <v>63761.955102359017</v>
      </c>
      <c r="AC171" s="1192">
        <f t="shared" si="26"/>
        <v>1481487.755102359</v>
      </c>
      <c r="AE171" s="1192">
        <f t="shared" si="27"/>
        <v>1481487.755102359</v>
      </c>
    </row>
    <row r="172" spans="1:31" ht="15" customHeight="1" outlineLevel="1">
      <c r="A172" s="1098">
        <v>163</v>
      </c>
      <c r="B172" s="1501"/>
      <c r="C172" s="1107" t="s">
        <v>3633</v>
      </c>
      <c r="D172" s="1114">
        <v>894</v>
      </c>
      <c r="E172" s="1189">
        <f>'Operating Report'!F86</f>
        <v>1367764.3599999999</v>
      </c>
      <c r="F172" s="1189">
        <f>'Operating Report'!H86</f>
        <v>0</v>
      </c>
      <c r="G172" s="1189">
        <f>'Operating Report'!I86</f>
        <v>0</v>
      </c>
      <c r="H172" s="1189">
        <f>'Operating Report'!J86</f>
        <v>0</v>
      </c>
      <c r="I172" s="1189">
        <f>'Operating Report'!K86</f>
        <v>0</v>
      </c>
      <c r="J172" s="1189">
        <f>'Operating Report'!L86</f>
        <v>0</v>
      </c>
      <c r="K172" s="1189">
        <f>'Operating Report'!M86</f>
        <v>12482.611799999999</v>
      </c>
      <c r="L172" s="1189">
        <f>'Operating Report'!N86</f>
        <v>-2050.83</v>
      </c>
      <c r="M172" s="1189">
        <f>'Operating Report'!O86</f>
        <v>0</v>
      </c>
      <c r="N172" s="1189">
        <f>'Operating Report'!P86</f>
        <v>0</v>
      </c>
      <c r="O172" s="1189">
        <f>'Operating Report'!Q86</f>
        <v>0</v>
      </c>
      <c r="P172" s="1189">
        <f>'Operating Report'!R86</f>
        <v>0</v>
      </c>
      <c r="Q172" s="1189">
        <f t="shared" si="18"/>
        <v>10431.781799999999</v>
      </c>
      <c r="R172" s="1189">
        <f>'Operating Report'!T86</f>
        <v>0</v>
      </c>
      <c r="S172" s="1189">
        <f>'Operating Report'!U86</f>
        <v>58095.190307000012</v>
      </c>
      <c r="T172" s="1189">
        <f>'Operating Report'!V86</f>
        <v>0</v>
      </c>
      <c r="U172" s="1189">
        <f>'Operating Report'!W86</f>
        <v>0</v>
      </c>
      <c r="V172" s="1189">
        <f>'Operating Report'!X86</f>
        <v>0</v>
      </c>
      <c r="W172" s="1189">
        <f>'Operating Report'!Y86</f>
        <v>0</v>
      </c>
      <c r="X172" s="1189">
        <f>'Operating Report'!Z86</f>
        <v>0</v>
      </c>
      <c r="Y172" s="1189">
        <f>'Operating Report'!AA86</f>
        <v>0</v>
      </c>
      <c r="Z172" s="1189">
        <f>'Operating Report'!AB86</f>
        <v>3521.7514139489967</v>
      </c>
      <c r="AA172" s="1192">
        <f t="shared" si="24"/>
        <v>61616.941720949006</v>
      </c>
      <c r="AB172" s="1192">
        <f t="shared" si="25"/>
        <v>72048.723520949003</v>
      </c>
      <c r="AC172" s="1192">
        <f t="shared" si="26"/>
        <v>1439813.0835209489</v>
      </c>
      <c r="AE172" s="1192">
        <f t="shared" si="27"/>
        <v>1439813.0835209489</v>
      </c>
    </row>
    <row r="173" spans="1:31" ht="15" customHeight="1">
      <c r="A173" s="1098">
        <v>164</v>
      </c>
      <c r="B173" s="1502"/>
      <c r="C173" s="1503" t="s">
        <v>3926</v>
      </c>
      <c r="D173" s="1504"/>
      <c r="E173" s="1189">
        <f>SUM(E163:E172)</f>
        <v>8990613.4900000002</v>
      </c>
      <c r="F173" s="1189">
        <f t="shared" ref="F173:AE173" si="28">SUM(F163:F172)</f>
        <v>0</v>
      </c>
      <c r="G173" s="1189">
        <f t="shared" si="28"/>
        <v>0</v>
      </c>
      <c r="H173" s="1189">
        <f t="shared" si="28"/>
        <v>0</v>
      </c>
      <c r="I173" s="1189">
        <f t="shared" si="28"/>
        <v>0</v>
      </c>
      <c r="J173" s="1189">
        <f t="shared" si="28"/>
        <v>0</v>
      </c>
      <c r="K173" s="1189">
        <f t="shared" si="28"/>
        <v>29715.341699999997</v>
      </c>
      <c r="L173" s="1189">
        <f t="shared" si="28"/>
        <v>-98932.74</v>
      </c>
      <c r="M173" s="1189">
        <f t="shared" si="28"/>
        <v>0</v>
      </c>
      <c r="N173" s="1189">
        <f t="shared" si="28"/>
        <v>0</v>
      </c>
      <c r="O173" s="1189">
        <f t="shared" si="28"/>
        <v>0</v>
      </c>
      <c r="P173" s="1189">
        <f t="shared" si="28"/>
        <v>0</v>
      </c>
      <c r="Q173" s="1189">
        <f t="shared" si="28"/>
        <v>-69217.398300000001</v>
      </c>
      <c r="R173" s="1189">
        <f t="shared" si="28"/>
        <v>0</v>
      </c>
      <c r="S173" s="1189">
        <f t="shared" si="28"/>
        <v>261268.11634300003</v>
      </c>
      <c r="T173" s="1189">
        <f t="shared" si="28"/>
        <v>2018196.3840000001</v>
      </c>
      <c r="U173" s="1189">
        <f t="shared" si="28"/>
        <v>0</v>
      </c>
      <c r="V173" s="1189">
        <f t="shared" si="28"/>
        <v>0</v>
      </c>
      <c r="W173" s="1189">
        <f t="shared" si="28"/>
        <v>0</v>
      </c>
      <c r="X173" s="1189">
        <f t="shared" si="28"/>
        <v>0</v>
      </c>
      <c r="Y173" s="1189">
        <f t="shared" si="28"/>
        <v>0</v>
      </c>
      <c r="Z173" s="1189">
        <f t="shared" si="28"/>
        <v>40822.735322141925</v>
      </c>
      <c r="AA173" s="1189">
        <f t="shared" si="28"/>
        <v>2320287.2356651421</v>
      </c>
      <c r="AB173" s="1189">
        <f t="shared" si="28"/>
        <v>2251069.8373651421</v>
      </c>
      <c r="AC173" s="1189">
        <f t="shared" si="28"/>
        <v>11241683.327365141</v>
      </c>
      <c r="AD173" s="1189">
        <f t="shared" si="28"/>
        <v>0</v>
      </c>
      <c r="AE173" s="1189">
        <f t="shared" si="28"/>
        <v>11241683.327365141</v>
      </c>
    </row>
    <row r="174" spans="1:31" ht="15" customHeight="1">
      <c r="A174" s="1098">
        <v>165</v>
      </c>
      <c r="B174" s="1513" t="s">
        <v>3927</v>
      </c>
      <c r="C174" s="1513"/>
      <c r="D174" s="1513"/>
      <c r="E174" s="1189">
        <f t="shared" ref="E174:AE174" si="29">E162+E173</f>
        <v>19676320.300000001</v>
      </c>
      <c r="F174" s="1189">
        <f t="shared" si="29"/>
        <v>0</v>
      </c>
      <c r="G174" s="1189">
        <f t="shared" si="29"/>
        <v>0</v>
      </c>
      <c r="H174" s="1189">
        <f t="shared" si="29"/>
        <v>0</v>
      </c>
      <c r="I174" s="1189">
        <f t="shared" si="29"/>
        <v>0</v>
      </c>
      <c r="J174" s="1189">
        <f t="shared" si="29"/>
        <v>0</v>
      </c>
      <c r="K174" s="1189">
        <f t="shared" si="29"/>
        <v>86313.603899999987</v>
      </c>
      <c r="L174" s="1189">
        <f t="shared" si="29"/>
        <v>-173649.39</v>
      </c>
      <c r="M174" s="1189">
        <f t="shared" si="29"/>
        <v>0</v>
      </c>
      <c r="N174" s="1189">
        <f t="shared" si="29"/>
        <v>0</v>
      </c>
      <c r="O174" s="1189">
        <f t="shared" si="29"/>
        <v>0</v>
      </c>
      <c r="P174" s="1189">
        <f t="shared" si="29"/>
        <v>0</v>
      </c>
      <c r="Q174" s="1189">
        <f t="shared" si="29"/>
        <v>-87335.786099999998</v>
      </c>
      <c r="R174" s="1189">
        <f t="shared" si="29"/>
        <v>0</v>
      </c>
      <c r="S174" s="1189">
        <f t="shared" si="29"/>
        <v>668409.81594400015</v>
      </c>
      <c r="T174" s="1189">
        <f t="shared" si="29"/>
        <v>2018196.3840000001</v>
      </c>
      <c r="U174" s="1189">
        <f t="shared" si="29"/>
        <v>0</v>
      </c>
      <c r="V174" s="1189">
        <f t="shared" si="29"/>
        <v>0</v>
      </c>
      <c r="W174" s="1189">
        <f t="shared" si="29"/>
        <v>0</v>
      </c>
      <c r="X174" s="1189">
        <f t="shared" si="29"/>
        <v>0</v>
      </c>
      <c r="Y174" s="1189">
        <f t="shared" si="29"/>
        <v>0</v>
      </c>
      <c r="Z174" s="1189">
        <f t="shared" si="29"/>
        <v>81738.110383074352</v>
      </c>
      <c r="AA174" s="1189">
        <f t="shared" si="29"/>
        <v>2768344.3103270745</v>
      </c>
      <c r="AB174" s="1189">
        <f t="shared" si="29"/>
        <v>2681008.5242270743</v>
      </c>
      <c r="AC174" s="1189">
        <f t="shared" si="29"/>
        <v>22357328.824227076</v>
      </c>
      <c r="AD174" s="1189">
        <f t="shared" si="29"/>
        <v>0</v>
      </c>
      <c r="AE174" s="1189">
        <f t="shared" si="29"/>
        <v>22357328.824227076</v>
      </c>
    </row>
    <row r="175" spans="1:31">
      <c r="A175" s="1098">
        <v>166</v>
      </c>
      <c r="B175" s="1514" t="s">
        <v>3928</v>
      </c>
      <c r="C175" s="1517"/>
      <c r="D175" s="1518"/>
      <c r="E175" s="1189">
        <f>E87+E128+E150+E174</f>
        <v>236001309.44</v>
      </c>
      <c r="F175" s="1189">
        <f t="shared" ref="F175:AE175" si="30">F87+F128+F150+F174</f>
        <v>-212859301.60000002</v>
      </c>
      <c r="G175" s="1189">
        <f t="shared" si="30"/>
        <v>0</v>
      </c>
      <c r="H175" s="1189">
        <f t="shared" si="30"/>
        <v>0</v>
      </c>
      <c r="I175" s="1189">
        <f t="shared" si="30"/>
        <v>0</v>
      </c>
      <c r="J175" s="1189">
        <f t="shared" si="30"/>
        <v>0</v>
      </c>
      <c r="K175" s="1189">
        <f t="shared" si="30"/>
        <v>86313.603899999987</v>
      </c>
      <c r="L175" s="1189">
        <f t="shared" si="30"/>
        <v>-453330.92000000004</v>
      </c>
      <c r="M175" s="1189">
        <f t="shared" si="30"/>
        <v>0</v>
      </c>
      <c r="N175" s="1189">
        <f t="shared" si="30"/>
        <v>0</v>
      </c>
      <c r="O175" s="1189">
        <f t="shared" si="30"/>
        <v>0</v>
      </c>
      <c r="P175" s="1189">
        <f t="shared" si="30"/>
        <v>0</v>
      </c>
      <c r="Q175" s="1189">
        <f t="shared" si="30"/>
        <v>-213226318.91610003</v>
      </c>
      <c r="R175" s="1189">
        <f t="shared" si="30"/>
        <v>0</v>
      </c>
      <c r="S175" s="1189">
        <f t="shared" si="30"/>
        <v>822540.22962100012</v>
      </c>
      <c r="T175" s="1189">
        <f t="shared" si="30"/>
        <v>2018196.3840000001</v>
      </c>
      <c r="U175" s="1189">
        <f t="shared" si="30"/>
        <v>0</v>
      </c>
      <c r="V175" s="1189">
        <f t="shared" si="30"/>
        <v>0</v>
      </c>
      <c r="W175" s="1189">
        <f t="shared" si="30"/>
        <v>0</v>
      </c>
      <c r="X175" s="1189">
        <f t="shared" si="30"/>
        <v>0</v>
      </c>
      <c r="Y175" s="1189">
        <f t="shared" si="30"/>
        <v>0</v>
      </c>
      <c r="Z175" s="1189">
        <f t="shared" si="30"/>
        <v>89168.08758834764</v>
      </c>
      <c r="AA175" s="1189">
        <f t="shared" si="30"/>
        <v>2929904.7012093477</v>
      </c>
      <c r="AB175" s="1189">
        <f t="shared" si="30"/>
        <v>-210296414.21489069</v>
      </c>
      <c r="AC175" s="1189">
        <f t="shared" si="30"/>
        <v>25704895.225109354</v>
      </c>
      <c r="AD175" s="1189">
        <f t="shared" si="30"/>
        <v>0</v>
      </c>
      <c r="AE175" s="1189">
        <f t="shared" si="30"/>
        <v>25704895.225109354</v>
      </c>
    </row>
    <row r="176" spans="1:31" outlineLevel="1">
      <c r="A176" s="1098">
        <v>167</v>
      </c>
      <c r="B176" s="1500" t="s">
        <v>3929</v>
      </c>
      <c r="C176" s="1123" t="s">
        <v>3666</v>
      </c>
      <c r="D176" s="1114">
        <v>901</v>
      </c>
      <c r="E176" s="1189">
        <f>'Operating Report'!F91</f>
        <v>121992.08</v>
      </c>
      <c r="F176" s="1189">
        <f>'Operating Report'!H91</f>
        <v>0</v>
      </c>
      <c r="G176" s="1189">
        <f>'Operating Report'!I91</f>
        <v>0</v>
      </c>
      <c r="H176" s="1189">
        <f>'Operating Report'!J91</f>
        <v>0</v>
      </c>
      <c r="I176" s="1189">
        <f>'Operating Report'!K91</f>
        <v>0</v>
      </c>
      <c r="J176" s="1189">
        <f>'Operating Report'!L91</f>
        <v>0</v>
      </c>
      <c r="K176" s="1189">
        <f>'Operating Report'!M91</f>
        <v>0</v>
      </c>
      <c r="L176" s="1189">
        <f>'Operating Report'!N91</f>
        <v>-10134.58</v>
      </c>
      <c r="M176" s="1189">
        <f>'Operating Report'!O91</f>
        <v>0</v>
      </c>
      <c r="N176" s="1189">
        <f>'Operating Report'!P91</f>
        <v>0</v>
      </c>
      <c r="O176" s="1189">
        <f>'Operating Report'!Q91</f>
        <v>0</v>
      </c>
      <c r="P176" s="1189">
        <f>'Operating Report'!R91</f>
        <v>0</v>
      </c>
      <c r="Q176" s="1189">
        <f t="shared" ref="Q176:Q200" si="31">SUM(F176:P176)</f>
        <v>-10134.58</v>
      </c>
      <c r="R176" s="1189">
        <f>'Operating Report'!T91</f>
        <v>0</v>
      </c>
      <c r="S176" s="1189">
        <f>'Operating Report'!U91</f>
        <v>6485.5134389999994</v>
      </c>
      <c r="T176" s="1189">
        <f>'Operating Report'!V91</f>
        <v>0</v>
      </c>
      <c r="U176" s="1189">
        <f>'Operating Report'!W91</f>
        <v>0</v>
      </c>
      <c r="V176" s="1189">
        <f>'Operating Report'!X91</f>
        <v>0</v>
      </c>
      <c r="W176" s="1189">
        <f>'Operating Report'!Y91</f>
        <v>0</v>
      </c>
      <c r="X176" s="1189">
        <f>'Operating Report'!Z91</f>
        <v>0</v>
      </c>
      <c r="Y176" s="1189">
        <f>'Operating Report'!AA91</f>
        <v>0</v>
      </c>
      <c r="Z176" s="1189">
        <f>'Operating Report'!AB91</f>
        <v>0.71162070730130611</v>
      </c>
      <c r="AA176" s="1192">
        <f>SUM(R176:Z176)</f>
        <v>6486.2250597073007</v>
      </c>
      <c r="AB176" s="1192">
        <f>Q176+AA176</f>
        <v>-3648.3549402926992</v>
      </c>
      <c r="AC176" s="1192">
        <f>E176+AB176</f>
        <v>118343.7250597073</v>
      </c>
      <c r="AE176" s="1192">
        <f>AC176+AD176</f>
        <v>118343.7250597073</v>
      </c>
    </row>
    <row r="177" spans="1:31" outlineLevel="1">
      <c r="A177" s="1098">
        <v>168</v>
      </c>
      <c r="B177" s="1501"/>
      <c r="C177" s="1123" t="s">
        <v>3667</v>
      </c>
      <c r="D177" s="1114">
        <v>902</v>
      </c>
      <c r="E177" s="1189">
        <f>'Operating Report'!F92</f>
        <v>520745.67</v>
      </c>
      <c r="F177" s="1189">
        <f>'Operating Report'!H92</f>
        <v>0</v>
      </c>
      <c r="G177" s="1189">
        <f>'Operating Report'!I92</f>
        <v>0</v>
      </c>
      <c r="H177" s="1189">
        <f>'Operating Report'!J92</f>
        <v>0</v>
      </c>
      <c r="I177" s="1189">
        <f>'Operating Report'!K92</f>
        <v>0</v>
      </c>
      <c r="J177" s="1189">
        <f>'Operating Report'!L92</f>
        <v>0</v>
      </c>
      <c r="K177" s="1189">
        <f>'Operating Report'!M92</f>
        <v>2678.3991000000001</v>
      </c>
      <c r="L177" s="1189">
        <f>'Operating Report'!N92</f>
        <v>-9436.02</v>
      </c>
      <c r="M177" s="1189">
        <f>'Operating Report'!O92</f>
        <v>0</v>
      </c>
      <c r="N177" s="1189">
        <f>'Operating Report'!P92</f>
        <v>0</v>
      </c>
      <c r="O177" s="1189">
        <f>'Operating Report'!Q92</f>
        <v>0</v>
      </c>
      <c r="P177" s="1189">
        <f>'Operating Report'!R92</f>
        <v>0</v>
      </c>
      <c r="Q177" s="1189">
        <f t="shared" si="31"/>
        <v>-6757.6208999999999</v>
      </c>
      <c r="R177" s="1189">
        <f>'Operating Report'!T92</f>
        <v>0</v>
      </c>
      <c r="S177" s="1189">
        <f>'Operating Report'!U92</f>
        <v>21405.889748999998</v>
      </c>
      <c r="T177" s="1189">
        <f>'Operating Report'!V92</f>
        <v>0</v>
      </c>
      <c r="U177" s="1189">
        <f>'Operating Report'!W92</f>
        <v>0</v>
      </c>
      <c r="V177" s="1189">
        <f>'Operating Report'!X92</f>
        <v>0</v>
      </c>
      <c r="W177" s="1189">
        <f>'Operating Report'!Y92</f>
        <v>0</v>
      </c>
      <c r="X177" s="1189">
        <f>'Operating Report'!Z92</f>
        <v>0</v>
      </c>
      <c r="Y177" s="1189">
        <f>'Operating Report'!AA92</f>
        <v>0</v>
      </c>
      <c r="Z177" s="1189">
        <f>'Operating Report'!AB92</f>
        <v>1464.380665478305</v>
      </c>
      <c r="AA177" s="1192">
        <f>SUM(R177:Z177)</f>
        <v>22870.270414478302</v>
      </c>
      <c r="AB177" s="1192">
        <f>Q177+AA177</f>
        <v>16112.649514478302</v>
      </c>
      <c r="AC177" s="1192">
        <f>E177+AB177</f>
        <v>536858.31951447832</v>
      </c>
      <c r="AE177" s="1192">
        <f>AC177+AD177</f>
        <v>536858.31951447832</v>
      </c>
    </row>
    <row r="178" spans="1:31" outlineLevel="1">
      <c r="A178" s="1098">
        <v>169</v>
      </c>
      <c r="B178" s="1501"/>
      <c r="C178" s="1123" t="s">
        <v>3668</v>
      </c>
      <c r="D178" s="1114">
        <v>903</v>
      </c>
      <c r="E178" s="1189">
        <f>'Operating Report'!F93</f>
        <v>4747284.0699999994</v>
      </c>
      <c r="F178" s="1189">
        <f>'Operating Report'!H93</f>
        <v>0</v>
      </c>
      <c r="G178" s="1189">
        <f>'Operating Report'!I93</f>
        <v>0</v>
      </c>
      <c r="H178" s="1189">
        <f>'Operating Report'!J93</f>
        <v>0</v>
      </c>
      <c r="I178" s="1189">
        <f>'Operating Report'!K93</f>
        <v>0</v>
      </c>
      <c r="J178" s="1189">
        <f>'Operating Report'!L93</f>
        <v>0</v>
      </c>
      <c r="K178" s="1189">
        <f>'Operating Report'!M93</f>
        <v>385.24110000000002</v>
      </c>
      <c r="L178" s="1189">
        <f>'Operating Report'!N93</f>
        <v>-226261.88</v>
      </c>
      <c r="M178" s="1189">
        <f>'Operating Report'!O93</f>
        <v>0</v>
      </c>
      <c r="N178" s="1189">
        <f>'Operating Report'!P93</f>
        <v>0</v>
      </c>
      <c r="O178" s="1189">
        <f>'Operating Report'!Q93</f>
        <v>0</v>
      </c>
      <c r="P178" s="1189">
        <f>'Operating Report'!R93</f>
        <v>0</v>
      </c>
      <c r="Q178" s="1189">
        <f t="shared" si="31"/>
        <v>-225876.63889999999</v>
      </c>
      <c r="R178" s="1189">
        <f>'Operating Report'!T93</f>
        <v>0</v>
      </c>
      <c r="S178" s="1189">
        <f>'Operating Report'!U93</f>
        <v>153144.48325399999</v>
      </c>
      <c r="T178" s="1189">
        <f>'Operating Report'!V93</f>
        <v>0</v>
      </c>
      <c r="U178" s="1189">
        <f>'Operating Report'!W93</f>
        <v>0</v>
      </c>
      <c r="V178" s="1189">
        <f>'Operating Report'!X93</f>
        <v>0</v>
      </c>
      <c r="W178" s="1189">
        <f>'Operating Report'!Y93</f>
        <v>0</v>
      </c>
      <c r="X178" s="1189">
        <f>'Operating Report'!Z93</f>
        <v>0</v>
      </c>
      <c r="Y178" s="1189">
        <f>'Operating Report'!AA93</f>
        <v>0</v>
      </c>
      <c r="Z178" s="1189">
        <f>'Operating Report'!AB93</f>
        <v>28165.531937945008</v>
      </c>
      <c r="AA178" s="1192">
        <f>SUM(R178:Z178)</f>
        <v>181310.01519194501</v>
      </c>
      <c r="AB178" s="1192">
        <f>Q178+AA178</f>
        <v>-44566.623708054976</v>
      </c>
      <c r="AC178" s="1192">
        <f>E178+AB178</f>
        <v>4702717.446291944</v>
      </c>
      <c r="AE178" s="1192">
        <f>AC178+AD178</f>
        <v>4702717.446291944</v>
      </c>
    </row>
    <row r="179" spans="1:31" outlineLevel="1">
      <c r="A179" s="1098">
        <v>170</v>
      </c>
      <c r="B179" s="1501"/>
      <c r="C179" s="1123" t="s">
        <v>3669</v>
      </c>
      <c r="D179" s="1114">
        <v>904</v>
      </c>
      <c r="E179" s="1189">
        <f>'Operating Report'!F94</f>
        <v>2527969.04</v>
      </c>
      <c r="F179" s="1189">
        <f>'Operating Report'!H94</f>
        <v>-864008.62641261914</v>
      </c>
      <c r="G179" s="1189">
        <f>'Operating Report'!I94</f>
        <v>-11922.504384550009</v>
      </c>
      <c r="H179" s="1189">
        <f>'Operating Report'!J94</f>
        <v>2931.0814267440292</v>
      </c>
      <c r="I179" s="1189">
        <f>'Operating Report'!K94</f>
        <v>12308.709948911473</v>
      </c>
      <c r="J179" s="1189">
        <f>'Operating Report'!L94</f>
        <v>0</v>
      </c>
      <c r="K179" s="1189">
        <f>'Operating Report'!M94</f>
        <v>0</v>
      </c>
      <c r="L179" s="1189">
        <f>'Operating Report'!N94</f>
        <v>0</v>
      </c>
      <c r="M179" s="1189">
        <f>'Operating Report'!O94</f>
        <v>0</v>
      </c>
      <c r="N179" s="1189">
        <f>'Operating Report'!P94</f>
        <v>0</v>
      </c>
      <c r="O179" s="1189">
        <f>'Operating Report'!Q94</f>
        <v>0</v>
      </c>
      <c r="P179" s="1189">
        <f>'Operating Report'!R94</f>
        <v>0</v>
      </c>
      <c r="Q179" s="1189">
        <f t="shared" si="31"/>
        <v>-860691.33942151372</v>
      </c>
      <c r="R179" s="1189">
        <f>'Operating Report'!T94</f>
        <v>0</v>
      </c>
      <c r="S179" s="1189">
        <f>'Operating Report'!U94</f>
        <v>0</v>
      </c>
      <c r="T179" s="1189">
        <f>'Operating Report'!V94</f>
        <v>0</v>
      </c>
      <c r="U179" s="1189">
        <f>'Operating Report'!W94</f>
        <v>0</v>
      </c>
      <c r="V179" s="1189">
        <f>'Operating Report'!X94</f>
        <v>0</v>
      </c>
      <c r="W179" s="1189">
        <f>'Operating Report'!Y94</f>
        <v>0</v>
      </c>
      <c r="X179" s="1189">
        <f>'Operating Report'!Z94</f>
        <v>0</v>
      </c>
      <c r="Y179" s="1189">
        <f>'Operating Report'!AA94</f>
        <v>0</v>
      </c>
      <c r="Z179" s="1189">
        <f>'Operating Report'!AB94</f>
        <v>0</v>
      </c>
      <c r="AA179" s="1192">
        <f>SUM(R179:Z179)</f>
        <v>0</v>
      </c>
      <c r="AB179" s="1192">
        <f>Q179+AA179</f>
        <v>-860691.33942151372</v>
      </c>
      <c r="AC179" s="1192">
        <f>E179+AB179</f>
        <v>1667277.7005784863</v>
      </c>
      <c r="AD179" s="1189">
        <f>'Exh JAD-3 ROO Summary'!H20</f>
        <v>204645.3009225378</v>
      </c>
      <c r="AE179" s="1192">
        <f>AC179+AD179</f>
        <v>1871923.0015010242</v>
      </c>
    </row>
    <row r="180" spans="1:31">
      <c r="A180" s="1098">
        <v>171</v>
      </c>
      <c r="B180" s="1502"/>
      <c r="C180" s="1123" t="s">
        <v>3930</v>
      </c>
      <c r="D180" s="1114">
        <v>905</v>
      </c>
      <c r="E180" s="1189">
        <f>'Operating Report'!F95</f>
        <v>422.05000000000018</v>
      </c>
      <c r="F180" s="1189">
        <f>'Operating Report'!H95</f>
        <v>0</v>
      </c>
      <c r="G180" s="1189">
        <f>'Operating Report'!I95</f>
        <v>0</v>
      </c>
      <c r="H180" s="1189">
        <f>'Operating Report'!J95</f>
        <v>0</v>
      </c>
      <c r="I180" s="1189">
        <f>'Operating Report'!K95</f>
        <v>0</v>
      </c>
      <c r="J180" s="1189">
        <f>'Operating Report'!L95</f>
        <v>0</v>
      </c>
      <c r="K180" s="1189">
        <f>'Operating Report'!M95</f>
        <v>0</v>
      </c>
      <c r="L180" s="1189">
        <f>'Operating Report'!N95</f>
        <v>0</v>
      </c>
      <c r="M180" s="1189">
        <f>'Operating Report'!O95</f>
        <v>0</v>
      </c>
      <c r="N180" s="1189">
        <f>'Operating Report'!P95</f>
        <v>0</v>
      </c>
      <c r="O180" s="1189">
        <f>'Operating Report'!Q95</f>
        <v>0</v>
      </c>
      <c r="P180" s="1189">
        <f>'Operating Report'!R95</f>
        <v>0</v>
      </c>
      <c r="Q180" s="1189">
        <f t="shared" si="31"/>
        <v>0</v>
      </c>
      <c r="R180" s="1189">
        <f>'Operating Report'!T95</f>
        <v>0</v>
      </c>
      <c r="S180" s="1189">
        <f>'Operating Report'!U95</f>
        <v>0</v>
      </c>
      <c r="T180" s="1189">
        <f>'Operating Report'!V95</f>
        <v>0</v>
      </c>
      <c r="U180" s="1189">
        <f>'Operating Report'!W95</f>
        <v>0</v>
      </c>
      <c r="V180" s="1189">
        <f>'Operating Report'!X95</f>
        <v>0</v>
      </c>
      <c r="W180" s="1189">
        <f>'Operating Report'!Y95</f>
        <v>0</v>
      </c>
      <c r="X180" s="1189">
        <f>'Operating Report'!Z95</f>
        <v>0</v>
      </c>
      <c r="Y180" s="1189">
        <f>'Operating Report'!AA95</f>
        <v>0</v>
      </c>
      <c r="Z180" s="1189">
        <f>'Operating Report'!AB95</f>
        <v>6.418882656908405</v>
      </c>
      <c r="AA180" s="1192">
        <f>SUM(R180:Z180)</f>
        <v>6.418882656908405</v>
      </c>
      <c r="AB180" s="1192">
        <f>Q180+AA180</f>
        <v>6.418882656908405</v>
      </c>
      <c r="AC180" s="1192">
        <f>E180+AB180</f>
        <v>428.46888265690859</v>
      </c>
      <c r="AE180" s="1192">
        <f>AC180+AD180</f>
        <v>428.46888265690859</v>
      </c>
    </row>
    <row r="181" spans="1:31">
      <c r="A181" s="1098">
        <v>172</v>
      </c>
      <c r="B181" s="1514" t="s">
        <v>3931</v>
      </c>
      <c r="C181" s="1517"/>
      <c r="D181" s="1518"/>
      <c r="E181" s="1189">
        <f>SUM(E176:E180)</f>
        <v>7918412.9099999992</v>
      </c>
      <c r="F181" s="1189">
        <f t="shared" ref="F181:AE181" si="32">SUM(F176:F180)</f>
        <v>-864008.62641261914</v>
      </c>
      <c r="G181" s="1189">
        <f t="shared" si="32"/>
        <v>-11922.504384550009</v>
      </c>
      <c r="H181" s="1189">
        <f t="shared" si="32"/>
        <v>2931.0814267440292</v>
      </c>
      <c r="I181" s="1189">
        <f t="shared" si="32"/>
        <v>12308.709948911473</v>
      </c>
      <c r="J181" s="1189">
        <f t="shared" si="32"/>
        <v>0</v>
      </c>
      <c r="K181" s="1189">
        <f t="shared" si="32"/>
        <v>3063.6402000000003</v>
      </c>
      <c r="L181" s="1189">
        <f t="shared" si="32"/>
        <v>-245832.48</v>
      </c>
      <c r="M181" s="1189">
        <f t="shared" si="32"/>
        <v>0</v>
      </c>
      <c r="N181" s="1189">
        <f t="shared" si="32"/>
        <v>0</v>
      </c>
      <c r="O181" s="1189">
        <f t="shared" si="32"/>
        <v>0</v>
      </c>
      <c r="P181" s="1189">
        <f t="shared" si="32"/>
        <v>0</v>
      </c>
      <c r="Q181" s="1189">
        <f t="shared" si="32"/>
        <v>-1103460.1792215137</v>
      </c>
      <c r="R181" s="1189">
        <f t="shared" si="32"/>
        <v>0</v>
      </c>
      <c r="S181" s="1189">
        <f t="shared" si="32"/>
        <v>181035.88644199999</v>
      </c>
      <c r="T181" s="1189">
        <f t="shared" si="32"/>
        <v>0</v>
      </c>
      <c r="U181" s="1189">
        <f t="shared" si="32"/>
        <v>0</v>
      </c>
      <c r="V181" s="1189">
        <f t="shared" si="32"/>
        <v>0</v>
      </c>
      <c r="W181" s="1189">
        <f t="shared" si="32"/>
        <v>0</v>
      </c>
      <c r="X181" s="1189">
        <f t="shared" si="32"/>
        <v>0</v>
      </c>
      <c r="Y181" s="1189">
        <f t="shared" si="32"/>
        <v>0</v>
      </c>
      <c r="Z181" s="1189">
        <f t="shared" si="32"/>
        <v>29637.043106787522</v>
      </c>
      <c r="AA181" s="1189">
        <f t="shared" si="32"/>
        <v>210672.92954878751</v>
      </c>
      <c r="AB181" s="1189">
        <f t="shared" si="32"/>
        <v>-892787.24967272615</v>
      </c>
      <c r="AC181" s="1189">
        <f t="shared" si="32"/>
        <v>7025625.6603272725</v>
      </c>
      <c r="AD181" s="1189">
        <f t="shared" si="32"/>
        <v>204645.3009225378</v>
      </c>
      <c r="AE181" s="1189">
        <f t="shared" si="32"/>
        <v>7230270.9612498106</v>
      </c>
    </row>
    <row r="182" spans="1:31" ht="15.6" customHeight="1" outlineLevel="1">
      <c r="A182" s="1098">
        <v>173</v>
      </c>
      <c r="B182" s="1519" t="s">
        <v>3932</v>
      </c>
      <c r="C182" s="1121" t="s">
        <v>3666</v>
      </c>
      <c r="D182" s="1122">
        <v>907</v>
      </c>
      <c r="E182" s="1189">
        <f>'Operating Report'!F99</f>
        <v>0</v>
      </c>
      <c r="F182" s="1189">
        <f>'Operating Report'!H99</f>
        <v>0</v>
      </c>
      <c r="G182" s="1189">
        <f>'Operating Report'!I99</f>
        <v>0</v>
      </c>
      <c r="H182" s="1189">
        <f>'Operating Report'!J99</f>
        <v>0</v>
      </c>
      <c r="I182" s="1189">
        <f>'Operating Report'!K99</f>
        <v>0</v>
      </c>
      <c r="J182" s="1189">
        <f>'Operating Report'!L99</f>
        <v>0</v>
      </c>
      <c r="K182" s="1189">
        <f>'Operating Report'!M99</f>
        <v>0</v>
      </c>
      <c r="L182" s="1189">
        <f>'Operating Report'!N99</f>
        <v>0</v>
      </c>
      <c r="M182" s="1189">
        <f>'Operating Report'!O99</f>
        <v>0</v>
      </c>
      <c r="N182" s="1189">
        <f>'Operating Report'!P99</f>
        <v>0</v>
      </c>
      <c r="O182" s="1189">
        <f>'Operating Report'!Q99</f>
        <v>0</v>
      </c>
      <c r="P182" s="1189">
        <f>'Operating Report'!R99</f>
        <v>0</v>
      </c>
      <c r="Q182" s="1189">
        <f t="shared" si="31"/>
        <v>0</v>
      </c>
      <c r="R182" s="1189">
        <f>'Operating Report'!T99</f>
        <v>0</v>
      </c>
      <c r="S182" s="1189">
        <f>'Operating Report'!U99</f>
        <v>0</v>
      </c>
      <c r="T182" s="1189">
        <f>'Operating Report'!V99</f>
        <v>0</v>
      </c>
      <c r="U182" s="1189">
        <f>'Operating Report'!W99</f>
        <v>0</v>
      </c>
      <c r="V182" s="1189">
        <f>'Operating Report'!X99</f>
        <v>0</v>
      </c>
      <c r="W182" s="1189">
        <f>'Operating Report'!Y99</f>
        <v>0</v>
      </c>
      <c r="X182" s="1189">
        <f>'Operating Report'!Z99</f>
        <v>0</v>
      </c>
      <c r="Y182" s="1189">
        <f>'Operating Report'!AA99</f>
        <v>0</v>
      </c>
      <c r="Z182" s="1189">
        <f>'Operating Report'!AB99</f>
        <v>0</v>
      </c>
      <c r="AA182" s="1192">
        <f>SUM(R182:Z182)</f>
        <v>0</v>
      </c>
      <c r="AB182" s="1192">
        <f>Q182+AA182</f>
        <v>0</v>
      </c>
      <c r="AC182" s="1192">
        <f>E182+AB182</f>
        <v>0</v>
      </c>
      <c r="AE182" s="1192">
        <f>AC182+AD182</f>
        <v>0</v>
      </c>
    </row>
    <row r="183" spans="1:31" outlineLevel="1">
      <c r="A183" s="1098">
        <v>174</v>
      </c>
      <c r="B183" s="1519"/>
      <c r="C183" s="1121" t="s">
        <v>3673</v>
      </c>
      <c r="D183" s="1116">
        <v>908</v>
      </c>
      <c r="E183" s="1189">
        <f>'Operating Report'!F100</f>
        <v>8055449.5399999991</v>
      </c>
      <c r="F183" s="1189">
        <f>'Operating Report'!H100</f>
        <v>-8150919.2300000004</v>
      </c>
      <c r="G183" s="1189">
        <f>'Operating Report'!I100</f>
        <v>0</v>
      </c>
      <c r="H183" s="1189">
        <f>'Operating Report'!J100</f>
        <v>0</v>
      </c>
      <c r="I183" s="1189">
        <f>'Operating Report'!K100</f>
        <v>0</v>
      </c>
      <c r="J183" s="1189">
        <f>'Operating Report'!L100</f>
        <v>0</v>
      </c>
      <c r="K183" s="1189">
        <f>'Operating Report'!M100</f>
        <v>0</v>
      </c>
      <c r="L183" s="1189">
        <f>'Operating Report'!N100</f>
        <v>-49771.5</v>
      </c>
      <c r="M183" s="1189">
        <f>'Operating Report'!O100</f>
        <v>0</v>
      </c>
      <c r="N183" s="1189">
        <f>'Operating Report'!P100</f>
        <v>0</v>
      </c>
      <c r="O183" s="1189">
        <f>'Operating Report'!Q100</f>
        <v>18393.799999999992</v>
      </c>
      <c r="P183" s="1189">
        <f>'Operating Report'!R100</f>
        <v>0</v>
      </c>
      <c r="Q183" s="1189">
        <f t="shared" si="31"/>
        <v>-8182296.9300000006</v>
      </c>
      <c r="R183" s="1189">
        <f>'Operating Report'!T100</f>
        <v>0</v>
      </c>
      <c r="S183" s="1189">
        <f>'Operating Report'!U100</f>
        <v>2226.4994129999995</v>
      </c>
      <c r="T183" s="1189">
        <f>'Operating Report'!V100</f>
        <v>0</v>
      </c>
      <c r="U183" s="1189">
        <f>'Operating Report'!W100</f>
        <v>0</v>
      </c>
      <c r="V183" s="1189">
        <f>'Operating Report'!X100</f>
        <v>0</v>
      </c>
      <c r="W183" s="1189">
        <f>'Operating Report'!Y100</f>
        <v>0</v>
      </c>
      <c r="X183" s="1189">
        <f>'Operating Report'!Z100</f>
        <v>0</v>
      </c>
      <c r="Y183" s="1189">
        <f>'Operating Report'!AA100</f>
        <v>0</v>
      </c>
      <c r="Z183" s="1189">
        <f>'Operating Report'!AB100</f>
        <v>-11225.953841246805</v>
      </c>
      <c r="AA183" s="1192">
        <f>SUM(R183:Z183)</f>
        <v>-8999.454428246805</v>
      </c>
      <c r="AB183" s="1192">
        <f>Q183+AA183</f>
        <v>-8191296.3844282478</v>
      </c>
      <c r="AC183" s="1192">
        <f>E183+AB183</f>
        <v>-135846.8444282487</v>
      </c>
      <c r="AE183" s="1192">
        <f>AC183+AD183</f>
        <v>-135846.8444282487</v>
      </c>
    </row>
    <row r="184" spans="1:31" outlineLevel="1">
      <c r="A184" s="1098">
        <v>175</v>
      </c>
      <c r="B184" s="1519"/>
      <c r="C184" s="1121" t="s">
        <v>3674</v>
      </c>
      <c r="D184" s="1116">
        <v>909</v>
      </c>
      <c r="E184" s="1189">
        <f>'Operating Report'!F101</f>
        <v>66640.58</v>
      </c>
      <c r="F184" s="1189">
        <f>'Operating Report'!H101</f>
        <v>0</v>
      </c>
      <c r="G184" s="1189">
        <f>'Operating Report'!I101</f>
        <v>0</v>
      </c>
      <c r="H184" s="1189">
        <f>'Operating Report'!J101</f>
        <v>0</v>
      </c>
      <c r="I184" s="1189">
        <f>'Operating Report'!K101</f>
        <v>0</v>
      </c>
      <c r="J184" s="1189">
        <f>'Operating Report'!L101</f>
        <v>0</v>
      </c>
      <c r="K184" s="1189">
        <f>'Operating Report'!M101</f>
        <v>0</v>
      </c>
      <c r="L184" s="1189">
        <f>'Operating Report'!N101</f>
        <v>0</v>
      </c>
      <c r="M184" s="1189">
        <f>'Operating Report'!O101</f>
        <v>0</v>
      </c>
      <c r="N184" s="1189">
        <f>'Operating Report'!P101</f>
        <v>0</v>
      </c>
      <c r="O184" s="1189">
        <f>'Operating Report'!Q101</f>
        <v>0</v>
      </c>
      <c r="P184" s="1189">
        <f>'Operating Report'!R101</f>
        <v>0</v>
      </c>
      <c r="Q184" s="1189">
        <f t="shared" si="31"/>
        <v>0</v>
      </c>
      <c r="R184" s="1189">
        <f>'Operating Report'!T101</f>
        <v>0</v>
      </c>
      <c r="S184" s="1189">
        <f>'Operating Report'!U101</f>
        <v>0</v>
      </c>
      <c r="T184" s="1189">
        <f>'Operating Report'!V101</f>
        <v>0</v>
      </c>
      <c r="U184" s="1189">
        <f>'Operating Report'!W101</f>
        <v>0</v>
      </c>
      <c r="V184" s="1189">
        <f>'Operating Report'!X101</f>
        <v>0</v>
      </c>
      <c r="W184" s="1189">
        <f>'Operating Report'!Y101</f>
        <v>0</v>
      </c>
      <c r="X184" s="1189">
        <f>'Operating Report'!Z101</f>
        <v>0</v>
      </c>
      <c r="Y184" s="1189">
        <f>'Operating Report'!AA101</f>
        <v>0</v>
      </c>
      <c r="Z184" s="1189">
        <f>'Operating Report'!AB101</f>
        <v>1013.5246136910721</v>
      </c>
      <c r="AA184" s="1192">
        <f>SUM(R184:Z184)</f>
        <v>1013.5246136910721</v>
      </c>
      <c r="AB184" s="1192">
        <f>Q184+AA184</f>
        <v>1013.5246136910721</v>
      </c>
      <c r="AC184" s="1192">
        <f>E184+AB184</f>
        <v>67654.104613691074</v>
      </c>
      <c r="AE184" s="1192">
        <f>AC184+AD184</f>
        <v>67654.104613691074</v>
      </c>
    </row>
    <row r="185" spans="1:31">
      <c r="A185" s="1098">
        <v>176</v>
      </c>
      <c r="B185" s="1520"/>
      <c r="C185" s="1124" t="s">
        <v>3933</v>
      </c>
      <c r="D185" s="1125">
        <v>910</v>
      </c>
      <c r="E185" s="1189">
        <f>'Operating Report'!F102+'Operating Report'!F107</f>
        <v>181278.34000000003</v>
      </c>
      <c r="F185" s="1189">
        <f>'Operating Report'!H102+'Operating Report'!H107</f>
        <v>0</v>
      </c>
      <c r="G185" s="1189">
        <f>'Operating Report'!I102+'Operating Report'!I107</f>
        <v>0</v>
      </c>
      <c r="H185" s="1189">
        <f>'Operating Report'!J102+'Operating Report'!J107</f>
        <v>0</v>
      </c>
      <c r="I185" s="1189">
        <f>'Operating Report'!K102+'Operating Report'!K107</f>
        <v>0</v>
      </c>
      <c r="J185" s="1189">
        <f>'Operating Report'!L102+'Operating Report'!L107</f>
        <v>0</v>
      </c>
      <c r="K185" s="1189">
        <f>'Operating Report'!M102+'Operating Report'!M107</f>
        <v>0</v>
      </c>
      <c r="L185" s="1189">
        <f>'Operating Report'!N102+'Operating Report'!N107</f>
        <v>-15326.55</v>
      </c>
      <c r="M185" s="1189">
        <f>'Operating Report'!O102+'Operating Report'!O107</f>
        <v>0</v>
      </c>
      <c r="N185" s="1189">
        <f>'Operating Report'!P102+'Operating Report'!P107</f>
        <v>0</v>
      </c>
      <c r="O185" s="1189">
        <f>'Operating Report'!Q102+'Operating Report'!Q107</f>
        <v>0</v>
      </c>
      <c r="P185" s="1189">
        <f>'Operating Report'!R102+'Operating Report'!R107</f>
        <v>0</v>
      </c>
      <c r="Q185" s="1189">
        <f t="shared" si="31"/>
        <v>-15326.55</v>
      </c>
      <c r="R185" s="1189">
        <f>'Operating Report'!T102+'Operating Report'!T107</f>
        <v>0</v>
      </c>
      <c r="S185" s="1189">
        <f>'Operating Report'!U102+'Operating Report'!U107</f>
        <v>9526.9088150000007</v>
      </c>
      <c r="T185" s="1189">
        <f>'Operating Report'!V102+'Operating Report'!V107</f>
        <v>0</v>
      </c>
      <c r="U185" s="1189">
        <f>'Operating Report'!W102+'Operating Report'!W107</f>
        <v>0</v>
      </c>
      <c r="V185" s="1189">
        <f>'Operating Report'!X102+'Operating Report'!X107</f>
        <v>0</v>
      </c>
      <c r="W185" s="1189">
        <f>'Operating Report'!Y102+'Operating Report'!Y107</f>
        <v>0</v>
      </c>
      <c r="X185" s="1189">
        <f>'Operating Report'!Z102+'Operating Report'!Z107</f>
        <v>0</v>
      </c>
      <c r="Y185" s="1189">
        <f>'Operating Report'!AA102+'Operating Report'!AA107</f>
        <v>0</v>
      </c>
      <c r="Z185" s="1189">
        <f>'Operating Report'!AB102+'Operating Report'!AB107</f>
        <v>64.669121117846942</v>
      </c>
      <c r="AA185" s="1192">
        <f>SUM(R185:Z185)</f>
        <v>9591.5779361178484</v>
      </c>
      <c r="AB185" s="1192">
        <f>Q185+AA185</f>
        <v>-5734.9720638821509</v>
      </c>
      <c r="AC185" s="1192">
        <f>E185+AB185</f>
        <v>175543.36793611787</v>
      </c>
      <c r="AE185" s="1192">
        <f>AC185+AD185</f>
        <v>175543.36793611787</v>
      </c>
    </row>
    <row r="186" spans="1:31">
      <c r="A186" s="1098">
        <v>177</v>
      </c>
      <c r="B186" s="1514" t="s">
        <v>3934</v>
      </c>
      <c r="C186" s="1515"/>
      <c r="D186" s="1516"/>
      <c r="E186" s="1189">
        <f>SUM(E182:E185)</f>
        <v>8303368.459999999</v>
      </c>
      <c r="F186" s="1189">
        <f t="shared" ref="F186:AE186" si="33">SUM(F182:F185)</f>
        <v>-8150919.2300000004</v>
      </c>
      <c r="G186" s="1189">
        <f t="shared" si="33"/>
        <v>0</v>
      </c>
      <c r="H186" s="1189">
        <f t="shared" si="33"/>
        <v>0</v>
      </c>
      <c r="I186" s="1189">
        <f t="shared" si="33"/>
        <v>0</v>
      </c>
      <c r="J186" s="1189">
        <f t="shared" si="33"/>
        <v>0</v>
      </c>
      <c r="K186" s="1189">
        <f t="shared" si="33"/>
        <v>0</v>
      </c>
      <c r="L186" s="1189">
        <f t="shared" si="33"/>
        <v>-65098.05</v>
      </c>
      <c r="M186" s="1189">
        <f t="shared" si="33"/>
        <v>0</v>
      </c>
      <c r="N186" s="1189">
        <f t="shared" si="33"/>
        <v>0</v>
      </c>
      <c r="O186" s="1189">
        <f t="shared" si="33"/>
        <v>18393.799999999992</v>
      </c>
      <c r="P186" s="1189">
        <f t="shared" si="33"/>
        <v>0</v>
      </c>
      <c r="Q186" s="1189">
        <f t="shared" si="33"/>
        <v>-8197623.4800000004</v>
      </c>
      <c r="R186" s="1189">
        <f t="shared" si="33"/>
        <v>0</v>
      </c>
      <c r="S186" s="1189">
        <f t="shared" si="33"/>
        <v>11753.408228</v>
      </c>
      <c r="T186" s="1189">
        <f t="shared" si="33"/>
        <v>0</v>
      </c>
      <c r="U186" s="1189">
        <f t="shared" si="33"/>
        <v>0</v>
      </c>
      <c r="V186" s="1189">
        <f t="shared" si="33"/>
        <v>0</v>
      </c>
      <c r="W186" s="1189">
        <f t="shared" si="33"/>
        <v>0</v>
      </c>
      <c r="X186" s="1189">
        <f t="shared" si="33"/>
        <v>0</v>
      </c>
      <c r="Y186" s="1189">
        <f t="shared" si="33"/>
        <v>0</v>
      </c>
      <c r="Z186" s="1189">
        <f t="shared" si="33"/>
        <v>-10147.760106437885</v>
      </c>
      <c r="AA186" s="1189">
        <f t="shared" si="33"/>
        <v>1605.6481215621152</v>
      </c>
      <c r="AB186" s="1189">
        <f t="shared" si="33"/>
        <v>-8196017.8318784386</v>
      </c>
      <c r="AC186" s="1189">
        <f t="shared" si="33"/>
        <v>107350.62812156024</v>
      </c>
      <c r="AD186" s="1189">
        <f t="shared" si="33"/>
        <v>0</v>
      </c>
      <c r="AE186" s="1189">
        <f t="shared" si="33"/>
        <v>107350.62812156024</v>
      </c>
    </row>
    <row r="187" spans="1:31" ht="15.6" customHeight="1" outlineLevel="1">
      <c r="A187" s="1098">
        <v>178</v>
      </c>
      <c r="B187" s="1521" t="s">
        <v>3935</v>
      </c>
      <c r="C187" s="1126" t="s">
        <v>3683</v>
      </c>
      <c r="D187" s="1127">
        <v>920</v>
      </c>
      <c r="E187" s="1189">
        <f>'Operating Report'!F113</f>
        <v>9401904.8599999994</v>
      </c>
      <c r="F187" s="1189">
        <f>'Operating Report'!H113</f>
        <v>0</v>
      </c>
      <c r="G187" s="1189">
        <f>'Operating Report'!I113</f>
        <v>0</v>
      </c>
      <c r="H187" s="1189">
        <f>'Operating Report'!J113</f>
        <v>0</v>
      </c>
      <c r="I187" s="1189">
        <f>'Operating Report'!K113</f>
        <v>0</v>
      </c>
      <c r="J187" s="1189">
        <f>'Operating Report'!L113</f>
        <v>0</v>
      </c>
      <c r="K187" s="1189">
        <f>'Operating Report'!M113</f>
        <v>0</v>
      </c>
      <c r="L187" s="1189">
        <f>'Operating Report'!N113</f>
        <v>-1795330.17</v>
      </c>
      <c r="M187" s="1189">
        <f>'Operating Report'!O113</f>
        <v>0</v>
      </c>
      <c r="N187" s="1189">
        <f>'Operating Report'!P113</f>
        <v>0</v>
      </c>
      <c r="O187" s="1189">
        <f>'Operating Report'!Q113</f>
        <v>49659.740000000005</v>
      </c>
      <c r="P187" s="1189">
        <f>'Operating Report'!R113</f>
        <v>0</v>
      </c>
      <c r="Q187" s="1189">
        <f t="shared" si="31"/>
        <v>-1745670.43</v>
      </c>
      <c r="R187" s="1189">
        <f>'Operating Report'!T113</f>
        <v>0</v>
      </c>
      <c r="S187" s="1189">
        <f>'Operating Report'!U113</f>
        <v>403392.74529799994</v>
      </c>
      <c r="T187" s="1189">
        <f>'Operating Report'!V113</f>
        <v>0</v>
      </c>
      <c r="U187" s="1189">
        <f>'Operating Report'!W113</f>
        <v>0</v>
      </c>
      <c r="V187" s="1189">
        <f>'Operating Report'!X113</f>
        <v>0</v>
      </c>
      <c r="W187" s="1189">
        <f>'Operating Report'!Y113</f>
        <v>0</v>
      </c>
      <c r="X187" s="1189">
        <f>'Operating Report'!Z113</f>
        <v>0</v>
      </c>
      <c r="Y187" s="1189">
        <f>'Operating Report'!AA113</f>
        <v>0</v>
      </c>
      <c r="Z187" s="1189">
        <f>'Operating Report'!AB113</f>
        <v>0</v>
      </c>
      <c r="AA187" s="1192">
        <f>SUM(R187:Z187)</f>
        <v>403392.74529799994</v>
      </c>
      <c r="AB187" s="1192">
        <f>Q187+AA187</f>
        <v>-1342277.6847020001</v>
      </c>
      <c r="AC187" s="1192">
        <f>E187+AB187</f>
        <v>8059627.1752979998</v>
      </c>
      <c r="AE187" s="1192">
        <f>AC187+AD187</f>
        <v>8059627.1752979998</v>
      </c>
    </row>
    <row r="188" spans="1:31" outlineLevel="1">
      <c r="A188" s="1098">
        <v>179</v>
      </c>
      <c r="B188" s="1519"/>
      <c r="C188" s="1120" t="s">
        <v>3684</v>
      </c>
      <c r="D188" s="1114">
        <v>921</v>
      </c>
      <c r="E188" s="1189">
        <f>'Operating Report'!F114</f>
        <v>3175378.32</v>
      </c>
      <c r="F188" s="1189">
        <f>'Operating Report'!H114</f>
        <v>0</v>
      </c>
      <c r="G188" s="1189">
        <f>'Operating Report'!I114</f>
        <v>0</v>
      </c>
      <c r="H188" s="1189">
        <f>'Operating Report'!J114</f>
        <v>0</v>
      </c>
      <c r="I188" s="1189">
        <f>'Operating Report'!K114</f>
        <v>0</v>
      </c>
      <c r="J188" s="1189">
        <f>'Operating Report'!L114</f>
        <v>0</v>
      </c>
      <c r="K188" s="1189">
        <f>'Operating Report'!M114</f>
        <v>0</v>
      </c>
      <c r="L188" s="1189">
        <f>'Operating Report'!N114</f>
        <v>0</v>
      </c>
      <c r="M188" s="1189">
        <f>'Operating Report'!O114</f>
        <v>0</v>
      </c>
      <c r="N188" s="1189">
        <f>'Operating Report'!P114</f>
        <v>1445089.6199999999</v>
      </c>
      <c r="O188" s="1189">
        <f>'Operating Report'!Q114</f>
        <v>0</v>
      </c>
      <c r="P188" s="1189">
        <f>'Operating Report'!R114</f>
        <v>0</v>
      </c>
      <c r="Q188" s="1189">
        <f t="shared" si="31"/>
        <v>1445089.6199999999</v>
      </c>
      <c r="R188" s="1189">
        <f>'Operating Report'!T114</f>
        <v>0</v>
      </c>
      <c r="S188" s="1189">
        <f>'Operating Report'!U114</f>
        <v>0</v>
      </c>
      <c r="T188" s="1189">
        <f>'Operating Report'!V114</f>
        <v>0</v>
      </c>
      <c r="U188" s="1189">
        <f>'Operating Report'!W114</f>
        <v>0</v>
      </c>
      <c r="V188" s="1189">
        <f>'Operating Report'!X114</f>
        <v>0</v>
      </c>
      <c r="W188" s="1189">
        <f>'Operating Report'!Y114</f>
        <v>0</v>
      </c>
      <c r="X188" s="1189">
        <f>'Operating Report'!Z114</f>
        <v>0</v>
      </c>
      <c r="Y188" s="1189">
        <f>'Operating Report'!AA114</f>
        <v>0</v>
      </c>
      <c r="Z188" s="1189">
        <f>'Operating Report'!AB114</f>
        <v>48293.758624264752</v>
      </c>
      <c r="AA188" s="1192">
        <f>SUM(R188:Z188)</f>
        <v>48293.758624264752</v>
      </c>
      <c r="AB188" s="1192">
        <f>Q188+AA188</f>
        <v>1493383.3786242646</v>
      </c>
      <c r="AC188" s="1192">
        <f>E188+AB188</f>
        <v>4668761.6986242644</v>
      </c>
      <c r="AE188" s="1192">
        <f>AC188+AD188</f>
        <v>4668761.6986242644</v>
      </c>
    </row>
    <row r="189" spans="1:31" outlineLevel="1">
      <c r="A189" s="1098">
        <v>180</v>
      </c>
      <c r="B189" s="1519"/>
      <c r="C189" s="1120" t="s">
        <v>3936</v>
      </c>
      <c r="D189" s="1114">
        <v>922</v>
      </c>
      <c r="E189" s="1189"/>
      <c r="F189" s="1189"/>
      <c r="G189" s="1189"/>
      <c r="H189" s="1189"/>
      <c r="I189" s="1189"/>
      <c r="J189" s="1189"/>
      <c r="K189" s="1189"/>
      <c r="L189" s="1189"/>
      <c r="M189" s="1189"/>
      <c r="N189" s="1189"/>
      <c r="O189" s="1189"/>
      <c r="P189" s="1189"/>
      <c r="R189" s="1189"/>
      <c r="S189" s="1189"/>
      <c r="T189" s="1189"/>
      <c r="U189" s="1189"/>
      <c r="V189" s="1189"/>
      <c r="W189" s="1189"/>
      <c r="X189" s="1189"/>
      <c r="Y189" s="1189"/>
      <c r="Z189" s="1189"/>
    </row>
    <row r="190" spans="1:31" outlineLevel="1">
      <c r="A190" s="1098">
        <v>181</v>
      </c>
      <c r="B190" s="1519"/>
      <c r="C190" s="1120" t="s">
        <v>3685</v>
      </c>
      <c r="D190" s="1114">
        <v>923</v>
      </c>
      <c r="E190" s="1189">
        <f>'Operating Report'!F115</f>
        <v>1250376.3799999999</v>
      </c>
      <c r="F190" s="1189">
        <f>'Operating Report'!H115</f>
        <v>0</v>
      </c>
      <c r="G190" s="1189">
        <f>'Operating Report'!I115</f>
        <v>0</v>
      </c>
      <c r="H190" s="1189">
        <f>'Operating Report'!J115</f>
        <v>0</v>
      </c>
      <c r="I190" s="1189">
        <f>'Operating Report'!K115</f>
        <v>0</v>
      </c>
      <c r="J190" s="1189">
        <f>'Operating Report'!L115</f>
        <v>0</v>
      </c>
      <c r="K190" s="1189">
        <f>'Operating Report'!M115</f>
        <v>0</v>
      </c>
      <c r="L190" s="1189">
        <f>'Operating Report'!N115</f>
        <v>0</v>
      </c>
      <c r="M190" s="1189">
        <f>'Operating Report'!O115</f>
        <v>0</v>
      </c>
      <c r="N190" s="1189">
        <f>'Operating Report'!P115</f>
        <v>0</v>
      </c>
      <c r="O190" s="1189">
        <f>'Operating Report'!Q115</f>
        <v>0</v>
      </c>
      <c r="P190" s="1189">
        <f>'Operating Report'!R115</f>
        <v>0</v>
      </c>
      <c r="Q190" s="1189">
        <f t="shared" si="31"/>
        <v>0</v>
      </c>
      <c r="R190" s="1189">
        <f>'Operating Report'!T115</f>
        <v>0</v>
      </c>
      <c r="S190" s="1189">
        <f>'Operating Report'!U115</f>
        <v>0</v>
      </c>
      <c r="T190" s="1189">
        <f>'Operating Report'!V115</f>
        <v>0</v>
      </c>
      <c r="U190" s="1189">
        <f>'Operating Report'!W115</f>
        <v>1321811.05</v>
      </c>
      <c r="V190" s="1189">
        <f>'Operating Report'!X115</f>
        <v>0</v>
      </c>
      <c r="W190" s="1189">
        <f>'Operating Report'!Y115</f>
        <v>0</v>
      </c>
      <c r="X190" s="1189">
        <f>'Operating Report'!Z115</f>
        <v>0</v>
      </c>
      <c r="Y190" s="1189">
        <f>'Operating Report'!AA115</f>
        <v>0</v>
      </c>
      <c r="Z190" s="1189">
        <f>'Operating Report'!AB115</f>
        <v>0</v>
      </c>
      <c r="AA190" s="1192">
        <f>SUM(R190:Z190)</f>
        <v>1321811.05</v>
      </c>
      <c r="AB190" s="1192">
        <f>Q190+AA190</f>
        <v>1321811.05</v>
      </c>
      <c r="AC190" s="1192">
        <f>E190+AB190</f>
        <v>2572187.4299999997</v>
      </c>
      <c r="AE190" s="1192">
        <f>AC190+AD190</f>
        <v>2572187.4299999997</v>
      </c>
    </row>
    <row r="191" spans="1:31" outlineLevel="1">
      <c r="A191" s="1098">
        <v>182</v>
      </c>
      <c r="B191" s="1519"/>
      <c r="C191" s="1120" t="s">
        <v>3686</v>
      </c>
      <c r="D191" s="1114">
        <v>924</v>
      </c>
      <c r="E191" s="1189">
        <f>'Operating Report'!F116</f>
        <v>97331.09</v>
      </c>
      <c r="F191" s="1189">
        <f>'Operating Report'!H116</f>
        <v>0</v>
      </c>
      <c r="G191" s="1189">
        <f>'Operating Report'!I116</f>
        <v>0</v>
      </c>
      <c r="H191" s="1189">
        <f>'Operating Report'!J116</f>
        <v>0</v>
      </c>
      <c r="I191" s="1189">
        <f>'Operating Report'!K116</f>
        <v>0</v>
      </c>
      <c r="J191" s="1189">
        <f>'Operating Report'!L116</f>
        <v>0</v>
      </c>
      <c r="K191" s="1189">
        <f>'Operating Report'!M116</f>
        <v>0</v>
      </c>
      <c r="L191" s="1189">
        <f>'Operating Report'!N116</f>
        <v>0</v>
      </c>
      <c r="M191" s="1189">
        <f>'Operating Report'!O116</f>
        <v>0</v>
      </c>
      <c r="N191" s="1189">
        <f>'Operating Report'!P116</f>
        <v>0</v>
      </c>
      <c r="O191" s="1189">
        <f>'Operating Report'!Q116</f>
        <v>0</v>
      </c>
      <c r="P191" s="1189">
        <f>'Operating Report'!R116</f>
        <v>0</v>
      </c>
      <c r="Q191" s="1189">
        <f t="shared" si="31"/>
        <v>0</v>
      </c>
      <c r="R191" s="1189">
        <f>'Operating Report'!T116</f>
        <v>0</v>
      </c>
      <c r="S191" s="1189">
        <f>'Operating Report'!U116</f>
        <v>0</v>
      </c>
      <c r="T191" s="1189">
        <f>'Operating Report'!V116</f>
        <v>0</v>
      </c>
      <c r="U191" s="1189">
        <f>'Operating Report'!W116</f>
        <v>0</v>
      </c>
      <c r="V191" s="1189">
        <f>'Operating Report'!X116</f>
        <v>0</v>
      </c>
      <c r="W191" s="1189">
        <f>'Operating Report'!Y116</f>
        <v>0</v>
      </c>
      <c r="X191" s="1189">
        <f>'Operating Report'!Z116</f>
        <v>0</v>
      </c>
      <c r="Y191" s="1189">
        <f>'Operating Report'!AA116</f>
        <v>0</v>
      </c>
      <c r="Z191" s="1189">
        <f>'Operating Report'!AB116</f>
        <v>1480.2910687809283</v>
      </c>
      <c r="AA191" s="1192">
        <f>SUM(R191:Z191)</f>
        <v>1480.2910687809283</v>
      </c>
      <c r="AB191" s="1192">
        <f>Q191+AA191</f>
        <v>1480.2910687809283</v>
      </c>
      <c r="AC191" s="1192">
        <f>E191+AB191</f>
        <v>98811.381068780931</v>
      </c>
      <c r="AE191" s="1192">
        <f>AC191+AD191</f>
        <v>98811.381068780931</v>
      </c>
    </row>
    <row r="192" spans="1:31" outlineLevel="1">
      <c r="A192" s="1098">
        <v>183</v>
      </c>
      <c r="B192" s="1519"/>
      <c r="C192" s="1120" t="s">
        <v>3687</v>
      </c>
      <c r="D192" s="1114">
        <v>925</v>
      </c>
      <c r="E192" s="1189">
        <f>'Operating Report'!F117</f>
        <v>1998980.68</v>
      </c>
      <c r="F192" s="1189">
        <f>'Operating Report'!H117</f>
        <v>0</v>
      </c>
      <c r="G192" s="1189">
        <f>'Operating Report'!I117</f>
        <v>0</v>
      </c>
      <c r="H192" s="1189">
        <f>'Operating Report'!J117</f>
        <v>0</v>
      </c>
      <c r="I192" s="1189">
        <f>'Operating Report'!K117</f>
        <v>0</v>
      </c>
      <c r="J192" s="1189">
        <f>'Operating Report'!L117</f>
        <v>0</v>
      </c>
      <c r="K192" s="1189">
        <f>'Operating Report'!M117</f>
        <v>0</v>
      </c>
      <c r="L192" s="1189">
        <f>'Operating Report'!N117</f>
        <v>0</v>
      </c>
      <c r="M192" s="1189">
        <f>'Operating Report'!O117</f>
        <v>0</v>
      </c>
      <c r="N192" s="1189">
        <f>'Operating Report'!P117</f>
        <v>0</v>
      </c>
      <c r="O192" s="1189">
        <f>'Operating Report'!Q117</f>
        <v>0</v>
      </c>
      <c r="P192" s="1189">
        <f>'Operating Report'!R117</f>
        <v>0</v>
      </c>
      <c r="Q192" s="1189">
        <f t="shared" si="31"/>
        <v>0</v>
      </c>
      <c r="R192" s="1189">
        <f>'Operating Report'!T117</f>
        <v>0</v>
      </c>
      <c r="S192" s="1189">
        <f>'Operating Report'!U117</f>
        <v>0</v>
      </c>
      <c r="T192" s="1189">
        <f>'Operating Report'!V117</f>
        <v>0</v>
      </c>
      <c r="U192" s="1189">
        <f>'Operating Report'!W117</f>
        <v>0</v>
      </c>
      <c r="V192" s="1189">
        <f>'Operating Report'!X117</f>
        <v>0</v>
      </c>
      <c r="W192" s="1189">
        <f>'Operating Report'!Y117</f>
        <v>0</v>
      </c>
      <c r="X192" s="1189">
        <f>'Operating Report'!Z117</f>
        <v>0</v>
      </c>
      <c r="Y192" s="1189">
        <f>'Operating Report'!AA117</f>
        <v>0</v>
      </c>
      <c r="Z192" s="1189">
        <f>'Operating Report'!AB117</f>
        <v>26793.706678348026</v>
      </c>
      <c r="AA192" s="1192">
        <f>SUM(R192:Z192)</f>
        <v>26793.706678348026</v>
      </c>
      <c r="AB192" s="1192">
        <f>Q192+AA192</f>
        <v>26793.706678348026</v>
      </c>
      <c r="AC192" s="1192">
        <f>E192+AB192</f>
        <v>2025774.3866783481</v>
      </c>
      <c r="AE192" s="1192">
        <f>AC192+AD192</f>
        <v>2025774.3866783481</v>
      </c>
    </row>
    <row r="193" spans="1:31" outlineLevel="1">
      <c r="A193" s="1098">
        <v>184</v>
      </c>
      <c r="B193" s="1519"/>
      <c r="C193" s="1120" t="s">
        <v>3688</v>
      </c>
      <c r="D193" s="1114">
        <v>926</v>
      </c>
      <c r="E193" s="1189">
        <f>'Operating Report'!F118</f>
        <v>5353322.57</v>
      </c>
      <c r="F193" s="1189">
        <f>'Operating Report'!H118</f>
        <v>0</v>
      </c>
      <c r="G193" s="1189">
        <f>'Operating Report'!I118</f>
        <v>0</v>
      </c>
      <c r="H193" s="1189">
        <f>'Operating Report'!J118</f>
        <v>0</v>
      </c>
      <c r="I193" s="1189">
        <f>'Operating Report'!K118</f>
        <v>0</v>
      </c>
      <c r="J193" s="1189">
        <f>'Operating Report'!L118</f>
        <v>0</v>
      </c>
      <c r="K193" s="1189">
        <f>'Operating Report'!M118</f>
        <v>0</v>
      </c>
      <c r="L193" s="1189">
        <f>'Operating Report'!N118</f>
        <v>0</v>
      </c>
      <c r="M193" s="1189">
        <f>'Operating Report'!O118</f>
        <v>0</v>
      </c>
      <c r="N193" s="1189">
        <f>'Operating Report'!P118</f>
        <v>0</v>
      </c>
      <c r="O193" s="1189">
        <f>'Operating Report'!Q118</f>
        <v>0</v>
      </c>
      <c r="P193" s="1189">
        <f>'Operating Report'!R118</f>
        <v>0</v>
      </c>
      <c r="Q193" s="1189">
        <f t="shared" si="31"/>
        <v>0</v>
      </c>
      <c r="R193" s="1189">
        <f>'Operating Report'!T118</f>
        <v>0</v>
      </c>
      <c r="S193" s="1189">
        <f>'Operating Report'!U118</f>
        <v>0</v>
      </c>
      <c r="T193" s="1189">
        <f>'Operating Report'!V118</f>
        <v>0</v>
      </c>
      <c r="U193" s="1189">
        <f>'Operating Report'!W118</f>
        <v>0</v>
      </c>
      <c r="V193" s="1189">
        <f>'Operating Report'!X118</f>
        <v>1063224.6200000001</v>
      </c>
      <c r="W193" s="1189">
        <f>'Operating Report'!Y118</f>
        <v>0</v>
      </c>
      <c r="X193" s="1189">
        <f>'Operating Report'!Z118</f>
        <v>826039.32599999988</v>
      </c>
      <c r="Y193" s="1189">
        <f>'Operating Report'!AA118</f>
        <v>0</v>
      </c>
      <c r="Z193" s="1189">
        <f>'Operating Report'!AB118</f>
        <v>1914.0831282371996</v>
      </c>
      <c r="AA193" s="1192">
        <f>SUM(R193:Z193)</f>
        <v>1891178.0291282372</v>
      </c>
      <c r="AB193" s="1192">
        <f>Q193+AA193</f>
        <v>1891178.0291282372</v>
      </c>
      <c r="AC193" s="1192">
        <f>E193+AB193</f>
        <v>7244500.599128237</v>
      </c>
      <c r="AE193" s="1192">
        <f>AC193+AD193</f>
        <v>7244500.599128237</v>
      </c>
    </row>
    <row r="194" spans="1:31" outlineLevel="1">
      <c r="A194" s="1098">
        <v>185</v>
      </c>
      <c r="B194" s="1519"/>
      <c r="C194" s="1120" t="s">
        <v>3937</v>
      </c>
      <c r="D194" s="1114">
        <v>927</v>
      </c>
      <c r="E194" s="1189"/>
      <c r="F194" s="1189"/>
      <c r="G194" s="1189"/>
      <c r="H194" s="1189"/>
      <c r="I194" s="1189"/>
      <c r="J194" s="1189"/>
      <c r="K194" s="1189"/>
      <c r="L194" s="1189"/>
      <c r="M194" s="1189"/>
      <c r="N194" s="1189"/>
      <c r="O194" s="1189"/>
      <c r="P194" s="1189"/>
      <c r="R194" s="1189"/>
      <c r="S194" s="1189"/>
      <c r="T194" s="1189"/>
      <c r="U194" s="1189"/>
      <c r="V194" s="1189"/>
      <c r="W194" s="1189"/>
      <c r="X194" s="1189"/>
      <c r="Y194" s="1189"/>
      <c r="Z194" s="1189"/>
    </row>
    <row r="195" spans="1:31" outlineLevel="1">
      <c r="A195" s="1098">
        <v>186</v>
      </c>
      <c r="B195" s="1519"/>
      <c r="C195" s="1120" t="s">
        <v>3689</v>
      </c>
      <c r="D195" s="1114">
        <v>928</v>
      </c>
      <c r="E195" s="1189">
        <f>'Operating Report'!F119</f>
        <v>0</v>
      </c>
      <c r="F195" s="1189">
        <f>'Operating Report'!H119</f>
        <v>0</v>
      </c>
      <c r="G195" s="1189">
        <f>'Operating Report'!I119</f>
        <v>0</v>
      </c>
      <c r="H195" s="1189">
        <f>'Operating Report'!J119</f>
        <v>0</v>
      </c>
      <c r="I195" s="1189">
        <f>'Operating Report'!K119</f>
        <v>0</v>
      </c>
      <c r="J195" s="1189">
        <f>'Operating Report'!L119</f>
        <v>0</v>
      </c>
      <c r="K195" s="1189">
        <f>'Operating Report'!M119</f>
        <v>0</v>
      </c>
      <c r="L195" s="1189">
        <f>'Operating Report'!N119</f>
        <v>0</v>
      </c>
      <c r="M195" s="1189">
        <f>'Operating Report'!O119</f>
        <v>0</v>
      </c>
      <c r="N195" s="1189">
        <f>'Operating Report'!P119</f>
        <v>0</v>
      </c>
      <c r="O195" s="1189">
        <f>'Operating Report'!Q119</f>
        <v>0</v>
      </c>
      <c r="P195" s="1189">
        <f>'Operating Report'!R119</f>
        <v>0</v>
      </c>
      <c r="Q195" s="1189">
        <f t="shared" si="31"/>
        <v>0</v>
      </c>
      <c r="R195" s="1189">
        <f>'Operating Report'!T119</f>
        <v>0</v>
      </c>
      <c r="S195" s="1189">
        <f>'Operating Report'!U119</f>
        <v>0</v>
      </c>
      <c r="T195" s="1189">
        <f>'Operating Report'!V119</f>
        <v>0</v>
      </c>
      <c r="U195" s="1189">
        <f>'Operating Report'!W119</f>
        <v>0</v>
      </c>
      <c r="V195" s="1189">
        <f>'Operating Report'!X119</f>
        <v>0</v>
      </c>
      <c r="W195" s="1189">
        <f>'Operating Report'!Y119</f>
        <v>0</v>
      </c>
      <c r="X195" s="1189">
        <f>'Operating Report'!Z119</f>
        <v>0</v>
      </c>
      <c r="Y195" s="1189">
        <f>'Operating Report'!AA119</f>
        <v>0</v>
      </c>
      <c r="Z195" s="1189">
        <f>'Operating Report'!AB119</f>
        <v>0</v>
      </c>
      <c r="AA195" s="1192">
        <f>SUM(R195:Z195)</f>
        <v>0</v>
      </c>
      <c r="AB195" s="1192">
        <f>Q195+AA195</f>
        <v>0</v>
      </c>
      <c r="AC195" s="1192">
        <f>E195+AB195</f>
        <v>0</v>
      </c>
      <c r="AE195" s="1192">
        <f>AC195+AD195</f>
        <v>0</v>
      </c>
    </row>
    <row r="196" spans="1:31" outlineLevel="1">
      <c r="A196" s="1098">
        <v>187</v>
      </c>
      <c r="B196" s="1519"/>
      <c r="C196" s="1120" t="s">
        <v>3938</v>
      </c>
      <c r="D196" s="1114">
        <v>929</v>
      </c>
      <c r="E196" s="1189"/>
      <c r="F196" s="1189"/>
      <c r="G196" s="1189"/>
      <c r="H196" s="1189"/>
      <c r="I196" s="1189"/>
      <c r="J196" s="1189"/>
      <c r="K196" s="1189"/>
      <c r="L196" s="1189"/>
      <c r="M196" s="1189"/>
      <c r="N196" s="1189"/>
      <c r="O196" s="1189"/>
      <c r="P196" s="1189"/>
      <c r="R196" s="1189"/>
      <c r="S196" s="1189"/>
      <c r="T196" s="1189"/>
      <c r="U196" s="1189"/>
      <c r="V196" s="1189"/>
      <c r="W196" s="1189"/>
      <c r="X196" s="1189"/>
      <c r="Y196" s="1189"/>
      <c r="Z196" s="1189"/>
    </row>
    <row r="197" spans="1:31" outlineLevel="1">
      <c r="A197" s="1098">
        <v>188</v>
      </c>
      <c r="B197" s="1519"/>
      <c r="C197" s="1120" t="s">
        <v>3690</v>
      </c>
      <c r="D197" s="1114">
        <v>930.1</v>
      </c>
      <c r="E197" s="1189">
        <f>'Operating Report'!F120</f>
        <v>36573.93</v>
      </c>
      <c r="F197" s="1189">
        <f>'Operating Report'!H120</f>
        <v>0</v>
      </c>
      <c r="G197" s="1189">
        <f>'Operating Report'!I120</f>
        <v>0</v>
      </c>
      <c r="H197" s="1189">
        <f>'Operating Report'!J120</f>
        <v>0</v>
      </c>
      <c r="I197" s="1189">
        <f>'Operating Report'!K120</f>
        <v>0</v>
      </c>
      <c r="J197" s="1189">
        <f>'Operating Report'!L120</f>
        <v>-36573.89</v>
      </c>
      <c r="K197" s="1189">
        <f>'Operating Report'!M120</f>
        <v>0</v>
      </c>
      <c r="L197" s="1189">
        <f>'Operating Report'!N120</f>
        <v>0</v>
      </c>
      <c r="M197" s="1189">
        <f>'Operating Report'!O120</f>
        <v>0</v>
      </c>
      <c r="N197" s="1189">
        <f>'Operating Report'!P120</f>
        <v>0</v>
      </c>
      <c r="O197" s="1189">
        <f>'Operating Report'!Q120</f>
        <v>0</v>
      </c>
      <c r="P197" s="1189">
        <f>'Operating Report'!R120</f>
        <v>0</v>
      </c>
      <c r="Q197" s="1189">
        <f t="shared" si="31"/>
        <v>-36573.89</v>
      </c>
      <c r="R197" s="1189">
        <f>'Operating Report'!T120</f>
        <v>0</v>
      </c>
      <c r="S197" s="1189">
        <f>'Operating Report'!U120</f>
        <v>0</v>
      </c>
      <c r="T197" s="1189">
        <f>'Operating Report'!V120</f>
        <v>0</v>
      </c>
      <c r="U197" s="1189">
        <f>'Operating Report'!W120</f>
        <v>0</v>
      </c>
      <c r="V197" s="1189">
        <f>'Operating Report'!X120</f>
        <v>0</v>
      </c>
      <c r="W197" s="1189">
        <f>'Operating Report'!Y120</f>
        <v>0</v>
      </c>
      <c r="X197" s="1189">
        <f>'Operating Report'!Z120</f>
        <v>0</v>
      </c>
      <c r="Y197" s="1189">
        <f>'Operating Report'!AA120</f>
        <v>0</v>
      </c>
      <c r="Z197" s="1189">
        <f>'Operating Report'!AB120</f>
        <v>6.0835281668508592E-4</v>
      </c>
      <c r="AA197" s="1192">
        <f>SUM(R197:Z197)</f>
        <v>6.0835281668508592E-4</v>
      </c>
      <c r="AB197" s="1192">
        <f>Q197+AA197</f>
        <v>-36573.889391647186</v>
      </c>
      <c r="AC197" s="1192">
        <f>E197+AB197</f>
        <v>4.0608352814160753E-2</v>
      </c>
      <c r="AE197" s="1192">
        <f>AC197+AD197</f>
        <v>4.0608352814160753E-2</v>
      </c>
    </row>
    <row r="198" spans="1:31" outlineLevel="1">
      <c r="A198" s="1098">
        <v>189</v>
      </c>
      <c r="B198" s="1519"/>
      <c r="C198" s="1120" t="s">
        <v>3691</v>
      </c>
      <c r="D198" s="1114">
        <v>930.2</v>
      </c>
      <c r="E198" s="1189">
        <f>'Operating Report'!F121</f>
        <v>512871.74</v>
      </c>
      <c r="F198" s="1189">
        <f>'Operating Report'!H121</f>
        <v>0</v>
      </c>
      <c r="G198" s="1189">
        <f>'Operating Report'!I121</f>
        <v>0</v>
      </c>
      <c r="H198" s="1189">
        <f>'Operating Report'!J121</f>
        <v>0</v>
      </c>
      <c r="I198" s="1189">
        <f>'Operating Report'!K121</f>
        <v>0</v>
      </c>
      <c r="J198" s="1189">
        <f>'Operating Report'!L121</f>
        <v>0</v>
      </c>
      <c r="K198" s="1189">
        <f>'Operating Report'!M121</f>
        <v>0</v>
      </c>
      <c r="L198" s="1189">
        <f>'Operating Report'!N121</f>
        <v>0</v>
      </c>
      <c r="M198" s="1189">
        <f>'Operating Report'!O121</f>
        <v>-160480.375</v>
      </c>
      <c r="N198" s="1189">
        <f>'Operating Report'!P121</f>
        <v>0</v>
      </c>
      <c r="O198" s="1189">
        <f>'Operating Report'!Q121</f>
        <v>0</v>
      </c>
      <c r="P198" s="1189">
        <f>'Operating Report'!R121</f>
        <v>0</v>
      </c>
      <c r="Q198" s="1189">
        <f t="shared" si="31"/>
        <v>-160480.375</v>
      </c>
      <c r="R198" s="1189">
        <f>'Operating Report'!T121</f>
        <v>0</v>
      </c>
      <c r="S198" s="1189">
        <f>'Operating Report'!U121</f>
        <v>0</v>
      </c>
      <c r="T198" s="1189">
        <f>'Operating Report'!V121</f>
        <v>0</v>
      </c>
      <c r="U198" s="1189">
        <f>'Operating Report'!W121</f>
        <v>0</v>
      </c>
      <c r="V198" s="1189">
        <f>'Operating Report'!X121</f>
        <v>0</v>
      </c>
      <c r="W198" s="1189">
        <f>'Operating Report'!Y121</f>
        <v>0</v>
      </c>
      <c r="X198" s="1189">
        <f>'Operating Report'!Z121</f>
        <v>0</v>
      </c>
      <c r="Y198" s="1189">
        <f>'Operating Report'!AA121</f>
        <v>0</v>
      </c>
      <c r="Z198" s="1189">
        <f>'Operating Report'!AB121</f>
        <v>5359.45698671432</v>
      </c>
      <c r="AA198" s="1192">
        <f>SUM(R198:Z198)</f>
        <v>5359.45698671432</v>
      </c>
      <c r="AB198" s="1192">
        <f>Q198+AA198</f>
        <v>-155120.91801328567</v>
      </c>
      <c r="AC198" s="1192">
        <f>E198+AB198</f>
        <v>357750.82198671432</v>
      </c>
      <c r="AE198" s="1192">
        <f>AC198+AD198</f>
        <v>357750.82198671432</v>
      </c>
    </row>
    <row r="199" spans="1:31" outlineLevel="1">
      <c r="A199" s="1098">
        <v>190</v>
      </c>
      <c r="B199" s="1519"/>
      <c r="C199" s="1120" t="s">
        <v>855</v>
      </c>
      <c r="D199" s="1114">
        <v>931</v>
      </c>
      <c r="E199" s="1189">
        <f>'Operating Report'!F122</f>
        <v>1611424.68</v>
      </c>
      <c r="F199" s="1189">
        <f>'Operating Report'!H122</f>
        <v>0</v>
      </c>
      <c r="G199" s="1189">
        <f>'Operating Report'!I122</f>
        <v>0</v>
      </c>
      <c r="H199" s="1189">
        <f>'Operating Report'!J122</f>
        <v>0</v>
      </c>
      <c r="I199" s="1189">
        <f>'Operating Report'!K122</f>
        <v>0</v>
      </c>
      <c r="J199" s="1189">
        <f>'Operating Report'!L122</f>
        <v>0</v>
      </c>
      <c r="K199" s="1189">
        <f>'Operating Report'!M122</f>
        <v>0</v>
      </c>
      <c r="L199" s="1189">
        <f>'Operating Report'!N122</f>
        <v>0</v>
      </c>
      <c r="M199" s="1189">
        <f>'Operating Report'!O122</f>
        <v>0</v>
      </c>
      <c r="N199" s="1189">
        <f>'Operating Report'!P122</f>
        <v>0</v>
      </c>
      <c r="O199" s="1189">
        <f>'Operating Report'!Q122</f>
        <v>0</v>
      </c>
      <c r="P199" s="1189">
        <f>'Operating Report'!R122</f>
        <v>0</v>
      </c>
      <c r="Q199" s="1189">
        <f t="shared" si="31"/>
        <v>0</v>
      </c>
      <c r="R199" s="1189">
        <f>'Operating Report'!T122</f>
        <v>0</v>
      </c>
      <c r="S199" s="1189">
        <f>'Operating Report'!U122</f>
        <v>0</v>
      </c>
      <c r="T199" s="1189">
        <f>'Operating Report'!V122</f>
        <v>0</v>
      </c>
      <c r="U199" s="1189">
        <f>'Operating Report'!W122</f>
        <v>0</v>
      </c>
      <c r="V199" s="1189">
        <f>'Operating Report'!X122</f>
        <v>0</v>
      </c>
      <c r="W199" s="1189">
        <f>'Operating Report'!Y122</f>
        <v>0</v>
      </c>
      <c r="X199" s="1189">
        <f>'Operating Report'!Z122</f>
        <v>0</v>
      </c>
      <c r="Y199" s="1189">
        <f>'Operating Report'!AA122</f>
        <v>0</v>
      </c>
      <c r="Z199" s="1189">
        <f>'Operating Report'!AB122</f>
        <v>24507.868573311625</v>
      </c>
      <c r="AA199" s="1192">
        <f>SUM(R199:Z199)</f>
        <v>24507.868573311625</v>
      </c>
      <c r="AB199" s="1192">
        <f>Q199+AA199</f>
        <v>24507.868573311625</v>
      </c>
      <c r="AC199" s="1192">
        <f>E199+AB199</f>
        <v>1635932.5485733117</v>
      </c>
      <c r="AE199" s="1192">
        <f>AC199+AD199</f>
        <v>1635932.5485733117</v>
      </c>
    </row>
    <row r="200" spans="1:31">
      <c r="A200" s="1098">
        <v>191</v>
      </c>
      <c r="B200" s="1520"/>
      <c r="C200" s="1124" t="s">
        <v>3692</v>
      </c>
      <c r="D200" s="1125">
        <v>932</v>
      </c>
      <c r="E200" s="1189">
        <f>'Operating Report'!F123</f>
        <v>91713.5</v>
      </c>
      <c r="F200" s="1189">
        <f>'Operating Report'!H123</f>
        <v>0</v>
      </c>
      <c r="G200" s="1189">
        <f>'Operating Report'!I123</f>
        <v>0</v>
      </c>
      <c r="H200" s="1189">
        <f>'Operating Report'!J123</f>
        <v>0</v>
      </c>
      <c r="I200" s="1189">
        <f>'Operating Report'!K123</f>
        <v>0</v>
      </c>
      <c r="J200" s="1189">
        <f>'Operating Report'!L123</f>
        <v>0</v>
      </c>
      <c r="K200" s="1189">
        <f>'Operating Report'!M123</f>
        <v>16.9527</v>
      </c>
      <c r="L200" s="1189">
        <f>'Operating Report'!N123</f>
        <v>0</v>
      </c>
      <c r="M200" s="1189">
        <f>'Operating Report'!O123</f>
        <v>0</v>
      </c>
      <c r="N200" s="1189">
        <f>'Operating Report'!P123</f>
        <v>0</v>
      </c>
      <c r="O200" s="1189">
        <f>'Operating Report'!Q123</f>
        <v>0</v>
      </c>
      <c r="P200" s="1189">
        <f>'Operating Report'!R123</f>
        <v>0</v>
      </c>
      <c r="Q200" s="1189">
        <f t="shared" si="31"/>
        <v>16.9527</v>
      </c>
      <c r="R200" s="1189">
        <f>'Operating Report'!T123</f>
        <v>0</v>
      </c>
      <c r="S200" s="1189">
        <f>'Operating Report'!U123</f>
        <v>42.785135000000004</v>
      </c>
      <c r="T200" s="1189">
        <f>'Operating Report'!V123</f>
        <v>0</v>
      </c>
      <c r="U200" s="1189">
        <f>'Operating Report'!W123</f>
        <v>0</v>
      </c>
      <c r="V200" s="1189">
        <f>'Operating Report'!X123</f>
        <v>0</v>
      </c>
      <c r="W200" s="1189">
        <f>'Operating Report'!Y123</f>
        <v>0</v>
      </c>
      <c r="X200" s="1189">
        <f>'Operating Report'!Z123</f>
        <v>0</v>
      </c>
      <c r="Y200" s="1189">
        <f>'Operating Report'!AA123</f>
        <v>0</v>
      </c>
      <c r="Z200" s="1189">
        <f>'Operating Report'!AB123</f>
        <v>1387.2876110501843</v>
      </c>
      <c r="AA200" s="1192">
        <f>SUM(R200:Z200)</f>
        <v>1430.0727460501844</v>
      </c>
      <c r="AB200" s="1192">
        <f>Q200+AA200</f>
        <v>1447.0254460501844</v>
      </c>
      <c r="AC200" s="1192">
        <f>E200+AB200</f>
        <v>93160.525446050189</v>
      </c>
      <c r="AE200" s="1192">
        <f>AC200+AD200</f>
        <v>93160.525446050189</v>
      </c>
    </row>
    <row r="201" spans="1:31">
      <c r="A201" s="1098">
        <v>192</v>
      </c>
      <c r="B201" s="1522" t="s">
        <v>3939</v>
      </c>
      <c r="C201" s="1522"/>
      <c r="D201" s="1522"/>
      <c r="E201" s="1189">
        <f>SUM(E187:E200)</f>
        <v>23529877.749999996</v>
      </c>
      <c r="F201" s="1189">
        <f t="shared" ref="F201:AE201" si="34">SUM(F187:F200)</f>
        <v>0</v>
      </c>
      <c r="G201" s="1189">
        <f t="shared" si="34"/>
        <v>0</v>
      </c>
      <c r="H201" s="1189">
        <f t="shared" si="34"/>
        <v>0</v>
      </c>
      <c r="I201" s="1189">
        <f t="shared" si="34"/>
        <v>0</v>
      </c>
      <c r="J201" s="1189">
        <f t="shared" si="34"/>
        <v>-36573.89</v>
      </c>
      <c r="K201" s="1189">
        <f t="shared" si="34"/>
        <v>16.9527</v>
      </c>
      <c r="L201" s="1189">
        <f t="shared" si="34"/>
        <v>-1795330.17</v>
      </c>
      <c r="M201" s="1189">
        <f t="shared" si="34"/>
        <v>-160480.375</v>
      </c>
      <c r="N201" s="1189">
        <f t="shared" si="34"/>
        <v>1445089.6199999999</v>
      </c>
      <c r="O201" s="1189">
        <f t="shared" si="34"/>
        <v>49659.740000000005</v>
      </c>
      <c r="P201" s="1189">
        <f t="shared" si="34"/>
        <v>0</v>
      </c>
      <c r="Q201" s="1189">
        <f t="shared" si="34"/>
        <v>-497618.12230000005</v>
      </c>
      <c r="R201" s="1189">
        <f t="shared" si="34"/>
        <v>0</v>
      </c>
      <c r="S201" s="1189">
        <f t="shared" si="34"/>
        <v>403435.53043299995</v>
      </c>
      <c r="T201" s="1189">
        <f t="shared" si="34"/>
        <v>0</v>
      </c>
      <c r="U201" s="1189">
        <f t="shared" si="34"/>
        <v>1321811.05</v>
      </c>
      <c r="V201" s="1189">
        <f t="shared" si="34"/>
        <v>1063224.6200000001</v>
      </c>
      <c r="W201" s="1189">
        <f t="shared" si="34"/>
        <v>0</v>
      </c>
      <c r="X201" s="1189">
        <f t="shared" si="34"/>
        <v>826039.32599999988</v>
      </c>
      <c r="Y201" s="1189">
        <f t="shared" si="34"/>
        <v>0</v>
      </c>
      <c r="Z201" s="1189">
        <f t="shared" si="34"/>
        <v>109736.45327905985</v>
      </c>
      <c r="AA201" s="1189">
        <f t="shared" si="34"/>
        <v>3724246.9797120602</v>
      </c>
      <c r="AB201" s="1189">
        <f t="shared" si="34"/>
        <v>3226628.8574120598</v>
      </c>
      <c r="AC201" s="1189">
        <f t="shared" si="34"/>
        <v>26756506.607412059</v>
      </c>
      <c r="AD201" s="1189">
        <f t="shared" si="34"/>
        <v>0</v>
      </c>
      <c r="AE201" s="1189">
        <f t="shared" si="34"/>
        <v>26756506.607412059</v>
      </c>
    </row>
    <row r="202" spans="1:31">
      <c r="A202" s="1098">
        <v>193</v>
      </c>
      <c r="B202" s="1508" t="s">
        <v>3940</v>
      </c>
      <c r="C202" s="1128" t="s">
        <v>3941</v>
      </c>
      <c r="D202" s="1129" t="s">
        <v>3942</v>
      </c>
      <c r="E202" s="1189"/>
      <c r="AA202" s="1113"/>
    </row>
    <row r="203" spans="1:31" outlineLevel="1">
      <c r="A203" s="1098">
        <v>194</v>
      </c>
      <c r="B203" s="1508"/>
      <c r="C203" s="1128" t="s">
        <v>3943</v>
      </c>
      <c r="D203" s="1129" t="s">
        <v>3942</v>
      </c>
      <c r="E203" s="1189"/>
      <c r="AA203" s="1113"/>
    </row>
    <row r="204" spans="1:31" outlineLevel="1">
      <c r="A204" s="1098">
        <v>195</v>
      </c>
      <c r="B204" s="1508"/>
      <c r="C204" s="1128" t="s">
        <v>3944</v>
      </c>
      <c r="D204" s="1129" t="s">
        <v>3942</v>
      </c>
      <c r="E204" s="1189">
        <f>'COS Transfer File'!M243</f>
        <v>260831.39</v>
      </c>
      <c r="H204" s="1192">
        <f>'COS Transfer File'!D253-E204</f>
        <v>6815.3690199999837</v>
      </c>
      <c r="Q204" s="1189">
        <f>SUM(F204:P204)</f>
        <v>6815.3690199999837</v>
      </c>
      <c r="AA204" s="1192">
        <f>SUM(R204:Z204)</f>
        <v>0</v>
      </c>
      <c r="AB204" s="1192">
        <f>Q204+AA204</f>
        <v>6815.3690199999837</v>
      </c>
      <c r="AC204" s="1192">
        <f>E204+AB204</f>
        <v>267646.75902</v>
      </c>
      <c r="AE204" s="1192">
        <f>AC204+AD204</f>
        <v>267646.75902</v>
      </c>
    </row>
    <row r="205" spans="1:31" outlineLevel="1">
      <c r="A205" s="1098">
        <v>196</v>
      </c>
      <c r="B205" s="1508"/>
      <c r="C205" s="1128" t="s">
        <v>3945</v>
      </c>
      <c r="D205" s="1129" t="s">
        <v>3942</v>
      </c>
      <c r="E205" s="1189">
        <f>'COS Transfer File'!M260</f>
        <v>25291382.969999999</v>
      </c>
      <c r="H205" s="1192">
        <f>'COS Transfer File'!D266-E205</f>
        <v>974626.77521699667</v>
      </c>
      <c r="Q205" s="1189">
        <f>SUM(F205:P205)</f>
        <v>974626.77521699667</v>
      </c>
      <c r="AA205" s="1192">
        <f>SUM(R205:Z205)</f>
        <v>0</v>
      </c>
      <c r="AB205" s="1192">
        <f>Q205+AA205</f>
        <v>974626.77521699667</v>
      </c>
      <c r="AC205" s="1192">
        <f>E205+AB205</f>
        <v>26266009.745216995</v>
      </c>
      <c r="AE205" s="1192">
        <f>AC205+AD205</f>
        <v>26266009.745216995</v>
      </c>
    </row>
    <row r="206" spans="1:31" outlineLevel="1">
      <c r="A206" s="1098">
        <v>197</v>
      </c>
      <c r="B206" s="1508"/>
      <c r="C206" s="1128" t="s">
        <v>3946</v>
      </c>
      <c r="D206" s="1129" t="s">
        <v>3942</v>
      </c>
      <c r="E206" s="1189">
        <f>'COS Transfer File'!M278</f>
        <v>2183863.2600000007</v>
      </c>
      <c r="H206" s="1192">
        <f>'COS Transfer File'!D279-E206</f>
        <v>116241.0149039994</v>
      </c>
      <c r="Q206" s="1189">
        <f>SUM(F206:P206)</f>
        <v>116241.0149039994</v>
      </c>
      <c r="AA206" s="1192">
        <f>SUM(R206:Z206)</f>
        <v>0</v>
      </c>
      <c r="AB206" s="1192">
        <f>Q206+AA206</f>
        <v>116241.0149039994</v>
      </c>
      <c r="AC206" s="1192">
        <f>E206+AB206</f>
        <v>2300104.2749040001</v>
      </c>
      <c r="AE206" s="1192">
        <f>AC206+AD206</f>
        <v>2300104.2749040001</v>
      </c>
    </row>
    <row r="207" spans="1:31" outlineLevel="1">
      <c r="A207" s="1098">
        <v>198</v>
      </c>
      <c r="B207" s="1508"/>
      <c r="C207" s="1128" t="s">
        <v>3947</v>
      </c>
      <c r="D207" s="1129" t="s">
        <v>3942</v>
      </c>
      <c r="E207" s="1189"/>
      <c r="H207" s="1192"/>
      <c r="AA207" s="1113"/>
    </row>
    <row r="208" spans="1:31">
      <c r="A208" s="1098">
        <v>199</v>
      </c>
      <c r="B208" s="1522" t="s">
        <v>3948</v>
      </c>
      <c r="C208" s="1522"/>
      <c r="D208" s="1522"/>
      <c r="E208" s="1189">
        <f>SUM(E202:E207)</f>
        <v>27736077.620000001</v>
      </c>
      <c r="F208" s="1189">
        <f t="shared" ref="F208:AE208" si="35">SUM(F202:F207)</f>
        <v>0</v>
      </c>
      <c r="G208" s="1189">
        <f t="shared" si="35"/>
        <v>0</v>
      </c>
      <c r="H208" s="1189">
        <f t="shared" si="35"/>
        <v>1097683.1591409962</v>
      </c>
      <c r="I208" s="1189">
        <f t="shared" si="35"/>
        <v>0</v>
      </c>
      <c r="J208" s="1189">
        <f t="shared" si="35"/>
        <v>0</v>
      </c>
      <c r="K208" s="1189">
        <f t="shared" si="35"/>
        <v>0</v>
      </c>
      <c r="L208" s="1189">
        <f t="shared" si="35"/>
        <v>0</v>
      </c>
      <c r="M208" s="1189">
        <f t="shared" si="35"/>
        <v>0</v>
      </c>
      <c r="N208" s="1189">
        <f t="shared" si="35"/>
        <v>0</v>
      </c>
      <c r="O208" s="1189">
        <f t="shared" si="35"/>
        <v>0</v>
      </c>
      <c r="P208" s="1189">
        <f t="shared" si="35"/>
        <v>0</v>
      </c>
      <c r="Q208" s="1189">
        <f t="shared" si="35"/>
        <v>1097683.1591409962</v>
      </c>
      <c r="R208" s="1189">
        <f t="shared" si="35"/>
        <v>0</v>
      </c>
      <c r="S208" s="1189">
        <f t="shared" si="35"/>
        <v>0</v>
      </c>
      <c r="T208" s="1189">
        <f t="shared" si="35"/>
        <v>0</v>
      </c>
      <c r="U208" s="1189">
        <f t="shared" si="35"/>
        <v>0</v>
      </c>
      <c r="V208" s="1189">
        <f t="shared" si="35"/>
        <v>0</v>
      </c>
      <c r="W208" s="1189">
        <f t="shared" si="35"/>
        <v>0</v>
      </c>
      <c r="X208" s="1189">
        <f t="shared" si="35"/>
        <v>0</v>
      </c>
      <c r="Y208" s="1189">
        <f t="shared" si="35"/>
        <v>0</v>
      </c>
      <c r="Z208" s="1189">
        <f t="shared" si="35"/>
        <v>0</v>
      </c>
      <c r="AA208" s="1189">
        <f t="shared" si="35"/>
        <v>0</v>
      </c>
      <c r="AB208" s="1189">
        <f t="shared" si="35"/>
        <v>1097683.1591409962</v>
      </c>
      <c r="AC208" s="1189">
        <f t="shared" si="35"/>
        <v>28833760.779140998</v>
      </c>
      <c r="AD208" s="1189">
        <f t="shared" si="35"/>
        <v>0</v>
      </c>
      <c r="AE208" s="1189">
        <f t="shared" si="35"/>
        <v>28833760.779140998</v>
      </c>
    </row>
    <row r="209" spans="1:31">
      <c r="A209" s="1098">
        <v>200</v>
      </c>
      <c r="B209" s="1508" t="s">
        <v>3949</v>
      </c>
      <c r="C209" s="1108" t="s">
        <v>3950</v>
      </c>
      <c r="D209" s="1119" t="s">
        <v>3951</v>
      </c>
      <c r="E209" s="1189">
        <f>SUM('COS Transfer File'!J235:J296)</f>
        <v>3336831.4299999997</v>
      </c>
      <c r="H209" s="1192">
        <f>'COS Transfer File'!D236-E209</f>
        <v>114737.09000000078</v>
      </c>
      <c r="Q209" s="1189">
        <f>SUM(F209:P209)</f>
        <v>114737.09000000078</v>
      </c>
      <c r="AA209" s="1192">
        <f>SUM(R209:Z209)</f>
        <v>0</v>
      </c>
      <c r="AB209" s="1192">
        <f>Q209+AA209</f>
        <v>114737.09000000078</v>
      </c>
      <c r="AC209" s="1192">
        <f>E209+AB209</f>
        <v>3451568.5200000005</v>
      </c>
      <c r="AE209" s="1192">
        <f>AC209+AD209</f>
        <v>3451568.5200000005</v>
      </c>
    </row>
    <row r="210" spans="1:31" outlineLevel="1">
      <c r="A210" s="1098">
        <v>201</v>
      </c>
      <c r="B210" s="1508"/>
      <c r="C210" s="1108" t="s">
        <v>3952</v>
      </c>
      <c r="D210" s="1119">
        <v>404.1</v>
      </c>
      <c r="E210" s="1189"/>
    </row>
    <row r="211" spans="1:31" outlineLevel="1">
      <c r="A211" s="1098">
        <v>202</v>
      </c>
      <c r="B211" s="1508"/>
      <c r="C211" s="1108" t="s">
        <v>3953</v>
      </c>
      <c r="D211" s="1119">
        <v>404.2</v>
      </c>
      <c r="E211" s="1189"/>
    </row>
    <row r="212" spans="1:31" outlineLevel="1">
      <c r="A212" s="1098">
        <v>203</v>
      </c>
      <c r="B212" s="1508"/>
      <c r="C212" s="1108" t="s">
        <v>3954</v>
      </c>
      <c r="D212" s="1119">
        <v>404.3</v>
      </c>
      <c r="E212" s="1189"/>
    </row>
    <row r="213" spans="1:31" outlineLevel="1">
      <c r="A213" s="1098">
        <v>204</v>
      </c>
      <c r="B213" s="1508"/>
      <c r="C213" s="1108" t="s">
        <v>3955</v>
      </c>
      <c r="D213" s="1119">
        <v>405</v>
      </c>
      <c r="E213" s="1189"/>
    </row>
    <row r="214" spans="1:31" outlineLevel="1">
      <c r="A214" s="1098">
        <v>205</v>
      </c>
      <c r="B214" s="1508"/>
      <c r="C214" s="1108" t="s">
        <v>3956</v>
      </c>
      <c r="D214" s="1119">
        <v>406</v>
      </c>
      <c r="E214" s="1189"/>
    </row>
    <row r="215" spans="1:31" outlineLevel="1">
      <c r="A215" s="1098">
        <v>206</v>
      </c>
      <c r="B215" s="1508"/>
      <c r="C215" s="1108" t="s">
        <v>3957</v>
      </c>
      <c r="D215" s="1119">
        <v>407.1</v>
      </c>
      <c r="E215" s="1189"/>
    </row>
    <row r="216" spans="1:31" outlineLevel="1">
      <c r="A216" s="1098">
        <v>207</v>
      </c>
      <c r="B216" s="1508"/>
      <c r="C216" s="1108" t="s">
        <v>3958</v>
      </c>
      <c r="D216" s="1119">
        <v>407.2</v>
      </c>
      <c r="E216" s="1189"/>
    </row>
    <row r="217" spans="1:31">
      <c r="A217" s="1098">
        <v>208</v>
      </c>
      <c r="B217" s="1522" t="s">
        <v>3959</v>
      </c>
      <c r="C217" s="1522"/>
      <c r="D217" s="1522"/>
      <c r="E217" s="1189">
        <f>SUM(E209:E216)</f>
        <v>3336831.4299999997</v>
      </c>
      <c r="F217" s="1189">
        <f t="shared" ref="F217:AE217" si="36">SUM(F209:F216)</f>
        <v>0</v>
      </c>
      <c r="G217" s="1189">
        <f t="shared" si="36"/>
        <v>0</v>
      </c>
      <c r="H217" s="1189">
        <f t="shared" si="36"/>
        <v>114737.09000000078</v>
      </c>
      <c r="I217" s="1189">
        <f t="shared" si="36"/>
        <v>0</v>
      </c>
      <c r="J217" s="1189">
        <f t="shared" si="36"/>
        <v>0</v>
      </c>
      <c r="K217" s="1189">
        <f t="shared" si="36"/>
        <v>0</v>
      </c>
      <c r="L217" s="1189">
        <f t="shared" si="36"/>
        <v>0</v>
      </c>
      <c r="M217" s="1189">
        <f t="shared" si="36"/>
        <v>0</v>
      </c>
      <c r="N217" s="1189">
        <f t="shared" si="36"/>
        <v>0</v>
      </c>
      <c r="O217" s="1189">
        <f t="shared" si="36"/>
        <v>0</v>
      </c>
      <c r="P217" s="1189">
        <f t="shared" si="36"/>
        <v>0</v>
      </c>
      <c r="Q217" s="1189">
        <f t="shared" si="36"/>
        <v>114737.09000000078</v>
      </c>
      <c r="R217" s="1189">
        <f t="shared" si="36"/>
        <v>0</v>
      </c>
      <c r="S217" s="1189">
        <f t="shared" si="36"/>
        <v>0</v>
      </c>
      <c r="T217" s="1189">
        <f t="shared" si="36"/>
        <v>0</v>
      </c>
      <c r="U217" s="1189">
        <f t="shared" si="36"/>
        <v>0</v>
      </c>
      <c r="V217" s="1189">
        <f t="shared" si="36"/>
        <v>0</v>
      </c>
      <c r="W217" s="1189">
        <f t="shared" si="36"/>
        <v>0</v>
      </c>
      <c r="X217" s="1189">
        <f t="shared" si="36"/>
        <v>0</v>
      </c>
      <c r="Y217" s="1189">
        <f t="shared" si="36"/>
        <v>0</v>
      </c>
      <c r="Z217" s="1189">
        <f t="shared" si="36"/>
        <v>0</v>
      </c>
      <c r="AA217" s="1189">
        <f t="shared" si="36"/>
        <v>0</v>
      </c>
      <c r="AB217" s="1189">
        <f t="shared" si="36"/>
        <v>114737.09000000078</v>
      </c>
      <c r="AC217" s="1189">
        <f t="shared" si="36"/>
        <v>3451568.5200000005</v>
      </c>
      <c r="AD217" s="1189">
        <f t="shared" si="36"/>
        <v>0</v>
      </c>
      <c r="AE217" s="1189">
        <f t="shared" si="36"/>
        <v>3451568.5200000005</v>
      </c>
    </row>
    <row r="218" spans="1:31">
      <c r="A218" s="1098">
        <v>209</v>
      </c>
      <c r="B218" s="1130" t="s">
        <v>3960</v>
      </c>
      <c r="C218" s="1131" t="s">
        <v>3961</v>
      </c>
      <c r="D218" s="1132" t="s">
        <v>3962</v>
      </c>
      <c r="E218" s="1189">
        <f>'Operating Report'!F140</f>
        <v>0</v>
      </c>
      <c r="F218" s="1189">
        <f>'Operating Report'!H140</f>
        <v>0</v>
      </c>
      <c r="G218" s="1189">
        <f>'Operating Report'!I140</f>
        <v>0</v>
      </c>
      <c r="H218" s="1189">
        <f>'Operating Report'!J140</f>
        <v>0</v>
      </c>
      <c r="I218" s="1189">
        <f>'Operating Report'!K140</f>
        <v>0</v>
      </c>
      <c r="J218" s="1189">
        <f>'Operating Report'!L140</f>
        <v>0</v>
      </c>
      <c r="K218" s="1189">
        <f>'Operating Report'!M140</f>
        <v>0</v>
      </c>
      <c r="L218" s="1189">
        <f>'Operating Report'!N140</f>
        <v>0</v>
      </c>
      <c r="M218" s="1189">
        <f>'Operating Report'!O140</f>
        <v>0</v>
      </c>
      <c r="N218" s="1189">
        <f>'Operating Report'!P140</f>
        <v>0</v>
      </c>
      <c r="O218" s="1189">
        <f>'Operating Report'!Q140</f>
        <v>0</v>
      </c>
      <c r="P218" s="1189">
        <f>'Operating Report'!R140</f>
        <v>0</v>
      </c>
      <c r="Q218" s="1189">
        <f t="shared" ref="Q218:Q225" si="37">SUM(F218:P218)</f>
        <v>0</v>
      </c>
      <c r="R218" s="1189">
        <f>'Operating Report'!T140</f>
        <v>0</v>
      </c>
      <c r="S218" s="1189">
        <f>'Operating Report'!U140</f>
        <v>0</v>
      </c>
      <c r="T218" s="1189">
        <f>'Operating Report'!V140</f>
        <v>0</v>
      </c>
      <c r="U218" s="1189">
        <f>'Operating Report'!W140</f>
        <v>0</v>
      </c>
      <c r="V218" s="1189">
        <f>'Operating Report'!X140</f>
        <v>0</v>
      </c>
      <c r="W218" s="1189">
        <f>'Operating Report'!Y140</f>
        <v>0</v>
      </c>
      <c r="X218" s="1189">
        <f>'Operating Report'!Z140</f>
        <v>0</v>
      </c>
      <c r="Y218" s="1189">
        <f>'Operating Report'!AA140</f>
        <v>0</v>
      </c>
      <c r="Z218" s="1189">
        <f>'Operating Report'!AB140</f>
        <v>0</v>
      </c>
      <c r="AA218" s="1192">
        <f>SUM(R218:Z218)</f>
        <v>0</v>
      </c>
      <c r="AB218" s="1192">
        <f>Q218+AA218</f>
        <v>0</v>
      </c>
      <c r="AC218" s="1192">
        <f>E218+AB218</f>
        <v>0</v>
      </c>
      <c r="AE218" s="1192">
        <f t="shared" ref="AE218:AE225" si="38">AC218+AD218</f>
        <v>0</v>
      </c>
    </row>
    <row r="219" spans="1:31" s="1133" customFormat="1">
      <c r="A219" s="1098">
        <v>210</v>
      </c>
      <c r="B219" s="1514" t="s">
        <v>3963</v>
      </c>
      <c r="C219" s="1517"/>
      <c r="D219" s="1518"/>
      <c r="E219" s="1189">
        <f>E218</f>
        <v>0</v>
      </c>
      <c r="F219" s="1189">
        <f t="shared" ref="F219:AE219" si="39">F218</f>
        <v>0</v>
      </c>
      <c r="G219" s="1189">
        <f t="shared" si="39"/>
        <v>0</v>
      </c>
      <c r="H219" s="1189">
        <f t="shared" si="39"/>
        <v>0</v>
      </c>
      <c r="I219" s="1189">
        <f t="shared" si="39"/>
        <v>0</v>
      </c>
      <c r="J219" s="1189">
        <f t="shared" si="39"/>
        <v>0</v>
      </c>
      <c r="K219" s="1189">
        <f t="shared" si="39"/>
        <v>0</v>
      </c>
      <c r="L219" s="1189">
        <f t="shared" si="39"/>
        <v>0</v>
      </c>
      <c r="M219" s="1189">
        <f t="shared" si="39"/>
        <v>0</v>
      </c>
      <c r="N219" s="1189">
        <f t="shared" si="39"/>
        <v>0</v>
      </c>
      <c r="O219" s="1189">
        <f t="shared" si="39"/>
        <v>0</v>
      </c>
      <c r="P219" s="1189">
        <f t="shared" si="39"/>
        <v>0</v>
      </c>
      <c r="Q219" s="1189">
        <f t="shared" si="39"/>
        <v>0</v>
      </c>
      <c r="R219" s="1189">
        <f t="shared" si="39"/>
        <v>0</v>
      </c>
      <c r="S219" s="1189">
        <f t="shared" si="39"/>
        <v>0</v>
      </c>
      <c r="T219" s="1189">
        <f t="shared" si="39"/>
        <v>0</v>
      </c>
      <c r="U219" s="1189">
        <f t="shared" si="39"/>
        <v>0</v>
      </c>
      <c r="V219" s="1189">
        <f t="shared" si="39"/>
        <v>0</v>
      </c>
      <c r="W219" s="1189">
        <f t="shared" si="39"/>
        <v>0</v>
      </c>
      <c r="X219" s="1189">
        <f t="shared" si="39"/>
        <v>0</v>
      </c>
      <c r="Y219" s="1189">
        <f t="shared" si="39"/>
        <v>0</v>
      </c>
      <c r="Z219" s="1189">
        <f t="shared" si="39"/>
        <v>0</v>
      </c>
      <c r="AA219" s="1189">
        <f t="shared" si="39"/>
        <v>0</v>
      </c>
      <c r="AB219" s="1189">
        <f t="shared" si="39"/>
        <v>0</v>
      </c>
      <c r="AC219" s="1189">
        <f t="shared" si="39"/>
        <v>0</v>
      </c>
      <c r="AD219" s="1189">
        <f t="shared" si="39"/>
        <v>0</v>
      </c>
      <c r="AE219" s="1189">
        <f t="shared" si="39"/>
        <v>0</v>
      </c>
    </row>
    <row r="220" spans="1:31" outlineLevel="1">
      <c r="A220" s="1098">
        <v>211</v>
      </c>
      <c r="B220" s="1500" t="s">
        <v>1391</v>
      </c>
      <c r="C220" s="1118" t="s">
        <v>3964</v>
      </c>
      <c r="D220" s="1134">
        <v>408.1</v>
      </c>
      <c r="E220" s="1189">
        <f>'Operating Report'!F143+'Operating Report'!F54</f>
        <v>37190512.240000002</v>
      </c>
      <c r="F220" s="1189">
        <f>'Operating Report'!H143+'Operating Report'!H54</f>
        <v>-9559397.3844596501</v>
      </c>
      <c r="G220" s="1189">
        <f>'Operating Report'!I143+'Operating Report'!I54</f>
        <v>-75451.059526024866</v>
      </c>
      <c r="H220" s="1189">
        <f>'Operating Report'!J143+'Operating Report'!J54</f>
        <v>18549.223558388872</v>
      </c>
      <c r="I220" s="1189">
        <f>'Operating Report'!K143+'Operating Report'!K54</f>
        <v>77895.144936777986</v>
      </c>
      <c r="J220" s="1189">
        <f>'Operating Report'!L143+'Operating Report'!L54</f>
        <v>0</v>
      </c>
      <c r="K220" s="1189">
        <f>'Operating Report'!M143+'Operating Report'!M54</f>
        <v>6838.6560552000001</v>
      </c>
      <c r="L220" s="1189">
        <f>'Operating Report'!N143+'Operating Report'!N54</f>
        <v>0</v>
      </c>
      <c r="M220" s="1189">
        <f>'Operating Report'!O143+'Operating Report'!O54</f>
        <v>0</v>
      </c>
      <c r="N220" s="1189">
        <f>'Operating Report'!P143+'Operating Report'!P54</f>
        <v>0</v>
      </c>
      <c r="O220" s="1189">
        <f>'Operating Report'!Q143+'Operating Report'!Q54</f>
        <v>0</v>
      </c>
      <c r="P220" s="1189">
        <f>'Operating Report'!R143+'Operating Report'!R54</f>
        <v>364822.07815271209</v>
      </c>
      <c r="Q220" s="1189">
        <f t="shared" si="37"/>
        <v>-9166743.3412825949</v>
      </c>
      <c r="R220" s="1189">
        <f>'Operating Report'!T143+'Operating Report'!T54</f>
        <v>0</v>
      </c>
      <c r="S220" s="1189">
        <f>'Operating Report'!U143+'Operating Report'!U54</f>
        <v>108535.52668638599</v>
      </c>
      <c r="T220" s="1189">
        <f>'Operating Report'!V143+'Operating Report'!V54</f>
        <v>0</v>
      </c>
      <c r="U220" s="1189">
        <f>'Operating Report'!W143+'Operating Report'!W54</f>
        <v>0</v>
      </c>
      <c r="V220" s="1189">
        <f>'Operating Report'!X143+'Operating Report'!X54</f>
        <v>0</v>
      </c>
      <c r="W220" s="1189">
        <f>'Operating Report'!Y143+'Operating Report'!Y54</f>
        <v>201868.90947663653</v>
      </c>
      <c r="X220" s="1189">
        <f>'Operating Report'!Z143+'Operating Report'!Z54</f>
        <v>0</v>
      </c>
      <c r="Y220" s="1189">
        <f>'Operating Report'!AA143+'Operating Report'!AA54</f>
        <v>0</v>
      </c>
      <c r="Z220" s="1189">
        <f>'Operating Report'!AB143+'Operating Report'!AB54</f>
        <v>0</v>
      </c>
      <c r="AA220" s="1192">
        <f>SUM(R220:Z220)</f>
        <v>310404.43616302253</v>
      </c>
      <c r="AB220" s="1192">
        <f>Q220+AA220</f>
        <v>-8856338.9051195718</v>
      </c>
      <c r="AC220" s="1192">
        <f>E220+AB220</f>
        <v>28334173.33488043</v>
      </c>
      <c r="AD220" s="1189">
        <f>'Exh JAD-3 ROO Summary'!H17</f>
        <v>1295089.0420000001</v>
      </c>
      <c r="AE220" s="1192">
        <f t="shared" si="38"/>
        <v>29629262.37688043</v>
      </c>
    </row>
    <row r="221" spans="1:31" outlineLevel="1">
      <c r="A221" s="1098">
        <v>212</v>
      </c>
      <c r="B221" s="1501"/>
      <c r="C221" s="1121" t="s">
        <v>3965</v>
      </c>
      <c r="D221" s="1117">
        <v>409.1</v>
      </c>
      <c r="E221" s="1189">
        <f>'Operating Report'!F146</f>
        <v>-4656864.1900000004</v>
      </c>
      <c r="F221" s="1189">
        <f>'Operating Report'!H146</f>
        <v>67050.613817958816</v>
      </c>
      <c r="G221" s="1189">
        <f>'Operating Report'!I146</f>
        <v>-354293.19081831881</v>
      </c>
      <c r="H221" s="1189">
        <f>'Operating Report'!J146</f>
        <v>-167507.24084293129</v>
      </c>
      <c r="I221" s="1189">
        <f>'Operating Report'!K146</f>
        <v>365769.80657756532</v>
      </c>
      <c r="J221" s="1189">
        <f>'Operating Report'!L146</f>
        <v>7680.5168999999996</v>
      </c>
      <c r="K221" s="1189">
        <f>'Operating Report'!M146</f>
        <v>-20208.899099591996</v>
      </c>
      <c r="L221" s="1189">
        <f>'Operating Report'!N146</f>
        <v>537514.24019999988</v>
      </c>
      <c r="M221" s="1189">
        <f>'Operating Report'!O146</f>
        <v>33700.878749999996</v>
      </c>
      <c r="N221" s="1189">
        <f>'Operating Report'!P146</f>
        <v>-303468.82019999996</v>
      </c>
      <c r="O221" s="1189">
        <f>'Operating Report'!Q146</f>
        <v>-14291.243399999998</v>
      </c>
      <c r="P221" s="1189">
        <f>'Operating Report'!R146</f>
        <v>-76612.636412069536</v>
      </c>
      <c r="Q221" s="1189">
        <f t="shared" si="37"/>
        <v>75334.025472612338</v>
      </c>
      <c r="R221" s="1189">
        <f>'Operating Report'!T146</f>
        <v>983421.7202599966</v>
      </c>
      <c r="S221" s="1189">
        <f>'Operating Report'!U146</f>
        <v>-320733.12209618103</v>
      </c>
      <c r="T221" s="1189">
        <f>'Operating Report'!V146</f>
        <v>-423821.24063999997</v>
      </c>
      <c r="U221" s="1189">
        <f>'Operating Report'!W146</f>
        <v>-277580.32049999997</v>
      </c>
      <c r="V221" s="1189">
        <f>'Operating Report'!X146</f>
        <v>-223277.17020000002</v>
      </c>
      <c r="W221" s="1189">
        <f>'Operating Report'!Y146</f>
        <v>-42392.470990093672</v>
      </c>
      <c r="X221" s="1189">
        <f>'Operating Report'!Z146</f>
        <v>-173468.25845999998</v>
      </c>
      <c r="Y221" s="1189">
        <f>'Operating Report'!AA146</f>
        <v>9175.837230000001</v>
      </c>
      <c r="Z221" s="1189">
        <f>'Operating Report'!AB146</f>
        <v>-45862.703012228987</v>
      </c>
      <c r="AA221" s="1192">
        <f>SUM(R221:Z221)</f>
        <v>-514537.72840850707</v>
      </c>
      <c r="AB221" s="1192">
        <f>Q221+AA221</f>
        <v>-439203.70293589472</v>
      </c>
      <c r="AC221" s="1192">
        <f>E221+AB221</f>
        <v>-5096067.8929358954</v>
      </c>
      <c r="AD221" s="1189">
        <f>'Exh JAD-3 ROO Summary'!H27</f>
        <v>6081309.2879862664</v>
      </c>
      <c r="AE221" s="1192">
        <f t="shared" si="38"/>
        <v>985241.39505037107</v>
      </c>
    </row>
    <row r="222" spans="1:31" outlineLevel="1">
      <c r="A222" s="1098">
        <v>213</v>
      </c>
      <c r="B222" s="1501"/>
      <c r="C222" s="1121" t="s">
        <v>3966</v>
      </c>
      <c r="D222" s="1117">
        <v>409.1</v>
      </c>
      <c r="E222" s="1189"/>
      <c r="F222" s="1189"/>
      <c r="G222" s="1189"/>
      <c r="H222" s="1189"/>
      <c r="I222" s="1189"/>
      <c r="J222" s="1189"/>
      <c r="K222" s="1189"/>
      <c r="L222" s="1189"/>
      <c r="M222" s="1189"/>
      <c r="N222" s="1189"/>
      <c r="O222" s="1189"/>
      <c r="P222" s="1189"/>
      <c r="Q222" s="1189">
        <f t="shared" si="37"/>
        <v>0</v>
      </c>
      <c r="R222" s="1189"/>
      <c r="S222" s="1189"/>
      <c r="T222" s="1189"/>
      <c r="U222" s="1189"/>
      <c r="V222" s="1189"/>
      <c r="W222" s="1189"/>
      <c r="X222" s="1189"/>
      <c r="Y222" s="1189"/>
      <c r="Z222" s="1189"/>
      <c r="AA222" s="1113"/>
      <c r="AE222" s="1192"/>
    </row>
    <row r="223" spans="1:31" outlineLevel="1">
      <c r="A223" s="1098">
        <v>214</v>
      </c>
      <c r="B223" s="1501"/>
      <c r="C223" s="1121" t="s">
        <v>3967</v>
      </c>
      <c r="D223" s="1117">
        <v>410.1</v>
      </c>
      <c r="E223" s="1189">
        <f>'Operating Report'!F148</f>
        <v>43294488.670000002</v>
      </c>
      <c r="F223" s="1189">
        <f>'Operating Report'!H148</f>
        <v>0</v>
      </c>
      <c r="G223" s="1189">
        <f>'Operating Report'!I148</f>
        <v>0</v>
      </c>
      <c r="H223" s="1189">
        <f>'Operating Report'!J148</f>
        <v>0</v>
      </c>
      <c r="I223" s="1189">
        <f>'Operating Report'!K148</f>
        <v>0</v>
      </c>
      <c r="J223" s="1189">
        <f>'Operating Report'!L148</f>
        <v>0</v>
      </c>
      <c r="K223" s="1189">
        <f>'Operating Report'!M148</f>
        <v>0</v>
      </c>
      <c r="L223" s="1189">
        <f>'Operating Report'!N148</f>
        <v>0</v>
      </c>
      <c r="M223" s="1189">
        <f>'Operating Report'!O148</f>
        <v>0</v>
      </c>
      <c r="N223" s="1189">
        <f>'Operating Report'!P148</f>
        <v>0</v>
      </c>
      <c r="O223" s="1189">
        <f>'Operating Report'!Q148</f>
        <v>0</v>
      </c>
      <c r="P223" s="1189">
        <f>'Operating Report'!R148</f>
        <v>0</v>
      </c>
      <c r="Q223" s="1189">
        <f t="shared" si="37"/>
        <v>0</v>
      </c>
      <c r="R223" s="1189">
        <f>'Operating Report'!T148</f>
        <v>0</v>
      </c>
      <c r="S223" s="1189">
        <f>'Operating Report'!U148</f>
        <v>0</v>
      </c>
      <c r="T223" s="1189">
        <f>'Operating Report'!V148</f>
        <v>0</v>
      </c>
      <c r="U223" s="1189">
        <f>'Operating Report'!W148</f>
        <v>0</v>
      </c>
      <c r="V223" s="1189">
        <f>'Operating Report'!X148</f>
        <v>0</v>
      </c>
      <c r="W223" s="1189">
        <f>'Operating Report'!Y148</f>
        <v>0</v>
      </c>
      <c r="X223" s="1189">
        <f>'Operating Report'!Z148</f>
        <v>0</v>
      </c>
      <c r="Y223" s="1189">
        <f>'Operating Report'!AA148</f>
        <v>0</v>
      </c>
      <c r="Z223" s="1189">
        <f>'Operating Report'!AB148</f>
        <v>0</v>
      </c>
      <c r="AA223" s="1192">
        <f>SUM(R223:Z223)</f>
        <v>0</v>
      </c>
      <c r="AB223" s="1192">
        <f>Q223+AA223</f>
        <v>0</v>
      </c>
      <c r="AC223" s="1192">
        <f>E223+AB223</f>
        <v>43294488.670000002</v>
      </c>
      <c r="AE223" s="1192">
        <f t="shared" si="38"/>
        <v>43294488.670000002</v>
      </c>
    </row>
    <row r="224" spans="1:31" outlineLevel="1">
      <c r="A224" s="1098">
        <v>215</v>
      </c>
      <c r="B224" s="1501"/>
      <c r="C224" s="1121" t="s">
        <v>3968</v>
      </c>
      <c r="D224" s="1117">
        <v>411.1</v>
      </c>
      <c r="E224" s="1189">
        <f>'Operating Report'!F150</f>
        <v>-38804558.600000001</v>
      </c>
      <c r="F224" s="1189">
        <f>'Operating Report'!H150</f>
        <v>0</v>
      </c>
      <c r="G224" s="1189">
        <f>'Operating Report'!I150</f>
        <v>0</v>
      </c>
      <c r="H224" s="1189">
        <f>'Operating Report'!J150</f>
        <v>0</v>
      </c>
      <c r="I224" s="1189">
        <f>'Operating Report'!K150</f>
        <v>0</v>
      </c>
      <c r="J224" s="1189">
        <f>'Operating Report'!L150</f>
        <v>0</v>
      </c>
      <c r="K224" s="1189">
        <f>'Operating Report'!M150</f>
        <v>0</v>
      </c>
      <c r="L224" s="1189">
        <f>'Operating Report'!N150</f>
        <v>0</v>
      </c>
      <c r="M224" s="1189">
        <f>'Operating Report'!O150</f>
        <v>0</v>
      </c>
      <c r="N224" s="1189">
        <f>'Operating Report'!P150</f>
        <v>0</v>
      </c>
      <c r="O224" s="1189">
        <f>'Operating Report'!Q150</f>
        <v>0</v>
      </c>
      <c r="P224" s="1189">
        <f>'Operating Report'!R150</f>
        <v>0</v>
      </c>
      <c r="Q224" s="1189">
        <f t="shared" si="37"/>
        <v>0</v>
      </c>
      <c r="R224" s="1189">
        <f>'Operating Report'!T150</f>
        <v>0</v>
      </c>
      <c r="S224" s="1189">
        <f>'Operating Report'!U150</f>
        <v>0</v>
      </c>
      <c r="T224" s="1189">
        <f>'Operating Report'!V150</f>
        <v>0</v>
      </c>
      <c r="U224" s="1189">
        <f>'Operating Report'!W150</f>
        <v>0</v>
      </c>
      <c r="V224" s="1189">
        <f>'Operating Report'!X150</f>
        <v>0</v>
      </c>
      <c r="W224" s="1189">
        <f>'Operating Report'!Y150</f>
        <v>0</v>
      </c>
      <c r="X224" s="1189">
        <f>'Operating Report'!Z150</f>
        <v>0</v>
      </c>
      <c r="Y224" s="1189">
        <f>'Operating Report'!AA150</f>
        <v>0</v>
      </c>
      <c r="Z224" s="1189">
        <f>'Operating Report'!AB150</f>
        <v>0</v>
      </c>
      <c r="AA224" s="1192">
        <f>SUM(R224:Z224)</f>
        <v>0</v>
      </c>
      <c r="AB224" s="1192">
        <f>Q224+AA224</f>
        <v>0</v>
      </c>
      <c r="AC224" s="1192">
        <f>E224+AB224</f>
        <v>-38804558.600000001</v>
      </c>
      <c r="AE224" s="1192">
        <f t="shared" si="38"/>
        <v>-38804558.600000001</v>
      </c>
    </row>
    <row r="225" spans="1:31">
      <c r="A225" s="1098">
        <v>216</v>
      </c>
      <c r="B225" s="1502"/>
      <c r="C225" s="1124" t="s">
        <v>3969</v>
      </c>
      <c r="D225" s="1135">
        <v>411.4</v>
      </c>
      <c r="E225" s="1189">
        <f>'Operating Report'!F151</f>
        <v>-33270.6</v>
      </c>
      <c r="F225" s="1189">
        <f>'Operating Report'!H151</f>
        <v>0</v>
      </c>
      <c r="G225" s="1189">
        <f>'Operating Report'!I151</f>
        <v>0</v>
      </c>
      <c r="H225" s="1189">
        <f>'Operating Report'!J151</f>
        <v>0</v>
      </c>
      <c r="I225" s="1189">
        <f>'Operating Report'!K151</f>
        <v>0</v>
      </c>
      <c r="J225" s="1189">
        <f>'Operating Report'!L151</f>
        <v>0</v>
      </c>
      <c r="K225" s="1189">
        <f>'Operating Report'!M151</f>
        <v>0</v>
      </c>
      <c r="L225" s="1189">
        <f>'Operating Report'!N151</f>
        <v>0</v>
      </c>
      <c r="M225" s="1189">
        <f>'Operating Report'!O151</f>
        <v>0</v>
      </c>
      <c r="N225" s="1189">
        <f>'Operating Report'!P151</f>
        <v>0</v>
      </c>
      <c r="O225" s="1189">
        <f>'Operating Report'!Q151</f>
        <v>0</v>
      </c>
      <c r="P225" s="1189">
        <f>'Operating Report'!R151</f>
        <v>0</v>
      </c>
      <c r="Q225" s="1189">
        <f t="shared" si="37"/>
        <v>0</v>
      </c>
      <c r="R225" s="1189">
        <f>'Operating Report'!T151</f>
        <v>0</v>
      </c>
      <c r="S225" s="1189">
        <f>'Operating Report'!U151</f>
        <v>0</v>
      </c>
      <c r="T225" s="1189">
        <f>'Operating Report'!V151</f>
        <v>0</v>
      </c>
      <c r="U225" s="1189">
        <f>'Operating Report'!W151</f>
        <v>0</v>
      </c>
      <c r="V225" s="1189">
        <f>'Operating Report'!X151</f>
        <v>0</v>
      </c>
      <c r="W225" s="1189">
        <f>'Operating Report'!Y151</f>
        <v>0</v>
      </c>
      <c r="X225" s="1189">
        <f>'Operating Report'!Z151</f>
        <v>0</v>
      </c>
      <c r="Y225" s="1189">
        <f>'Operating Report'!AA151</f>
        <v>0</v>
      </c>
      <c r="Z225" s="1189">
        <f>'Operating Report'!AB151</f>
        <v>0</v>
      </c>
      <c r="AA225" s="1192">
        <f>SUM(R225:Z225)</f>
        <v>0</v>
      </c>
      <c r="AB225" s="1192">
        <f>Q225+AA225</f>
        <v>0</v>
      </c>
      <c r="AC225" s="1192">
        <f>E225+AB225</f>
        <v>-33270.6</v>
      </c>
      <c r="AE225" s="1192">
        <f t="shared" si="38"/>
        <v>-33270.6</v>
      </c>
    </row>
    <row r="226" spans="1:31">
      <c r="A226" s="1098">
        <v>217</v>
      </c>
      <c r="B226" s="1522" t="s">
        <v>3970</v>
      </c>
      <c r="C226" s="1522"/>
      <c r="D226" s="1522"/>
      <c r="E226" s="1189">
        <f>SUM(E220:E225)</f>
        <v>36990307.519999996</v>
      </c>
      <c r="F226" s="1189">
        <f t="shared" ref="F226:AE226" si="40">SUM(F220:F225)</f>
        <v>-9492346.770641692</v>
      </c>
      <c r="G226" s="1189">
        <f t="shared" si="40"/>
        <v>-429744.25034434366</v>
      </c>
      <c r="H226" s="1189">
        <f t="shared" si="40"/>
        <v>-148958.01728454241</v>
      </c>
      <c r="I226" s="1189">
        <f t="shared" si="40"/>
        <v>443664.95151434332</v>
      </c>
      <c r="J226" s="1189">
        <f t="shared" si="40"/>
        <v>7680.5168999999996</v>
      </c>
      <c r="K226" s="1189">
        <f t="shared" si="40"/>
        <v>-13370.243044391995</v>
      </c>
      <c r="L226" s="1189">
        <f t="shared" si="40"/>
        <v>537514.24019999988</v>
      </c>
      <c r="M226" s="1189">
        <f t="shared" si="40"/>
        <v>33700.878749999996</v>
      </c>
      <c r="N226" s="1189">
        <f t="shared" si="40"/>
        <v>-303468.82019999996</v>
      </c>
      <c r="O226" s="1189">
        <f t="shared" si="40"/>
        <v>-14291.243399999998</v>
      </c>
      <c r="P226" s="1189">
        <f t="shared" si="40"/>
        <v>288209.44174064253</v>
      </c>
      <c r="Q226" s="1189">
        <f t="shared" si="40"/>
        <v>-9091409.3158099819</v>
      </c>
      <c r="R226" s="1189">
        <f t="shared" si="40"/>
        <v>983421.7202599966</v>
      </c>
      <c r="S226" s="1189">
        <f t="shared" si="40"/>
        <v>-212197.59540979506</v>
      </c>
      <c r="T226" s="1189">
        <f t="shared" si="40"/>
        <v>-423821.24063999997</v>
      </c>
      <c r="U226" s="1189">
        <f t="shared" si="40"/>
        <v>-277580.32049999997</v>
      </c>
      <c r="V226" s="1189">
        <f t="shared" si="40"/>
        <v>-223277.17020000002</v>
      </c>
      <c r="W226" s="1189">
        <f t="shared" si="40"/>
        <v>159476.43848654284</v>
      </c>
      <c r="X226" s="1189">
        <f t="shared" si="40"/>
        <v>-173468.25845999998</v>
      </c>
      <c r="Y226" s="1189">
        <f t="shared" si="40"/>
        <v>9175.837230000001</v>
      </c>
      <c r="Z226" s="1189">
        <f t="shared" si="40"/>
        <v>-45862.703012228987</v>
      </c>
      <c r="AA226" s="1189">
        <f t="shared" si="40"/>
        <v>-204133.29224548454</v>
      </c>
      <c r="AB226" s="1189">
        <f t="shared" si="40"/>
        <v>-9295542.6080554668</v>
      </c>
      <c r="AC226" s="1189">
        <f t="shared" si="40"/>
        <v>27694764.911944538</v>
      </c>
      <c r="AD226" s="1189">
        <f t="shared" si="40"/>
        <v>7376398.3299862668</v>
      </c>
      <c r="AE226" s="1189">
        <f t="shared" si="40"/>
        <v>35071163.241930798</v>
      </c>
    </row>
    <row r="227" spans="1:31" ht="15.6" customHeight="1" outlineLevel="1">
      <c r="A227" s="1098">
        <v>218</v>
      </c>
      <c r="B227" s="1500" t="s">
        <v>3971</v>
      </c>
      <c r="C227" s="1107" t="s">
        <v>3972</v>
      </c>
      <c r="D227" s="1114">
        <v>411.6</v>
      </c>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row>
    <row r="228" spans="1:31" outlineLevel="1">
      <c r="A228" s="1098">
        <v>219</v>
      </c>
      <c r="B228" s="1501"/>
      <c r="C228" s="1107" t="s">
        <v>3973</v>
      </c>
      <c r="D228" s="1114">
        <v>411.7</v>
      </c>
      <c r="E228" s="1189"/>
      <c r="F228" s="1189"/>
      <c r="G228" s="1189"/>
      <c r="H228" s="1189"/>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row>
    <row r="229" spans="1:31" outlineLevel="1">
      <c r="A229" s="1098">
        <v>220</v>
      </c>
      <c r="B229" s="1501"/>
      <c r="C229" s="1107" t="s">
        <v>3974</v>
      </c>
      <c r="D229" s="1114">
        <v>412</v>
      </c>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row>
    <row r="230" spans="1:31" outlineLevel="1">
      <c r="A230" s="1098">
        <v>221</v>
      </c>
      <c r="B230" s="1501"/>
      <c r="C230" s="1107" t="s">
        <v>3975</v>
      </c>
      <c r="D230" s="1114">
        <v>413</v>
      </c>
      <c r="E230" s="1189"/>
      <c r="F230" s="1189"/>
      <c r="G230" s="1189"/>
      <c r="H230" s="1189"/>
      <c r="I230" s="1189"/>
      <c r="J230" s="1189"/>
      <c r="K230" s="1189"/>
      <c r="L230" s="1189"/>
      <c r="M230" s="1189"/>
      <c r="N230" s="1189"/>
      <c r="O230" s="1189"/>
      <c r="P230" s="1189"/>
      <c r="Q230" s="1189"/>
      <c r="R230" s="1189"/>
      <c r="S230" s="1189"/>
      <c r="T230" s="1189"/>
      <c r="U230" s="1189"/>
      <c r="V230" s="1189"/>
      <c r="W230" s="1189"/>
      <c r="X230" s="1189"/>
      <c r="Y230" s="1189"/>
      <c r="Z230" s="1189"/>
      <c r="AA230" s="1189"/>
      <c r="AB230" s="1189"/>
      <c r="AC230" s="1189"/>
      <c r="AD230" s="1189"/>
      <c r="AE230" s="1189"/>
    </row>
    <row r="231" spans="1:31">
      <c r="A231" s="1098">
        <v>222</v>
      </c>
      <c r="B231" s="1502"/>
      <c r="C231" s="1107" t="s">
        <v>3976</v>
      </c>
      <c r="D231" s="1114">
        <v>414</v>
      </c>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row>
    <row r="232" spans="1:31">
      <c r="A232" s="1098">
        <v>223</v>
      </c>
      <c r="B232" s="1514" t="s">
        <v>3977</v>
      </c>
      <c r="C232" s="1517"/>
      <c r="D232" s="1518"/>
      <c r="E232" s="1189">
        <f>SUM(E227:E231)</f>
        <v>0</v>
      </c>
      <c r="F232" s="1189">
        <f t="shared" ref="F232:AE232" si="41">SUM(F227:F231)</f>
        <v>0</v>
      </c>
      <c r="G232" s="1189">
        <f t="shared" si="41"/>
        <v>0</v>
      </c>
      <c r="H232" s="1189">
        <f t="shared" si="41"/>
        <v>0</v>
      </c>
      <c r="I232" s="1189">
        <f t="shared" si="41"/>
        <v>0</v>
      </c>
      <c r="J232" s="1189">
        <f t="shared" si="41"/>
        <v>0</v>
      </c>
      <c r="K232" s="1189">
        <f t="shared" si="41"/>
        <v>0</v>
      </c>
      <c r="L232" s="1189">
        <f t="shared" si="41"/>
        <v>0</v>
      </c>
      <c r="M232" s="1189">
        <f t="shared" si="41"/>
        <v>0</v>
      </c>
      <c r="N232" s="1189">
        <f t="shared" si="41"/>
        <v>0</v>
      </c>
      <c r="O232" s="1189">
        <f t="shared" si="41"/>
        <v>0</v>
      </c>
      <c r="P232" s="1189">
        <f t="shared" si="41"/>
        <v>0</v>
      </c>
      <c r="Q232" s="1189">
        <f t="shared" si="41"/>
        <v>0</v>
      </c>
      <c r="R232" s="1189">
        <f t="shared" si="41"/>
        <v>0</v>
      </c>
      <c r="S232" s="1189">
        <f t="shared" si="41"/>
        <v>0</v>
      </c>
      <c r="T232" s="1189">
        <f t="shared" si="41"/>
        <v>0</v>
      </c>
      <c r="U232" s="1189">
        <f t="shared" si="41"/>
        <v>0</v>
      </c>
      <c r="V232" s="1189">
        <f t="shared" si="41"/>
        <v>0</v>
      </c>
      <c r="W232" s="1189">
        <f t="shared" si="41"/>
        <v>0</v>
      </c>
      <c r="X232" s="1189">
        <f t="shared" si="41"/>
        <v>0</v>
      </c>
      <c r="Y232" s="1189">
        <f t="shared" si="41"/>
        <v>0</v>
      </c>
      <c r="Z232" s="1189">
        <f t="shared" si="41"/>
        <v>0</v>
      </c>
      <c r="AA232" s="1189">
        <f t="shared" si="41"/>
        <v>0</v>
      </c>
      <c r="AB232" s="1189">
        <f t="shared" si="41"/>
        <v>0</v>
      </c>
      <c r="AC232" s="1189">
        <f t="shared" si="41"/>
        <v>0</v>
      </c>
      <c r="AD232" s="1189">
        <f t="shared" si="41"/>
        <v>0</v>
      </c>
      <c r="AE232" s="1189">
        <f t="shared" si="41"/>
        <v>0</v>
      </c>
    </row>
    <row r="233" spans="1:31">
      <c r="A233" s="1098">
        <v>224</v>
      </c>
      <c r="B233" s="1510" t="s">
        <v>3978</v>
      </c>
      <c r="C233" s="1510"/>
      <c r="D233" s="1511"/>
      <c r="E233" s="1189">
        <f>E175+E181+E186+E201+E208+E217+E219+E226+E232</f>
        <v>343816185.13</v>
      </c>
      <c r="F233" s="1189">
        <f t="shared" ref="F233:AE233" si="42">F175+F181+F186+F201+F208+F217+F219+F226+F232</f>
        <v>-231366576.22705433</v>
      </c>
      <c r="G233" s="1189">
        <f t="shared" si="42"/>
        <v>-441666.75472889369</v>
      </c>
      <c r="H233" s="1189">
        <f t="shared" si="42"/>
        <v>1066393.3132831987</v>
      </c>
      <c r="I233" s="1189">
        <f t="shared" si="42"/>
        <v>455973.66146325477</v>
      </c>
      <c r="J233" s="1189">
        <f t="shared" si="42"/>
        <v>-28893.373100000001</v>
      </c>
      <c r="K233" s="1189">
        <f t="shared" si="42"/>
        <v>76023.953755607974</v>
      </c>
      <c r="L233" s="1189">
        <f t="shared" si="42"/>
        <v>-2022077.3798000002</v>
      </c>
      <c r="M233" s="1189">
        <f t="shared" si="42"/>
        <v>-126779.49625</v>
      </c>
      <c r="N233" s="1189">
        <f t="shared" si="42"/>
        <v>1141620.7997999999</v>
      </c>
      <c r="O233" s="1189">
        <f t="shared" si="42"/>
        <v>53762.296599999994</v>
      </c>
      <c r="P233" s="1189">
        <f t="shared" si="42"/>
        <v>288209.44174064253</v>
      </c>
      <c r="Q233" s="1189">
        <f t="shared" si="42"/>
        <v>-230904009.76429051</v>
      </c>
      <c r="R233" s="1189">
        <f t="shared" si="42"/>
        <v>983421.7202599966</v>
      </c>
      <c r="S233" s="1189">
        <f t="shared" si="42"/>
        <v>1206567.4593142052</v>
      </c>
      <c r="T233" s="1189">
        <f t="shared" si="42"/>
        <v>1594375.1433600001</v>
      </c>
      <c r="U233" s="1189">
        <f t="shared" si="42"/>
        <v>1044230.7295000001</v>
      </c>
      <c r="V233" s="1189">
        <f t="shared" si="42"/>
        <v>839947.44980000006</v>
      </c>
      <c r="W233" s="1189">
        <f t="shared" si="42"/>
        <v>159476.43848654284</v>
      </c>
      <c r="X233" s="1189">
        <f t="shared" si="42"/>
        <v>652571.06753999996</v>
      </c>
      <c r="Y233" s="1189">
        <f t="shared" si="42"/>
        <v>9175.837230000001</v>
      </c>
      <c r="Z233" s="1189">
        <f t="shared" si="42"/>
        <v>172531.1208555281</v>
      </c>
      <c r="AA233" s="1189">
        <f t="shared" si="42"/>
        <v>6662296.9663462732</v>
      </c>
      <c r="AB233" s="1189">
        <f t="shared" si="42"/>
        <v>-224241712.79794425</v>
      </c>
      <c r="AC233" s="1189">
        <f t="shared" si="42"/>
        <v>119574472.33205578</v>
      </c>
      <c r="AD233" s="1189">
        <f t="shared" si="42"/>
        <v>7581043.6309088049</v>
      </c>
      <c r="AE233" s="1189">
        <f t="shared" si="42"/>
        <v>127155515.96296456</v>
      </c>
    </row>
    <row r="234" spans="1:31">
      <c r="A234" s="1098">
        <v>225</v>
      </c>
      <c r="B234" s="1523" t="s">
        <v>3979</v>
      </c>
      <c r="C234" s="1523"/>
      <c r="D234" s="1524"/>
      <c r="E234" s="1189">
        <f>E35-E233</f>
        <v>32433674.810000002</v>
      </c>
      <c r="F234" s="1189">
        <f t="shared" ref="F234:AE234" si="43">F35-F233</f>
        <v>252238.02341043949</v>
      </c>
      <c r="G234" s="1189">
        <f t="shared" si="43"/>
        <v>-1332817.2416498661</v>
      </c>
      <c r="H234" s="1189">
        <f t="shared" si="43"/>
        <v>-630146.28698054422</v>
      </c>
      <c r="I234" s="1189">
        <f t="shared" si="43"/>
        <v>1375991.1771251268</v>
      </c>
      <c r="J234" s="1189">
        <f t="shared" si="43"/>
        <v>28893.373100000001</v>
      </c>
      <c r="K234" s="1189">
        <f t="shared" si="43"/>
        <v>-76023.953755607974</v>
      </c>
      <c r="L234" s="1189">
        <f t="shared" si="43"/>
        <v>2022077.3798000002</v>
      </c>
      <c r="M234" s="1189">
        <f t="shared" si="43"/>
        <v>126779.49625</v>
      </c>
      <c r="N234" s="1189">
        <f t="shared" si="43"/>
        <v>-1141620.7997999999</v>
      </c>
      <c r="O234" s="1189">
        <f t="shared" si="43"/>
        <v>-53762.296599999994</v>
      </c>
      <c r="P234" s="1189">
        <f t="shared" si="43"/>
        <v>-288209.44174064253</v>
      </c>
      <c r="Q234" s="1189">
        <f t="shared" si="43"/>
        <v>283399.42915889621</v>
      </c>
      <c r="R234" s="1189">
        <f t="shared" si="43"/>
        <v>-983421.7202599966</v>
      </c>
      <c r="S234" s="1189">
        <f t="shared" si="43"/>
        <v>-1206567.4593142052</v>
      </c>
      <c r="T234" s="1189">
        <f t="shared" si="43"/>
        <v>-1594375.1433600001</v>
      </c>
      <c r="U234" s="1189">
        <f t="shared" si="43"/>
        <v>-1044230.7295000001</v>
      </c>
      <c r="V234" s="1189">
        <f t="shared" si="43"/>
        <v>-839947.44980000006</v>
      </c>
      <c r="W234" s="1189">
        <f t="shared" si="43"/>
        <v>-159476.43848654284</v>
      </c>
      <c r="X234" s="1189">
        <f t="shared" si="43"/>
        <v>-652571.06753999996</v>
      </c>
      <c r="Y234" s="1189">
        <f t="shared" si="43"/>
        <v>-9175.837230000001</v>
      </c>
      <c r="Z234" s="1189">
        <f t="shared" si="43"/>
        <v>-172531.1208555281</v>
      </c>
      <c r="AA234" s="1189">
        <f t="shared" si="43"/>
        <v>-6662296.9663462732</v>
      </c>
      <c r="AB234" s="1189">
        <f t="shared" si="43"/>
        <v>-6378897.5371873677</v>
      </c>
      <c r="AC234" s="1189">
        <f t="shared" si="43"/>
        <v>26054777.272812605</v>
      </c>
      <c r="AD234" s="1189">
        <f t="shared" si="43"/>
        <v>22877306.369091194</v>
      </c>
      <c r="AE234" s="1189">
        <f t="shared" si="43"/>
        <v>48932083.641903788</v>
      </c>
    </row>
    <row r="235" spans="1:31">
      <c r="A235" s="1098"/>
      <c r="B235" s="1136"/>
      <c r="C235" s="1136"/>
      <c r="D235" s="1136"/>
    </row>
    <row r="236" spans="1:31">
      <c r="A236" s="1098"/>
      <c r="B236" s="1137"/>
      <c r="C236" s="1137"/>
      <c r="D236" s="1137"/>
    </row>
    <row r="237" spans="1:31" outlineLevel="1">
      <c r="A237" s="1098">
        <v>228</v>
      </c>
      <c r="B237" s="1501" t="s">
        <v>3980</v>
      </c>
      <c r="C237" s="1128" t="s">
        <v>3562</v>
      </c>
      <c r="D237" s="1116">
        <v>301</v>
      </c>
      <c r="E237" s="1189">
        <f>'COS Transfer File'!V12</f>
        <v>114162.97958333335</v>
      </c>
      <c r="H237" s="1192">
        <f>'COS Transfer File'!T12-'COS Transfer File'!V12</f>
        <v>-6.9695833333389601</v>
      </c>
      <c r="Q237" s="1189">
        <f>SUM(F237:P237)</f>
        <v>-6.9695833333389601</v>
      </c>
      <c r="R237" s="1138"/>
      <c r="S237" s="1138"/>
      <c r="T237" s="1138"/>
      <c r="U237" s="1138"/>
      <c r="V237" s="1138"/>
      <c r="W237" s="1138"/>
      <c r="X237" s="1138"/>
      <c r="Y237" s="1138"/>
      <c r="Z237" s="1138"/>
      <c r="AA237" s="1192">
        <f>SUM(R237:Z237)</f>
        <v>0</v>
      </c>
      <c r="AB237" s="1192">
        <f>Q237+AA237</f>
        <v>-6.9695833333389601</v>
      </c>
      <c r="AC237" s="1192">
        <f>E237+AB237</f>
        <v>114156.01000000001</v>
      </c>
      <c r="AE237" s="1192">
        <f>AC237+AD237</f>
        <v>114156.01000000001</v>
      </c>
    </row>
    <row r="238" spans="1:31" outlineLevel="1">
      <c r="A238" s="1098">
        <v>229</v>
      </c>
      <c r="B238" s="1501"/>
      <c r="C238" s="1128" t="s">
        <v>3981</v>
      </c>
      <c r="D238" s="1116">
        <v>302</v>
      </c>
      <c r="E238" s="1189">
        <f>'COS Transfer File'!V13</f>
        <v>138157.94999999998</v>
      </c>
      <c r="H238" s="1192">
        <f>'COS Transfer File'!T13-'COS Transfer File'!V13</f>
        <v>0</v>
      </c>
      <c r="Q238" s="1189">
        <f>SUM(F238:P238)</f>
        <v>0</v>
      </c>
      <c r="AA238" s="1192">
        <f>SUM(R238:Z238)</f>
        <v>0</v>
      </c>
      <c r="AB238" s="1192">
        <f>Q238+AA238</f>
        <v>0</v>
      </c>
      <c r="AC238" s="1192">
        <f>E238+AB238</f>
        <v>138157.94999999998</v>
      </c>
      <c r="AE238" s="1192">
        <f>AC238+AD238</f>
        <v>138157.94999999998</v>
      </c>
    </row>
    <row r="239" spans="1:31" outlineLevel="1">
      <c r="A239" s="1098">
        <v>230</v>
      </c>
      <c r="B239" s="1501"/>
      <c r="C239" s="1139" t="s">
        <v>3982</v>
      </c>
      <c r="D239" s="1125">
        <v>303</v>
      </c>
      <c r="E239" s="1189">
        <f>'COS Transfer File'!V14</f>
        <v>55746947.270000011</v>
      </c>
      <c r="H239" s="1192">
        <f>'COS Transfer File'!T14-'COS Transfer File'!V14</f>
        <v>1259653.4499999881</v>
      </c>
      <c r="Q239" s="1189">
        <f>SUM(F239:P239)</f>
        <v>1259653.4499999881</v>
      </c>
      <c r="AA239" s="1192">
        <f>SUM(R239:Z239)</f>
        <v>0</v>
      </c>
      <c r="AB239" s="1192">
        <f>Q239+AA239</f>
        <v>1259653.4499999881</v>
      </c>
      <c r="AC239" s="1192">
        <f>E239+AB239</f>
        <v>57006600.719999999</v>
      </c>
      <c r="AE239" s="1192">
        <f>AC239+AD239</f>
        <v>57006600.719999999</v>
      </c>
    </row>
    <row r="240" spans="1:31">
      <c r="A240" s="1098">
        <v>231</v>
      </c>
      <c r="B240" s="1501"/>
      <c r="C240" s="1525" t="s">
        <v>3983</v>
      </c>
      <c r="D240" s="1526"/>
      <c r="E240" s="1189">
        <f>SUM(E237:E239)</f>
        <v>55999268.199583344</v>
      </c>
      <c r="F240" s="1189">
        <f t="shared" ref="F240:AE240" si="44">SUM(F237:F239)</f>
        <v>0</v>
      </c>
      <c r="G240" s="1189">
        <f t="shared" si="44"/>
        <v>0</v>
      </c>
      <c r="H240" s="1189">
        <f t="shared" si="44"/>
        <v>1259646.4804166548</v>
      </c>
      <c r="I240" s="1189">
        <f t="shared" si="44"/>
        <v>0</v>
      </c>
      <c r="J240" s="1189">
        <f t="shared" si="44"/>
        <v>0</v>
      </c>
      <c r="K240" s="1189">
        <f t="shared" si="44"/>
        <v>0</v>
      </c>
      <c r="L240" s="1189">
        <f t="shared" si="44"/>
        <v>0</v>
      </c>
      <c r="M240" s="1189">
        <f t="shared" si="44"/>
        <v>0</v>
      </c>
      <c r="N240" s="1189">
        <f t="shared" si="44"/>
        <v>0</v>
      </c>
      <c r="O240" s="1189">
        <f t="shared" si="44"/>
        <v>0</v>
      </c>
      <c r="P240" s="1189">
        <f t="shared" si="44"/>
        <v>0</v>
      </c>
      <c r="Q240" s="1189">
        <f t="shared" si="44"/>
        <v>1259646.4804166548</v>
      </c>
      <c r="R240" s="1189">
        <f t="shared" si="44"/>
        <v>0</v>
      </c>
      <c r="S240" s="1189">
        <f t="shared" si="44"/>
        <v>0</v>
      </c>
      <c r="T240" s="1189">
        <f t="shared" si="44"/>
        <v>0</v>
      </c>
      <c r="U240" s="1189">
        <f t="shared" si="44"/>
        <v>0</v>
      </c>
      <c r="V240" s="1189">
        <f t="shared" si="44"/>
        <v>0</v>
      </c>
      <c r="W240" s="1189">
        <f t="shared" si="44"/>
        <v>0</v>
      </c>
      <c r="X240" s="1189">
        <f t="shared" si="44"/>
        <v>0</v>
      </c>
      <c r="Y240" s="1189">
        <f t="shared" si="44"/>
        <v>0</v>
      </c>
      <c r="Z240" s="1189">
        <f t="shared" si="44"/>
        <v>0</v>
      </c>
      <c r="AA240" s="1189">
        <f t="shared" si="44"/>
        <v>0</v>
      </c>
      <c r="AB240" s="1189">
        <f t="shared" si="44"/>
        <v>1259646.4804166548</v>
      </c>
      <c r="AC240" s="1189">
        <f t="shared" si="44"/>
        <v>57258914.68</v>
      </c>
      <c r="AD240" s="1189">
        <f t="shared" si="44"/>
        <v>0</v>
      </c>
      <c r="AE240" s="1189">
        <f t="shared" si="44"/>
        <v>57258914.68</v>
      </c>
    </row>
    <row r="241" spans="1:31" outlineLevel="1">
      <c r="A241" s="1098">
        <v>232</v>
      </c>
      <c r="B241" s="1501"/>
      <c r="C241" s="1115" t="s">
        <v>3984</v>
      </c>
      <c r="D241" s="1140">
        <v>350.1</v>
      </c>
      <c r="E241" s="1189"/>
    </row>
    <row r="242" spans="1:31" outlineLevel="1">
      <c r="A242" s="1098">
        <v>233</v>
      </c>
      <c r="B242" s="1501"/>
      <c r="C242" s="1128" t="s">
        <v>3985</v>
      </c>
      <c r="D242" s="1119">
        <v>350.2</v>
      </c>
      <c r="E242" s="1189"/>
    </row>
    <row r="243" spans="1:31" outlineLevel="1">
      <c r="A243" s="1098">
        <v>234</v>
      </c>
      <c r="B243" s="1501"/>
      <c r="C243" s="1128" t="s">
        <v>3586</v>
      </c>
      <c r="D243" s="1119">
        <v>351</v>
      </c>
      <c r="E243" s="1189"/>
    </row>
    <row r="244" spans="1:31" outlineLevel="1">
      <c r="A244" s="1098">
        <v>235</v>
      </c>
      <c r="B244" s="1501"/>
      <c r="C244" s="1128" t="s">
        <v>3986</v>
      </c>
      <c r="D244" s="1119">
        <v>352</v>
      </c>
      <c r="E244" s="1189"/>
    </row>
    <row r="245" spans="1:31" outlineLevel="1">
      <c r="A245" s="1098">
        <v>236</v>
      </c>
      <c r="B245" s="1501"/>
      <c r="C245" s="1128" t="s">
        <v>3987</v>
      </c>
      <c r="D245" s="1119">
        <v>352.1</v>
      </c>
      <c r="E245" s="1189"/>
    </row>
    <row r="246" spans="1:31" outlineLevel="1">
      <c r="A246" s="1098">
        <v>237</v>
      </c>
      <c r="B246" s="1501"/>
      <c r="C246" s="1128" t="s">
        <v>3988</v>
      </c>
      <c r="D246" s="1119">
        <v>352.2</v>
      </c>
      <c r="E246" s="1189"/>
    </row>
    <row r="247" spans="1:31" outlineLevel="1">
      <c r="A247" s="1098">
        <v>238</v>
      </c>
      <c r="B247" s="1501"/>
      <c r="C247" s="1128" t="s">
        <v>3989</v>
      </c>
      <c r="D247" s="1119">
        <v>352.3</v>
      </c>
      <c r="E247" s="1189"/>
    </row>
    <row r="248" spans="1:31" outlineLevel="1">
      <c r="A248" s="1098">
        <v>239</v>
      </c>
      <c r="B248" s="1501"/>
      <c r="C248" s="1128" t="s">
        <v>3990</v>
      </c>
      <c r="D248" s="1119">
        <v>353</v>
      </c>
      <c r="E248" s="1189"/>
    </row>
    <row r="249" spans="1:31" outlineLevel="1">
      <c r="A249" s="1098">
        <v>240</v>
      </c>
      <c r="B249" s="1501"/>
      <c r="C249" s="1128" t="s">
        <v>3587</v>
      </c>
      <c r="D249" s="1119">
        <v>354</v>
      </c>
      <c r="E249" s="1189"/>
    </row>
    <row r="250" spans="1:31" outlineLevel="1">
      <c r="A250" s="1098">
        <v>241</v>
      </c>
      <c r="B250" s="1501"/>
      <c r="C250" s="1128" t="s">
        <v>3991</v>
      </c>
      <c r="D250" s="1119">
        <v>355</v>
      </c>
      <c r="E250" s="1189"/>
    </row>
    <row r="251" spans="1:31" outlineLevel="1">
      <c r="A251" s="1098">
        <v>242</v>
      </c>
      <c r="B251" s="1501"/>
      <c r="C251" s="1128" t="s">
        <v>3992</v>
      </c>
      <c r="D251" s="1119">
        <v>356</v>
      </c>
      <c r="E251" s="1189"/>
    </row>
    <row r="252" spans="1:31" outlineLevel="1">
      <c r="A252" s="1098">
        <v>243</v>
      </c>
      <c r="B252" s="1501"/>
      <c r="C252" s="1128" t="s">
        <v>3993</v>
      </c>
      <c r="D252" s="1141">
        <v>357</v>
      </c>
      <c r="E252" s="1189"/>
    </row>
    <row r="253" spans="1:31">
      <c r="A253" s="1098">
        <v>244</v>
      </c>
      <c r="B253" s="1501"/>
      <c r="C253" s="1527" t="s">
        <v>3994</v>
      </c>
      <c r="D253" s="1526"/>
      <c r="E253" s="1189">
        <f>SUM(E241:E252)</f>
        <v>0</v>
      </c>
      <c r="F253" s="1189">
        <f t="shared" ref="F253:AE253" si="45">SUM(F241:F252)</f>
        <v>0</v>
      </c>
      <c r="G253" s="1189">
        <f t="shared" si="45"/>
        <v>0</v>
      </c>
      <c r="H253" s="1189">
        <f t="shared" si="45"/>
        <v>0</v>
      </c>
      <c r="I253" s="1189">
        <f t="shared" si="45"/>
        <v>0</v>
      </c>
      <c r="J253" s="1189">
        <f t="shared" si="45"/>
        <v>0</v>
      </c>
      <c r="K253" s="1189">
        <f t="shared" si="45"/>
        <v>0</v>
      </c>
      <c r="L253" s="1189">
        <f t="shared" si="45"/>
        <v>0</v>
      </c>
      <c r="M253" s="1189">
        <f t="shared" si="45"/>
        <v>0</v>
      </c>
      <c r="N253" s="1189">
        <f t="shared" si="45"/>
        <v>0</v>
      </c>
      <c r="O253" s="1189">
        <f t="shared" si="45"/>
        <v>0</v>
      </c>
      <c r="P253" s="1189">
        <f t="shared" si="45"/>
        <v>0</v>
      </c>
      <c r="Q253" s="1189">
        <f t="shared" si="45"/>
        <v>0</v>
      </c>
      <c r="R253" s="1189">
        <f t="shared" si="45"/>
        <v>0</v>
      </c>
      <c r="S253" s="1189">
        <f t="shared" si="45"/>
        <v>0</v>
      </c>
      <c r="T253" s="1189">
        <f t="shared" si="45"/>
        <v>0</v>
      </c>
      <c r="U253" s="1189">
        <f t="shared" si="45"/>
        <v>0</v>
      </c>
      <c r="V253" s="1189">
        <f t="shared" si="45"/>
        <v>0</v>
      </c>
      <c r="W253" s="1189">
        <f t="shared" si="45"/>
        <v>0</v>
      </c>
      <c r="X253" s="1189">
        <f t="shared" si="45"/>
        <v>0</v>
      </c>
      <c r="Y253" s="1189">
        <f t="shared" si="45"/>
        <v>0</v>
      </c>
      <c r="Z253" s="1189">
        <f t="shared" si="45"/>
        <v>0</v>
      </c>
      <c r="AA253" s="1189">
        <f t="shared" si="45"/>
        <v>0</v>
      </c>
      <c r="AB253" s="1189">
        <f t="shared" si="45"/>
        <v>0</v>
      </c>
      <c r="AC253" s="1189">
        <f t="shared" si="45"/>
        <v>0</v>
      </c>
      <c r="AD253" s="1189">
        <f t="shared" si="45"/>
        <v>0</v>
      </c>
      <c r="AE253" s="1189">
        <f t="shared" si="45"/>
        <v>0</v>
      </c>
    </row>
    <row r="254" spans="1:31" outlineLevel="1">
      <c r="A254" s="1098">
        <v>245</v>
      </c>
      <c r="B254" s="1501"/>
      <c r="C254" s="1128" t="s">
        <v>3590</v>
      </c>
      <c r="D254" s="1116">
        <v>365.1</v>
      </c>
      <c r="E254" s="1189">
        <f>'COS Transfer File'!V17</f>
        <v>338215.79</v>
      </c>
      <c r="H254" s="1189">
        <f>'COS Transfer File'!T17-'COS Transfer File'!V17</f>
        <v>0</v>
      </c>
      <c r="Q254" s="1189">
        <f>SUM(F254:P254)</f>
        <v>0</v>
      </c>
      <c r="AA254" s="1192">
        <f>SUM(R254:Z254)</f>
        <v>0</v>
      </c>
      <c r="AB254" s="1192">
        <f>Q254+AA254</f>
        <v>0</v>
      </c>
      <c r="AC254" s="1192">
        <f>E254+AB254</f>
        <v>338215.79</v>
      </c>
      <c r="AE254" s="1192">
        <f>AC254+AD254</f>
        <v>338215.79</v>
      </c>
    </row>
    <row r="255" spans="1:31" outlineLevel="1">
      <c r="A255" s="1098">
        <v>246</v>
      </c>
      <c r="B255" s="1501"/>
      <c r="C255" s="1128" t="s">
        <v>3985</v>
      </c>
      <c r="D255" s="1116">
        <v>365.2</v>
      </c>
      <c r="E255" s="1189">
        <f>'COS Transfer File'!V18</f>
        <v>1047149.2595833335</v>
      </c>
      <c r="H255" s="1189">
        <f>'COS Transfer File'!T18-'COS Transfer File'!V18</f>
        <v>24255.920416666428</v>
      </c>
      <c r="Q255" s="1189">
        <f>SUM(F255:P255)</f>
        <v>24255.920416666428</v>
      </c>
      <c r="AA255" s="1192">
        <f>SUM(R255:Z255)</f>
        <v>0</v>
      </c>
      <c r="AB255" s="1192">
        <f>Q255+AA255</f>
        <v>24255.920416666428</v>
      </c>
      <c r="AC255" s="1192">
        <f>E255+AB255</f>
        <v>1071405.18</v>
      </c>
      <c r="AE255" s="1192">
        <f>AC255+AD255</f>
        <v>1071405.18</v>
      </c>
    </row>
    <row r="256" spans="1:31" ht="14.45" customHeight="1" outlineLevel="1">
      <c r="A256" s="1098">
        <v>247</v>
      </c>
      <c r="B256" s="1501"/>
      <c r="C256" s="1128" t="s">
        <v>3586</v>
      </c>
      <c r="D256" s="1116">
        <v>366</v>
      </c>
      <c r="E256" s="1189">
        <f>'COS Transfer File'!V19</f>
        <v>25898.970833333336</v>
      </c>
      <c r="H256" s="1189">
        <f>'COS Transfer File'!T19-'COS Transfer File'!V19</f>
        <v>98416.089166666658</v>
      </c>
      <c r="Q256" s="1189">
        <f>SUM(F256:P256)</f>
        <v>98416.089166666658</v>
      </c>
      <c r="AA256" s="1192">
        <f>SUM(R256:Z256)</f>
        <v>0</v>
      </c>
      <c r="AB256" s="1192">
        <f>Q256+AA256</f>
        <v>98416.089166666658</v>
      </c>
      <c r="AC256" s="1192">
        <f>E256+AB256</f>
        <v>124315.06</v>
      </c>
      <c r="AE256" s="1192">
        <f>AC256+AD256</f>
        <v>124315.06</v>
      </c>
    </row>
    <row r="257" spans="1:31" ht="14.45" customHeight="1" outlineLevel="1">
      <c r="A257" s="1098">
        <v>248</v>
      </c>
      <c r="B257" s="1501"/>
      <c r="C257" s="1128" t="s">
        <v>865</v>
      </c>
      <c r="D257" s="1116">
        <v>367</v>
      </c>
      <c r="E257" s="1189">
        <f>'COS Transfer File'!V20</f>
        <v>16970457.563750003</v>
      </c>
      <c r="H257" s="1189">
        <f>'COS Transfer File'!T20-'COS Transfer File'!V20</f>
        <v>284069.06624999642</v>
      </c>
      <c r="Q257" s="1189">
        <f>SUM(F257:P257)</f>
        <v>284069.06624999642</v>
      </c>
      <c r="AA257" s="1192">
        <f>SUM(R257:Z257)</f>
        <v>0</v>
      </c>
      <c r="AB257" s="1192">
        <f>Q257+AA257</f>
        <v>284069.06624999642</v>
      </c>
      <c r="AC257" s="1192">
        <f>E257+AB257</f>
        <v>17254526.629999999</v>
      </c>
      <c r="AE257" s="1192">
        <f>AC257+AD257</f>
        <v>17254526.629999999</v>
      </c>
    </row>
    <row r="258" spans="1:31" ht="14.45" customHeight="1" outlineLevel="1">
      <c r="A258" s="1098">
        <v>249</v>
      </c>
      <c r="B258" s="1501"/>
      <c r="C258" s="1128" t="s">
        <v>3587</v>
      </c>
      <c r="D258" s="1116">
        <v>368</v>
      </c>
      <c r="E258" s="1189"/>
    </row>
    <row r="259" spans="1:31" ht="14.45" customHeight="1" outlineLevel="1">
      <c r="A259" s="1098">
        <v>250</v>
      </c>
      <c r="B259" s="1501"/>
      <c r="C259" s="1128" t="s">
        <v>3995</v>
      </c>
      <c r="D259" s="1116">
        <v>369</v>
      </c>
      <c r="E259" s="1189">
        <f>'COS Transfer File'!V21</f>
        <v>135338.39999999997</v>
      </c>
      <c r="H259" s="1189">
        <f>'COS Transfer File'!T21-'COS Transfer File'!V21</f>
        <v>0</v>
      </c>
      <c r="Q259" s="1189">
        <f>SUM(F259:P259)</f>
        <v>0</v>
      </c>
      <c r="AA259" s="1192">
        <f>SUM(R259:Z259)</f>
        <v>0</v>
      </c>
      <c r="AB259" s="1192">
        <f>Q259+AA259</f>
        <v>0</v>
      </c>
      <c r="AC259" s="1192">
        <f>E259+AB259</f>
        <v>135338.39999999997</v>
      </c>
      <c r="AE259" s="1192">
        <f>AC259+AD259</f>
        <v>135338.39999999997</v>
      </c>
    </row>
    <row r="260" spans="1:31" ht="14.45" customHeight="1" outlineLevel="1">
      <c r="A260" s="1098">
        <v>251</v>
      </c>
      <c r="B260" s="1501"/>
      <c r="C260" s="1128" t="s">
        <v>3589</v>
      </c>
      <c r="D260" s="1116">
        <v>370</v>
      </c>
      <c r="E260" s="1189"/>
    </row>
    <row r="261" spans="1:31" ht="14.45" customHeight="1" outlineLevel="1">
      <c r="A261" s="1098">
        <v>252</v>
      </c>
      <c r="B261" s="1501"/>
      <c r="C261" s="1128" t="s">
        <v>3993</v>
      </c>
      <c r="D261" s="1116">
        <v>371</v>
      </c>
      <c r="E261" s="1189"/>
    </row>
    <row r="262" spans="1:31" ht="14.45" customHeight="1">
      <c r="A262" s="1098">
        <v>253</v>
      </c>
      <c r="B262" s="1501"/>
      <c r="C262" s="1527" t="s">
        <v>3582</v>
      </c>
      <c r="D262" s="1526"/>
      <c r="E262" s="1189">
        <f>SUM(E254:E261)</f>
        <v>18517059.984166667</v>
      </c>
      <c r="F262" s="1189">
        <f t="shared" ref="F262:AE262" si="46">SUM(F254:F261)</f>
        <v>0</v>
      </c>
      <c r="G262" s="1189">
        <f t="shared" si="46"/>
        <v>0</v>
      </c>
      <c r="H262" s="1189">
        <f t="shared" si="46"/>
        <v>406741.07583332952</v>
      </c>
      <c r="I262" s="1189">
        <f t="shared" si="46"/>
        <v>0</v>
      </c>
      <c r="J262" s="1189">
        <f t="shared" si="46"/>
        <v>0</v>
      </c>
      <c r="K262" s="1189">
        <f t="shared" si="46"/>
        <v>0</v>
      </c>
      <c r="L262" s="1189">
        <f t="shared" si="46"/>
        <v>0</v>
      </c>
      <c r="M262" s="1189">
        <f t="shared" si="46"/>
        <v>0</v>
      </c>
      <c r="N262" s="1189">
        <f t="shared" si="46"/>
        <v>0</v>
      </c>
      <c r="O262" s="1189">
        <f t="shared" si="46"/>
        <v>0</v>
      </c>
      <c r="P262" s="1189">
        <f t="shared" si="46"/>
        <v>0</v>
      </c>
      <c r="Q262" s="1189">
        <f t="shared" si="46"/>
        <v>406741.07583332952</v>
      </c>
      <c r="R262" s="1189">
        <f t="shared" si="46"/>
        <v>0</v>
      </c>
      <c r="S262" s="1189">
        <f t="shared" si="46"/>
        <v>0</v>
      </c>
      <c r="T262" s="1189">
        <f t="shared" si="46"/>
        <v>0</v>
      </c>
      <c r="U262" s="1189">
        <f t="shared" si="46"/>
        <v>0</v>
      </c>
      <c r="V262" s="1189">
        <f t="shared" si="46"/>
        <v>0</v>
      </c>
      <c r="W262" s="1189">
        <f t="shared" si="46"/>
        <v>0</v>
      </c>
      <c r="X262" s="1189">
        <f t="shared" si="46"/>
        <v>0</v>
      </c>
      <c r="Y262" s="1189">
        <f t="shared" si="46"/>
        <v>0</v>
      </c>
      <c r="Z262" s="1189">
        <f t="shared" si="46"/>
        <v>0</v>
      </c>
      <c r="AA262" s="1189">
        <f t="shared" si="46"/>
        <v>0</v>
      </c>
      <c r="AB262" s="1189">
        <f t="shared" si="46"/>
        <v>406741.07583332952</v>
      </c>
      <c r="AC262" s="1189">
        <f t="shared" si="46"/>
        <v>18923801.059999999</v>
      </c>
      <c r="AD262" s="1189">
        <f t="shared" si="46"/>
        <v>0</v>
      </c>
      <c r="AE262" s="1189">
        <f t="shared" si="46"/>
        <v>18923801.059999999</v>
      </c>
    </row>
    <row r="263" spans="1:31" outlineLevel="1">
      <c r="A263" s="1098">
        <v>254</v>
      </c>
      <c r="B263" s="1501"/>
      <c r="C263" s="1128" t="s">
        <v>3590</v>
      </c>
      <c r="D263" s="1116">
        <v>374</v>
      </c>
      <c r="E263" s="1189">
        <f>'COS Transfer File'!V24+'COS Transfer File'!V25</f>
        <v>2632245.9195833332</v>
      </c>
      <c r="H263" s="1189">
        <f>'COS Transfer File'!T24+'COS Transfer File'!T25-'COS Transfer File'!V24-'COS Transfer File'!V25</f>
        <v>-4.3495833333581686</v>
      </c>
      <c r="Q263" s="1189">
        <f t="shared" ref="Q263:Q270" si="47">SUM(F263:P263)</f>
        <v>-4.3495833333581686</v>
      </c>
      <c r="AA263" s="1192">
        <f t="shared" ref="AA263:AA270" si="48">SUM(R263:Z263)</f>
        <v>0</v>
      </c>
      <c r="AB263" s="1192">
        <f t="shared" ref="AB263:AB270" si="49">Q263+AA263</f>
        <v>-4.3495833333581686</v>
      </c>
      <c r="AC263" s="1192">
        <f t="shared" ref="AC263:AC270" si="50">E263+AB263</f>
        <v>2632241.5699999998</v>
      </c>
      <c r="AE263" s="1192">
        <f t="shared" ref="AE263:AE270" si="51">AC263+AD263</f>
        <v>2632241.5699999998</v>
      </c>
    </row>
    <row r="264" spans="1:31" outlineLevel="1">
      <c r="A264" s="1098">
        <v>255</v>
      </c>
      <c r="B264" s="1501"/>
      <c r="C264" s="1128" t="s">
        <v>3586</v>
      </c>
      <c r="D264" s="1116">
        <v>375</v>
      </c>
      <c r="E264" s="1189">
        <f>'COS Transfer File'!V26</f>
        <v>1051387.3987499999</v>
      </c>
      <c r="H264" s="1189">
        <f>'COS Transfer File'!T26-'COS Transfer File'!V26</f>
        <v>41891.161250000121</v>
      </c>
      <c r="Q264" s="1189">
        <f t="shared" si="47"/>
        <v>41891.161250000121</v>
      </c>
      <c r="AA264" s="1192">
        <f t="shared" si="48"/>
        <v>0</v>
      </c>
      <c r="AB264" s="1192">
        <f t="shared" si="49"/>
        <v>41891.161250000121</v>
      </c>
      <c r="AC264" s="1192">
        <f t="shared" si="50"/>
        <v>1093278.56</v>
      </c>
      <c r="AE264" s="1192">
        <f t="shared" si="51"/>
        <v>1093278.56</v>
      </c>
    </row>
    <row r="265" spans="1:31" outlineLevel="1">
      <c r="A265" s="1098">
        <v>256</v>
      </c>
      <c r="B265" s="1501"/>
      <c r="C265" s="1128" t="s">
        <v>865</v>
      </c>
      <c r="D265" s="1116">
        <v>376</v>
      </c>
      <c r="E265" s="1189">
        <f>'COS Transfer File'!V27+'COS Transfer File'!V28+'COS Transfer File'!V29</f>
        <v>567951241.97458327</v>
      </c>
      <c r="H265" s="1189">
        <f>SUM('COS Transfer File'!T27:T29)-SUM('COS Transfer File'!V27:V29)</f>
        <v>35839665.435416698</v>
      </c>
      <c r="Q265" s="1189">
        <f t="shared" si="47"/>
        <v>35839665.435416698</v>
      </c>
      <c r="AA265" s="1192">
        <f t="shared" si="48"/>
        <v>0</v>
      </c>
      <c r="AB265" s="1192">
        <f t="shared" si="49"/>
        <v>35839665.435416698</v>
      </c>
      <c r="AC265" s="1192">
        <f t="shared" si="50"/>
        <v>603790907.40999997</v>
      </c>
      <c r="AE265" s="1192">
        <f t="shared" si="51"/>
        <v>603790907.40999997</v>
      </c>
    </row>
    <row r="266" spans="1:31" outlineLevel="1">
      <c r="A266" s="1098">
        <v>257</v>
      </c>
      <c r="B266" s="1501"/>
      <c r="C266" s="1128" t="s">
        <v>3587</v>
      </c>
      <c r="D266" s="1116">
        <v>377</v>
      </c>
      <c r="E266" s="1189">
        <f>'COS Transfer File'!V30</f>
        <v>2514092.2129166666</v>
      </c>
      <c r="H266" s="1189">
        <f>'COS Transfer File'!T30-'COS Transfer File'!V30</f>
        <v>413823.01708333334</v>
      </c>
      <c r="Q266" s="1189">
        <f t="shared" si="47"/>
        <v>413823.01708333334</v>
      </c>
      <c r="AA266" s="1192">
        <f t="shared" si="48"/>
        <v>0</v>
      </c>
      <c r="AB266" s="1192">
        <f t="shared" si="49"/>
        <v>413823.01708333334</v>
      </c>
      <c r="AC266" s="1192">
        <f t="shared" si="50"/>
        <v>2927915.23</v>
      </c>
      <c r="AE266" s="1192">
        <f t="shared" si="51"/>
        <v>2927915.23</v>
      </c>
    </row>
    <row r="267" spans="1:31" outlineLevel="1">
      <c r="A267" s="1098">
        <v>258</v>
      </c>
      <c r="B267" s="1501"/>
      <c r="C267" s="1128" t="s">
        <v>3591</v>
      </c>
      <c r="D267" s="1116">
        <v>378</v>
      </c>
      <c r="E267" s="1189">
        <f>'COS Transfer File'!V31</f>
        <v>36314845.541666664</v>
      </c>
      <c r="H267" s="1189">
        <f>'COS Transfer File'!T31-'COS Transfer File'!V31</f>
        <v>837723.78833333403</v>
      </c>
      <c r="Q267" s="1189">
        <f t="shared" si="47"/>
        <v>837723.78833333403</v>
      </c>
      <c r="AA267" s="1192">
        <f t="shared" si="48"/>
        <v>0</v>
      </c>
      <c r="AB267" s="1192">
        <f t="shared" si="49"/>
        <v>837723.78833333403</v>
      </c>
      <c r="AC267" s="1192">
        <f t="shared" si="50"/>
        <v>37152569.329999998</v>
      </c>
      <c r="AE267" s="1192">
        <f t="shared" si="51"/>
        <v>37152569.329999998</v>
      </c>
    </row>
    <row r="268" spans="1:31" outlineLevel="1">
      <c r="A268" s="1098">
        <v>259</v>
      </c>
      <c r="B268" s="1501"/>
      <c r="C268" s="1128" t="s">
        <v>3996</v>
      </c>
      <c r="D268" s="1116">
        <v>379</v>
      </c>
      <c r="E268" s="1189">
        <f>'COS Transfer File'!V32</f>
        <v>4683724.2270833338</v>
      </c>
      <c r="H268" s="1189">
        <f>'COS Transfer File'!T32-'COS Transfer File'!V32</f>
        <v>-332171.99708333332</v>
      </c>
      <c r="Q268" s="1189">
        <f t="shared" si="47"/>
        <v>-332171.99708333332</v>
      </c>
      <c r="AA268" s="1192">
        <f t="shared" si="48"/>
        <v>0</v>
      </c>
      <c r="AB268" s="1192">
        <f t="shared" si="49"/>
        <v>-332171.99708333332</v>
      </c>
      <c r="AC268" s="1192">
        <f t="shared" si="50"/>
        <v>4351552.2300000004</v>
      </c>
      <c r="AE268" s="1192">
        <f t="shared" si="51"/>
        <v>4351552.2300000004</v>
      </c>
    </row>
    <row r="269" spans="1:31" outlineLevel="1">
      <c r="A269" s="1098">
        <v>260</v>
      </c>
      <c r="B269" s="1501"/>
      <c r="C269" s="1128" t="s">
        <v>872</v>
      </c>
      <c r="D269" s="1116">
        <v>380</v>
      </c>
      <c r="E269" s="1189">
        <f>'COS Transfer File'!V33+'COS Transfer File'!V34</f>
        <v>241532677.10125002</v>
      </c>
      <c r="H269" s="1189">
        <f>SUM('COS Transfer File'!T33:T34)-SUM('COS Transfer File'!V33:V34)</f>
        <v>4176893.2587499917</v>
      </c>
      <c r="Q269" s="1189">
        <f t="shared" si="47"/>
        <v>4176893.2587499917</v>
      </c>
      <c r="AA269" s="1192">
        <f t="shared" si="48"/>
        <v>0</v>
      </c>
      <c r="AB269" s="1192">
        <f t="shared" si="49"/>
        <v>4176893.2587499917</v>
      </c>
      <c r="AC269" s="1192">
        <f t="shared" si="50"/>
        <v>245709570.36000001</v>
      </c>
      <c r="AE269" s="1192">
        <f t="shared" si="51"/>
        <v>245709570.36000001</v>
      </c>
    </row>
    <row r="270" spans="1:31" outlineLevel="1">
      <c r="A270" s="1098">
        <v>261</v>
      </c>
      <c r="B270" s="1501"/>
      <c r="C270" s="1128" t="s">
        <v>3593</v>
      </c>
      <c r="D270" s="1116">
        <v>381</v>
      </c>
      <c r="E270" s="1189">
        <f>'COS Transfer File'!V35+'COS Transfer File'!V36</f>
        <v>83996298.431249976</v>
      </c>
      <c r="H270" s="1189">
        <f>SUM('COS Transfer File'!T35:T36)-SUM('COS Transfer File'!V35:V36)</f>
        <v>748869.48875002563</v>
      </c>
      <c r="Q270" s="1189">
        <f t="shared" si="47"/>
        <v>748869.48875002563</v>
      </c>
      <c r="AA270" s="1192">
        <f t="shared" si="48"/>
        <v>0</v>
      </c>
      <c r="AB270" s="1192">
        <f t="shared" si="49"/>
        <v>748869.48875002563</v>
      </c>
      <c r="AC270" s="1192">
        <f t="shared" si="50"/>
        <v>84745167.920000002</v>
      </c>
      <c r="AE270" s="1192">
        <f t="shared" si="51"/>
        <v>84745167.920000002</v>
      </c>
    </row>
    <row r="271" spans="1:31" outlineLevel="1">
      <c r="A271" s="1098">
        <v>262</v>
      </c>
      <c r="B271" s="1501"/>
      <c r="C271" s="1128" t="s">
        <v>3594</v>
      </c>
      <c r="D271" s="1116">
        <v>382</v>
      </c>
      <c r="E271" s="1189"/>
      <c r="H271" s="1189"/>
    </row>
    <row r="272" spans="1:31" outlineLevel="1">
      <c r="A272" s="1098">
        <v>263</v>
      </c>
      <c r="B272" s="1501"/>
      <c r="C272" s="1128" t="s">
        <v>3595</v>
      </c>
      <c r="D272" s="1116">
        <v>383</v>
      </c>
      <c r="E272" s="1189">
        <f>'COS Transfer File'!V37</f>
        <v>9916763.0695833359</v>
      </c>
      <c r="H272" s="1189">
        <f>'COS Transfer File'!T37-'COS Transfer File'!V37</f>
        <v>261020.73041666485</v>
      </c>
      <c r="Q272" s="1189">
        <f>SUM(F272:P272)</f>
        <v>261020.73041666485</v>
      </c>
      <c r="AA272" s="1192">
        <f>SUM(R272:Z272)</f>
        <v>0</v>
      </c>
      <c r="AB272" s="1192">
        <f>Q272+AA272</f>
        <v>261020.73041666485</v>
      </c>
      <c r="AC272" s="1192">
        <f>E272+AB272</f>
        <v>10177783.800000001</v>
      </c>
      <c r="AE272" s="1192">
        <f>AC272+AD272</f>
        <v>10177783.800000001</v>
      </c>
    </row>
    <row r="273" spans="1:31" outlineLevel="1">
      <c r="A273" s="1098">
        <v>264</v>
      </c>
      <c r="B273" s="1501"/>
      <c r="C273" s="1128" t="s">
        <v>3997</v>
      </c>
      <c r="D273" s="1116">
        <v>384</v>
      </c>
      <c r="E273" s="1189"/>
      <c r="H273" s="1189"/>
    </row>
    <row r="274" spans="1:31" outlineLevel="1">
      <c r="A274" s="1098">
        <v>265</v>
      </c>
      <c r="B274" s="1501"/>
      <c r="C274" s="1128" t="s">
        <v>3596</v>
      </c>
      <c r="D274" s="1116">
        <v>385</v>
      </c>
      <c r="E274" s="1189">
        <f>'COS Transfer File'!V38</f>
        <v>10316082.683333335</v>
      </c>
      <c r="H274" s="1189">
        <f>'COS Transfer File'!T38-'COS Transfer File'!V38</f>
        <v>288789.8666666653</v>
      </c>
      <c r="Q274" s="1189">
        <f>SUM(F274:P274)</f>
        <v>288789.8666666653</v>
      </c>
      <c r="AA274" s="1192">
        <f>SUM(R274:Z274)</f>
        <v>0</v>
      </c>
      <c r="AB274" s="1192">
        <f>Q274+AA274</f>
        <v>288789.8666666653</v>
      </c>
      <c r="AC274" s="1192">
        <f>E274+AB274</f>
        <v>10604872.550000001</v>
      </c>
      <c r="AE274" s="1192">
        <f>AC274+AD274</f>
        <v>10604872.550000001</v>
      </c>
    </row>
    <row r="275" spans="1:31" outlineLevel="1">
      <c r="A275" s="1098">
        <v>266</v>
      </c>
      <c r="B275" s="1501"/>
      <c r="C275" s="1128" t="s">
        <v>3998</v>
      </c>
      <c r="D275" s="1116">
        <v>386</v>
      </c>
      <c r="E275" s="1189"/>
    </row>
    <row r="276" spans="1:31" outlineLevel="1">
      <c r="A276" s="1098">
        <v>267</v>
      </c>
      <c r="B276" s="1501"/>
      <c r="C276" s="1128" t="s">
        <v>3993</v>
      </c>
      <c r="D276" s="1116">
        <v>387</v>
      </c>
      <c r="E276" s="1189"/>
    </row>
    <row r="277" spans="1:31">
      <c r="A277" s="1098">
        <v>268</v>
      </c>
      <c r="B277" s="1501"/>
      <c r="C277" s="1527" t="s">
        <v>3999</v>
      </c>
      <c r="D277" s="1526"/>
      <c r="E277" s="1189">
        <f>SUM(E263:E276)</f>
        <v>960909358.55999982</v>
      </c>
      <c r="F277" s="1189">
        <f t="shared" ref="F277:AE277" si="52">SUM(F263:F276)</f>
        <v>0</v>
      </c>
      <c r="G277" s="1189">
        <f t="shared" si="52"/>
        <v>0</v>
      </c>
      <c r="H277" s="1189">
        <f t="shared" si="52"/>
        <v>42276500.400000043</v>
      </c>
      <c r="I277" s="1189">
        <f t="shared" si="52"/>
        <v>0</v>
      </c>
      <c r="J277" s="1189">
        <f t="shared" si="52"/>
        <v>0</v>
      </c>
      <c r="K277" s="1189">
        <f t="shared" si="52"/>
        <v>0</v>
      </c>
      <c r="L277" s="1189">
        <f t="shared" si="52"/>
        <v>0</v>
      </c>
      <c r="M277" s="1189">
        <f t="shared" si="52"/>
        <v>0</v>
      </c>
      <c r="N277" s="1189">
        <f t="shared" si="52"/>
        <v>0</v>
      </c>
      <c r="O277" s="1189">
        <f t="shared" si="52"/>
        <v>0</v>
      </c>
      <c r="P277" s="1189">
        <f t="shared" si="52"/>
        <v>0</v>
      </c>
      <c r="Q277" s="1189">
        <f t="shared" si="52"/>
        <v>42276500.400000043</v>
      </c>
      <c r="R277" s="1189">
        <f t="shared" si="52"/>
        <v>0</v>
      </c>
      <c r="S277" s="1189">
        <f t="shared" si="52"/>
        <v>0</v>
      </c>
      <c r="T277" s="1189">
        <f t="shared" si="52"/>
        <v>0</v>
      </c>
      <c r="U277" s="1189">
        <f t="shared" si="52"/>
        <v>0</v>
      </c>
      <c r="V277" s="1189">
        <f t="shared" si="52"/>
        <v>0</v>
      </c>
      <c r="W277" s="1189">
        <f t="shared" si="52"/>
        <v>0</v>
      </c>
      <c r="X277" s="1189">
        <f t="shared" si="52"/>
        <v>0</v>
      </c>
      <c r="Y277" s="1189">
        <f t="shared" si="52"/>
        <v>0</v>
      </c>
      <c r="Z277" s="1189">
        <f t="shared" si="52"/>
        <v>0</v>
      </c>
      <c r="AA277" s="1189">
        <f t="shared" si="52"/>
        <v>0</v>
      </c>
      <c r="AB277" s="1189">
        <f t="shared" si="52"/>
        <v>42276500.400000043</v>
      </c>
      <c r="AC277" s="1189">
        <f t="shared" si="52"/>
        <v>1003185858.9599999</v>
      </c>
      <c r="AD277" s="1189">
        <f t="shared" si="52"/>
        <v>0</v>
      </c>
      <c r="AE277" s="1189">
        <f t="shared" si="52"/>
        <v>1003185858.9599999</v>
      </c>
    </row>
    <row r="278" spans="1:31" outlineLevel="1">
      <c r="A278" s="1098">
        <v>269</v>
      </c>
      <c r="B278" s="1501"/>
      <c r="C278" s="1128" t="s">
        <v>3590</v>
      </c>
      <c r="D278" s="1116">
        <v>389</v>
      </c>
      <c r="E278" s="1189">
        <f>'COS Transfer File'!V41</f>
        <v>3224803.0679166666</v>
      </c>
      <c r="H278" s="1189">
        <f>'COS Transfer File'!T41-'COS Transfer File'!V41</f>
        <v>-43.757916666567326</v>
      </c>
      <c r="Q278" s="1189">
        <f t="shared" ref="Q278:Q287" si="53">SUM(F278:P278)</f>
        <v>-43.757916666567326</v>
      </c>
      <c r="AA278" s="1192">
        <f t="shared" ref="AA278:AA287" si="54">SUM(R278:Z278)</f>
        <v>0</v>
      </c>
      <c r="AB278" s="1192">
        <f t="shared" ref="AB278:AB287" si="55">Q278+AA278</f>
        <v>-43.757916666567326</v>
      </c>
      <c r="AC278" s="1192">
        <f t="shared" ref="AC278:AC287" si="56">E278+AB278</f>
        <v>3224759.31</v>
      </c>
      <c r="AE278" s="1192">
        <f t="shared" ref="AE278:AE287" si="57">AC278+AD278</f>
        <v>3224759.31</v>
      </c>
    </row>
    <row r="279" spans="1:31" outlineLevel="1">
      <c r="A279" s="1098">
        <v>270</v>
      </c>
      <c r="B279" s="1501"/>
      <c r="C279" s="1128" t="s">
        <v>3586</v>
      </c>
      <c r="D279" s="1116">
        <v>390</v>
      </c>
      <c r="E279" s="1189">
        <f>'COS Transfer File'!V42+'COS Transfer File'!V43</f>
        <v>22121692.174166664</v>
      </c>
      <c r="H279" s="1189">
        <f>SUM('COS Transfer File'!T42:T43)-SUM('COS Transfer File'!V42:V43)</f>
        <v>243776.96583333611</v>
      </c>
      <c r="Q279" s="1189">
        <f t="shared" si="53"/>
        <v>243776.96583333611</v>
      </c>
      <c r="AA279" s="1192">
        <f t="shared" si="54"/>
        <v>0</v>
      </c>
      <c r="AB279" s="1192">
        <f t="shared" si="55"/>
        <v>243776.96583333611</v>
      </c>
      <c r="AC279" s="1192">
        <f t="shared" si="56"/>
        <v>22365469.140000001</v>
      </c>
      <c r="AE279" s="1192">
        <f t="shared" si="57"/>
        <v>22365469.140000001</v>
      </c>
    </row>
    <row r="280" spans="1:31" outlineLevel="1">
      <c r="A280" s="1098">
        <v>271</v>
      </c>
      <c r="B280" s="1501"/>
      <c r="C280" s="1128" t="s">
        <v>4000</v>
      </c>
      <c r="D280" s="1116">
        <v>391</v>
      </c>
      <c r="E280" s="1189">
        <f>'COS Transfer File'!V44+'COS Transfer File'!V45+'COS Transfer File'!V46+'COS Transfer File'!V47</f>
        <v>2919067.2383333333</v>
      </c>
      <c r="H280" s="1189">
        <f>SUM('COS Transfer File'!T44:T47)-SUM('COS Transfer File'!V44:V47)</f>
        <v>-115440.76833333354</v>
      </c>
      <c r="Q280" s="1189">
        <f t="shared" si="53"/>
        <v>-115440.76833333354</v>
      </c>
      <c r="AA280" s="1192">
        <f t="shared" si="54"/>
        <v>0</v>
      </c>
      <c r="AB280" s="1192">
        <f t="shared" si="55"/>
        <v>-115440.76833333354</v>
      </c>
      <c r="AC280" s="1192">
        <f t="shared" si="56"/>
        <v>2803626.4699999997</v>
      </c>
      <c r="AE280" s="1192">
        <f t="shared" si="57"/>
        <v>2803626.4699999997</v>
      </c>
    </row>
    <row r="281" spans="1:31" outlineLevel="1">
      <c r="A281" s="1098">
        <v>272</v>
      </c>
      <c r="B281" s="1501"/>
      <c r="C281" s="1128" t="s">
        <v>4001</v>
      </c>
      <c r="D281" s="1116">
        <v>392</v>
      </c>
      <c r="E281" s="1189">
        <f>'COS Transfer File'!V48+'COS Transfer File'!V49</f>
        <v>14817896.188333333</v>
      </c>
      <c r="H281" s="1189">
        <f>SUM('COS Transfer File'!T48:T49)-SUM('COS Transfer File'!V48:V49)</f>
        <v>692500.80166666768</v>
      </c>
      <c r="Q281" s="1189">
        <f t="shared" si="53"/>
        <v>692500.80166666768</v>
      </c>
      <c r="AA281" s="1192">
        <f t="shared" si="54"/>
        <v>0</v>
      </c>
      <c r="AB281" s="1192">
        <f t="shared" si="55"/>
        <v>692500.80166666768</v>
      </c>
      <c r="AC281" s="1192">
        <f t="shared" si="56"/>
        <v>15510396.99</v>
      </c>
      <c r="AE281" s="1192">
        <f t="shared" si="57"/>
        <v>15510396.99</v>
      </c>
    </row>
    <row r="282" spans="1:31" outlineLevel="1">
      <c r="A282" s="1098">
        <v>273</v>
      </c>
      <c r="B282" s="1501"/>
      <c r="C282" s="1128" t="s">
        <v>4002</v>
      </c>
      <c r="D282" s="1116">
        <v>393</v>
      </c>
      <c r="E282" s="1189">
        <f>'COS Transfer File'!V50</f>
        <v>70245.944166666668</v>
      </c>
      <c r="H282" s="1189">
        <f>'COS Transfer File'!T50-'COS Transfer File'!V50</f>
        <v>29690.965833333335</v>
      </c>
      <c r="Q282" s="1189">
        <f t="shared" si="53"/>
        <v>29690.965833333335</v>
      </c>
      <c r="AA282" s="1192">
        <f t="shared" si="54"/>
        <v>0</v>
      </c>
      <c r="AB282" s="1192">
        <f t="shared" si="55"/>
        <v>29690.965833333335</v>
      </c>
      <c r="AC282" s="1192">
        <f t="shared" si="56"/>
        <v>99936.91</v>
      </c>
      <c r="AE282" s="1192">
        <f t="shared" si="57"/>
        <v>99936.91</v>
      </c>
    </row>
    <row r="283" spans="1:31" outlineLevel="1">
      <c r="A283" s="1098">
        <v>274</v>
      </c>
      <c r="B283" s="1501"/>
      <c r="C283" s="1128" t="s">
        <v>4003</v>
      </c>
      <c r="D283" s="1116">
        <v>394</v>
      </c>
      <c r="E283" s="1189">
        <f>'COS Transfer File'!V51+'COS Transfer File'!V52</f>
        <v>7867707.8195833322</v>
      </c>
      <c r="H283" s="1189">
        <f>SUM('COS Transfer File'!T51:T52)-SUM('COS Transfer File'!V51:V52)</f>
        <v>486631.38041666709</v>
      </c>
      <c r="Q283" s="1189">
        <f t="shared" si="53"/>
        <v>486631.38041666709</v>
      </c>
      <c r="AA283" s="1192">
        <f t="shared" si="54"/>
        <v>0</v>
      </c>
      <c r="AB283" s="1192">
        <f t="shared" si="55"/>
        <v>486631.38041666709</v>
      </c>
      <c r="AC283" s="1192">
        <f t="shared" si="56"/>
        <v>8354339.1999999993</v>
      </c>
      <c r="AE283" s="1192">
        <f t="shared" si="57"/>
        <v>8354339.1999999993</v>
      </c>
    </row>
    <row r="284" spans="1:31" outlineLevel="1">
      <c r="A284" s="1098">
        <v>275</v>
      </c>
      <c r="B284" s="1501"/>
      <c r="C284" s="1128" t="s">
        <v>4004</v>
      </c>
      <c r="D284" s="1116">
        <v>395</v>
      </c>
      <c r="E284" s="1189">
        <f>'COS Transfer File'!V53</f>
        <v>59308.050833333342</v>
      </c>
      <c r="H284" s="1189">
        <f>'COS Transfer File'!T53-'COS Transfer File'!V53</f>
        <v>-3.6208333333415794</v>
      </c>
      <c r="Q284" s="1189">
        <f t="shared" si="53"/>
        <v>-3.6208333333415794</v>
      </c>
      <c r="AA284" s="1192">
        <f t="shared" si="54"/>
        <v>0</v>
      </c>
      <c r="AB284" s="1192">
        <f t="shared" si="55"/>
        <v>-3.6208333333415794</v>
      </c>
      <c r="AC284" s="1192">
        <f t="shared" si="56"/>
        <v>59304.43</v>
      </c>
      <c r="AE284" s="1192">
        <f t="shared" si="57"/>
        <v>59304.43</v>
      </c>
    </row>
    <row r="285" spans="1:31" outlineLevel="1">
      <c r="A285" s="1098">
        <v>276</v>
      </c>
      <c r="B285" s="1501"/>
      <c r="C285" s="1128" t="s">
        <v>4005</v>
      </c>
      <c r="D285" s="1116">
        <v>396</v>
      </c>
      <c r="E285" s="1189">
        <f>'COS Transfer File'!V54+'COS Transfer File'!V55</f>
        <v>3225026.3</v>
      </c>
      <c r="H285" s="1189">
        <f>SUM('COS Transfer File'!T54:T55)-SUM('COS Transfer File'!V54:V55)</f>
        <v>1350594.8800000008</v>
      </c>
      <c r="Q285" s="1189">
        <f t="shared" si="53"/>
        <v>1350594.8800000008</v>
      </c>
      <c r="AA285" s="1192">
        <f t="shared" si="54"/>
        <v>0</v>
      </c>
      <c r="AB285" s="1192">
        <f t="shared" si="55"/>
        <v>1350594.8800000008</v>
      </c>
      <c r="AC285" s="1192">
        <f t="shared" si="56"/>
        <v>4575621.1800000006</v>
      </c>
      <c r="AE285" s="1192">
        <f t="shared" si="57"/>
        <v>4575621.1800000006</v>
      </c>
    </row>
    <row r="286" spans="1:31" outlineLevel="1">
      <c r="A286" s="1098">
        <v>277</v>
      </c>
      <c r="B286" s="1501"/>
      <c r="C286" s="1128" t="s">
        <v>3589</v>
      </c>
      <c r="D286" s="1116">
        <v>397</v>
      </c>
      <c r="E286" s="1189">
        <f>'COS Transfer File'!V56+'COS Transfer File'!V57+'COS Transfer File'!V58+'COS Transfer File'!V59</f>
        <v>3410570.6841666671</v>
      </c>
      <c r="H286" s="1189">
        <f>SUM('COS Transfer File'!T56:T59)-SUM('COS Transfer File'!V56:V59)</f>
        <v>1909504.4258333342</v>
      </c>
      <c r="Q286" s="1189">
        <f t="shared" si="53"/>
        <v>1909504.4258333342</v>
      </c>
      <c r="AA286" s="1192">
        <f t="shared" si="54"/>
        <v>0</v>
      </c>
      <c r="AB286" s="1192">
        <f t="shared" si="55"/>
        <v>1909504.4258333342</v>
      </c>
      <c r="AC286" s="1192">
        <f t="shared" si="56"/>
        <v>5320075.1100000013</v>
      </c>
      <c r="AE286" s="1192">
        <f t="shared" si="57"/>
        <v>5320075.1100000013</v>
      </c>
    </row>
    <row r="287" spans="1:31" outlineLevel="1">
      <c r="A287" s="1098">
        <v>278</v>
      </c>
      <c r="B287" s="1501"/>
      <c r="C287" s="1128" t="s">
        <v>4006</v>
      </c>
      <c r="D287" s="1116">
        <v>398</v>
      </c>
      <c r="E287" s="1189">
        <f>'COS Transfer File'!V60</f>
        <v>82984.600833333359</v>
      </c>
      <c r="H287" s="1189">
        <f>'COS Transfer File'!T60-'COS Transfer File'!V60</f>
        <v>-3.8708333333488554</v>
      </c>
      <c r="Q287" s="1189">
        <f t="shared" si="53"/>
        <v>-3.8708333333488554</v>
      </c>
      <c r="AA287" s="1192">
        <f t="shared" si="54"/>
        <v>0</v>
      </c>
      <c r="AB287" s="1192">
        <f t="shared" si="55"/>
        <v>-3.8708333333488554</v>
      </c>
      <c r="AC287" s="1192">
        <f t="shared" si="56"/>
        <v>82980.73000000001</v>
      </c>
      <c r="AE287" s="1192">
        <f t="shared" si="57"/>
        <v>82980.73000000001</v>
      </c>
    </row>
    <row r="288" spans="1:31" outlineLevel="1">
      <c r="A288" s="1098">
        <v>279</v>
      </c>
      <c r="B288" s="1501"/>
      <c r="C288" s="1128" t="s">
        <v>4007</v>
      </c>
      <c r="D288" s="1116">
        <v>399</v>
      </c>
      <c r="E288" s="1189"/>
    </row>
    <row r="289" spans="1:31">
      <c r="A289" s="1098">
        <v>280</v>
      </c>
      <c r="B289" s="1502"/>
      <c r="C289" s="1527" t="s">
        <v>4008</v>
      </c>
      <c r="D289" s="1526"/>
      <c r="E289" s="1189">
        <f>SUM(E278:E288)</f>
        <v>57799302.068333335</v>
      </c>
      <c r="F289" s="1189">
        <f t="shared" ref="F289:AE289" si="58">SUM(F278:F288)</f>
        <v>0</v>
      </c>
      <c r="G289" s="1189">
        <f t="shared" si="58"/>
        <v>0</v>
      </c>
      <c r="H289" s="1189">
        <f t="shared" si="58"/>
        <v>4597207.401666672</v>
      </c>
      <c r="I289" s="1189">
        <f t="shared" si="58"/>
        <v>0</v>
      </c>
      <c r="J289" s="1189">
        <f t="shared" si="58"/>
        <v>0</v>
      </c>
      <c r="K289" s="1189">
        <f t="shared" si="58"/>
        <v>0</v>
      </c>
      <c r="L289" s="1189">
        <f t="shared" si="58"/>
        <v>0</v>
      </c>
      <c r="M289" s="1189">
        <f t="shared" si="58"/>
        <v>0</v>
      </c>
      <c r="N289" s="1189">
        <f t="shared" si="58"/>
        <v>0</v>
      </c>
      <c r="O289" s="1189">
        <f t="shared" si="58"/>
        <v>0</v>
      </c>
      <c r="P289" s="1189">
        <f t="shared" si="58"/>
        <v>0</v>
      </c>
      <c r="Q289" s="1189">
        <f t="shared" si="58"/>
        <v>4597207.401666672</v>
      </c>
      <c r="R289" s="1189">
        <f t="shared" si="58"/>
        <v>0</v>
      </c>
      <c r="S289" s="1189">
        <f t="shared" si="58"/>
        <v>0</v>
      </c>
      <c r="T289" s="1189">
        <f t="shared" si="58"/>
        <v>0</v>
      </c>
      <c r="U289" s="1189">
        <f t="shared" si="58"/>
        <v>0</v>
      </c>
      <c r="V289" s="1189">
        <f t="shared" si="58"/>
        <v>0</v>
      </c>
      <c r="W289" s="1189">
        <f t="shared" si="58"/>
        <v>0</v>
      </c>
      <c r="X289" s="1189">
        <f t="shared" si="58"/>
        <v>0</v>
      </c>
      <c r="Y289" s="1189">
        <f t="shared" si="58"/>
        <v>0</v>
      </c>
      <c r="Z289" s="1189">
        <f t="shared" si="58"/>
        <v>0</v>
      </c>
      <c r="AA289" s="1189">
        <f t="shared" si="58"/>
        <v>0</v>
      </c>
      <c r="AB289" s="1189">
        <f t="shared" si="58"/>
        <v>4597207.401666672</v>
      </c>
      <c r="AC289" s="1189">
        <f t="shared" si="58"/>
        <v>62396509.469999991</v>
      </c>
      <c r="AD289" s="1189">
        <f t="shared" si="58"/>
        <v>0</v>
      </c>
      <c r="AE289" s="1189">
        <f t="shared" si="58"/>
        <v>62396509.469999991</v>
      </c>
    </row>
    <row r="290" spans="1:31">
      <c r="A290" s="1098">
        <v>281</v>
      </c>
      <c r="B290" s="1510" t="s">
        <v>3980</v>
      </c>
      <c r="C290" s="1510"/>
      <c r="D290" s="1511"/>
      <c r="E290" s="1189">
        <f>E240+E253+E262+E277+E289</f>
        <v>1093224988.8120832</v>
      </c>
      <c r="F290" s="1189">
        <f t="shared" ref="F290:AE290" si="59">F240+F253+F262+F277+F289</f>
        <v>0</v>
      </c>
      <c r="G290" s="1189">
        <f t="shared" si="59"/>
        <v>0</v>
      </c>
      <c r="H290" s="1189">
        <f t="shared" si="59"/>
        <v>48540095.357916698</v>
      </c>
      <c r="I290" s="1189">
        <f t="shared" si="59"/>
        <v>0</v>
      </c>
      <c r="J290" s="1189">
        <f t="shared" si="59"/>
        <v>0</v>
      </c>
      <c r="K290" s="1189">
        <f t="shared" si="59"/>
        <v>0</v>
      </c>
      <c r="L290" s="1189">
        <f t="shared" si="59"/>
        <v>0</v>
      </c>
      <c r="M290" s="1189">
        <f t="shared" si="59"/>
        <v>0</v>
      </c>
      <c r="N290" s="1189">
        <f t="shared" si="59"/>
        <v>0</v>
      </c>
      <c r="O290" s="1189">
        <f t="shared" si="59"/>
        <v>0</v>
      </c>
      <c r="P290" s="1189">
        <f t="shared" si="59"/>
        <v>0</v>
      </c>
      <c r="Q290" s="1189">
        <f t="shared" si="59"/>
        <v>48540095.357916698</v>
      </c>
      <c r="R290" s="1189">
        <f t="shared" si="59"/>
        <v>0</v>
      </c>
      <c r="S290" s="1189">
        <f t="shared" si="59"/>
        <v>0</v>
      </c>
      <c r="T290" s="1189">
        <f t="shared" si="59"/>
        <v>0</v>
      </c>
      <c r="U290" s="1189">
        <f t="shared" si="59"/>
        <v>0</v>
      </c>
      <c r="V290" s="1189">
        <f t="shared" si="59"/>
        <v>0</v>
      </c>
      <c r="W290" s="1189">
        <f t="shared" si="59"/>
        <v>0</v>
      </c>
      <c r="X290" s="1189">
        <f t="shared" si="59"/>
        <v>0</v>
      </c>
      <c r="Y290" s="1189">
        <f t="shared" si="59"/>
        <v>0</v>
      </c>
      <c r="Z290" s="1189">
        <f t="shared" si="59"/>
        <v>0</v>
      </c>
      <c r="AA290" s="1189">
        <f t="shared" si="59"/>
        <v>0</v>
      </c>
      <c r="AB290" s="1189">
        <f t="shared" si="59"/>
        <v>48540095.357916698</v>
      </c>
      <c r="AC290" s="1189">
        <f t="shared" si="59"/>
        <v>1141765084.1699998</v>
      </c>
      <c r="AD290" s="1189">
        <f t="shared" si="59"/>
        <v>0</v>
      </c>
      <c r="AE290" s="1189">
        <f t="shared" si="59"/>
        <v>1141765084.1699998</v>
      </c>
    </row>
    <row r="291" spans="1:31" outlineLevel="1">
      <c r="A291" s="1098">
        <v>282</v>
      </c>
      <c r="B291" s="1500" t="s">
        <v>4009</v>
      </c>
      <c r="C291" s="1142" t="s">
        <v>3983</v>
      </c>
      <c r="D291" s="1143">
        <v>101.1</v>
      </c>
      <c r="E291" s="1189"/>
    </row>
    <row r="292" spans="1:31" outlineLevel="1">
      <c r="A292" s="1098">
        <v>283</v>
      </c>
      <c r="B292" s="1501"/>
      <c r="C292" s="1144" t="s">
        <v>3994</v>
      </c>
      <c r="D292" s="1145">
        <v>101.1</v>
      </c>
      <c r="E292" s="1189"/>
    </row>
    <row r="293" spans="1:31" outlineLevel="1">
      <c r="A293" s="1098">
        <v>284</v>
      </c>
      <c r="B293" s="1501"/>
      <c r="C293" s="1144" t="s">
        <v>3582</v>
      </c>
      <c r="D293" s="1145">
        <v>101.1</v>
      </c>
      <c r="E293" s="1189"/>
    </row>
    <row r="294" spans="1:31" outlineLevel="1">
      <c r="A294" s="1098">
        <v>285</v>
      </c>
      <c r="B294" s="1501"/>
      <c r="C294" s="1144" t="s">
        <v>3999</v>
      </c>
      <c r="D294" s="1145">
        <v>101.1</v>
      </c>
      <c r="E294" s="1189"/>
    </row>
    <row r="295" spans="1:31">
      <c r="A295" s="1098">
        <v>286</v>
      </c>
      <c r="B295" s="1502"/>
      <c r="C295" s="1146" t="s">
        <v>4008</v>
      </c>
      <c r="D295" s="1147">
        <v>101.1</v>
      </c>
      <c r="E295" s="1189"/>
    </row>
    <row r="296" spans="1:31">
      <c r="A296" s="1098">
        <v>287</v>
      </c>
      <c r="B296" s="1514" t="s">
        <v>4010</v>
      </c>
      <c r="C296" s="1515"/>
      <c r="D296" s="1516"/>
      <c r="E296" s="1189">
        <f>SUM(E291:E295)</f>
        <v>0</v>
      </c>
      <c r="F296" s="1189">
        <f t="shared" ref="F296:AE296" si="60">SUM(F291:F295)</f>
        <v>0</v>
      </c>
      <c r="G296" s="1189">
        <f t="shared" si="60"/>
        <v>0</v>
      </c>
      <c r="H296" s="1189">
        <f t="shared" si="60"/>
        <v>0</v>
      </c>
      <c r="I296" s="1189">
        <f t="shared" si="60"/>
        <v>0</v>
      </c>
      <c r="J296" s="1189">
        <f t="shared" si="60"/>
        <v>0</v>
      </c>
      <c r="K296" s="1189">
        <f t="shared" si="60"/>
        <v>0</v>
      </c>
      <c r="L296" s="1189">
        <f t="shared" si="60"/>
        <v>0</v>
      </c>
      <c r="M296" s="1189">
        <f t="shared" si="60"/>
        <v>0</v>
      </c>
      <c r="N296" s="1189">
        <f t="shared" si="60"/>
        <v>0</v>
      </c>
      <c r="O296" s="1189">
        <f t="shared" si="60"/>
        <v>0</v>
      </c>
      <c r="P296" s="1189">
        <f t="shared" si="60"/>
        <v>0</v>
      </c>
      <c r="Q296" s="1189">
        <f t="shared" si="60"/>
        <v>0</v>
      </c>
      <c r="R296" s="1189">
        <f t="shared" si="60"/>
        <v>0</v>
      </c>
      <c r="S296" s="1189">
        <f t="shared" si="60"/>
        <v>0</v>
      </c>
      <c r="T296" s="1189">
        <f t="shared" si="60"/>
        <v>0</v>
      </c>
      <c r="U296" s="1189">
        <f t="shared" si="60"/>
        <v>0</v>
      </c>
      <c r="V296" s="1189">
        <f t="shared" si="60"/>
        <v>0</v>
      </c>
      <c r="W296" s="1189">
        <f t="shared" si="60"/>
        <v>0</v>
      </c>
      <c r="X296" s="1189">
        <f t="shared" si="60"/>
        <v>0</v>
      </c>
      <c r="Y296" s="1189">
        <f t="shared" si="60"/>
        <v>0</v>
      </c>
      <c r="Z296" s="1189">
        <f t="shared" si="60"/>
        <v>0</v>
      </c>
      <c r="AA296" s="1189">
        <f t="shared" si="60"/>
        <v>0</v>
      </c>
      <c r="AB296" s="1189">
        <f t="shared" si="60"/>
        <v>0</v>
      </c>
      <c r="AC296" s="1189">
        <f t="shared" si="60"/>
        <v>0</v>
      </c>
      <c r="AD296" s="1189">
        <f t="shared" si="60"/>
        <v>0</v>
      </c>
      <c r="AE296" s="1189">
        <f t="shared" si="60"/>
        <v>0</v>
      </c>
    </row>
    <row r="297" spans="1:31">
      <c r="A297" s="1098">
        <v>288</v>
      </c>
      <c r="B297" s="1148" t="s">
        <v>4011</v>
      </c>
      <c r="C297" s="1149" t="s">
        <v>4011</v>
      </c>
      <c r="D297" s="1150">
        <v>102</v>
      </c>
      <c r="E297" s="1189"/>
    </row>
    <row r="298" spans="1:31">
      <c r="A298" s="1098">
        <v>289</v>
      </c>
      <c r="B298" s="1514" t="s">
        <v>4012</v>
      </c>
      <c r="C298" s="1528"/>
      <c r="D298" s="1529"/>
      <c r="E298" s="1189">
        <f>E297</f>
        <v>0</v>
      </c>
      <c r="F298" s="1189">
        <f t="shared" ref="F298:AE298" si="61">F297</f>
        <v>0</v>
      </c>
      <c r="G298" s="1189">
        <f t="shared" si="61"/>
        <v>0</v>
      </c>
      <c r="H298" s="1189">
        <f t="shared" si="61"/>
        <v>0</v>
      </c>
      <c r="I298" s="1189">
        <f t="shared" si="61"/>
        <v>0</v>
      </c>
      <c r="J298" s="1189">
        <f t="shared" si="61"/>
        <v>0</v>
      </c>
      <c r="K298" s="1189">
        <f t="shared" si="61"/>
        <v>0</v>
      </c>
      <c r="L298" s="1189">
        <f t="shared" si="61"/>
        <v>0</v>
      </c>
      <c r="M298" s="1189">
        <f t="shared" si="61"/>
        <v>0</v>
      </c>
      <c r="N298" s="1189">
        <f t="shared" si="61"/>
        <v>0</v>
      </c>
      <c r="O298" s="1189">
        <f t="shared" si="61"/>
        <v>0</v>
      </c>
      <c r="P298" s="1189">
        <f t="shared" si="61"/>
        <v>0</v>
      </c>
      <c r="Q298" s="1189">
        <f t="shared" si="61"/>
        <v>0</v>
      </c>
      <c r="R298" s="1189">
        <f t="shared" si="61"/>
        <v>0</v>
      </c>
      <c r="S298" s="1189">
        <f t="shared" si="61"/>
        <v>0</v>
      </c>
      <c r="T298" s="1189">
        <f t="shared" si="61"/>
        <v>0</v>
      </c>
      <c r="U298" s="1189">
        <f t="shared" si="61"/>
        <v>0</v>
      </c>
      <c r="V298" s="1189">
        <f t="shared" si="61"/>
        <v>0</v>
      </c>
      <c r="W298" s="1189">
        <f t="shared" si="61"/>
        <v>0</v>
      </c>
      <c r="X298" s="1189">
        <f t="shared" si="61"/>
        <v>0</v>
      </c>
      <c r="Y298" s="1189">
        <f t="shared" si="61"/>
        <v>0</v>
      </c>
      <c r="Z298" s="1189">
        <f t="shared" si="61"/>
        <v>0</v>
      </c>
      <c r="AA298" s="1189">
        <f t="shared" si="61"/>
        <v>0</v>
      </c>
      <c r="AB298" s="1189">
        <f t="shared" si="61"/>
        <v>0</v>
      </c>
      <c r="AC298" s="1189">
        <f t="shared" si="61"/>
        <v>0</v>
      </c>
      <c r="AD298" s="1189">
        <f t="shared" si="61"/>
        <v>0</v>
      </c>
      <c r="AE298" s="1189">
        <f t="shared" si="61"/>
        <v>0</v>
      </c>
    </row>
    <row r="299" spans="1:31" outlineLevel="1">
      <c r="A299" s="1098">
        <v>290</v>
      </c>
      <c r="B299" s="1500" t="s">
        <v>4013</v>
      </c>
      <c r="C299" s="1151" t="s">
        <v>3983</v>
      </c>
      <c r="D299" s="1143">
        <v>104</v>
      </c>
      <c r="E299" s="1189"/>
    </row>
    <row r="300" spans="1:31" outlineLevel="1">
      <c r="A300" s="1098">
        <v>291</v>
      </c>
      <c r="B300" s="1501"/>
      <c r="C300" s="1152" t="s">
        <v>3994</v>
      </c>
      <c r="D300" s="1145">
        <v>104</v>
      </c>
      <c r="E300" s="1189"/>
    </row>
    <row r="301" spans="1:31" outlineLevel="1">
      <c r="A301" s="1098">
        <v>292</v>
      </c>
      <c r="B301" s="1501"/>
      <c r="C301" s="1152" t="s">
        <v>3582</v>
      </c>
      <c r="D301" s="1145">
        <v>104</v>
      </c>
      <c r="E301" s="1189"/>
    </row>
    <row r="302" spans="1:31" outlineLevel="1">
      <c r="A302" s="1098">
        <v>293</v>
      </c>
      <c r="B302" s="1501"/>
      <c r="C302" s="1152" t="s">
        <v>3999</v>
      </c>
      <c r="D302" s="1145">
        <v>104</v>
      </c>
      <c r="E302" s="1189"/>
    </row>
    <row r="303" spans="1:31">
      <c r="A303" s="1098">
        <v>294</v>
      </c>
      <c r="B303" s="1502"/>
      <c r="C303" s="1153" t="s">
        <v>4008</v>
      </c>
      <c r="D303" s="1147">
        <v>104</v>
      </c>
      <c r="E303" s="1189"/>
    </row>
    <row r="304" spans="1:31">
      <c r="A304" s="1098">
        <v>295</v>
      </c>
      <c r="B304" s="1514" t="s">
        <v>4014</v>
      </c>
      <c r="C304" s="1517"/>
      <c r="D304" s="1518"/>
      <c r="E304" s="1189">
        <f>SUM(E299:E303)</f>
        <v>0</v>
      </c>
      <c r="F304" s="1189">
        <f t="shared" ref="F304:AE304" si="62">SUM(F299:F303)</f>
        <v>0</v>
      </c>
      <c r="G304" s="1189">
        <f t="shared" si="62"/>
        <v>0</v>
      </c>
      <c r="H304" s="1189">
        <f t="shared" si="62"/>
        <v>0</v>
      </c>
      <c r="I304" s="1189">
        <f t="shared" si="62"/>
        <v>0</v>
      </c>
      <c r="J304" s="1189">
        <f t="shared" si="62"/>
        <v>0</v>
      </c>
      <c r="K304" s="1189">
        <f t="shared" si="62"/>
        <v>0</v>
      </c>
      <c r="L304" s="1189">
        <f t="shared" si="62"/>
        <v>0</v>
      </c>
      <c r="M304" s="1189">
        <f t="shared" si="62"/>
        <v>0</v>
      </c>
      <c r="N304" s="1189">
        <f t="shared" si="62"/>
        <v>0</v>
      </c>
      <c r="O304" s="1189">
        <f t="shared" si="62"/>
        <v>0</v>
      </c>
      <c r="P304" s="1189">
        <f t="shared" si="62"/>
        <v>0</v>
      </c>
      <c r="Q304" s="1189">
        <f t="shared" si="62"/>
        <v>0</v>
      </c>
      <c r="R304" s="1189">
        <f t="shared" si="62"/>
        <v>0</v>
      </c>
      <c r="S304" s="1189">
        <f t="shared" si="62"/>
        <v>0</v>
      </c>
      <c r="T304" s="1189">
        <f t="shared" si="62"/>
        <v>0</v>
      </c>
      <c r="U304" s="1189">
        <f t="shared" si="62"/>
        <v>0</v>
      </c>
      <c r="V304" s="1189">
        <f t="shared" si="62"/>
        <v>0</v>
      </c>
      <c r="W304" s="1189">
        <f t="shared" si="62"/>
        <v>0</v>
      </c>
      <c r="X304" s="1189">
        <f t="shared" si="62"/>
        <v>0</v>
      </c>
      <c r="Y304" s="1189">
        <f t="shared" si="62"/>
        <v>0</v>
      </c>
      <c r="Z304" s="1189">
        <f t="shared" si="62"/>
        <v>0</v>
      </c>
      <c r="AA304" s="1189">
        <f t="shared" si="62"/>
        <v>0</v>
      </c>
      <c r="AB304" s="1189">
        <f t="shared" si="62"/>
        <v>0</v>
      </c>
      <c r="AC304" s="1189">
        <f t="shared" si="62"/>
        <v>0</v>
      </c>
      <c r="AD304" s="1189">
        <f t="shared" si="62"/>
        <v>0</v>
      </c>
      <c r="AE304" s="1189">
        <f t="shared" si="62"/>
        <v>0</v>
      </c>
    </row>
    <row r="305" spans="1:31" outlineLevel="1">
      <c r="A305" s="1098">
        <v>296</v>
      </c>
      <c r="B305" s="1500" t="s">
        <v>4015</v>
      </c>
      <c r="C305" s="1142" t="s">
        <v>3983</v>
      </c>
      <c r="D305" s="1143">
        <v>105</v>
      </c>
      <c r="E305" s="1189"/>
    </row>
    <row r="306" spans="1:31" outlineLevel="1">
      <c r="A306" s="1098">
        <v>297</v>
      </c>
      <c r="B306" s="1501"/>
      <c r="C306" s="1144" t="s">
        <v>3994</v>
      </c>
      <c r="D306" s="1145">
        <v>105</v>
      </c>
      <c r="E306" s="1189"/>
    </row>
    <row r="307" spans="1:31" outlineLevel="1">
      <c r="A307" s="1098">
        <v>298</v>
      </c>
      <c r="B307" s="1501"/>
      <c r="C307" s="1144" t="s">
        <v>3582</v>
      </c>
      <c r="D307" s="1145">
        <v>105</v>
      </c>
      <c r="E307" s="1189"/>
    </row>
    <row r="308" spans="1:31" outlineLevel="1">
      <c r="A308" s="1098">
        <v>299</v>
      </c>
      <c r="B308" s="1501"/>
      <c r="C308" s="1144" t="s">
        <v>3999</v>
      </c>
      <c r="D308" s="1145">
        <v>105</v>
      </c>
      <c r="E308" s="1189"/>
    </row>
    <row r="309" spans="1:31">
      <c r="A309" s="1098">
        <v>300</v>
      </c>
      <c r="B309" s="1502"/>
      <c r="C309" s="1146" t="s">
        <v>4008</v>
      </c>
      <c r="D309" s="1147">
        <v>105</v>
      </c>
      <c r="E309" s="1189"/>
    </row>
    <row r="310" spans="1:31">
      <c r="A310" s="1098">
        <v>301</v>
      </c>
      <c r="B310" s="1514" t="s">
        <v>4016</v>
      </c>
      <c r="C310" s="1517"/>
      <c r="D310" s="1518"/>
      <c r="E310" s="1189">
        <f>SUM(E305:E309)</f>
        <v>0</v>
      </c>
      <c r="F310" s="1189">
        <f t="shared" ref="F310:AE310" si="63">SUM(F305:F309)</f>
        <v>0</v>
      </c>
      <c r="G310" s="1189">
        <f t="shared" si="63"/>
        <v>0</v>
      </c>
      <c r="H310" s="1189">
        <f t="shared" si="63"/>
        <v>0</v>
      </c>
      <c r="I310" s="1189">
        <f t="shared" si="63"/>
        <v>0</v>
      </c>
      <c r="J310" s="1189">
        <f t="shared" si="63"/>
        <v>0</v>
      </c>
      <c r="K310" s="1189">
        <f t="shared" si="63"/>
        <v>0</v>
      </c>
      <c r="L310" s="1189">
        <f t="shared" si="63"/>
        <v>0</v>
      </c>
      <c r="M310" s="1189">
        <f t="shared" si="63"/>
        <v>0</v>
      </c>
      <c r="N310" s="1189">
        <f t="shared" si="63"/>
        <v>0</v>
      </c>
      <c r="O310" s="1189">
        <f t="shared" si="63"/>
        <v>0</v>
      </c>
      <c r="P310" s="1189">
        <f t="shared" si="63"/>
        <v>0</v>
      </c>
      <c r="Q310" s="1189">
        <f t="shared" si="63"/>
        <v>0</v>
      </c>
      <c r="R310" s="1189">
        <f t="shared" si="63"/>
        <v>0</v>
      </c>
      <c r="S310" s="1189">
        <f t="shared" si="63"/>
        <v>0</v>
      </c>
      <c r="T310" s="1189">
        <f t="shared" si="63"/>
        <v>0</v>
      </c>
      <c r="U310" s="1189">
        <f t="shared" si="63"/>
        <v>0</v>
      </c>
      <c r="V310" s="1189">
        <f t="shared" si="63"/>
        <v>0</v>
      </c>
      <c r="W310" s="1189">
        <f t="shared" si="63"/>
        <v>0</v>
      </c>
      <c r="X310" s="1189">
        <f t="shared" si="63"/>
        <v>0</v>
      </c>
      <c r="Y310" s="1189">
        <f t="shared" si="63"/>
        <v>0</v>
      </c>
      <c r="Z310" s="1189">
        <f t="shared" si="63"/>
        <v>0</v>
      </c>
      <c r="AA310" s="1189">
        <f t="shared" si="63"/>
        <v>0</v>
      </c>
      <c r="AB310" s="1189">
        <f t="shared" si="63"/>
        <v>0</v>
      </c>
      <c r="AC310" s="1189">
        <f t="shared" si="63"/>
        <v>0</v>
      </c>
      <c r="AD310" s="1189">
        <f t="shared" si="63"/>
        <v>0</v>
      </c>
      <c r="AE310" s="1189">
        <f t="shared" si="63"/>
        <v>0</v>
      </c>
    </row>
    <row r="311" spans="1:31" ht="31.5">
      <c r="A311" s="1098">
        <v>302</v>
      </c>
      <c r="B311" s="1148" t="s">
        <v>4017</v>
      </c>
      <c r="C311" s="1154" t="s">
        <v>4017</v>
      </c>
      <c r="D311" s="1155">
        <v>106</v>
      </c>
      <c r="E311" s="1189"/>
    </row>
    <row r="312" spans="1:31">
      <c r="A312" s="1098">
        <v>303</v>
      </c>
      <c r="B312" s="1514" t="s">
        <v>4018</v>
      </c>
      <c r="C312" s="1517"/>
      <c r="D312" s="1518"/>
      <c r="E312" s="1189">
        <f>E311</f>
        <v>0</v>
      </c>
      <c r="F312" s="1189">
        <f t="shared" ref="F312:AE312" si="64">F311</f>
        <v>0</v>
      </c>
      <c r="G312" s="1189">
        <f t="shared" si="64"/>
        <v>0</v>
      </c>
      <c r="H312" s="1189">
        <f t="shared" si="64"/>
        <v>0</v>
      </c>
      <c r="I312" s="1189">
        <f t="shared" si="64"/>
        <v>0</v>
      </c>
      <c r="J312" s="1189">
        <f t="shared" si="64"/>
        <v>0</v>
      </c>
      <c r="K312" s="1189">
        <f t="shared" si="64"/>
        <v>0</v>
      </c>
      <c r="L312" s="1189">
        <f t="shared" si="64"/>
        <v>0</v>
      </c>
      <c r="M312" s="1189">
        <f t="shared" si="64"/>
        <v>0</v>
      </c>
      <c r="N312" s="1189">
        <f t="shared" si="64"/>
        <v>0</v>
      </c>
      <c r="O312" s="1189">
        <f t="shared" si="64"/>
        <v>0</v>
      </c>
      <c r="P312" s="1189">
        <f t="shared" si="64"/>
        <v>0</v>
      </c>
      <c r="Q312" s="1189">
        <f t="shared" si="64"/>
        <v>0</v>
      </c>
      <c r="R312" s="1189">
        <f t="shared" si="64"/>
        <v>0</v>
      </c>
      <c r="S312" s="1189">
        <f t="shared" si="64"/>
        <v>0</v>
      </c>
      <c r="T312" s="1189">
        <f t="shared" si="64"/>
        <v>0</v>
      </c>
      <c r="U312" s="1189">
        <f t="shared" si="64"/>
        <v>0</v>
      </c>
      <c r="V312" s="1189">
        <f t="shared" si="64"/>
        <v>0</v>
      </c>
      <c r="W312" s="1189">
        <f t="shared" si="64"/>
        <v>0</v>
      </c>
      <c r="X312" s="1189">
        <f t="shared" si="64"/>
        <v>0</v>
      </c>
      <c r="Y312" s="1189">
        <f t="shared" si="64"/>
        <v>0</v>
      </c>
      <c r="Z312" s="1189">
        <f t="shared" si="64"/>
        <v>0</v>
      </c>
      <c r="AA312" s="1189">
        <f t="shared" si="64"/>
        <v>0</v>
      </c>
      <c r="AB312" s="1189">
        <f t="shared" si="64"/>
        <v>0</v>
      </c>
      <c r="AC312" s="1189">
        <f t="shared" si="64"/>
        <v>0</v>
      </c>
      <c r="AD312" s="1189">
        <f t="shared" si="64"/>
        <v>0</v>
      </c>
      <c r="AE312" s="1189">
        <f t="shared" si="64"/>
        <v>0</v>
      </c>
    </row>
    <row r="313" spans="1:31" outlineLevel="2">
      <c r="A313" s="1098">
        <v>304</v>
      </c>
      <c r="B313" s="1500" t="s">
        <v>4019</v>
      </c>
      <c r="C313" s="1142" t="s">
        <v>3983</v>
      </c>
      <c r="D313" s="1143">
        <v>107</v>
      </c>
      <c r="E313" s="1189"/>
      <c r="F313" s="1189"/>
      <c r="G313" s="1189"/>
      <c r="H313" s="1189"/>
      <c r="I313" s="1189"/>
      <c r="J313" s="1189"/>
      <c r="K313" s="1189"/>
      <c r="L313" s="1189"/>
      <c r="M313" s="1189"/>
      <c r="N313" s="1189"/>
      <c r="O313" s="1189"/>
      <c r="P313" s="1189"/>
      <c r="Q313" s="1189"/>
      <c r="R313" s="1189"/>
      <c r="S313" s="1189"/>
      <c r="T313" s="1189"/>
      <c r="U313" s="1189"/>
      <c r="V313" s="1189"/>
      <c r="W313" s="1189"/>
      <c r="X313" s="1189"/>
      <c r="Y313" s="1189"/>
      <c r="Z313" s="1189"/>
      <c r="AA313" s="1189"/>
      <c r="AB313" s="1189"/>
      <c r="AC313" s="1189"/>
      <c r="AD313" s="1189"/>
      <c r="AE313" s="1189"/>
    </row>
    <row r="314" spans="1:31" outlineLevel="2">
      <c r="A314" s="1098">
        <v>305</v>
      </c>
      <c r="B314" s="1501"/>
      <c r="C314" s="1144" t="s">
        <v>3994</v>
      </c>
      <c r="D314" s="1145">
        <v>107</v>
      </c>
      <c r="E314" s="1189"/>
      <c r="F314" s="1189"/>
      <c r="G314" s="1189"/>
      <c r="H314" s="1189"/>
      <c r="I314" s="1189"/>
      <c r="J314" s="1189"/>
      <c r="K314" s="1189"/>
      <c r="L314" s="1189"/>
      <c r="M314" s="1189"/>
      <c r="N314" s="1189"/>
      <c r="O314" s="1189"/>
      <c r="P314" s="1189"/>
      <c r="Q314" s="1189"/>
      <c r="R314" s="1189"/>
      <c r="S314" s="1189"/>
      <c r="T314" s="1189"/>
      <c r="U314" s="1189"/>
      <c r="V314" s="1189"/>
      <c r="W314" s="1189"/>
      <c r="X314" s="1189"/>
      <c r="Y314" s="1189"/>
      <c r="Z314" s="1189"/>
      <c r="AA314" s="1189"/>
      <c r="AB314" s="1189"/>
      <c r="AC314" s="1189"/>
      <c r="AD314" s="1189"/>
      <c r="AE314" s="1189"/>
    </row>
    <row r="315" spans="1:31" outlineLevel="2">
      <c r="A315" s="1098">
        <v>306</v>
      </c>
      <c r="B315" s="1501"/>
      <c r="C315" s="1144" t="s">
        <v>3582</v>
      </c>
      <c r="D315" s="1145">
        <v>107</v>
      </c>
      <c r="E315" s="1189"/>
      <c r="F315" s="1189"/>
      <c r="G315" s="1189"/>
      <c r="H315" s="1189"/>
      <c r="I315" s="1189"/>
      <c r="J315" s="1189"/>
      <c r="K315" s="1189"/>
      <c r="L315" s="1189"/>
      <c r="M315" s="1189"/>
      <c r="N315" s="1189"/>
      <c r="O315" s="1189"/>
      <c r="P315" s="1189"/>
      <c r="Q315" s="1189"/>
      <c r="R315" s="1189"/>
      <c r="S315" s="1189"/>
      <c r="T315" s="1189"/>
      <c r="U315" s="1189"/>
      <c r="V315" s="1189"/>
      <c r="W315" s="1189"/>
      <c r="X315" s="1189"/>
      <c r="Y315" s="1189"/>
      <c r="Z315" s="1189"/>
      <c r="AA315" s="1189"/>
      <c r="AB315" s="1189"/>
      <c r="AC315" s="1189"/>
      <c r="AD315" s="1189"/>
      <c r="AE315" s="1189"/>
    </row>
    <row r="316" spans="1:31" outlineLevel="2">
      <c r="A316" s="1098">
        <v>307</v>
      </c>
      <c r="B316" s="1501"/>
      <c r="C316" s="1144" t="s">
        <v>3999</v>
      </c>
      <c r="D316" s="1145">
        <v>107</v>
      </c>
      <c r="E316" s="1189"/>
      <c r="F316" s="1189"/>
      <c r="G316" s="1189"/>
      <c r="H316" s="1189"/>
      <c r="I316" s="1189"/>
      <c r="J316" s="1189"/>
      <c r="K316" s="1189"/>
      <c r="L316" s="1189"/>
      <c r="M316" s="1189"/>
      <c r="N316" s="1189"/>
      <c r="O316" s="1189"/>
      <c r="P316" s="1189"/>
      <c r="Q316" s="1189"/>
      <c r="R316" s="1189"/>
      <c r="S316" s="1189"/>
      <c r="T316" s="1189"/>
      <c r="U316" s="1189"/>
      <c r="V316" s="1189"/>
      <c r="W316" s="1189"/>
      <c r="X316" s="1189"/>
      <c r="Y316" s="1189"/>
      <c r="Z316" s="1189"/>
      <c r="AA316" s="1189"/>
      <c r="AB316" s="1189"/>
      <c r="AC316" s="1189"/>
      <c r="AD316" s="1189"/>
      <c r="AE316" s="1189"/>
    </row>
    <row r="317" spans="1:31">
      <c r="A317" s="1098">
        <v>308</v>
      </c>
      <c r="B317" s="1502"/>
      <c r="C317" s="1144" t="s">
        <v>4008</v>
      </c>
      <c r="D317" s="1145">
        <v>107</v>
      </c>
      <c r="E317" s="1189"/>
      <c r="F317" s="1189"/>
      <c r="G317" s="1189"/>
      <c r="H317" s="1189"/>
      <c r="I317" s="1189"/>
      <c r="J317" s="1189"/>
      <c r="K317" s="1189"/>
      <c r="L317" s="1189"/>
      <c r="M317" s="1189"/>
      <c r="N317" s="1189"/>
      <c r="O317" s="1189"/>
      <c r="P317" s="1189"/>
      <c r="Q317" s="1189"/>
      <c r="R317" s="1189"/>
      <c r="S317" s="1189"/>
      <c r="T317" s="1189"/>
      <c r="U317" s="1189"/>
      <c r="V317" s="1189"/>
      <c r="W317" s="1189"/>
      <c r="X317" s="1189"/>
      <c r="Y317" s="1189"/>
      <c r="Z317" s="1189"/>
      <c r="AA317" s="1189"/>
      <c r="AB317" s="1189"/>
      <c r="AC317" s="1189"/>
      <c r="AD317" s="1189"/>
      <c r="AE317" s="1189"/>
    </row>
    <row r="318" spans="1:31">
      <c r="A318" s="1098">
        <v>309</v>
      </c>
      <c r="B318" s="1514" t="s">
        <v>4020</v>
      </c>
      <c r="C318" s="1517"/>
      <c r="D318" s="1518"/>
      <c r="E318" s="1189">
        <f>SUM(E313:E317)</f>
        <v>0</v>
      </c>
      <c r="F318" s="1189">
        <f t="shared" ref="F318:AE318" si="65">SUM(F313:F317)</f>
        <v>0</v>
      </c>
      <c r="G318" s="1189">
        <f t="shared" si="65"/>
        <v>0</v>
      </c>
      <c r="H318" s="1189">
        <f t="shared" si="65"/>
        <v>0</v>
      </c>
      <c r="I318" s="1189">
        <f t="shared" si="65"/>
        <v>0</v>
      </c>
      <c r="J318" s="1189">
        <f t="shared" si="65"/>
        <v>0</v>
      </c>
      <c r="K318" s="1189">
        <f t="shared" si="65"/>
        <v>0</v>
      </c>
      <c r="L318" s="1189">
        <f t="shared" si="65"/>
        <v>0</v>
      </c>
      <c r="M318" s="1189">
        <f t="shared" si="65"/>
        <v>0</v>
      </c>
      <c r="N318" s="1189">
        <f t="shared" si="65"/>
        <v>0</v>
      </c>
      <c r="O318" s="1189">
        <f t="shared" si="65"/>
        <v>0</v>
      </c>
      <c r="P318" s="1189">
        <f t="shared" si="65"/>
        <v>0</v>
      </c>
      <c r="Q318" s="1189">
        <f t="shared" si="65"/>
        <v>0</v>
      </c>
      <c r="R318" s="1189">
        <f t="shared" si="65"/>
        <v>0</v>
      </c>
      <c r="S318" s="1189">
        <f t="shared" si="65"/>
        <v>0</v>
      </c>
      <c r="T318" s="1189">
        <f t="shared" si="65"/>
        <v>0</v>
      </c>
      <c r="U318" s="1189">
        <f t="shared" si="65"/>
        <v>0</v>
      </c>
      <c r="V318" s="1189">
        <f t="shared" si="65"/>
        <v>0</v>
      </c>
      <c r="W318" s="1189">
        <f t="shared" si="65"/>
        <v>0</v>
      </c>
      <c r="X318" s="1189">
        <f t="shared" si="65"/>
        <v>0</v>
      </c>
      <c r="Y318" s="1189">
        <f t="shared" si="65"/>
        <v>0</v>
      </c>
      <c r="Z318" s="1189">
        <f t="shared" si="65"/>
        <v>0</v>
      </c>
      <c r="AA318" s="1189">
        <f t="shared" si="65"/>
        <v>0</v>
      </c>
      <c r="AB318" s="1189">
        <f t="shared" si="65"/>
        <v>0</v>
      </c>
      <c r="AC318" s="1189">
        <f t="shared" si="65"/>
        <v>0</v>
      </c>
      <c r="AD318" s="1189">
        <f t="shared" si="65"/>
        <v>0</v>
      </c>
      <c r="AE318" s="1189">
        <f t="shared" si="65"/>
        <v>0</v>
      </c>
    </row>
    <row r="319" spans="1:31" ht="15.6" customHeight="1" outlineLevel="1">
      <c r="A319" s="1098">
        <v>310</v>
      </c>
      <c r="B319" s="1500" t="s">
        <v>4021</v>
      </c>
      <c r="C319" s="1156" t="s">
        <v>3983</v>
      </c>
      <c r="D319" s="1145">
        <v>108</v>
      </c>
      <c r="E319" s="1189">
        <f>-'COS Transfer File'!W13</f>
        <v>-138157.94999999998</v>
      </c>
      <c r="H319" s="1192">
        <f>-'COS Transfer File'!U13+'COS Transfer File'!W13</f>
        <v>0</v>
      </c>
      <c r="Q319" s="1189">
        <f>SUM(F319:P319)</f>
        <v>0</v>
      </c>
      <c r="AA319" s="1192">
        <f>SUM(R319:Z319)</f>
        <v>0</v>
      </c>
      <c r="AB319" s="1192">
        <f>Q319+AA319</f>
        <v>0</v>
      </c>
      <c r="AC319" s="1192">
        <f>E319+AB319</f>
        <v>-138157.94999999998</v>
      </c>
      <c r="AE319" s="1192">
        <f>AC319+AD319</f>
        <v>-138157.94999999998</v>
      </c>
    </row>
    <row r="320" spans="1:31" outlineLevel="1">
      <c r="A320" s="1098">
        <v>311</v>
      </c>
      <c r="B320" s="1501"/>
      <c r="C320" s="1156" t="s">
        <v>3994</v>
      </c>
      <c r="D320" s="1145">
        <v>108</v>
      </c>
      <c r="E320" s="1189"/>
    </row>
    <row r="321" spans="1:31" outlineLevel="1">
      <c r="A321" s="1098">
        <v>312</v>
      </c>
      <c r="B321" s="1501"/>
      <c r="C321" s="1156" t="s">
        <v>3582</v>
      </c>
      <c r="D321" s="1145">
        <v>108</v>
      </c>
      <c r="E321" s="1189">
        <f>-'COS Transfer File'!W22</f>
        <v>-13079689.255833331</v>
      </c>
      <c r="H321" s="1189">
        <f>-'COS Transfer File'!U22+'COS Transfer File'!W22</f>
        <v>-106871.10416666791</v>
      </c>
      <c r="Q321" s="1189">
        <f>SUM(F321:P321)</f>
        <v>-106871.10416666791</v>
      </c>
      <c r="AA321" s="1192">
        <f>SUM(R321:Z321)</f>
        <v>0</v>
      </c>
      <c r="AB321" s="1192">
        <f>Q321+AA321</f>
        <v>-106871.10416666791</v>
      </c>
      <c r="AC321" s="1192">
        <f>E321+AB321</f>
        <v>-13186560.359999999</v>
      </c>
      <c r="AE321" s="1192">
        <f>AC321+AD321</f>
        <v>-13186560.359999999</v>
      </c>
    </row>
    <row r="322" spans="1:31" outlineLevel="1">
      <c r="A322" s="1098">
        <v>313</v>
      </c>
      <c r="B322" s="1501"/>
      <c r="C322" s="1156" t="s">
        <v>3999</v>
      </c>
      <c r="D322" s="1145">
        <v>108</v>
      </c>
      <c r="E322" s="1189">
        <f>-'COS Transfer File'!W39</f>
        <v>-407397383.89708328</v>
      </c>
      <c r="H322" s="1189">
        <f>-'COS Transfer File'!U39+'COS Transfer File'!W39</f>
        <v>-8789613.612916708</v>
      </c>
      <c r="Q322" s="1189">
        <f>SUM(F322:P322)</f>
        <v>-8789613.612916708</v>
      </c>
      <c r="AA322" s="1192">
        <f>SUM(R322:Z322)</f>
        <v>0</v>
      </c>
      <c r="AB322" s="1192">
        <f>Q322+AA322</f>
        <v>-8789613.612916708</v>
      </c>
      <c r="AC322" s="1192">
        <f>E322+AB322</f>
        <v>-416186997.50999999</v>
      </c>
      <c r="AE322" s="1192">
        <f>AC322+AD322</f>
        <v>-416186997.50999999</v>
      </c>
    </row>
    <row r="323" spans="1:31">
      <c r="A323" s="1098">
        <v>314</v>
      </c>
      <c r="B323" s="1501"/>
      <c r="C323" s="1156" t="s">
        <v>4008</v>
      </c>
      <c r="D323" s="1145">
        <v>108</v>
      </c>
      <c r="E323" s="1189">
        <f>-'COS Transfer File'!W61</f>
        <v>-21697964.199999999</v>
      </c>
      <c r="H323" s="1189">
        <f>-'COS Transfer File'!U61+'COS Transfer File'!W61</f>
        <v>-1861007.4499999993</v>
      </c>
      <c r="Q323" s="1189">
        <f>SUM(F323:P323)</f>
        <v>-1861007.4499999993</v>
      </c>
      <c r="AA323" s="1192">
        <f>SUM(R323:Z323)</f>
        <v>0</v>
      </c>
      <c r="AB323" s="1192">
        <f>Q323+AA323</f>
        <v>-1861007.4499999993</v>
      </c>
      <c r="AC323" s="1192">
        <f>E323+AB323</f>
        <v>-23558971.649999999</v>
      </c>
      <c r="AE323" s="1192">
        <f>AC323+AD323</f>
        <v>-23558971.649999999</v>
      </c>
    </row>
    <row r="324" spans="1:31">
      <c r="A324" s="1098">
        <v>315</v>
      </c>
      <c r="B324" s="1514" t="s">
        <v>4022</v>
      </c>
      <c r="C324" s="1517"/>
      <c r="D324" s="1518"/>
      <c r="E324" s="1189">
        <f>SUM(E319:E323)</f>
        <v>-442313195.30291659</v>
      </c>
      <c r="F324" s="1189">
        <f t="shared" ref="F324:AE324" si="66">SUM(F319:F323)</f>
        <v>0</v>
      </c>
      <c r="G324" s="1189">
        <f t="shared" si="66"/>
        <v>0</v>
      </c>
      <c r="H324" s="1189">
        <f t="shared" si="66"/>
        <v>-10757492.167083375</v>
      </c>
      <c r="I324" s="1189">
        <f t="shared" si="66"/>
        <v>0</v>
      </c>
      <c r="J324" s="1189">
        <f t="shared" si="66"/>
        <v>0</v>
      </c>
      <c r="K324" s="1189">
        <f t="shared" si="66"/>
        <v>0</v>
      </c>
      <c r="L324" s="1189">
        <f t="shared" si="66"/>
        <v>0</v>
      </c>
      <c r="M324" s="1189">
        <f t="shared" si="66"/>
        <v>0</v>
      </c>
      <c r="N324" s="1189">
        <f t="shared" si="66"/>
        <v>0</v>
      </c>
      <c r="O324" s="1189">
        <f t="shared" si="66"/>
        <v>0</v>
      </c>
      <c r="P324" s="1189">
        <f t="shared" si="66"/>
        <v>0</v>
      </c>
      <c r="Q324" s="1189">
        <f t="shared" si="66"/>
        <v>-10757492.167083375</v>
      </c>
      <c r="R324" s="1189">
        <f t="shared" si="66"/>
        <v>0</v>
      </c>
      <c r="S324" s="1189">
        <f t="shared" si="66"/>
        <v>0</v>
      </c>
      <c r="T324" s="1189">
        <f t="shared" si="66"/>
        <v>0</v>
      </c>
      <c r="U324" s="1189">
        <f t="shared" si="66"/>
        <v>0</v>
      </c>
      <c r="V324" s="1189">
        <f t="shared" si="66"/>
        <v>0</v>
      </c>
      <c r="W324" s="1189">
        <f t="shared" si="66"/>
        <v>0</v>
      </c>
      <c r="X324" s="1189">
        <f t="shared" si="66"/>
        <v>0</v>
      </c>
      <c r="Y324" s="1189">
        <f t="shared" si="66"/>
        <v>0</v>
      </c>
      <c r="Z324" s="1189">
        <f t="shared" si="66"/>
        <v>0</v>
      </c>
      <c r="AA324" s="1189">
        <f t="shared" si="66"/>
        <v>0</v>
      </c>
      <c r="AB324" s="1189">
        <f t="shared" si="66"/>
        <v>-10757492.167083375</v>
      </c>
      <c r="AC324" s="1189">
        <f t="shared" si="66"/>
        <v>-453070687.46999997</v>
      </c>
      <c r="AD324" s="1189">
        <f t="shared" si="66"/>
        <v>0</v>
      </c>
      <c r="AE324" s="1189">
        <f t="shared" si="66"/>
        <v>-453070687.46999997</v>
      </c>
    </row>
    <row r="325" spans="1:31" ht="15.6" customHeight="1" outlineLevel="1">
      <c r="A325" s="1098">
        <v>316</v>
      </c>
      <c r="B325" s="1500" t="s">
        <v>4023</v>
      </c>
      <c r="C325" s="1156" t="s">
        <v>3983</v>
      </c>
      <c r="D325" s="1145">
        <v>111</v>
      </c>
      <c r="E325" s="1189">
        <f>-'COS Transfer File'!W14</f>
        <v>-28112123.334166668</v>
      </c>
      <c r="H325" s="1189">
        <f>-'COS Transfer File'!U14+'COS Transfer File'!W14</f>
        <v>-1673011.7358333431</v>
      </c>
      <c r="Q325" s="1189">
        <f>SUM(F325:P325)</f>
        <v>-1673011.7358333431</v>
      </c>
      <c r="AA325" s="1192">
        <f>SUM(R325:Z325)</f>
        <v>0</v>
      </c>
      <c r="AB325" s="1192">
        <f>Q325+AA325</f>
        <v>-1673011.7358333431</v>
      </c>
      <c r="AC325" s="1192">
        <f>E325+AB325</f>
        <v>-29785135.070000011</v>
      </c>
      <c r="AE325" s="1192">
        <f>AC325+AD325</f>
        <v>-29785135.070000011</v>
      </c>
    </row>
    <row r="326" spans="1:31" outlineLevel="1">
      <c r="A326" s="1098">
        <v>317</v>
      </c>
      <c r="B326" s="1501"/>
      <c r="C326" s="1156" t="s">
        <v>3994</v>
      </c>
      <c r="D326" s="1145">
        <v>111</v>
      </c>
      <c r="E326" s="1189"/>
    </row>
    <row r="327" spans="1:31" outlineLevel="1">
      <c r="A327" s="1098">
        <v>318</v>
      </c>
      <c r="B327" s="1501"/>
      <c r="C327" s="1156" t="s">
        <v>3582</v>
      </c>
      <c r="D327" s="1145">
        <v>111</v>
      </c>
      <c r="E327" s="1189"/>
    </row>
    <row r="328" spans="1:31" outlineLevel="1">
      <c r="A328" s="1098">
        <v>319</v>
      </c>
      <c r="B328" s="1501"/>
      <c r="C328" s="1156" t="s">
        <v>3999</v>
      </c>
      <c r="D328" s="1145">
        <v>111</v>
      </c>
      <c r="E328" s="1189"/>
    </row>
    <row r="329" spans="1:31">
      <c r="A329" s="1098">
        <v>320</v>
      </c>
      <c r="B329" s="1501"/>
      <c r="C329" s="1156" t="s">
        <v>4008</v>
      </c>
      <c r="D329" s="1145">
        <v>111</v>
      </c>
      <c r="E329" s="1189"/>
    </row>
    <row r="330" spans="1:31">
      <c r="A330" s="1098">
        <v>321</v>
      </c>
      <c r="B330" s="1514" t="s">
        <v>4022</v>
      </c>
      <c r="C330" s="1517"/>
      <c r="D330" s="1518"/>
      <c r="E330" s="1189">
        <f>SUM(E325:E329)</f>
        <v>-28112123.334166668</v>
      </c>
      <c r="F330" s="1189">
        <f t="shared" ref="F330:AE330" si="67">SUM(F325:F329)</f>
        <v>0</v>
      </c>
      <c r="G330" s="1189">
        <f t="shared" si="67"/>
        <v>0</v>
      </c>
      <c r="H330" s="1189">
        <f t="shared" si="67"/>
        <v>-1673011.7358333431</v>
      </c>
      <c r="I330" s="1189">
        <f t="shared" si="67"/>
        <v>0</v>
      </c>
      <c r="J330" s="1189">
        <f t="shared" si="67"/>
        <v>0</v>
      </c>
      <c r="K330" s="1189">
        <f t="shared" si="67"/>
        <v>0</v>
      </c>
      <c r="L330" s="1189">
        <f t="shared" si="67"/>
        <v>0</v>
      </c>
      <c r="M330" s="1189">
        <f t="shared" si="67"/>
        <v>0</v>
      </c>
      <c r="N330" s="1189">
        <f t="shared" si="67"/>
        <v>0</v>
      </c>
      <c r="O330" s="1189">
        <f t="shared" si="67"/>
        <v>0</v>
      </c>
      <c r="P330" s="1189">
        <f t="shared" si="67"/>
        <v>0</v>
      </c>
      <c r="Q330" s="1189">
        <f t="shared" si="67"/>
        <v>-1673011.7358333431</v>
      </c>
      <c r="R330" s="1189">
        <f t="shared" si="67"/>
        <v>0</v>
      </c>
      <c r="S330" s="1189">
        <f t="shared" si="67"/>
        <v>0</v>
      </c>
      <c r="T330" s="1189">
        <f t="shared" si="67"/>
        <v>0</v>
      </c>
      <c r="U330" s="1189">
        <f t="shared" si="67"/>
        <v>0</v>
      </c>
      <c r="V330" s="1189">
        <f t="shared" si="67"/>
        <v>0</v>
      </c>
      <c r="W330" s="1189">
        <f t="shared" si="67"/>
        <v>0</v>
      </c>
      <c r="X330" s="1189">
        <f t="shared" si="67"/>
        <v>0</v>
      </c>
      <c r="Y330" s="1189">
        <f t="shared" si="67"/>
        <v>0</v>
      </c>
      <c r="Z330" s="1189">
        <f t="shared" si="67"/>
        <v>0</v>
      </c>
      <c r="AA330" s="1189">
        <f t="shared" si="67"/>
        <v>0</v>
      </c>
      <c r="AB330" s="1189">
        <f t="shared" si="67"/>
        <v>-1673011.7358333431</v>
      </c>
      <c r="AC330" s="1189">
        <f t="shared" si="67"/>
        <v>-29785135.070000011</v>
      </c>
      <c r="AD330" s="1189">
        <f t="shared" si="67"/>
        <v>0</v>
      </c>
      <c r="AE330" s="1189">
        <f t="shared" si="67"/>
        <v>-29785135.070000011</v>
      </c>
    </row>
    <row r="331" spans="1:31" ht="31.5">
      <c r="A331" s="1098">
        <v>322</v>
      </c>
      <c r="B331" s="1148" t="s">
        <v>4024</v>
      </c>
      <c r="C331" s="1154" t="s">
        <v>4024</v>
      </c>
      <c r="D331" s="1155">
        <v>114</v>
      </c>
      <c r="E331" s="1189"/>
    </row>
    <row r="332" spans="1:31">
      <c r="A332" s="1098">
        <v>323</v>
      </c>
      <c r="B332" s="1514" t="s">
        <v>4025</v>
      </c>
      <c r="C332" s="1528"/>
      <c r="D332" s="1529"/>
      <c r="E332" s="1189">
        <f>E331</f>
        <v>0</v>
      </c>
      <c r="F332" s="1189">
        <f t="shared" ref="F332:AE332" si="68">F331</f>
        <v>0</v>
      </c>
      <c r="G332" s="1189">
        <f t="shared" si="68"/>
        <v>0</v>
      </c>
      <c r="H332" s="1189">
        <f t="shared" si="68"/>
        <v>0</v>
      </c>
      <c r="I332" s="1189">
        <f t="shared" si="68"/>
        <v>0</v>
      </c>
      <c r="J332" s="1189">
        <f t="shared" si="68"/>
        <v>0</v>
      </c>
      <c r="K332" s="1189">
        <f t="shared" si="68"/>
        <v>0</v>
      </c>
      <c r="L332" s="1189">
        <f t="shared" si="68"/>
        <v>0</v>
      </c>
      <c r="M332" s="1189">
        <f t="shared" si="68"/>
        <v>0</v>
      </c>
      <c r="N332" s="1189">
        <f t="shared" si="68"/>
        <v>0</v>
      </c>
      <c r="O332" s="1189">
        <f t="shared" si="68"/>
        <v>0</v>
      </c>
      <c r="P332" s="1189">
        <f t="shared" si="68"/>
        <v>0</v>
      </c>
      <c r="Q332" s="1189">
        <f t="shared" si="68"/>
        <v>0</v>
      </c>
      <c r="R332" s="1189">
        <f t="shared" si="68"/>
        <v>0</v>
      </c>
      <c r="S332" s="1189">
        <f t="shared" si="68"/>
        <v>0</v>
      </c>
      <c r="T332" s="1189">
        <f t="shared" si="68"/>
        <v>0</v>
      </c>
      <c r="U332" s="1189">
        <f t="shared" si="68"/>
        <v>0</v>
      </c>
      <c r="V332" s="1189">
        <f t="shared" si="68"/>
        <v>0</v>
      </c>
      <c r="W332" s="1189">
        <f t="shared" si="68"/>
        <v>0</v>
      </c>
      <c r="X332" s="1189">
        <f t="shared" si="68"/>
        <v>0</v>
      </c>
      <c r="Y332" s="1189">
        <f t="shared" si="68"/>
        <v>0</v>
      </c>
      <c r="Z332" s="1189">
        <f t="shared" si="68"/>
        <v>0</v>
      </c>
      <c r="AA332" s="1189">
        <f t="shared" si="68"/>
        <v>0</v>
      </c>
      <c r="AB332" s="1189">
        <f t="shared" si="68"/>
        <v>0</v>
      </c>
      <c r="AC332" s="1189">
        <f t="shared" si="68"/>
        <v>0</v>
      </c>
      <c r="AD332" s="1189">
        <f t="shared" si="68"/>
        <v>0</v>
      </c>
      <c r="AE332" s="1189">
        <f t="shared" si="68"/>
        <v>0</v>
      </c>
    </row>
    <row r="333" spans="1:31" ht="31.5">
      <c r="A333" s="1098">
        <v>324</v>
      </c>
      <c r="B333" s="1157" t="s">
        <v>4026</v>
      </c>
      <c r="C333" s="1154" t="s">
        <v>4026</v>
      </c>
      <c r="D333" s="1155">
        <v>115</v>
      </c>
      <c r="E333" s="1189"/>
    </row>
    <row r="334" spans="1:31">
      <c r="A334" s="1098">
        <v>325</v>
      </c>
      <c r="B334" s="1533" t="s">
        <v>4027</v>
      </c>
      <c r="C334" s="1534"/>
      <c r="D334" s="1535"/>
      <c r="E334" s="1189">
        <f>E333</f>
        <v>0</v>
      </c>
      <c r="F334" s="1189">
        <f t="shared" ref="F334:AE334" si="69">F333</f>
        <v>0</v>
      </c>
      <c r="G334" s="1189">
        <f t="shared" si="69"/>
        <v>0</v>
      </c>
      <c r="H334" s="1189">
        <f t="shared" si="69"/>
        <v>0</v>
      </c>
      <c r="I334" s="1189">
        <f t="shared" si="69"/>
        <v>0</v>
      </c>
      <c r="J334" s="1189">
        <f t="shared" si="69"/>
        <v>0</v>
      </c>
      <c r="K334" s="1189">
        <f t="shared" si="69"/>
        <v>0</v>
      </c>
      <c r="L334" s="1189">
        <f t="shared" si="69"/>
        <v>0</v>
      </c>
      <c r="M334" s="1189">
        <f t="shared" si="69"/>
        <v>0</v>
      </c>
      <c r="N334" s="1189">
        <f t="shared" si="69"/>
        <v>0</v>
      </c>
      <c r="O334" s="1189">
        <f t="shared" si="69"/>
        <v>0</v>
      </c>
      <c r="P334" s="1189">
        <f t="shared" si="69"/>
        <v>0</v>
      </c>
      <c r="Q334" s="1189">
        <f t="shared" si="69"/>
        <v>0</v>
      </c>
      <c r="R334" s="1189">
        <f t="shared" si="69"/>
        <v>0</v>
      </c>
      <c r="S334" s="1189">
        <f t="shared" si="69"/>
        <v>0</v>
      </c>
      <c r="T334" s="1189">
        <f t="shared" si="69"/>
        <v>0</v>
      </c>
      <c r="U334" s="1189">
        <f t="shared" si="69"/>
        <v>0</v>
      </c>
      <c r="V334" s="1189">
        <f t="shared" si="69"/>
        <v>0</v>
      </c>
      <c r="W334" s="1189">
        <f t="shared" si="69"/>
        <v>0</v>
      </c>
      <c r="X334" s="1189">
        <f t="shared" si="69"/>
        <v>0</v>
      </c>
      <c r="Y334" s="1189">
        <f t="shared" si="69"/>
        <v>0</v>
      </c>
      <c r="Z334" s="1189">
        <f t="shared" si="69"/>
        <v>0</v>
      </c>
      <c r="AA334" s="1189">
        <f t="shared" si="69"/>
        <v>0</v>
      </c>
      <c r="AB334" s="1189">
        <f t="shared" si="69"/>
        <v>0</v>
      </c>
      <c r="AC334" s="1189">
        <f t="shared" si="69"/>
        <v>0</v>
      </c>
      <c r="AD334" s="1189">
        <f t="shared" si="69"/>
        <v>0</v>
      </c>
      <c r="AE334" s="1189">
        <f t="shared" si="69"/>
        <v>0</v>
      </c>
    </row>
    <row r="335" spans="1:31" ht="15.6" customHeight="1" outlineLevel="1">
      <c r="A335" s="1098">
        <v>326</v>
      </c>
      <c r="B335" s="1521" t="s">
        <v>4028</v>
      </c>
      <c r="C335" s="1142" t="s">
        <v>4029</v>
      </c>
      <c r="D335" s="1143">
        <v>117.1</v>
      </c>
      <c r="E335" s="1189"/>
    </row>
    <row r="336" spans="1:31" outlineLevel="1">
      <c r="A336" s="1098">
        <v>327</v>
      </c>
      <c r="B336" s="1519"/>
      <c r="C336" s="1144" t="s">
        <v>4030</v>
      </c>
      <c r="D336" s="1145">
        <v>117.2</v>
      </c>
      <c r="E336" s="1189"/>
    </row>
    <row r="337" spans="1:31" outlineLevel="1">
      <c r="A337" s="1098">
        <v>328</v>
      </c>
      <c r="B337" s="1519"/>
      <c r="C337" s="1144" t="s">
        <v>4031</v>
      </c>
      <c r="D337" s="1145">
        <v>117.3</v>
      </c>
      <c r="E337" s="1189"/>
    </row>
    <row r="338" spans="1:31">
      <c r="A338" s="1098">
        <v>329</v>
      </c>
      <c r="B338" s="1520"/>
      <c r="C338" s="1146" t="s">
        <v>4032</v>
      </c>
      <c r="D338" s="1147">
        <v>117.4</v>
      </c>
      <c r="E338" s="1189"/>
    </row>
    <row r="339" spans="1:31">
      <c r="A339" s="1098">
        <v>330</v>
      </c>
      <c r="B339" s="1533" t="s">
        <v>4033</v>
      </c>
      <c r="C339" s="1534"/>
      <c r="D339" s="1535"/>
      <c r="E339" s="1189">
        <f>SUM(E335:E338)</f>
        <v>0</v>
      </c>
      <c r="F339" s="1189">
        <f t="shared" ref="F339:AE339" si="70">SUM(F335:F338)</f>
        <v>0</v>
      </c>
      <c r="G339" s="1189">
        <f t="shared" si="70"/>
        <v>0</v>
      </c>
      <c r="H339" s="1189">
        <f t="shared" si="70"/>
        <v>0</v>
      </c>
      <c r="I339" s="1189">
        <f t="shared" si="70"/>
        <v>0</v>
      </c>
      <c r="J339" s="1189">
        <f t="shared" si="70"/>
        <v>0</v>
      </c>
      <c r="K339" s="1189">
        <f t="shared" si="70"/>
        <v>0</v>
      </c>
      <c r="L339" s="1189">
        <f t="shared" si="70"/>
        <v>0</v>
      </c>
      <c r="M339" s="1189">
        <f t="shared" si="70"/>
        <v>0</v>
      </c>
      <c r="N339" s="1189">
        <f t="shared" si="70"/>
        <v>0</v>
      </c>
      <c r="O339" s="1189">
        <f t="shared" si="70"/>
        <v>0</v>
      </c>
      <c r="P339" s="1189">
        <f t="shared" si="70"/>
        <v>0</v>
      </c>
      <c r="Q339" s="1189">
        <f t="shared" si="70"/>
        <v>0</v>
      </c>
      <c r="R339" s="1189">
        <f t="shared" si="70"/>
        <v>0</v>
      </c>
      <c r="S339" s="1189">
        <f t="shared" si="70"/>
        <v>0</v>
      </c>
      <c r="T339" s="1189">
        <f t="shared" si="70"/>
        <v>0</v>
      </c>
      <c r="U339" s="1189">
        <f t="shared" si="70"/>
        <v>0</v>
      </c>
      <c r="V339" s="1189">
        <f t="shared" si="70"/>
        <v>0</v>
      </c>
      <c r="W339" s="1189">
        <f t="shared" si="70"/>
        <v>0</v>
      </c>
      <c r="X339" s="1189">
        <f t="shared" si="70"/>
        <v>0</v>
      </c>
      <c r="Y339" s="1189">
        <f t="shared" si="70"/>
        <v>0</v>
      </c>
      <c r="Z339" s="1189">
        <f t="shared" si="70"/>
        <v>0</v>
      </c>
      <c r="AA339" s="1189">
        <f t="shared" si="70"/>
        <v>0</v>
      </c>
      <c r="AB339" s="1189">
        <f t="shared" si="70"/>
        <v>0</v>
      </c>
      <c r="AC339" s="1189">
        <f t="shared" si="70"/>
        <v>0</v>
      </c>
      <c r="AD339" s="1189">
        <f t="shared" si="70"/>
        <v>0</v>
      </c>
      <c r="AE339" s="1189">
        <f t="shared" si="70"/>
        <v>0</v>
      </c>
    </row>
    <row r="340" spans="1:31">
      <c r="A340" s="1098">
        <v>331</v>
      </c>
      <c r="B340" s="1536" t="s">
        <v>4034</v>
      </c>
      <c r="C340" s="1536"/>
      <c r="D340" s="1537"/>
      <c r="E340" s="1189">
        <f>E290+E296+E298+E304+E310+E312+E318+E324+E330+E332+E334+E339</f>
        <v>622799670.17500007</v>
      </c>
      <c r="F340" s="1189">
        <f t="shared" ref="F340:AE340" si="71">F290+F296+F298+F304+F310+F312+F318+F324+F330+F332+F334+F339</f>
        <v>0</v>
      </c>
      <c r="G340" s="1189">
        <f t="shared" si="71"/>
        <v>0</v>
      </c>
      <c r="H340" s="1189">
        <f t="shared" si="71"/>
        <v>36109591.454999983</v>
      </c>
      <c r="I340" s="1189">
        <f t="shared" si="71"/>
        <v>0</v>
      </c>
      <c r="J340" s="1189">
        <f t="shared" si="71"/>
        <v>0</v>
      </c>
      <c r="K340" s="1189">
        <f t="shared" si="71"/>
        <v>0</v>
      </c>
      <c r="L340" s="1189">
        <f t="shared" si="71"/>
        <v>0</v>
      </c>
      <c r="M340" s="1189">
        <f t="shared" si="71"/>
        <v>0</v>
      </c>
      <c r="N340" s="1189">
        <f t="shared" si="71"/>
        <v>0</v>
      </c>
      <c r="O340" s="1189">
        <f t="shared" si="71"/>
        <v>0</v>
      </c>
      <c r="P340" s="1189">
        <f t="shared" si="71"/>
        <v>0</v>
      </c>
      <c r="Q340" s="1189">
        <f t="shared" si="71"/>
        <v>36109591.454999983</v>
      </c>
      <c r="R340" s="1189">
        <f t="shared" si="71"/>
        <v>0</v>
      </c>
      <c r="S340" s="1189">
        <f t="shared" si="71"/>
        <v>0</v>
      </c>
      <c r="T340" s="1189">
        <f t="shared" si="71"/>
        <v>0</v>
      </c>
      <c r="U340" s="1189">
        <f t="shared" si="71"/>
        <v>0</v>
      </c>
      <c r="V340" s="1189">
        <f t="shared" si="71"/>
        <v>0</v>
      </c>
      <c r="W340" s="1189">
        <f t="shared" si="71"/>
        <v>0</v>
      </c>
      <c r="X340" s="1189">
        <f t="shared" si="71"/>
        <v>0</v>
      </c>
      <c r="Y340" s="1189">
        <f t="shared" si="71"/>
        <v>0</v>
      </c>
      <c r="Z340" s="1189">
        <f t="shared" si="71"/>
        <v>0</v>
      </c>
      <c r="AA340" s="1189">
        <f t="shared" si="71"/>
        <v>0</v>
      </c>
      <c r="AB340" s="1189">
        <f t="shared" si="71"/>
        <v>36109591.454999983</v>
      </c>
      <c r="AC340" s="1189">
        <f t="shared" si="71"/>
        <v>658909261.62999976</v>
      </c>
      <c r="AD340" s="1189">
        <f t="shared" si="71"/>
        <v>0</v>
      </c>
      <c r="AE340" s="1189">
        <f t="shared" si="71"/>
        <v>658909261.62999976</v>
      </c>
    </row>
    <row r="341" spans="1:31">
      <c r="A341" s="1098">
        <v>332</v>
      </c>
      <c r="B341" s="1158" t="s">
        <v>4035</v>
      </c>
      <c r="C341" s="1159" t="s">
        <v>4035</v>
      </c>
      <c r="D341" s="1160">
        <v>165</v>
      </c>
      <c r="E341" s="1189"/>
      <c r="F341" s="1189"/>
      <c r="G341" s="1189"/>
      <c r="H341" s="1189"/>
      <c r="I341" s="1189"/>
      <c r="J341" s="1189"/>
      <c r="K341" s="1189"/>
      <c r="L341" s="1189"/>
      <c r="M341" s="1189"/>
      <c r="N341" s="1189"/>
      <c r="O341" s="1189"/>
      <c r="P341" s="1189"/>
      <c r="Q341" s="1189"/>
      <c r="R341" s="1189"/>
      <c r="S341" s="1189"/>
      <c r="T341" s="1189"/>
      <c r="U341" s="1189"/>
      <c r="V341" s="1189"/>
      <c r="W341" s="1189"/>
      <c r="X341" s="1189"/>
      <c r="Y341" s="1189"/>
      <c r="Z341" s="1189"/>
      <c r="AA341" s="1189"/>
      <c r="AB341" s="1189"/>
      <c r="AC341" s="1189"/>
      <c r="AD341" s="1189"/>
      <c r="AE341" s="1189"/>
    </row>
    <row r="342" spans="1:31">
      <c r="A342" s="1098">
        <v>333</v>
      </c>
      <c r="B342" s="1514" t="s">
        <v>4036</v>
      </c>
      <c r="C342" s="1515"/>
      <c r="D342" s="1516"/>
      <c r="E342" s="1189">
        <f>E341</f>
        <v>0</v>
      </c>
      <c r="F342" s="1189">
        <f t="shared" ref="F342:AE343" si="72">F341</f>
        <v>0</v>
      </c>
      <c r="G342" s="1189">
        <f t="shared" si="72"/>
        <v>0</v>
      </c>
      <c r="H342" s="1189">
        <f t="shared" si="72"/>
        <v>0</v>
      </c>
      <c r="I342" s="1189">
        <f t="shared" si="72"/>
        <v>0</v>
      </c>
      <c r="J342" s="1189">
        <f t="shared" si="72"/>
        <v>0</v>
      </c>
      <c r="K342" s="1189">
        <f t="shared" si="72"/>
        <v>0</v>
      </c>
      <c r="L342" s="1189">
        <f t="shared" si="72"/>
        <v>0</v>
      </c>
      <c r="M342" s="1189">
        <f t="shared" si="72"/>
        <v>0</v>
      </c>
      <c r="N342" s="1189">
        <f t="shared" si="72"/>
        <v>0</v>
      </c>
      <c r="O342" s="1189">
        <f t="shared" si="72"/>
        <v>0</v>
      </c>
      <c r="P342" s="1189">
        <f t="shared" si="72"/>
        <v>0</v>
      </c>
      <c r="Q342" s="1189">
        <f t="shared" si="72"/>
        <v>0</v>
      </c>
      <c r="R342" s="1189">
        <f t="shared" si="72"/>
        <v>0</v>
      </c>
      <c r="S342" s="1189">
        <f t="shared" si="72"/>
        <v>0</v>
      </c>
      <c r="T342" s="1189">
        <f t="shared" si="72"/>
        <v>0</v>
      </c>
      <c r="U342" s="1189">
        <f t="shared" si="72"/>
        <v>0</v>
      </c>
      <c r="V342" s="1189">
        <f t="shared" si="72"/>
        <v>0</v>
      </c>
      <c r="W342" s="1189">
        <f t="shared" si="72"/>
        <v>0</v>
      </c>
      <c r="X342" s="1189">
        <f t="shared" si="72"/>
        <v>0</v>
      </c>
      <c r="Y342" s="1189">
        <f t="shared" si="72"/>
        <v>0</v>
      </c>
      <c r="Z342" s="1189">
        <f t="shared" si="72"/>
        <v>0</v>
      </c>
      <c r="AA342" s="1189">
        <f t="shared" si="72"/>
        <v>0</v>
      </c>
      <c r="AB342" s="1189">
        <f t="shared" si="72"/>
        <v>0</v>
      </c>
      <c r="AC342" s="1189">
        <f t="shared" si="72"/>
        <v>0</v>
      </c>
      <c r="AD342" s="1189">
        <f t="shared" si="72"/>
        <v>0</v>
      </c>
      <c r="AE342" s="1189">
        <f t="shared" si="72"/>
        <v>0</v>
      </c>
    </row>
    <row r="343" spans="1:31">
      <c r="A343" s="1098">
        <v>334</v>
      </c>
      <c r="B343" s="1510" t="s">
        <v>4037</v>
      </c>
      <c r="C343" s="1510"/>
      <c r="D343" s="1511"/>
      <c r="E343" s="1189">
        <f>E342</f>
        <v>0</v>
      </c>
      <c r="F343" s="1189">
        <f t="shared" si="72"/>
        <v>0</v>
      </c>
      <c r="G343" s="1189">
        <f t="shared" si="72"/>
        <v>0</v>
      </c>
      <c r="H343" s="1189">
        <f t="shared" si="72"/>
        <v>0</v>
      </c>
      <c r="I343" s="1189">
        <f t="shared" si="72"/>
        <v>0</v>
      </c>
      <c r="J343" s="1189">
        <f t="shared" si="72"/>
        <v>0</v>
      </c>
      <c r="K343" s="1189">
        <f t="shared" si="72"/>
        <v>0</v>
      </c>
      <c r="L343" s="1189">
        <f t="shared" si="72"/>
        <v>0</v>
      </c>
      <c r="M343" s="1189">
        <f t="shared" si="72"/>
        <v>0</v>
      </c>
      <c r="N343" s="1189">
        <f t="shared" si="72"/>
        <v>0</v>
      </c>
      <c r="O343" s="1189">
        <f t="shared" si="72"/>
        <v>0</v>
      </c>
      <c r="P343" s="1189">
        <f t="shared" si="72"/>
        <v>0</v>
      </c>
      <c r="Q343" s="1189">
        <f t="shared" si="72"/>
        <v>0</v>
      </c>
      <c r="R343" s="1189">
        <f t="shared" si="72"/>
        <v>0</v>
      </c>
      <c r="S343" s="1189">
        <f t="shared" si="72"/>
        <v>0</v>
      </c>
      <c r="T343" s="1189">
        <f t="shared" si="72"/>
        <v>0</v>
      </c>
      <c r="U343" s="1189">
        <f t="shared" si="72"/>
        <v>0</v>
      </c>
      <c r="V343" s="1189">
        <f t="shared" si="72"/>
        <v>0</v>
      </c>
      <c r="W343" s="1189">
        <f t="shared" si="72"/>
        <v>0</v>
      </c>
      <c r="X343" s="1189">
        <f t="shared" si="72"/>
        <v>0</v>
      </c>
      <c r="Y343" s="1189">
        <f t="shared" si="72"/>
        <v>0</v>
      </c>
      <c r="Z343" s="1189">
        <f t="shared" si="72"/>
        <v>0</v>
      </c>
      <c r="AA343" s="1189">
        <f t="shared" si="72"/>
        <v>0</v>
      </c>
      <c r="AB343" s="1189">
        <f t="shared" si="72"/>
        <v>0</v>
      </c>
      <c r="AC343" s="1189">
        <f t="shared" si="72"/>
        <v>0</v>
      </c>
      <c r="AD343" s="1189">
        <f t="shared" si="72"/>
        <v>0</v>
      </c>
      <c r="AE343" s="1189">
        <f t="shared" si="72"/>
        <v>0</v>
      </c>
    </row>
    <row r="344" spans="1:31" outlineLevel="2">
      <c r="A344" s="1098">
        <v>335</v>
      </c>
      <c r="B344" s="1521" t="s">
        <v>4038</v>
      </c>
      <c r="C344" s="1118" t="s">
        <v>4039</v>
      </c>
      <c r="D344" s="1134">
        <v>182.3</v>
      </c>
      <c r="E344" s="1189"/>
    </row>
    <row r="345" spans="1:31" outlineLevel="2">
      <c r="A345" s="1098">
        <v>336</v>
      </c>
      <c r="B345" s="1519"/>
      <c r="C345" s="1121" t="s">
        <v>4040</v>
      </c>
      <c r="D345" s="1116">
        <v>186</v>
      </c>
      <c r="E345" s="1189"/>
    </row>
    <row r="346" spans="1:31">
      <c r="A346" s="1098">
        <v>337</v>
      </c>
      <c r="B346" s="1520"/>
      <c r="C346" s="1124" t="s">
        <v>4041</v>
      </c>
      <c r="D346" s="1125">
        <v>190</v>
      </c>
      <c r="E346" s="1189">
        <f>'CAC-Def Tax'!AX37</f>
        <v>124356.45666666665</v>
      </c>
      <c r="H346" s="1193">
        <f>'CAC-Def Tax'!AU37-'CAC-Def Tax'!AX37</f>
        <v>-13817.376666666649</v>
      </c>
      <c r="Q346" s="1189">
        <f>SUM(F346:P346)</f>
        <v>-13817.376666666649</v>
      </c>
      <c r="AA346" s="1192">
        <f>SUM(R346:Z346)</f>
        <v>0</v>
      </c>
      <c r="AB346" s="1192">
        <f>Q346+AA346</f>
        <v>-13817.376666666649</v>
      </c>
      <c r="AC346" s="1192">
        <f>E346+AB346</f>
        <v>110539.08</v>
      </c>
      <c r="AE346" s="1192">
        <f>AC346+AD346</f>
        <v>110539.08</v>
      </c>
    </row>
    <row r="347" spans="1:31">
      <c r="A347" s="1098">
        <v>338</v>
      </c>
      <c r="B347" s="1530" t="s">
        <v>4042</v>
      </c>
      <c r="C347" s="1531"/>
      <c r="D347" s="1532"/>
      <c r="E347" s="1189">
        <f>SUM(E344:E346)</f>
        <v>124356.45666666665</v>
      </c>
      <c r="F347" s="1189">
        <f t="shared" ref="F347:AE347" si="73">SUM(F344:F346)</f>
        <v>0</v>
      </c>
      <c r="G347" s="1189">
        <f t="shared" si="73"/>
        <v>0</v>
      </c>
      <c r="H347" s="1189">
        <f t="shared" si="73"/>
        <v>-13817.376666666649</v>
      </c>
      <c r="I347" s="1189">
        <f t="shared" si="73"/>
        <v>0</v>
      </c>
      <c r="J347" s="1189">
        <f t="shared" si="73"/>
        <v>0</v>
      </c>
      <c r="K347" s="1189">
        <f t="shared" si="73"/>
        <v>0</v>
      </c>
      <c r="L347" s="1189">
        <f t="shared" si="73"/>
        <v>0</v>
      </c>
      <c r="M347" s="1189">
        <f t="shared" si="73"/>
        <v>0</v>
      </c>
      <c r="N347" s="1189">
        <f t="shared" si="73"/>
        <v>0</v>
      </c>
      <c r="O347" s="1189">
        <f t="shared" si="73"/>
        <v>0</v>
      </c>
      <c r="P347" s="1189">
        <f t="shared" si="73"/>
        <v>0</v>
      </c>
      <c r="Q347" s="1189">
        <f t="shared" si="73"/>
        <v>-13817.376666666649</v>
      </c>
      <c r="R347" s="1189">
        <f t="shared" si="73"/>
        <v>0</v>
      </c>
      <c r="S347" s="1189">
        <f t="shared" si="73"/>
        <v>0</v>
      </c>
      <c r="T347" s="1189">
        <f t="shared" si="73"/>
        <v>0</v>
      </c>
      <c r="U347" s="1189">
        <f t="shared" si="73"/>
        <v>0</v>
      </c>
      <c r="V347" s="1189">
        <f t="shared" si="73"/>
        <v>0</v>
      </c>
      <c r="W347" s="1189">
        <f t="shared" si="73"/>
        <v>0</v>
      </c>
      <c r="X347" s="1189">
        <f t="shared" si="73"/>
        <v>0</v>
      </c>
      <c r="Y347" s="1189">
        <f t="shared" si="73"/>
        <v>0</v>
      </c>
      <c r="Z347" s="1189">
        <f t="shared" si="73"/>
        <v>0</v>
      </c>
      <c r="AA347" s="1189">
        <f t="shared" si="73"/>
        <v>0</v>
      </c>
      <c r="AB347" s="1189">
        <f t="shared" si="73"/>
        <v>-13817.376666666649</v>
      </c>
      <c r="AC347" s="1189">
        <f t="shared" si="73"/>
        <v>110539.08</v>
      </c>
      <c r="AD347" s="1189">
        <f t="shared" si="73"/>
        <v>0</v>
      </c>
      <c r="AE347" s="1189">
        <f t="shared" si="73"/>
        <v>110539.08</v>
      </c>
    </row>
    <row r="348" spans="1:31" outlineLevel="1">
      <c r="A348" s="1098">
        <v>339</v>
      </c>
      <c r="B348" s="1544" t="s">
        <v>4043</v>
      </c>
      <c r="C348" s="1118" t="s">
        <v>4044</v>
      </c>
      <c r="D348" s="1134">
        <v>228.1</v>
      </c>
      <c r="E348" s="1189"/>
      <c r="F348" s="1189"/>
      <c r="G348" s="1189"/>
      <c r="H348" s="1189"/>
      <c r="I348" s="1189"/>
      <c r="J348" s="1189"/>
      <c r="K348" s="1189"/>
      <c r="L348" s="1189"/>
      <c r="M348" s="1189"/>
      <c r="N348" s="1189"/>
      <c r="O348" s="1189"/>
      <c r="P348" s="1189"/>
      <c r="Q348" s="1189"/>
      <c r="R348" s="1189"/>
      <c r="S348" s="1189"/>
      <c r="T348" s="1189"/>
      <c r="U348" s="1189"/>
      <c r="V348" s="1189"/>
      <c r="W348" s="1189"/>
      <c r="X348" s="1189"/>
      <c r="Y348" s="1189"/>
      <c r="Z348" s="1189"/>
      <c r="AA348" s="1189"/>
      <c r="AB348" s="1189"/>
      <c r="AC348" s="1189"/>
      <c r="AD348" s="1189"/>
      <c r="AE348" s="1189"/>
    </row>
    <row r="349" spans="1:31" outlineLevel="1">
      <c r="A349" s="1098">
        <v>340</v>
      </c>
      <c r="B349" s="1545"/>
      <c r="C349" s="1121" t="s">
        <v>4045</v>
      </c>
      <c r="D349" s="1117">
        <v>228.2</v>
      </c>
      <c r="E349" s="1189"/>
      <c r="F349" s="1189"/>
      <c r="G349" s="1189"/>
      <c r="H349" s="1189"/>
      <c r="I349" s="1189"/>
      <c r="J349" s="1189"/>
      <c r="K349" s="1189"/>
      <c r="L349" s="1189"/>
      <c r="M349" s="1189"/>
      <c r="N349" s="1189"/>
      <c r="O349" s="1189"/>
      <c r="P349" s="1189"/>
      <c r="Q349" s="1189"/>
      <c r="R349" s="1189"/>
      <c r="S349" s="1189"/>
      <c r="T349" s="1189"/>
      <c r="U349" s="1189"/>
      <c r="V349" s="1189"/>
      <c r="W349" s="1189"/>
      <c r="X349" s="1189"/>
      <c r="Y349" s="1189"/>
      <c r="Z349" s="1189"/>
      <c r="AA349" s="1189"/>
      <c r="AB349" s="1189"/>
      <c r="AC349" s="1189"/>
      <c r="AD349" s="1189"/>
      <c r="AE349" s="1189"/>
    </row>
    <row r="350" spans="1:31" outlineLevel="1">
      <c r="A350" s="1098">
        <v>341</v>
      </c>
      <c r="B350" s="1545"/>
      <c r="C350" s="1121" t="s">
        <v>4046</v>
      </c>
      <c r="D350" s="1117">
        <v>228.3</v>
      </c>
      <c r="E350" s="1189"/>
      <c r="F350" s="1189"/>
      <c r="G350" s="1189"/>
      <c r="H350" s="1189"/>
      <c r="I350" s="1189"/>
      <c r="J350" s="1189"/>
      <c r="K350" s="1189"/>
      <c r="L350" s="1189"/>
      <c r="M350" s="1189"/>
      <c r="N350" s="1189"/>
      <c r="O350" s="1189"/>
      <c r="P350" s="1189"/>
      <c r="Q350" s="1189"/>
      <c r="R350" s="1189"/>
      <c r="S350" s="1189"/>
      <c r="T350" s="1189"/>
      <c r="U350" s="1189"/>
      <c r="V350" s="1189"/>
      <c r="W350" s="1189"/>
      <c r="X350" s="1189"/>
      <c r="Y350" s="1189"/>
      <c r="Z350" s="1189"/>
      <c r="AA350" s="1189"/>
      <c r="AB350" s="1189"/>
      <c r="AC350" s="1189"/>
      <c r="AD350" s="1189"/>
      <c r="AE350" s="1189"/>
    </row>
    <row r="351" spans="1:31" outlineLevel="1">
      <c r="A351" s="1098">
        <v>342</v>
      </c>
      <c r="B351" s="1545"/>
      <c r="C351" s="1121" t="s">
        <v>4047</v>
      </c>
      <c r="D351" s="1117">
        <v>228.4</v>
      </c>
      <c r="E351" s="1189"/>
      <c r="F351" s="1189"/>
      <c r="G351" s="1189"/>
      <c r="H351" s="1189"/>
      <c r="I351" s="1189"/>
      <c r="J351" s="1189"/>
      <c r="K351" s="1189"/>
      <c r="L351" s="1189"/>
      <c r="M351" s="1189"/>
      <c r="N351" s="1189"/>
      <c r="O351" s="1189"/>
      <c r="P351" s="1189"/>
      <c r="Q351" s="1189"/>
      <c r="R351" s="1189"/>
      <c r="S351" s="1189"/>
      <c r="T351" s="1189"/>
      <c r="U351" s="1189"/>
      <c r="V351" s="1189"/>
      <c r="W351" s="1189"/>
      <c r="X351" s="1189"/>
      <c r="Y351" s="1189"/>
      <c r="Z351" s="1189"/>
      <c r="AA351" s="1189"/>
      <c r="AB351" s="1189"/>
      <c r="AC351" s="1189"/>
      <c r="AD351" s="1189"/>
      <c r="AE351" s="1189"/>
    </row>
    <row r="352" spans="1:31">
      <c r="A352" s="1098">
        <v>343</v>
      </c>
      <c r="B352" s="1546"/>
      <c r="C352" s="1124" t="s">
        <v>4048</v>
      </c>
      <c r="D352" s="1125">
        <v>229</v>
      </c>
      <c r="E352" s="1189"/>
      <c r="F352" s="1189"/>
      <c r="G352" s="1189"/>
      <c r="H352" s="1189"/>
      <c r="I352" s="1189"/>
      <c r="J352" s="1189"/>
      <c r="K352" s="1189"/>
      <c r="L352" s="1189"/>
      <c r="M352" s="1189"/>
      <c r="N352" s="1189"/>
      <c r="O352" s="1189"/>
      <c r="P352" s="1189"/>
      <c r="Q352" s="1189"/>
      <c r="R352" s="1189"/>
      <c r="S352" s="1189"/>
      <c r="T352" s="1189"/>
      <c r="U352" s="1189"/>
      <c r="V352" s="1189"/>
      <c r="W352" s="1189"/>
      <c r="X352" s="1189"/>
      <c r="Y352" s="1189"/>
      <c r="Z352" s="1189"/>
      <c r="AA352" s="1189"/>
      <c r="AB352" s="1189"/>
      <c r="AC352" s="1189"/>
      <c r="AD352" s="1189"/>
      <c r="AE352" s="1189"/>
    </row>
    <row r="353" spans="1:31">
      <c r="A353" s="1098">
        <v>344</v>
      </c>
      <c r="B353" s="1530" t="s">
        <v>4043</v>
      </c>
      <c r="C353" s="1547"/>
      <c r="D353" s="1548"/>
      <c r="E353" s="1189">
        <f>SUM(E348:E352)</f>
        <v>0</v>
      </c>
      <c r="F353" s="1189">
        <f t="shared" ref="F353:AE353" si="74">SUM(F348:F352)</f>
        <v>0</v>
      </c>
      <c r="G353" s="1189">
        <f t="shared" si="74"/>
        <v>0</v>
      </c>
      <c r="H353" s="1189">
        <f t="shared" si="74"/>
        <v>0</v>
      </c>
      <c r="I353" s="1189">
        <f t="shared" si="74"/>
        <v>0</v>
      </c>
      <c r="J353" s="1189">
        <f t="shared" si="74"/>
        <v>0</v>
      </c>
      <c r="K353" s="1189">
        <f t="shared" si="74"/>
        <v>0</v>
      </c>
      <c r="L353" s="1189">
        <f t="shared" si="74"/>
        <v>0</v>
      </c>
      <c r="M353" s="1189">
        <f t="shared" si="74"/>
        <v>0</v>
      </c>
      <c r="N353" s="1189">
        <f t="shared" si="74"/>
        <v>0</v>
      </c>
      <c r="O353" s="1189">
        <f t="shared" si="74"/>
        <v>0</v>
      </c>
      <c r="P353" s="1189">
        <f t="shared" si="74"/>
        <v>0</v>
      </c>
      <c r="Q353" s="1189">
        <f t="shared" si="74"/>
        <v>0</v>
      </c>
      <c r="R353" s="1189">
        <f t="shared" si="74"/>
        <v>0</v>
      </c>
      <c r="S353" s="1189">
        <f t="shared" si="74"/>
        <v>0</v>
      </c>
      <c r="T353" s="1189">
        <f t="shared" si="74"/>
        <v>0</v>
      </c>
      <c r="U353" s="1189">
        <f t="shared" si="74"/>
        <v>0</v>
      </c>
      <c r="V353" s="1189">
        <f t="shared" si="74"/>
        <v>0</v>
      </c>
      <c r="W353" s="1189">
        <f t="shared" si="74"/>
        <v>0</v>
      </c>
      <c r="X353" s="1189">
        <f t="shared" si="74"/>
        <v>0</v>
      </c>
      <c r="Y353" s="1189">
        <f t="shared" si="74"/>
        <v>0</v>
      </c>
      <c r="Z353" s="1189">
        <f t="shared" si="74"/>
        <v>0</v>
      </c>
      <c r="AA353" s="1189">
        <f t="shared" si="74"/>
        <v>0</v>
      </c>
      <c r="AB353" s="1189">
        <f t="shared" si="74"/>
        <v>0</v>
      </c>
      <c r="AC353" s="1189">
        <f t="shared" si="74"/>
        <v>0</v>
      </c>
      <c r="AD353" s="1189">
        <f t="shared" si="74"/>
        <v>0</v>
      </c>
      <c r="AE353" s="1189">
        <f t="shared" si="74"/>
        <v>0</v>
      </c>
    </row>
    <row r="354" spans="1:31">
      <c r="A354" s="1098">
        <v>345</v>
      </c>
      <c r="B354" s="1161" t="s">
        <v>4049</v>
      </c>
      <c r="C354" s="1128" t="s">
        <v>4049</v>
      </c>
      <c r="D354" s="1116">
        <v>235</v>
      </c>
      <c r="E354" s="1189"/>
      <c r="F354" s="1189"/>
      <c r="G354" s="1189"/>
      <c r="H354" s="1189"/>
      <c r="I354" s="1189"/>
      <c r="J354" s="1189"/>
      <c r="K354" s="1189"/>
      <c r="L354" s="1189"/>
      <c r="M354" s="1189"/>
      <c r="N354" s="1189"/>
      <c r="O354" s="1189"/>
      <c r="P354" s="1189"/>
      <c r="Q354" s="1189"/>
      <c r="R354" s="1189"/>
      <c r="S354" s="1189"/>
      <c r="T354" s="1189"/>
      <c r="U354" s="1189"/>
      <c r="V354" s="1189"/>
      <c r="W354" s="1189"/>
      <c r="X354" s="1189"/>
      <c r="Y354" s="1189"/>
      <c r="Z354" s="1189"/>
      <c r="AA354" s="1189"/>
      <c r="AB354" s="1189"/>
      <c r="AC354" s="1189"/>
      <c r="AD354" s="1189"/>
      <c r="AE354" s="1189"/>
    </row>
    <row r="355" spans="1:31">
      <c r="A355" s="1098">
        <v>346</v>
      </c>
      <c r="B355" s="1510" t="s">
        <v>4050</v>
      </c>
      <c r="C355" s="1510"/>
      <c r="D355" s="1511"/>
      <c r="E355" s="1189">
        <f>E347+E353+E354</f>
        <v>124356.45666666665</v>
      </c>
      <c r="F355" s="1189">
        <f t="shared" ref="F355:AE355" si="75">F347+F353+F354</f>
        <v>0</v>
      </c>
      <c r="G355" s="1189">
        <f t="shared" si="75"/>
        <v>0</v>
      </c>
      <c r="H355" s="1189">
        <f t="shared" si="75"/>
        <v>-13817.376666666649</v>
      </c>
      <c r="I355" s="1189">
        <f t="shared" si="75"/>
        <v>0</v>
      </c>
      <c r="J355" s="1189">
        <f t="shared" si="75"/>
        <v>0</v>
      </c>
      <c r="K355" s="1189">
        <f t="shared" si="75"/>
        <v>0</v>
      </c>
      <c r="L355" s="1189">
        <f t="shared" si="75"/>
        <v>0</v>
      </c>
      <c r="M355" s="1189">
        <f t="shared" si="75"/>
        <v>0</v>
      </c>
      <c r="N355" s="1189">
        <f t="shared" si="75"/>
        <v>0</v>
      </c>
      <c r="O355" s="1189">
        <f t="shared" si="75"/>
        <v>0</v>
      </c>
      <c r="P355" s="1189">
        <f t="shared" si="75"/>
        <v>0</v>
      </c>
      <c r="Q355" s="1189">
        <f t="shared" si="75"/>
        <v>-13817.376666666649</v>
      </c>
      <c r="R355" s="1189">
        <f t="shared" si="75"/>
        <v>0</v>
      </c>
      <c r="S355" s="1189">
        <f t="shared" si="75"/>
        <v>0</v>
      </c>
      <c r="T355" s="1189">
        <f t="shared" si="75"/>
        <v>0</v>
      </c>
      <c r="U355" s="1189">
        <f t="shared" si="75"/>
        <v>0</v>
      </c>
      <c r="V355" s="1189">
        <f t="shared" si="75"/>
        <v>0</v>
      </c>
      <c r="W355" s="1189">
        <f t="shared" si="75"/>
        <v>0</v>
      </c>
      <c r="X355" s="1189">
        <f t="shared" si="75"/>
        <v>0</v>
      </c>
      <c r="Y355" s="1189">
        <f t="shared" si="75"/>
        <v>0</v>
      </c>
      <c r="Z355" s="1189">
        <f t="shared" si="75"/>
        <v>0</v>
      </c>
      <c r="AA355" s="1189">
        <f t="shared" si="75"/>
        <v>0</v>
      </c>
      <c r="AB355" s="1189">
        <f t="shared" si="75"/>
        <v>-13817.376666666649</v>
      </c>
      <c r="AC355" s="1189">
        <f t="shared" si="75"/>
        <v>110539.08</v>
      </c>
      <c r="AD355" s="1189">
        <f t="shared" si="75"/>
        <v>0</v>
      </c>
      <c r="AE355" s="1189">
        <f t="shared" si="75"/>
        <v>110539.08</v>
      </c>
    </row>
    <row r="356" spans="1:31" outlineLevel="1">
      <c r="A356" s="1098">
        <v>347</v>
      </c>
      <c r="B356" s="1549" t="s">
        <v>4051</v>
      </c>
      <c r="C356" s="1118" t="s">
        <v>4052</v>
      </c>
      <c r="D356" s="1122">
        <v>253</v>
      </c>
      <c r="E356" s="1189"/>
    </row>
    <row r="357" spans="1:31" outlineLevel="1">
      <c r="A357" s="1098">
        <v>348</v>
      </c>
      <c r="B357" s="1550"/>
      <c r="C357" s="1121" t="s">
        <v>4053</v>
      </c>
      <c r="D357" s="1116">
        <v>281</v>
      </c>
      <c r="E357" s="1189"/>
    </row>
    <row r="358" spans="1:31" outlineLevel="1">
      <c r="A358" s="1098">
        <v>349</v>
      </c>
      <c r="B358" s="1550"/>
      <c r="C358" s="1121" t="s">
        <v>4054</v>
      </c>
      <c r="D358" s="1116">
        <v>282</v>
      </c>
      <c r="E358" s="1189">
        <f>'CAC-Def Tax'!AX29</f>
        <v>-77203509.117916659</v>
      </c>
      <c r="H358" s="1193">
        <f>'CAC-Def Tax'!AU29-'CAC-Def Tax'!AX29</f>
        <v>-299120.23208333552</v>
      </c>
      <c r="Q358" s="1189">
        <f>SUM(F358:P358)</f>
        <v>-299120.23208333552</v>
      </c>
      <c r="AA358" s="1192">
        <f>SUM(R358:Z358)</f>
        <v>0</v>
      </c>
      <c r="AB358" s="1192">
        <f>Q358+AA358</f>
        <v>-299120.23208333552</v>
      </c>
      <c r="AC358" s="1192">
        <f>E358+AB358</f>
        <v>-77502629.349999994</v>
      </c>
      <c r="AE358" s="1192">
        <f>AC358+AD358</f>
        <v>-77502629.349999994</v>
      </c>
    </row>
    <row r="359" spans="1:31" ht="15.75" customHeight="1" outlineLevel="1">
      <c r="A359" s="1098">
        <v>350</v>
      </c>
      <c r="B359" s="1550"/>
      <c r="C359" s="1121" t="s">
        <v>4055</v>
      </c>
      <c r="D359" s="1116">
        <v>283</v>
      </c>
      <c r="E359" s="1189">
        <f>'CAC-Def Tax'!AX32</f>
        <v>-206512.1154166667</v>
      </c>
      <c r="H359" s="1193">
        <f>'CAC-Def Tax'!AU32-'CAC-Def Tax'!AX32</f>
        <v>4835.6354166666861</v>
      </c>
      <c r="Q359" s="1189">
        <f>SUM(F359:P359)</f>
        <v>4835.6354166666861</v>
      </c>
      <c r="AA359" s="1192">
        <f>SUM(R359:Z359)</f>
        <v>0</v>
      </c>
      <c r="AB359" s="1192">
        <f>Q359+AA359</f>
        <v>4835.6354166666861</v>
      </c>
      <c r="AC359" s="1192">
        <f>E359+AB359</f>
        <v>-201676.48</v>
      </c>
      <c r="AE359" s="1192">
        <f>AC359+AD359</f>
        <v>-201676.48</v>
      </c>
    </row>
    <row r="360" spans="1:31" ht="15.75" customHeight="1" outlineLevel="1">
      <c r="A360" s="1098">
        <v>351</v>
      </c>
      <c r="B360" s="1550"/>
      <c r="C360" s="1121" t="s">
        <v>4056</v>
      </c>
      <c r="D360" s="1116">
        <v>255</v>
      </c>
      <c r="E360" s="1189"/>
    </row>
    <row r="361" spans="1:31" outlineLevel="1">
      <c r="A361" s="1098">
        <v>352</v>
      </c>
      <c r="B361" s="1550"/>
      <c r="C361" s="1121" t="s">
        <v>3616</v>
      </c>
      <c r="D361" s="1116">
        <v>252</v>
      </c>
      <c r="E361" s="1189">
        <f>'CAC-Def Tax'!AX24</f>
        <v>-52941.741666666654</v>
      </c>
      <c r="H361" s="1193">
        <f>'CAC-Def Tax'!AU22-'CAC-Def Tax'!AX22</f>
        <v>18869.531666666655</v>
      </c>
      <c r="Q361" s="1189">
        <f>SUM(F361:P361)</f>
        <v>18869.531666666655</v>
      </c>
      <c r="AA361" s="1192">
        <f>SUM(R361:Z361)</f>
        <v>0</v>
      </c>
      <c r="AB361" s="1192">
        <f>Q361+AA361</f>
        <v>18869.531666666655</v>
      </c>
      <c r="AC361" s="1192">
        <f>E361+AB361</f>
        <v>-34072.21</v>
      </c>
      <c r="AE361" s="1192">
        <f>AC361+AD361</f>
        <v>-34072.21</v>
      </c>
    </row>
    <row r="362" spans="1:31">
      <c r="A362" s="1098">
        <v>353</v>
      </c>
      <c r="B362" s="1551"/>
      <c r="C362" s="1124" t="s">
        <v>4057</v>
      </c>
      <c r="D362" s="1125">
        <v>254</v>
      </c>
      <c r="E362" s="1189"/>
    </row>
    <row r="363" spans="1:31">
      <c r="A363" s="1098">
        <v>354</v>
      </c>
      <c r="B363" s="1530" t="s">
        <v>4058</v>
      </c>
      <c r="C363" s="1547"/>
      <c r="D363" s="1548"/>
      <c r="E363" s="1189">
        <f>SUM(E356:E362)</f>
        <v>-77462962.974999979</v>
      </c>
      <c r="F363" s="1189">
        <f t="shared" ref="F363:AE363" si="76">SUM(F356:F362)</f>
        <v>0</v>
      </c>
      <c r="G363" s="1189">
        <f t="shared" si="76"/>
        <v>0</v>
      </c>
      <c r="H363" s="1189">
        <f t="shared" si="76"/>
        <v>-275415.06500000216</v>
      </c>
      <c r="I363" s="1189">
        <f t="shared" si="76"/>
        <v>0</v>
      </c>
      <c r="J363" s="1189">
        <f t="shared" si="76"/>
        <v>0</v>
      </c>
      <c r="K363" s="1189">
        <f t="shared" si="76"/>
        <v>0</v>
      </c>
      <c r="L363" s="1189">
        <f t="shared" si="76"/>
        <v>0</v>
      </c>
      <c r="M363" s="1189">
        <f t="shared" si="76"/>
        <v>0</v>
      </c>
      <c r="N363" s="1189">
        <f t="shared" si="76"/>
        <v>0</v>
      </c>
      <c r="O363" s="1189">
        <f t="shared" si="76"/>
        <v>0</v>
      </c>
      <c r="P363" s="1189">
        <f t="shared" si="76"/>
        <v>0</v>
      </c>
      <c r="Q363" s="1189">
        <f t="shared" si="76"/>
        <v>-275415.06500000216</v>
      </c>
      <c r="R363" s="1189">
        <f t="shared" si="76"/>
        <v>0</v>
      </c>
      <c r="S363" s="1189">
        <f t="shared" si="76"/>
        <v>0</v>
      </c>
      <c r="T363" s="1189">
        <f t="shared" si="76"/>
        <v>0</v>
      </c>
      <c r="U363" s="1189">
        <f t="shared" si="76"/>
        <v>0</v>
      </c>
      <c r="V363" s="1189">
        <f t="shared" si="76"/>
        <v>0</v>
      </c>
      <c r="W363" s="1189">
        <f t="shared" si="76"/>
        <v>0</v>
      </c>
      <c r="X363" s="1189">
        <f t="shared" si="76"/>
        <v>0</v>
      </c>
      <c r="Y363" s="1189">
        <f t="shared" si="76"/>
        <v>0</v>
      </c>
      <c r="Z363" s="1189">
        <f t="shared" si="76"/>
        <v>0</v>
      </c>
      <c r="AA363" s="1189">
        <f t="shared" si="76"/>
        <v>0</v>
      </c>
      <c r="AB363" s="1189">
        <f t="shared" si="76"/>
        <v>-275415.06500000216</v>
      </c>
      <c r="AC363" s="1189">
        <f t="shared" si="76"/>
        <v>-77738378.039999992</v>
      </c>
      <c r="AD363" s="1189">
        <f t="shared" si="76"/>
        <v>0</v>
      </c>
      <c r="AE363" s="1189">
        <f t="shared" si="76"/>
        <v>-77738378.039999992</v>
      </c>
    </row>
    <row r="364" spans="1:31">
      <c r="A364" s="1098">
        <v>355</v>
      </c>
      <c r="B364" s="1162" t="s">
        <v>4059</v>
      </c>
      <c r="C364" s="1154" t="s">
        <v>4059</v>
      </c>
      <c r="D364" s="1155" t="s">
        <v>2251</v>
      </c>
      <c r="E364" s="1189">
        <f>'Working Capital (AMA)'!Y838</f>
        <v>38059495.891135238</v>
      </c>
      <c r="Q364" s="1189">
        <f>SUM(F364:P364)</f>
        <v>0</v>
      </c>
      <c r="X364" s="1189">
        <f>'Pension Adjustment'!C27</f>
        <v>523326.95746225631</v>
      </c>
      <c r="AA364" s="1192">
        <f>SUM(R364:Z364)</f>
        <v>523326.95746225631</v>
      </c>
      <c r="AB364" s="1192">
        <f>Q364+AA364</f>
        <v>523326.95746225631</v>
      </c>
      <c r="AC364" s="1192">
        <f>E364+AB364</f>
        <v>38582822.848597497</v>
      </c>
      <c r="AE364" s="1192">
        <f>AC364+AD364</f>
        <v>38582822.848597497</v>
      </c>
    </row>
    <row r="365" spans="1:31">
      <c r="A365" s="1098">
        <v>356</v>
      </c>
      <c r="B365" s="1530" t="s">
        <v>4060</v>
      </c>
      <c r="C365" s="1552"/>
      <c r="D365" s="1553"/>
      <c r="E365" s="1189">
        <f>E364</f>
        <v>38059495.891135238</v>
      </c>
      <c r="F365" s="1189">
        <f t="shared" ref="F365:AE365" si="77">F364</f>
        <v>0</v>
      </c>
      <c r="G365" s="1189">
        <f t="shared" si="77"/>
        <v>0</v>
      </c>
      <c r="H365" s="1189">
        <f t="shared" si="77"/>
        <v>0</v>
      </c>
      <c r="I365" s="1189">
        <f t="shared" si="77"/>
        <v>0</v>
      </c>
      <c r="J365" s="1189">
        <f t="shared" si="77"/>
        <v>0</v>
      </c>
      <c r="K365" s="1189">
        <f t="shared" si="77"/>
        <v>0</v>
      </c>
      <c r="L365" s="1189">
        <f t="shared" si="77"/>
        <v>0</v>
      </c>
      <c r="M365" s="1189">
        <f t="shared" si="77"/>
        <v>0</v>
      </c>
      <c r="N365" s="1189">
        <f t="shared" si="77"/>
        <v>0</v>
      </c>
      <c r="O365" s="1189">
        <f t="shared" si="77"/>
        <v>0</v>
      </c>
      <c r="P365" s="1189">
        <f t="shared" si="77"/>
        <v>0</v>
      </c>
      <c r="Q365" s="1189">
        <f t="shared" si="77"/>
        <v>0</v>
      </c>
      <c r="R365" s="1189">
        <f t="shared" si="77"/>
        <v>0</v>
      </c>
      <c r="S365" s="1189">
        <f t="shared" si="77"/>
        <v>0</v>
      </c>
      <c r="T365" s="1189">
        <f t="shared" si="77"/>
        <v>0</v>
      </c>
      <c r="U365" s="1189">
        <f t="shared" si="77"/>
        <v>0</v>
      </c>
      <c r="V365" s="1189">
        <f t="shared" si="77"/>
        <v>0</v>
      </c>
      <c r="W365" s="1189">
        <f t="shared" si="77"/>
        <v>0</v>
      </c>
      <c r="X365" s="1189">
        <f t="shared" si="77"/>
        <v>523326.95746225631</v>
      </c>
      <c r="Y365" s="1189">
        <f t="shared" si="77"/>
        <v>0</v>
      </c>
      <c r="Z365" s="1189">
        <f t="shared" si="77"/>
        <v>0</v>
      </c>
      <c r="AA365" s="1189">
        <f t="shared" si="77"/>
        <v>523326.95746225631</v>
      </c>
      <c r="AB365" s="1189">
        <f t="shared" si="77"/>
        <v>523326.95746225631</v>
      </c>
      <c r="AC365" s="1189">
        <f t="shared" si="77"/>
        <v>38582822.848597497</v>
      </c>
      <c r="AD365" s="1189">
        <f t="shared" si="77"/>
        <v>0</v>
      </c>
      <c r="AE365" s="1189">
        <f t="shared" si="77"/>
        <v>38582822.848597497</v>
      </c>
    </row>
    <row r="366" spans="1:31">
      <c r="A366" s="1098">
        <v>357</v>
      </c>
      <c r="B366" s="1510" t="s">
        <v>4061</v>
      </c>
      <c r="C366" s="1510"/>
      <c r="D366" s="1511"/>
      <c r="E366" s="1189">
        <f>E340+E343+E355+E363+E365</f>
        <v>583520559.54780197</v>
      </c>
      <c r="F366" s="1189">
        <f t="shared" ref="F366:AD366" si="78">F340+F343+F355+F363+F365</f>
        <v>0</v>
      </c>
      <c r="G366" s="1189">
        <f t="shared" si="78"/>
        <v>0</v>
      </c>
      <c r="H366" s="1189">
        <f t="shared" si="78"/>
        <v>35820359.013333313</v>
      </c>
      <c r="I366" s="1189">
        <f t="shared" si="78"/>
        <v>0</v>
      </c>
      <c r="J366" s="1189">
        <f t="shared" si="78"/>
        <v>0</v>
      </c>
      <c r="K366" s="1189">
        <f t="shared" si="78"/>
        <v>0</v>
      </c>
      <c r="L366" s="1189">
        <f t="shared" si="78"/>
        <v>0</v>
      </c>
      <c r="M366" s="1189">
        <f t="shared" si="78"/>
        <v>0</v>
      </c>
      <c r="N366" s="1189">
        <f t="shared" si="78"/>
        <v>0</v>
      </c>
      <c r="O366" s="1189">
        <f t="shared" si="78"/>
        <v>0</v>
      </c>
      <c r="P366" s="1189">
        <f t="shared" si="78"/>
        <v>0</v>
      </c>
      <c r="Q366" s="1189">
        <f t="shared" si="78"/>
        <v>35820359.013333313</v>
      </c>
      <c r="R366" s="1189">
        <f t="shared" si="78"/>
        <v>0</v>
      </c>
      <c r="S366" s="1189">
        <f t="shared" si="78"/>
        <v>0</v>
      </c>
      <c r="T366" s="1189">
        <f t="shared" si="78"/>
        <v>0</v>
      </c>
      <c r="U366" s="1189">
        <f t="shared" si="78"/>
        <v>0</v>
      </c>
      <c r="V366" s="1189">
        <f t="shared" si="78"/>
        <v>0</v>
      </c>
      <c r="W366" s="1189">
        <f t="shared" si="78"/>
        <v>0</v>
      </c>
      <c r="X366" s="1189">
        <f t="shared" si="78"/>
        <v>523326.95746225631</v>
      </c>
      <c r="Y366" s="1189">
        <f t="shared" si="78"/>
        <v>0</v>
      </c>
      <c r="Z366" s="1189">
        <f t="shared" si="78"/>
        <v>0</v>
      </c>
      <c r="AA366" s="1189">
        <f t="shared" si="78"/>
        <v>523326.95746225631</v>
      </c>
      <c r="AB366" s="1189">
        <f t="shared" si="78"/>
        <v>36343685.970795572</v>
      </c>
      <c r="AC366" s="1189">
        <f>AC340+AC343+AC355+AC363+AC365-1</f>
        <v>619864244.51859736</v>
      </c>
      <c r="AD366" s="1189">
        <f t="shared" si="78"/>
        <v>0</v>
      </c>
      <c r="AE366" s="1189">
        <f>AE340+AE343+AE355+AE363+AE365-1</f>
        <v>619864244.51859736</v>
      </c>
    </row>
    <row r="367" spans="1:31">
      <c r="B367" s="1163"/>
      <c r="C367" s="1128"/>
      <c r="D367" s="1141"/>
      <c r="E367" s="1189"/>
    </row>
    <row r="368" spans="1:31">
      <c r="B368" s="1538" t="s">
        <v>4062</v>
      </c>
      <c r="C368" s="1539"/>
      <c r="D368" s="1540"/>
      <c r="E368" s="1189"/>
      <c r="F368" s="1194">
        <f>'Exh JAD-7, Summary of Adj'!C38</f>
        <v>-335824.23893764371</v>
      </c>
      <c r="G368" s="1194">
        <f>'Exh JAD-7, Summary of Adj'!D38</f>
        <v>1774483.9963787599</v>
      </c>
      <c r="H368" s="1194">
        <f>'Exh JAD-7, Summary of Adj'!E38</f>
        <v>4603647.2228110423</v>
      </c>
      <c r="I368" s="1194">
        <f>'Exh JAD-7, Summary of Adj'!F38</f>
        <v>-1831964.8385883817</v>
      </c>
      <c r="J368" s="1194">
        <f>'Exh JAD-7, Summary of Adj'!G38</f>
        <v>-38468.010890888152</v>
      </c>
      <c r="K368" s="1194">
        <f>'Exh JAD-7, Summary of Adj'!H38</f>
        <v>101216.64476201656</v>
      </c>
      <c r="L368" s="1194">
        <f>'Exh JAD-7, Summary of Adj'!I38</f>
        <v>-2692150.0095938952</v>
      </c>
      <c r="M368" s="1194">
        <f>'Exh JAD-7, Summary of Adj'!J38</f>
        <v>-168791.47428052675</v>
      </c>
      <c r="N368" s="1194">
        <f>'Exh JAD-7, Summary of Adj'!K38</f>
        <v>1519929.1964969933</v>
      </c>
      <c r="O368" s="1194">
        <f>'Exh JAD-7, Summary of Adj'!L38</f>
        <v>71577.956785113434</v>
      </c>
      <c r="P368" s="1194">
        <f>'Exh JAD-7, Summary of Adj'!M38</f>
        <v>383715.80588269327</v>
      </c>
      <c r="Q368" s="1194">
        <f>SUM(F368:P368)</f>
        <v>3387372.2508252836</v>
      </c>
      <c r="R368" s="1194">
        <f>'Exh JAD-7, Summary of Adj'!Q38</f>
        <v>1309306.3698159046</v>
      </c>
      <c r="S368" s="1194">
        <f>'Exh JAD-7, Summary of Adj'!R38</f>
        <v>1606397.7717260737</v>
      </c>
      <c r="T368" s="1194">
        <f>'Exh JAD-7, Summary of Adj'!S38</f>
        <v>2122716.5193438022</v>
      </c>
      <c r="U368" s="1194">
        <f>'Exh JAD-7, Summary of Adj'!T38</f>
        <v>1390266.1671234947</v>
      </c>
      <c r="V368" s="1194">
        <f>'Exh JAD-7, Summary of Adj'!U38</f>
        <v>1118287.834890421</v>
      </c>
      <c r="W368" s="1194">
        <f>'Exh JAD-7, Summary of Adj'!V38</f>
        <v>212323.47470501409</v>
      </c>
      <c r="X368" s="1194">
        <f>'Exh JAD-7, Summary of Adj'!W38</f>
        <v>923820.1223800485</v>
      </c>
      <c r="Y368" s="1194">
        <f>'Exh JAD-7, Summary of Adj'!X38</f>
        <v>12216.510868253628</v>
      </c>
      <c r="Z368" s="1194">
        <f>'Exh JAD-7, Summary of Adj'!Y38</f>
        <v>229704.19594545697</v>
      </c>
      <c r="AA368" s="1192">
        <f>SUM(R368:Z368)</f>
        <v>8925038.9667984694</v>
      </c>
      <c r="AB368" s="1192">
        <f>Q368+AA368</f>
        <v>12312411.217623753</v>
      </c>
      <c r="AC368" s="1192"/>
      <c r="AE368" s="1192"/>
    </row>
    <row r="369" spans="2:31">
      <c r="B369" s="1538" t="s">
        <v>4063</v>
      </c>
      <c r="C369" s="1539"/>
      <c r="D369" s="1540"/>
      <c r="E369" s="1189"/>
      <c r="F369" s="1192">
        <f>F366</f>
        <v>0</v>
      </c>
      <c r="G369" s="1192">
        <f>G366</f>
        <v>0</v>
      </c>
      <c r="H369" s="1192">
        <f>H366</f>
        <v>35820359.013333313</v>
      </c>
      <c r="I369" s="1192">
        <f t="shared" ref="I369:P369" si="79">I366</f>
        <v>0</v>
      </c>
      <c r="J369" s="1192">
        <f t="shared" si="79"/>
        <v>0</v>
      </c>
      <c r="K369" s="1192">
        <f t="shared" si="79"/>
        <v>0</v>
      </c>
      <c r="L369" s="1192">
        <f t="shared" si="79"/>
        <v>0</v>
      </c>
      <c r="M369" s="1192">
        <f t="shared" si="79"/>
        <v>0</v>
      </c>
      <c r="N369" s="1192">
        <f t="shared" si="79"/>
        <v>0</v>
      </c>
      <c r="O369" s="1192">
        <f t="shared" si="79"/>
        <v>0</v>
      </c>
      <c r="P369" s="1192">
        <f t="shared" si="79"/>
        <v>0</v>
      </c>
      <c r="Q369" s="1194">
        <f>SUM(F369:P369)</f>
        <v>35820359.013333313</v>
      </c>
      <c r="R369" s="1192">
        <f>'Exh JAD-7, Summary of Adj'!Q36</f>
        <v>0</v>
      </c>
      <c r="S369" s="1192">
        <f>'Exh JAD-7, Summary of Adj'!R36</f>
        <v>0</v>
      </c>
      <c r="T369" s="1192">
        <f>'Exh JAD-7, Summary of Adj'!S36</f>
        <v>0</v>
      </c>
      <c r="U369" s="1192">
        <f>'Exh JAD-7, Summary of Adj'!T36</f>
        <v>0</v>
      </c>
      <c r="V369" s="1192">
        <f>'Exh JAD-7, Summary of Adj'!U36</f>
        <v>0</v>
      </c>
      <c r="W369" s="1192">
        <f>'Exh JAD-7, Summary of Adj'!V36</f>
        <v>0</v>
      </c>
      <c r="X369" s="1192">
        <f>'Exh JAD-7, Summary of Adj'!W36</f>
        <v>523326.95746225631</v>
      </c>
      <c r="Y369" s="1192">
        <f>'Exh JAD-7, Summary of Adj'!X36</f>
        <v>0</v>
      </c>
      <c r="Z369" s="1192">
        <f>'Exh JAD-7, Summary of Adj'!Y36</f>
        <v>0</v>
      </c>
      <c r="AA369" s="1192">
        <f>SUM(R369:Z369)</f>
        <v>523326.95746225631</v>
      </c>
    </row>
    <row r="370" spans="2:31">
      <c r="B370" s="1541" t="s">
        <v>4064</v>
      </c>
      <c r="C370" s="1542"/>
      <c r="D370" s="1543"/>
      <c r="E370" s="1190">
        <f>IFERROR(E234/E366,0)</f>
        <v>5.5582745593633257E-2</v>
      </c>
      <c r="F370" s="1190"/>
      <c r="G370" s="1190"/>
      <c r="H370" s="1190"/>
      <c r="I370" s="1190"/>
      <c r="J370" s="1190"/>
      <c r="K370" s="1190"/>
      <c r="L370" s="1190"/>
      <c r="M370" s="1190"/>
      <c r="N370" s="1190"/>
      <c r="O370" s="1190"/>
      <c r="P370" s="1190"/>
      <c r="Q370" s="1190"/>
      <c r="R370" s="1190"/>
      <c r="S370" s="1190"/>
      <c r="T370" s="1190"/>
      <c r="U370" s="1190"/>
      <c r="V370" s="1190"/>
      <c r="W370" s="1190"/>
      <c r="X370" s="1190"/>
      <c r="Y370" s="1190"/>
      <c r="Z370" s="1190"/>
      <c r="AA370" s="1190"/>
      <c r="AB370" s="1190"/>
      <c r="AC370" s="1190">
        <f>IFERROR(AC234/AC366,0)</f>
        <v>4.2033037884040919E-2</v>
      </c>
      <c r="AD370" s="1190"/>
      <c r="AE370" s="1190">
        <f>IFERROR(AE234/AE366,0)</f>
        <v>7.8940000289750081E-2</v>
      </c>
    </row>
  </sheetData>
  <mergeCells count="84">
    <mergeCell ref="B366:D366"/>
    <mergeCell ref="B368:D368"/>
    <mergeCell ref="B369:D369"/>
    <mergeCell ref="B370:D370"/>
    <mergeCell ref="B348:B352"/>
    <mergeCell ref="B353:D353"/>
    <mergeCell ref="B355:D355"/>
    <mergeCell ref="B356:B362"/>
    <mergeCell ref="B363:D363"/>
    <mergeCell ref="B365:D365"/>
    <mergeCell ref="B347:D347"/>
    <mergeCell ref="B324:D324"/>
    <mergeCell ref="B325:B329"/>
    <mergeCell ref="B330:D330"/>
    <mergeCell ref="B332:D332"/>
    <mergeCell ref="B334:D334"/>
    <mergeCell ref="B335:B338"/>
    <mergeCell ref="B339:D339"/>
    <mergeCell ref="B340:D340"/>
    <mergeCell ref="B342:D342"/>
    <mergeCell ref="B343:D343"/>
    <mergeCell ref="B344:B346"/>
    <mergeCell ref="B319:B323"/>
    <mergeCell ref="B290:D290"/>
    <mergeCell ref="B291:B295"/>
    <mergeCell ref="B296:D296"/>
    <mergeCell ref="B298:D298"/>
    <mergeCell ref="B299:B303"/>
    <mergeCell ref="B304:D304"/>
    <mergeCell ref="B305:B309"/>
    <mergeCell ref="B310:D310"/>
    <mergeCell ref="B312:D312"/>
    <mergeCell ref="B313:B317"/>
    <mergeCell ref="B318:D318"/>
    <mergeCell ref="B234:D234"/>
    <mergeCell ref="B237:B289"/>
    <mergeCell ref="C240:D240"/>
    <mergeCell ref="C253:D253"/>
    <mergeCell ref="C262:D262"/>
    <mergeCell ref="C277:D277"/>
    <mergeCell ref="C289:D289"/>
    <mergeCell ref="B233:D233"/>
    <mergeCell ref="B187:B200"/>
    <mergeCell ref="B201:D201"/>
    <mergeCell ref="B202:B207"/>
    <mergeCell ref="B208:D208"/>
    <mergeCell ref="B209:B216"/>
    <mergeCell ref="B217:D217"/>
    <mergeCell ref="B219:D219"/>
    <mergeCell ref="B220:B225"/>
    <mergeCell ref="B226:D226"/>
    <mergeCell ref="B227:B231"/>
    <mergeCell ref="B232:D232"/>
    <mergeCell ref="B186:D186"/>
    <mergeCell ref="B128:D128"/>
    <mergeCell ref="B129:B149"/>
    <mergeCell ref="C140:D140"/>
    <mergeCell ref="C149:D149"/>
    <mergeCell ref="B150:D150"/>
    <mergeCell ref="B151:B173"/>
    <mergeCell ref="C162:D162"/>
    <mergeCell ref="C173:D173"/>
    <mergeCell ref="B174:D174"/>
    <mergeCell ref="B175:D175"/>
    <mergeCell ref="B176:B180"/>
    <mergeCell ref="B181:D181"/>
    <mergeCell ref="B182:B185"/>
    <mergeCell ref="B35:D35"/>
    <mergeCell ref="B36:B86"/>
    <mergeCell ref="C66:D66"/>
    <mergeCell ref="C86:D86"/>
    <mergeCell ref="B87:D87"/>
    <mergeCell ref="B88:B127"/>
    <mergeCell ref="C101:D101"/>
    <mergeCell ref="C110:D110"/>
    <mergeCell ref="C117:D117"/>
    <mergeCell ref="C127:D127"/>
    <mergeCell ref="B10:D10"/>
    <mergeCell ref="B11:B34"/>
    <mergeCell ref="C16:D16"/>
    <mergeCell ref="C18:D18"/>
    <mergeCell ref="C20:D20"/>
    <mergeCell ref="C24:D24"/>
    <mergeCell ref="C34:D34"/>
  </mergeCells>
  <pageMargins left="0.7" right="0.7" top="0.75" bottom="0.75" header="0.3" footer="0.3"/>
  <pageSetup scale="42" orientation="portrait" horizontalDpi="1200" verticalDpi="1200" r:id="rId1"/>
  <rowBreaks count="4" manualBreakCount="4">
    <brk id="86" max="16383" man="1"/>
    <brk id="175" max="16383" man="1"/>
    <brk id="234" max="16383" man="1"/>
    <brk id="318" max="16383" man="1"/>
  </rowBreaks>
  <colBreaks count="4" manualBreakCount="4">
    <brk id="5" max="1048575" man="1"/>
    <brk id="11" max="369" man="1"/>
    <brk id="17" max="1048575" man="1"/>
    <brk id="23" max="369" man="1"/>
  </colBreaks>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EFD5-B24D-4FF9-A249-04FF0025027E}">
  <sheetPr codeName="Sheet82"/>
  <dimension ref="A1:I46"/>
  <sheetViews>
    <sheetView topLeftCell="B1" workbookViewId="0">
      <selection activeCell="C5" sqref="C5:H5"/>
    </sheetView>
  </sheetViews>
  <sheetFormatPr defaultColWidth="8.7109375" defaultRowHeight="15.75"/>
  <cols>
    <col min="1" max="3" width="8.7109375" style="1107"/>
    <col min="4" max="4" width="44.5703125" style="1107" bestFit="1" customWidth="1"/>
    <col min="5" max="5" width="62.7109375" style="1107" bestFit="1" customWidth="1"/>
    <col min="6" max="6" width="12.28515625" style="1107" bestFit="1" customWidth="1"/>
    <col min="7" max="7" width="20.42578125" style="1107" bestFit="1" customWidth="1"/>
    <col min="8" max="8" width="21.85546875" style="1107" bestFit="1" customWidth="1"/>
    <col min="9" max="9" width="10.5703125" style="1107" bestFit="1" customWidth="1"/>
    <col min="10" max="16384" width="8.7109375" style="1107"/>
  </cols>
  <sheetData>
    <row r="1" spans="1:9">
      <c r="A1" s="4" t="str">
        <f>Company</f>
        <v>Cascade Natural Gas Corp.</v>
      </c>
    </row>
    <row r="2" spans="1:9">
      <c r="A2" s="4" t="str">
        <f>Title1</f>
        <v>Washington Jurisdiction</v>
      </c>
    </row>
    <row r="3" spans="1:9">
      <c r="A3" s="4" t="str">
        <f>Title2</f>
        <v>Twelve-Months ended December 31, 2023</v>
      </c>
    </row>
    <row r="4" spans="1:9">
      <c r="A4" s="4" t="str">
        <f>Title8</f>
        <v>UG-240008</v>
      </c>
    </row>
    <row r="5" spans="1:9">
      <c r="A5" s="91" t="s">
        <v>4097</v>
      </c>
    </row>
    <row r="6" spans="1:9">
      <c r="A6" s="4" t="s">
        <v>4098</v>
      </c>
    </row>
    <row r="7" spans="1:9">
      <c r="C7" s="1555" t="s">
        <v>2</v>
      </c>
      <c r="D7" s="1555"/>
      <c r="E7" s="1555"/>
      <c r="F7" s="1555"/>
      <c r="G7" s="1555"/>
      <c r="H7" s="1555"/>
    </row>
    <row r="8" spans="1:9">
      <c r="C8" s="1556" t="s">
        <v>626</v>
      </c>
      <c r="D8" s="1556"/>
      <c r="E8" s="1556"/>
      <c r="F8" s="1556"/>
      <c r="G8" s="1556"/>
      <c r="H8" s="1556"/>
    </row>
    <row r="9" spans="1:9">
      <c r="C9" s="1556" t="s">
        <v>4065</v>
      </c>
      <c r="D9" s="1556"/>
      <c r="E9" s="1556"/>
      <c r="F9" s="1556"/>
      <c r="G9" s="1556"/>
      <c r="H9" s="1556"/>
    </row>
    <row r="10" spans="1:9">
      <c r="C10" s="1556" t="s">
        <v>4066</v>
      </c>
      <c r="D10" s="1556"/>
      <c r="E10" s="1556" t="s">
        <v>4067</v>
      </c>
      <c r="F10" s="1556"/>
      <c r="G10" s="1556"/>
      <c r="H10" s="1556"/>
    </row>
    <row r="11" spans="1:9">
      <c r="C11" s="1557" t="s">
        <v>4091</v>
      </c>
      <c r="D11" s="1557"/>
      <c r="E11" s="1557"/>
      <c r="F11" s="1557"/>
      <c r="G11" s="1557"/>
      <c r="H11" s="1557"/>
    </row>
    <row r="12" spans="1:9">
      <c r="C12" s="1164"/>
      <c r="D12" s="1164"/>
      <c r="E12" s="1164"/>
      <c r="F12" s="1165"/>
      <c r="G12" s="1165"/>
      <c r="H12" s="1166"/>
    </row>
    <row r="13" spans="1:9">
      <c r="C13" s="1555" t="s">
        <v>539</v>
      </c>
      <c r="D13" s="1555"/>
      <c r="E13" s="1555"/>
      <c r="F13" s="1555"/>
      <c r="G13" s="1555"/>
      <c r="H13" s="1555"/>
    </row>
    <row r="14" spans="1:9">
      <c r="C14" s="1164"/>
      <c r="D14" s="1164"/>
      <c r="E14" s="1164"/>
      <c r="F14" s="1554" t="s">
        <v>4068</v>
      </c>
      <c r="G14" s="1554"/>
      <c r="H14" s="1554"/>
      <c r="I14" s="1554"/>
    </row>
    <row r="15" spans="1:9">
      <c r="C15" s="1167" t="s">
        <v>4069</v>
      </c>
      <c r="D15" s="1167" t="s">
        <v>4070</v>
      </c>
      <c r="E15" s="1168" t="s">
        <v>4071</v>
      </c>
      <c r="F15" s="1169" t="s">
        <v>4072</v>
      </c>
      <c r="G15" s="1169" t="s">
        <v>568</v>
      </c>
      <c r="H15" s="1169" t="s">
        <v>4073</v>
      </c>
      <c r="I15" s="1170" t="s">
        <v>4064</v>
      </c>
    </row>
    <row r="16" spans="1:9">
      <c r="C16" s="1171">
        <v>1</v>
      </c>
      <c r="D16" s="1171" t="s">
        <v>4092</v>
      </c>
      <c r="E16" s="1173" t="s">
        <v>4074</v>
      </c>
      <c r="F16" s="1165">
        <f t="array" ref="F16:F27">TRANSPOSE('A-RR Cross-Reference '!E234:P234)</f>
        <v>32433674.810000002</v>
      </c>
      <c r="G16" s="1165">
        <f t="array" ref="G16:G27">TRANSPOSE('A-RR Cross-Reference '!E366:P366)</f>
        <v>583520559.54780197</v>
      </c>
      <c r="H16" s="1174"/>
      <c r="I16" s="1190">
        <f t="array" ref="I16:I27">TRANSPOSE('A-RR Cross-Reference '!E370:P370)</f>
        <v>5.5582745593633257E-2</v>
      </c>
    </row>
    <row r="17" spans="3:9">
      <c r="C17" s="1171">
        <f t="array" ref="C17:C27">TRANSPOSE('A-RR Cross-Reference '!F10:P10)</f>
        <v>1.01</v>
      </c>
      <c r="D17" s="1196" t="s">
        <v>224</v>
      </c>
      <c r="E17" s="1172" t="str">
        <f t="array" ref="E17:E27">TRANSPOSE('A-RR Cross-Reference '!F9:P9)</f>
        <v>Remove Supplemental Schedules Adjustment</v>
      </c>
      <c r="F17" s="1175">
        <v>252238.02341043949</v>
      </c>
      <c r="G17" s="1175">
        <v>0</v>
      </c>
      <c r="H17" s="1176">
        <f t="array" ref="H17:H27">TRANSPOSE('A-RR Cross-Reference '!F368:P368)</f>
        <v>-335824.23893764371</v>
      </c>
      <c r="I17" s="1190">
        <v>0</v>
      </c>
    </row>
    <row r="18" spans="3:9">
      <c r="C18" s="1171">
        <v>1.02</v>
      </c>
      <c r="D18" s="1196" t="s">
        <v>226</v>
      </c>
      <c r="E18" s="1172" t="str">
        <v>Normalize Revenue Adjustment</v>
      </c>
      <c r="F18" s="1175">
        <v>-1332817.2416498661</v>
      </c>
      <c r="G18" s="1175">
        <v>0</v>
      </c>
      <c r="H18" s="1176">
        <v>1774483.9963787599</v>
      </c>
      <c r="I18" s="1190">
        <v>0</v>
      </c>
    </row>
    <row r="19" spans="3:9">
      <c r="C19" s="1171">
        <v>1.03</v>
      </c>
      <c r="D19" s="1196" t="s">
        <v>4093</v>
      </c>
      <c r="E19" s="1172" t="str">
        <v>Restate End of Period Adjustment</v>
      </c>
      <c r="F19" s="1175">
        <v>-630146.28698054422</v>
      </c>
      <c r="G19" s="1176">
        <v>35820359.013333313</v>
      </c>
      <c r="H19" s="1176">
        <v>4603647.2228110423</v>
      </c>
      <c r="I19" s="1190">
        <v>0</v>
      </c>
    </row>
    <row r="20" spans="3:9">
      <c r="C20" s="1171">
        <v>1.04</v>
      </c>
      <c r="D20" s="1196" t="s">
        <v>232</v>
      </c>
      <c r="E20" s="1172" t="str">
        <v>Annualized CRM Adjustment</v>
      </c>
      <c r="F20" s="1175">
        <v>1375991.1771251268</v>
      </c>
      <c r="G20" s="1176">
        <v>0</v>
      </c>
      <c r="H20" s="1176">
        <v>-1831964.8385883817</v>
      </c>
      <c r="I20" s="1190">
        <v>0</v>
      </c>
    </row>
    <row r="21" spans="3:9">
      <c r="C21" s="1171">
        <v>1.05</v>
      </c>
      <c r="D21" s="1196" t="s">
        <v>235</v>
      </c>
      <c r="E21" s="1172" t="str">
        <v>Promotional Advertising Adjustment</v>
      </c>
      <c r="F21" s="1175">
        <v>28893.373100000001</v>
      </c>
      <c r="G21" s="1175">
        <v>0</v>
      </c>
      <c r="H21" s="1176">
        <v>-38468.010890888152</v>
      </c>
      <c r="I21" s="1190">
        <v>0</v>
      </c>
    </row>
    <row r="22" spans="3:9">
      <c r="C22" s="1171">
        <v>1.06</v>
      </c>
      <c r="D22" s="1196" t="s">
        <v>237</v>
      </c>
      <c r="E22" s="1172" t="str">
        <v>Restate Wages Adjustment</v>
      </c>
      <c r="F22" s="1175">
        <v>-76023.953755607974</v>
      </c>
      <c r="G22" s="1175">
        <v>0</v>
      </c>
      <c r="H22" s="1176">
        <v>101216.64476201656</v>
      </c>
      <c r="I22" s="1190">
        <v>0</v>
      </c>
    </row>
    <row r="23" spans="3:9">
      <c r="C23" s="1171">
        <v>1.07</v>
      </c>
      <c r="D23" s="1196" t="s">
        <v>238</v>
      </c>
      <c r="E23" s="1172" t="str">
        <v>Restate Incentives Adjustment</v>
      </c>
      <c r="F23" s="1175">
        <v>2022077.3798000002</v>
      </c>
      <c r="G23" s="1175">
        <v>0</v>
      </c>
      <c r="H23" s="1176">
        <v>-2692150.0095938952</v>
      </c>
      <c r="I23" s="1190">
        <v>0</v>
      </c>
    </row>
    <row r="24" spans="3:9">
      <c r="C24" s="1171">
        <v>1.08</v>
      </c>
      <c r="D24" s="1196" t="s">
        <v>673</v>
      </c>
      <c r="E24" s="1172" t="str">
        <v>Director &amp; Officers Adjustment</v>
      </c>
      <c r="F24" s="1175">
        <v>126779.49625</v>
      </c>
      <c r="G24" s="1175">
        <v>0</v>
      </c>
      <c r="H24" s="1176">
        <v>-168791.47428052675</v>
      </c>
      <c r="I24" s="1190">
        <v>0</v>
      </c>
    </row>
    <row r="25" spans="3:9">
      <c r="C25" s="1171">
        <v>1.0900000000000001</v>
      </c>
      <c r="D25" s="1196" t="s">
        <v>675</v>
      </c>
      <c r="E25" s="1172" t="str">
        <v>Restate COVID-19 Deferral Offsets Adjustment</v>
      </c>
      <c r="F25" s="1175">
        <v>-1141620.7997999999</v>
      </c>
      <c r="G25" s="1175">
        <v>0</v>
      </c>
      <c r="H25" s="1176">
        <v>1519929.1964969933</v>
      </c>
      <c r="I25" s="1190">
        <v>0</v>
      </c>
    </row>
    <row r="26" spans="3:9">
      <c r="C26" s="1171">
        <v>1.1000000000000001</v>
      </c>
      <c r="D26" s="1196" t="s">
        <v>677</v>
      </c>
      <c r="E26" s="1172" t="str">
        <v>Restate CCA Labor Expense Adjustment</v>
      </c>
      <c r="F26" s="1175">
        <v>-53762.296599999994</v>
      </c>
      <c r="G26" s="1175">
        <v>0</v>
      </c>
      <c r="H26" s="1176">
        <v>71577.956785113434</v>
      </c>
      <c r="I26" s="1190">
        <v>0</v>
      </c>
    </row>
    <row r="27" spans="3:9">
      <c r="C27" s="1171">
        <v>1.1100000000000001</v>
      </c>
      <c r="D27" s="1196" t="s">
        <v>679</v>
      </c>
      <c r="E27" s="1172" t="str">
        <v>Restate Commission Fees Adjustment</v>
      </c>
      <c r="F27" s="1175">
        <v>-288209.44174064253</v>
      </c>
      <c r="G27" s="1175">
        <v>0</v>
      </c>
      <c r="H27" s="1176">
        <v>383715.80588269327</v>
      </c>
      <c r="I27" s="1190">
        <v>0</v>
      </c>
    </row>
    <row r="28" spans="3:9">
      <c r="C28" s="1177"/>
      <c r="D28" s="1177"/>
      <c r="E28" s="1178"/>
      <c r="F28" s="1179"/>
      <c r="G28" s="1179"/>
      <c r="H28" s="1166"/>
    </row>
    <row r="29" spans="3:9" ht="16.5" thickBot="1">
      <c r="C29" s="1180"/>
      <c r="D29" s="1180"/>
      <c r="E29" s="1164" t="s">
        <v>4075</v>
      </c>
      <c r="F29" s="1181">
        <f>SUM(F16:F28)</f>
        <v>32717074.23915891</v>
      </c>
      <c r="G29" s="1181">
        <f>SUM(G16:G28)</f>
        <v>619340918.56113529</v>
      </c>
      <c r="H29" s="1181">
        <f>SUM(H16:H28)</f>
        <v>3387372.2508252836</v>
      </c>
      <c r="I29" s="1182"/>
    </row>
    <row r="30" spans="3:9" ht="16.5" thickTop="1">
      <c r="C30" s="1180"/>
      <c r="D30" s="1180"/>
      <c r="E30" s="1164"/>
      <c r="F30" s="1183"/>
      <c r="G30" s="1183"/>
      <c r="H30" s="1184"/>
    </row>
    <row r="31" spans="3:9">
      <c r="C31" s="1180"/>
      <c r="D31" s="1180"/>
      <c r="E31" s="1164"/>
      <c r="F31" s="1183"/>
      <c r="G31" s="1183"/>
      <c r="H31" s="1184"/>
    </row>
    <row r="32" spans="3:9">
      <c r="C32" s="1555" t="s">
        <v>541</v>
      </c>
      <c r="D32" s="1555"/>
      <c r="E32" s="1555"/>
      <c r="F32" s="1555"/>
      <c r="G32" s="1555"/>
      <c r="H32" s="1555"/>
    </row>
    <row r="33" spans="3:9">
      <c r="C33" s="1164"/>
      <c r="D33" s="1164"/>
      <c r="E33" s="1164"/>
      <c r="F33" s="1554" t="s">
        <v>4068</v>
      </c>
      <c r="G33" s="1554"/>
      <c r="H33" s="1554"/>
      <c r="I33" s="1554"/>
    </row>
    <row r="34" spans="3:9">
      <c r="C34" s="1167" t="s">
        <v>4069</v>
      </c>
      <c r="D34" s="1167" t="s">
        <v>4070</v>
      </c>
      <c r="E34" s="1168" t="s">
        <v>4071</v>
      </c>
      <c r="F34" s="1169" t="s">
        <v>4072</v>
      </c>
      <c r="G34" s="1169" t="s">
        <v>568</v>
      </c>
      <c r="H34" s="1169" t="s">
        <v>4073</v>
      </c>
      <c r="I34" s="1170" t="s">
        <v>4064</v>
      </c>
    </row>
    <row r="35" spans="3:9">
      <c r="C35" s="1171">
        <f t="array" ref="C35:C43">TRANSPOSE('A-RR Cross-Reference '!R10:Z10)</f>
        <v>2.0099999999999998</v>
      </c>
      <c r="D35" s="1171" t="s">
        <v>681</v>
      </c>
      <c r="E35" s="1173" t="str">
        <f t="array" ref="E35:E43">TRANSPOSE('A-RR Cross-Reference '!R9:Z9)</f>
        <v>Interest  Coordination Adjustment</v>
      </c>
      <c r="F35" s="1165">
        <f t="array" ref="F35:F43">TRANSPOSE('A-RR Cross-Reference '!R234:Z234)</f>
        <v>-983421.7202599966</v>
      </c>
      <c r="G35" s="1165">
        <f t="array" ref="G35:G43">TRANSPOSE('A-RR Cross-Reference '!R366:Z366)</f>
        <v>0</v>
      </c>
      <c r="H35" s="1176">
        <f t="array" ref="H35:H43">TRANSPOSE('A-RR Cross-Reference '!R368:Z368)</f>
        <v>1309306.3698159046</v>
      </c>
      <c r="I35" s="1190">
        <f t="array" ref="I35:I43">TRANSPOSE('A-RR Cross-Reference '!R370:Z370)</f>
        <v>0</v>
      </c>
    </row>
    <row r="36" spans="3:9">
      <c r="C36" s="1171">
        <v>2.02</v>
      </c>
      <c r="D36" s="1196" t="s">
        <v>237</v>
      </c>
      <c r="E36" s="1173" t="str">
        <v>2024 Pro Forma Wage Adjustment</v>
      </c>
      <c r="F36" s="1165">
        <v>-1206567.4593142052</v>
      </c>
      <c r="G36" s="1165">
        <v>0</v>
      </c>
      <c r="H36" s="1176">
        <v>1606397.7717260737</v>
      </c>
      <c r="I36" s="1190">
        <v>0</v>
      </c>
    </row>
    <row r="37" spans="3:9">
      <c r="C37" s="1171">
        <v>2.0299999999999998</v>
      </c>
      <c r="D37" s="1171" t="s">
        <v>683</v>
      </c>
      <c r="E37" s="1173" t="str">
        <v>MAOP Deferral Amortization</v>
      </c>
      <c r="F37" s="1165">
        <v>-1594375.1433600001</v>
      </c>
      <c r="G37" s="1165">
        <v>0</v>
      </c>
      <c r="H37" s="1176">
        <v>2122716.5193438022</v>
      </c>
      <c r="I37" s="1190">
        <v>0</v>
      </c>
    </row>
    <row r="38" spans="3:9">
      <c r="C38" s="1171">
        <v>2.04</v>
      </c>
      <c r="D38" s="1171" t="s">
        <v>685</v>
      </c>
      <c r="E38" s="1173" t="str">
        <v>Pro Forma Rate Case Expense Adjustment</v>
      </c>
      <c r="F38" s="1165">
        <v>-1044230.7295000001</v>
      </c>
      <c r="G38" s="1165">
        <v>0</v>
      </c>
      <c r="H38" s="1176">
        <v>1390266.1671234947</v>
      </c>
      <c r="I38" s="1190">
        <v>0</v>
      </c>
    </row>
    <row r="39" spans="3:9">
      <c r="C39" s="1171">
        <v>2.0499999999999998</v>
      </c>
      <c r="D39" s="1171" t="s">
        <v>687</v>
      </c>
      <c r="E39" s="1173" t="str">
        <v>Pro Forma Medical, Dental, &amp; Life Insurance Expense Adjustment</v>
      </c>
      <c r="F39" s="1165">
        <v>-839947.44980000006</v>
      </c>
      <c r="G39" s="1165">
        <v>0</v>
      </c>
      <c r="H39" s="1176">
        <v>1118287.834890421</v>
      </c>
      <c r="I39" s="1190">
        <v>0</v>
      </c>
    </row>
    <row r="40" spans="3:9">
      <c r="C40" s="1171">
        <v>2.06</v>
      </c>
      <c r="D40" s="1171" t="s">
        <v>689</v>
      </c>
      <c r="E40" s="1173" t="str">
        <v>Pro Forma Property Tax Adjustment</v>
      </c>
      <c r="F40" s="1185">
        <v>-159476.43848654284</v>
      </c>
      <c r="G40" s="1185">
        <v>0</v>
      </c>
      <c r="H40" s="1176">
        <v>212323.47470501409</v>
      </c>
      <c r="I40" s="1190">
        <v>0</v>
      </c>
    </row>
    <row r="41" spans="3:9">
      <c r="C41" s="1171">
        <v>2.0699999999999998</v>
      </c>
      <c r="D41" s="1171" t="s">
        <v>691</v>
      </c>
      <c r="E41" s="1173" t="str">
        <v>2024 Pro Forma Pension Expense Adjustment</v>
      </c>
      <c r="F41" s="1165">
        <v>-652571.06753999996</v>
      </c>
      <c r="G41" s="1165">
        <v>523326.95746225631</v>
      </c>
      <c r="H41" s="1176">
        <v>923820.1223800485</v>
      </c>
      <c r="I41" s="1190">
        <v>0</v>
      </c>
    </row>
    <row r="42" spans="3:9">
      <c r="C42" s="1171">
        <v>2.08</v>
      </c>
      <c r="D42" s="1171" t="s">
        <v>693</v>
      </c>
      <c r="E42" s="1173" t="str">
        <v>2024 Pro Forma Tax Flow-Through Adjustment</v>
      </c>
      <c r="F42" s="1165">
        <v>-9175.837230000001</v>
      </c>
      <c r="G42" s="1165">
        <v>0</v>
      </c>
      <c r="H42" s="1176">
        <v>12216.510868253628</v>
      </c>
      <c r="I42" s="1190">
        <v>0</v>
      </c>
    </row>
    <row r="43" spans="3:9">
      <c r="C43" s="1171">
        <v>2.09</v>
      </c>
      <c r="D43" s="1171" t="s">
        <v>695</v>
      </c>
      <c r="E43" s="1173" t="str">
        <v>2024 Pro Forma Misc. O&amp;M Expense Adjustment</v>
      </c>
      <c r="F43" s="1165">
        <v>-172531.1208555281</v>
      </c>
      <c r="G43" s="1165">
        <v>0</v>
      </c>
      <c r="H43" s="1176">
        <v>229704.19594545697</v>
      </c>
      <c r="I43" s="1190">
        <v>0</v>
      </c>
    </row>
    <row r="44" spans="3:9" ht="16.5" thickBot="1">
      <c r="C44" s="1180"/>
      <c r="D44" s="1180"/>
      <c r="E44" s="1166" t="s">
        <v>4076</v>
      </c>
      <c r="F44" s="1181">
        <f>SUM(F33:F43)</f>
        <v>-6662296.9663462723</v>
      </c>
      <c r="G44" s="1181">
        <f>SUM(G33:G43)</f>
        <v>523326.95746225631</v>
      </c>
      <c r="H44" s="1181">
        <f>SUM(H33:H43)</f>
        <v>8925038.9667984694</v>
      </c>
      <c r="I44" s="1182"/>
    </row>
    <row r="45" spans="3:9" ht="16.5" thickTop="1">
      <c r="C45" s="1171"/>
      <c r="D45" s="1172"/>
      <c r="E45" s="1173"/>
      <c r="F45" s="1165"/>
      <c r="G45" s="1165"/>
      <c r="H45" s="1166"/>
    </row>
    <row r="46" spans="3:9">
      <c r="C46" s="1186" t="s">
        <v>1042</v>
      </c>
      <c r="D46" s="1180" t="s">
        <v>4094</v>
      </c>
      <c r="E46" s="1164" t="s">
        <v>599</v>
      </c>
      <c r="F46" s="1197">
        <f>'Exh JAD-6, Conversion Factor'!C26</f>
        <v>0.75110130289694599</v>
      </c>
      <c r="G46" s="1187"/>
      <c r="H46" s="1184"/>
    </row>
  </sheetData>
  <mergeCells count="9">
    <mergeCell ref="F14:I14"/>
    <mergeCell ref="C32:H32"/>
    <mergeCell ref="F33:I33"/>
    <mergeCell ref="C7:H7"/>
    <mergeCell ref="C8:H8"/>
    <mergeCell ref="C9:H9"/>
    <mergeCell ref="C10:H10"/>
    <mergeCell ref="C11:H11"/>
    <mergeCell ref="C13:H13"/>
  </mergeCells>
  <phoneticPr fontId="122" type="noConversion"/>
  <pageMargins left="0.7" right="0.7" top="0.75" bottom="0.75" header="0.3" footer="0.3"/>
  <pageSetup scale="4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AD7A4-D0D5-4D95-8C59-7BA13DB81037}">
  <sheetPr codeName="Sheet36"/>
  <dimension ref="A1:N102"/>
  <sheetViews>
    <sheetView view="pageBreakPreview" zoomScaleNormal="100" zoomScaleSheetLayoutView="100" workbookViewId="0"/>
  </sheetViews>
  <sheetFormatPr defaultColWidth="8.85546875" defaultRowHeight="15" outlineLevelRow="1"/>
  <cols>
    <col min="1" max="1" width="5.42578125" style="53" bestFit="1" customWidth="1"/>
    <col min="2" max="2" width="62.140625" style="53" bestFit="1" customWidth="1"/>
    <col min="3" max="3" width="30.5703125" style="53" bestFit="1" customWidth="1"/>
    <col min="4" max="4" width="19" style="53" customWidth="1"/>
    <col min="5" max="5" width="16.140625" style="53" customWidth="1"/>
    <col min="6" max="7" width="15.5703125" style="53" bestFit="1" customWidth="1"/>
    <col min="8" max="9" width="17.140625" style="53" customWidth="1"/>
    <col min="10" max="10" width="14" style="53" bestFit="1" customWidth="1"/>
    <col min="11" max="11" width="14.28515625" style="53" bestFit="1" customWidth="1"/>
    <col min="12" max="12" width="11.5703125" style="53" bestFit="1" customWidth="1"/>
    <col min="13" max="13" width="11.28515625" style="53" customWidth="1"/>
    <col min="14" max="14" width="12.7109375" style="53" customWidth="1"/>
    <col min="15" max="16384" width="8.85546875" style="53"/>
  </cols>
  <sheetData>
    <row r="1" spans="1:14">
      <c r="A1" s="115" t="str">
        <f>Company</f>
        <v>Cascade Natural Gas Corp.</v>
      </c>
      <c r="B1" s="115"/>
      <c r="C1" s="115"/>
      <c r="D1" s="115"/>
      <c r="E1" s="115"/>
      <c r="F1" s="115"/>
      <c r="G1" s="115"/>
      <c r="H1" s="115"/>
    </row>
    <row r="2" spans="1:14">
      <c r="A2" s="115" t="str">
        <f>Title1</f>
        <v>Washington Jurisdiction</v>
      </c>
      <c r="B2" s="115"/>
      <c r="C2" s="115"/>
      <c r="D2" s="115"/>
      <c r="E2" s="115"/>
      <c r="F2" s="115"/>
      <c r="G2" s="115"/>
      <c r="H2" s="115"/>
    </row>
    <row r="3" spans="1:14">
      <c r="A3" s="941" t="str">
        <f>Title2</f>
        <v>Twelve-Months ended December 31, 2023</v>
      </c>
      <c r="B3" s="941"/>
      <c r="C3" s="941"/>
      <c r="D3" s="941"/>
      <c r="E3" s="941"/>
      <c r="F3" s="941"/>
      <c r="G3" s="941"/>
      <c r="H3" s="941"/>
    </row>
    <row r="4" spans="1:14">
      <c r="A4" s="941" t="str">
        <f>Title8</f>
        <v>UG-240008</v>
      </c>
      <c r="B4" s="941"/>
      <c r="C4" s="941"/>
      <c r="D4" s="941"/>
      <c r="E4" s="941"/>
      <c r="F4" s="941"/>
      <c r="G4" s="941"/>
      <c r="H4" s="941"/>
    </row>
    <row r="5" spans="1:14">
      <c r="A5" s="91" t="s">
        <v>695</v>
      </c>
      <c r="B5" s="91"/>
      <c r="C5" s="91"/>
      <c r="D5" s="91"/>
      <c r="E5" s="91"/>
      <c r="F5" s="91"/>
      <c r="G5" s="91"/>
      <c r="H5" s="91"/>
    </row>
    <row r="6" spans="1:14">
      <c r="A6" s="941" t="s">
        <v>694</v>
      </c>
      <c r="B6" s="941"/>
      <c r="C6" s="941"/>
      <c r="D6" s="941"/>
      <c r="E6" s="941"/>
      <c r="F6" s="941"/>
      <c r="G6" s="941"/>
      <c r="H6" s="941"/>
    </row>
    <row r="8" spans="1:14" ht="30" outlineLevel="1">
      <c r="A8" s="763" t="s">
        <v>504</v>
      </c>
      <c r="B8" s="763" t="s">
        <v>537</v>
      </c>
      <c r="C8" s="476">
        <v>2019</v>
      </c>
      <c r="D8" s="531">
        <v>2020</v>
      </c>
      <c r="E8" s="531">
        <v>2021</v>
      </c>
      <c r="F8" s="476">
        <v>2022</v>
      </c>
      <c r="G8" s="476">
        <v>2023</v>
      </c>
      <c r="H8" s="172" t="s">
        <v>1446</v>
      </c>
      <c r="I8" s="54"/>
    </row>
    <row r="9" spans="1:14" outlineLevel="1">
      <c r="A9" s="60"/>
      <c r="B9" s="60" t="s">
        <v>439</v>
      </c>
      <c r="C9" s="60" t="s">
        <v>208</v>
      </c>
      <c r="D9" s="531" t="s">
        <v>209</v>
      </c>
      <c r="E9" s="531" t="s">
        <v>440</v>
      </c>
      <c r="F9" s="531" t="s">
        <v>441</v>
      </c>
      <c r="G9" s="531" t="s">
        <v>442</v>
      </c>
      <c r="H9" s="531" t="s">
        <v>443</v>
      </c>
      <c r="I9" s="706" t="s">
        <v>444</v>
      </c>
      <c r="J9" s="706" t="s">
        <v>445</v>
      </c>
      <c r="K9" s="706" t="s">
        <v>446</v>
      </c>
      <c r="L9" s="706" t="s">
        <v>447</v>
      </c>
      <c r="M9" s="706" t="s">
        <v>448</v>
      </c>
      <c r="N9" s="706" t="s">
        <v>449</v>
      </c>
    </row>
    <row r="10" spans="1:14" outlineLevel="1">
      <c r="A10" s="124"/>
      <c r="B10" s="58"/>
    </row>
    <row r="11" spans="1:14" outlineLevel="1">
      <c r="A11" s="124">
        <v>1</v>
      </c>
      <c r="B11" t="s">
        <v>1447</v>
      </c>
      <c r="C11" s="254">
        <v>52855549.829999961</v>
      </c>
      <c r="D11" s="254">
        <v>52275005.790000007</v>
      </c>
      <c r="E11" s="254">
        <v>53497971.150000036</v>
      </c>
      <c r="F11" s="254">
        <v>58413005.410000004</v>
      </c>
      <c r="G11" s="254">
        <f>'Operating Report'!F128</f>
        <v>62893666.960000008</v>
      </c>
    </row>
    <row r="12" spans="1:14" outlineLevel="1">
      <c r="A12" s="124">
        <f>MAX($A$11:A11)+1</f>
        <v>2</v>
      </c>
      <c r="B12" s="53" t="s">
        <v>1448</v>
      </c>
      <c r="C12" s="764"/>
    </row>
    <row r="13" spans="1:14" outlineLevel="1">
      <c r="A13" s="124">
        <f>MAX($A$11:A12)+1</f>
        <v>3</v>
      </c>
      <c r="B13" s="577" t="s">
        <v>1449</v>
      </c>
      <c r="C13" s="227">
        <v>-30011897.869999968</v>
      </c>
      <c r="D13" s="227">
        <v>-30424971.98999998</v>
      </c>
      <c r="E13" s="227">
        <v>-31523709.280000042</v>
      </c>
      <c r="F13" s="227">
        <v>-31447408.429999977</v>
      </c>
      <c r="G13" s="227">
        <v>-35064959.869999997</v>
      </c>
    </row>
    <row r="14" spans="1:14" outlineLevel="1">
      <c r="A14" s="124">
        <f>MAX($A$11:A13)+1</f>
        <v>4</v>
      </c>
      <c r="B14" s="577" t="s">
        <v>1450</v>
      </c>
      <c r="C14" s="227">
        <v>-175185.215</v>
      </c>
      <c r="D14" s="227">
        <v>-184098</v>
      </c>
      <c r="E14" s="227">
        <v>-178323.95499999996</v>
      </c>
      <c r="F14" s="227">
        <v>-229424.67499999999</v>
      </c>
      <c r="G14" s="227">
        <v>-160480.38</v>
      </c>
    </row>
    <row r="15" spans="1:14" outlineLevel="1">
      <c r="A15" s="124">
        <f>MAX($A$11:A14)+1</f>
        <v>5</v>
      </c>
      <c r="B15" s="577" t="s">
        <v>904</v>
      </c>
      <c r="C15" s="227">
        <v>-27691.7</v>
      </c>
      <c r="D15" s="227">
        <v>-136536.23000000001</v>
      </c>
      <c r="E15" s="227">
        <v>-33264.53</v>
      </c>
      <c r="F15" s="227">
        <v>-66373.64</v>
      </c>
      <c r="G15" s="227">
        <v>-36573.93</v>
      </c>
    </row>
    <row r="16" spans="1:14" outlineLevel="1">
      <c r="A16" s="124">
        <f>MAX($A$11:A15)+1</f>
        <v>6</v>
      </c>
      <c r="B16" s="577" t="s">
        <v>613</v>
      </c>
      <c r="C16" s="227">
        <v>-994217.6100000001</v>
      </c>
      <c r="D16" s="227">
        <v>-984088.58000000007</v>
      </c>
      <c r="E16" s="227">
        <v>-603162.84</v>
      </c>
      <c r="F16" s="227">
        <v>-1067884.7200000002</v>
      </c>
      <c r="G16" s="227">
        <v>-2527969.0400000005</v>
      </c>
    </row>
    <row r="17" spans="1:14" outlineLevel="1">
      <c r="A17" s="124">
        <f>MAX($A$11:A16)+1</f>
        <v>7</v>
      </c>
      <c r="B17" s="577" t="s">
        <v>1451</v>
      </c>
      <c r="C17" s="227">
        <v>-595624.99999999988</v>
      </c>
      <c r="D17" s="227">
        <v>-702006.09</v>
      </c>
      <c r="E17" s="227">
        <v>-705344.59000000055</v>
      </c>
      <c r="F17" s="227">
        <v>-1783180.05</v>
      </c>
      <c r="G17" s="227">
        <v>-1250376.3800000001</v>
      </c>
    </row>
    <row r="18" spans="1:14" outlineLevel="1">
      <c r="A18" s="124">
        <f>MAX($A$11:A17)+1</f>
        <v>8</v>
      </c>
      <c r="B18" s="577" t="s">
        <v>1452</v>
      </c>
      <c r="C18" s="132">
        <v>-542301.72</v>
      </c>
      <c r="D18" s="132">
        <v>-994975.02</v>
      </c>
      <c r="E18" s="132">
        <v>-1214107.92</v>
      </c>
      <c r="F18" s="132">
        <v>-1342706.16</v>
      </c>
      <c r="G18" s="132">
        <v>-1342706.16</v>
      </c>
    </row>
    <row r="19" spans="1:14" outlineLevel="1">
      <c r="A19" s="124">
        <f>MAX($A$11:A18)+1</f>
        <v>9</v>
      </c>
      <c r="B19" s="577" t="s">
        <v>1453</v>
      </c>
      <c r="C19" s="256">
        <v>-6805941.3899999997</v>
      </c>
      <c r="D19" s="256">
        <v>-6148576.0199999996</v>
      </c>
      <c r="E19" s="256">
        <v>-6453175.8600000003</v>
      </c>
      <c r="F19" s="256">
        <v>-7717566.1699999999</v>
      </c>
      <c r="G19" s="256">
        <v>-8150919.2300000004</v>
      </c>
    </row>
    <row r="20" spans="1:14" outlineLevel="1">
      <c r="A20" s="124">
        <f>MAX($A$11:A19)+1</f>
        <v>10</v>
      </c>
      <c r="B20" t="s">
        <v>1454</v>
      </c>
      <c r="C20" s="254">
        <f>SUM(C13:C19)</f>
        <v>-39152860.504999965</v>
      </c>
      <c r="D20" s="254">
        <f>SUM(D13:D19)</f>
        <v>-39575251.929999977</v>
      </c>
      <c r="E20" s="254">
        <f>SUM(E13:E19)</f>
        <v>-40711088.975000039</v>
      </c>
      <c r="F20" s="254">
        <f>SUM(F13:F19)</f>
        <v>-43654543.844999976</v>
      </c>
      <c r="G20" s="254">
        <f>SUM(G13:G19)</f>
        <v>-48533984.989999995</v>
      </c>
      <c r="H20" s="53">
        <v>337269</v>
      </c>
      <c r="I20" s="112"/>
    </row>
    <row r="21" spans="1:14" outlineLevel="1">
      <c r="A21" s="124">
        <f>MAX($A$11:A20)+1</f>
        <v>11</v>
      </c>
      <c r="B21"/>
      <c r="C21" s="202"/>
    </row>
    <row r="22" spans="1:14" outlineLevel="1">
      <c r="A22" s="124">
        <f>MAX($A$11:A21)+1</f>
        <v>12</v>
      </c>
      <c r="B22" t="s">
        <v>1455</v>
      </c>
      <c r="C22" s="254">
        <f>C11+C20</f>
        <v>13702689.324999996</v>
      </c>
      <c r="D22" s="254">
        <f>D11+D20</f>
        <v>12699753.860000029</v>
      </c>
      <c r="E22" s="254">
        <f>E11+E20</f>
        <v>12786882.174999997</v>
      </c>
      <c r="F22" s="254">
        <f>F11+F20</f>
        <v>14758461.565000027</v>
      </c>
      <c r="G22" s="254">
        <f>G11+G20</f>
        <v>14359681.970000014</v>
      </c>
      <c r="H22" s="452">
        <f>+(G22/C22)^(1/4)-1</f>
        <v>1.1776883232300195E-2</v>
      </c>
      <c r="I22" s="752"/>
    </row>
    <row r="23" spans="1:14" outlineLevel="1">
      <c r="A23" s="124">
        <f>MAX($A$11:A22)+1</f>
        <v>13</v>
      </c>
      <c r="B23" s="35"/>
      <c r="C23" s="112"/>
      <c r="D23" s="452"/>
      <c r="E23" s="452"/>
      <c r="F23" s="452"/>
      <c r="G23" s="452"/>
    </row>
    <row r="24" spans="1:14" outlineLevel="1">
      <c r="A24" s="124">
        <f>MAX($A$11:A23)+1</f>
        <v>14</v>
      </c>
      <c r="B24" t="s">
        <v>1456</v>
      </c>
      <c r="D24" s="1263">
        <f>+LN(D22/C22)</f>
        <v>-7.6009502490060818E-2</v>
      </c>
      <c r="E24" s="1263">
        <f>+LN(E22/D22)</f>
        <v>6.8372031756710827E-3</v>
      </c>
      <c r="F24" s="1263">
        <f>+LN(F22/E22)</f>
        <v>0.14339676837641208</v>
      </c>
      <c r="G24" s="1263">
        <f>+LN(G22/F22)</f>
        <v>-2.7392167287553885E-2</v>
      </c>
      <c r="H24" s="1264">
        <f>EXP(AVERAGE(D24:G24))-1-1%</f>
        <v>1.7768832323001946E-3</v>
      </c>
      <c r="I24" s="765"/>
    </row>
    <row r="25" spans="1:14">
      <c r="A25" s="124">
        <f>MAX($A$11:A24)+1</f>
        <v>15</v>
      </c>
    </row>
    <row r="26" spans="1:14" ht="60">
      <c r="A26" s="124">
        <f>MAX($A$11:A25)+1</f>
        <v>16</v>
      </c>
      <c r="B26" s="172" t="s">
        <v>1457</v>
      </c>
      <c r="C26" s="60" t="s">
        <v>1458</v>
      </c>
      <c r="D26" s="172" t="s">
        <v>1459</v>
      </c>
      <c r="E26" s="172" t="s">
        <v>1460</v>
      </c>
      <c r="F26" s="172" t="s">
        <v>1461</v>
      </c>
      <c r="G26" s="172" t="s">
        <v>1462</v>
      </c>
      <c r="H26" s="172" t="s">
        <v>1463</v>
      </c>
      <c r="I26" s="172" t="s">
        <v>1451</v>
      </c>
      <c r="J26" s="172" t="s">
        <v>1464</v>
      </c>
      <c r="K26" s="172" t="s">
        <v>1465</v>
      </c>
      <c r="L26" s="172" t="s">
        <v>1466</v>
      </c>
      <c r="M26" s="172" t="s">
        <v>1467</v>
      </c>
      <c r="N26" s="172" t="s">
        <v>1468</v>
      </c>
    </row>
    <row r="27" spans="1:14">
      <c r="A27" s="124">
        <f>MAX($A$11:A26)+1</f>
        <v>17</v>
      </c>
      <c r="B27" s="766" t="s">
        <v>831</v>
      </c>
      <c r="C27" s="767"/>
    </row>
    <row r="28" spans="1:14">
      <c r="A28" s="124">
        <f>MAX($A$11:A27)+1</f>
        <v>18</v>
      </c>
      <c r="B28" s="768">
        <v>813</v>
      </c>
      <c r="C28" s="769" t="s">
        <v>832</v>
      </c>
      <c r="D28" s="135">
        <f>'Operating Report'!F58</f>
        <v>585410.31000000006</v>
      </c>
      <c r="E28" s="135">
        <v>-319852.77999999991</v>
      </c>
      <c r="F28" s="135"/>
      <c r="G28" s="135"/>
      <c r="H28" s="135"/>
      <c r="I28" s="135"/>
      <c r="J28" s="135"/>
      <c r="K28" s="135"/>
      <c r="L28" s="135">
        <f>SUM(D28:K28)</f>
        <v>265557.53000000014</v>
      </c>
      <c r="M28" s="135">
        <f>L28*$H$24</f>
        <v>471.86472226805614</v>
      </c>
      <c r="N28" s="135">
        <f>SUM(L28:M28)*$H$24</f>
        <v>472.70317078096826</v>
      </c>
    </row>
    <row r="29" spans="1:14">
      <c r="A29" s="124">
        <f>MAX($A$11:A28)+1</f>
        <v>19</v>
      </c>
      <c r="B29" s="768"/>
      <c r="C29" s="769"/>
      <c r="D29" s="135"/>
      <c r="E29" s="135"/>
      <c r="F29" s="135"/>
      <c r="G29" s="135"/>
      <c r="H29" s="135"/>
      <c r="I29" s="135"/>
      <c r="J29" s="135"/>
      <c r="K29" s="135"/>
      <c r="L29" s="135"/>
      <c r="M29" s="135"/>
      <c r="N29" s="135"/>
    </row>
    <row r="30" spans="1:14">
      <c r="A30" s="124">
        <f>MAX($A$11:A29)+1</f>
        <v>20</v>
      </c>
      <c r="B30" s="766" t="s">
        <v>833</v>
      </c>
      <c r="C30" s="767"/>
      <c r="D30" s="135"/>
      <c r="E30" s="135"/>
      <c r="F30" s="135"/>
      <c r="G30" s="135"/>
      <c r="H30" s="135"/>
      <c r="I30" s="135"/>
      <c r="J30" s="135"/>
      <c r="K30" s="135"/>
      <c r="L30" s="135"/>
      <c r="M30" s="135"/>
      <c r="N30" s="135"/>
    </row>
    <row r="31" spans="1:14">
      <c r="A31" s="124">
        <f>MAX($A$11:A30)+1</f>
        <v>21</v>
      </c>
      <c r="B31" s="766" t="s">
        <v>834</v>
      </c>
      <c r="C31" s="767"/>
      <c r="D31" s="135"/>
      <c r="E31" s="135"/>
      <c r="F31" s="135"/>
      <c r="G31" s="135"/>
      <c r="H31" s="135"/>
      <c r="I31" s="135"/>
      <c r="J31" s="135"/>
      <c r="K31" s="135"/>
      <c r="L31" s="135"/>
      <c r="M31" s="135"/>
      <c r="N31" s="135"/>
    </row>
    <row r="32" spans="1:14">
      <c r="A32" s="449">
        <f>MAX($A$11:A31)+1</f>
        <v>22</v>
      </c>
      <c r="B32" s="770" t="s">
        <v>835</v>
      </c>
      <c r="C32" s="769" t="s">
        <v>836</v>
      </c>
      <c r="D32" s="135">
        <f>'Operating Report'!F62</f>
        <v>2880277.23</v>
      </c>
      <c r="E32" s="135">
        <v>-2657303.9599999995</v>
      </c>
      <c r="F32" s="135"/>
      <c r="G32" s="135"/>
      <c r="H32" s="135"/>
      <c r="I32" s="135"/>
      <c r="J32" s="135"/>
      <c r="K32" s="135"/>
      <c r="L32" s="135">
        <f t="shared" ref="L32:L43" si="0">SUM(D32:K32)</f>
        <v>222973.27000000048</v>
      </c>
      <c r="M32" s="135">
        <f t="shared" ref="M32:M43" si="1">L32*$H$24</f>
        <v>396.19746471414487</v>
      </c>
      <c r="N32" s="135">
        <f>SUM(L32:M32)*$H$24</f>
        <v>396.9014613458753</v>
      </c>
    </row>
    <row r="33" spans="1:14">
      <c r="A33" s="449">
        <f>MAX($A$11:A32)+1</f>
        <v>23</v>
      </c>
      <c r="B33" s="770" t="s">
        <v>837</v>
      </c>
      <c r="C33" s="769" t="s">
        <v>838</v>
      </c>
      <c r="D33" s="135">
        <f>'Operating Report'!F63</f>
        <v>229323.69999999998</v>
      </c>
      <c r="E33" s="135">
        <v>-224695.97999999998</v>
      </c>
      <c r="F33" s="135"/>
      <c r="G33" s="135"/>
      <c r="H33" s="135"/>
      <c r="I33" s="135"/>
      <c r="J33" s="135"/>
      <c r="K33" s="135"/>
      <c r="L33" s="135">
        <f t="shared" si="0"/>
        <v>4627.7200000000012</v>
      </c>
      <c r="M33" s="135">
        <f t="shared" si="1"/>
        <v>8.2229180717802581</v>
      </c>
      <c r="N33" s="135">
        <f t="shared" ref="N33:N43" si="2">SUM(L33:M33)*$H$24</f>
        <v>8.2375292370225832</v>
      </c>
    </row>
    <row r="34" spans="1:14">
      <c r="A34" s="449">
        <f>MAX($A$11:A33)+1</f>
        <v>24</v>
      </c>
      <c r="B34" s="771" t="s">
        <v>839</v>
      </c>
      <c r="C34" s="769" t="s">
        <v>840</v>
      </c>
      <c r="D34" s="135">
        <f>'Operating Report'!F64</f>
        <v>74444.14</v>
      </c>
      <c r="E34" s="135">
        <v>-45660.57</v>
      </c>
      <c r="F34" s="135"/>
      <c r="G34" s="135"/>
      <c r="H34" s="135"/>
      <c r="I34" s="135"/>
      <c r="J34" s="135"/>
      <c r="K34" s="135"/>
      <c r="L34" s="135">
        <f t="shared" si="0"/>
        <v>28783.57</v>
      </c>
      <c r="M34" s="135">
        <f t="shared" si="1"/>
        <v>51.145042898738915</v>
      </c>
      <c r="N34" s="135">
        <f t="shared" si="2"/>
        <v>51.235921667880952</v>
      </c>
    </row>
    <row r="35" spans="1:14">
      <c r="A35" s="449">
        <f>MAX($A$11:A34)+1</f>
        <v>25</v>
      </c>
      <c r="B35" s="771" t="s">
        <v>841</v>
      </c>
      <c r="C35" s="769" t="s">
        <v>842</v>
      </c>
      <c r="D35" s="135">
        <f>'Operating Report'!F65</f>
        <v>3251427.07</v>
      </c>
      <c r="E35" s="135">
        <v>-2296147.9600000009</v>
      </c>
      <c r="F35" s="135"/>
      <c r="G35" s="135"/>
      <c r="H35" s="135"/>
      <c r="I35" s="135"/>
      <c r="J35" s="135"/>
      <c r="K35" s="135"/>
      <c r="L35" s="135">
        <f t="shared" si="0"/>
        <v>955279.10999999894</v>
      </c>
      <c r="M35" s="135">
        <f t="shared" si="1"/>
        <v>1697.4194327256514</v>
      </c>
      <c r="N35" s="135">
        <f t="shared" si="2"/>
        <v>1700.435548853842</v>
      </c>
    </row>
    <row r="36" spans="1:14">
      <c r="A36" s="449">
        <f>MAX($A$11:A35)+1</f>
        <v>26</v>
      </c>
      <c r="B36" s="770" t="s">
        <v>843</v>
      </c>
      <c r="C36" s="769" t="s">
        <v>844</v>
      </c>
      <c r="D36" s="135">
        <f>'Operating Report'!F66</f>
        <v>593850.21</v>
      </c>
      <c r="E36" s="135">
        <v>-181330.74</v>
      </c>
      <c r="F36" s="135"/>
      <c r="G36" s="135"/>
      <c r="H36" s="135"/>
      <c r="I36" s="135"/>
      <c r="J36" s="135"/>
      <c r="K36" s="135"/>
      <c r="L36" s="135">
        <f t="shared" si="0"/>
        <v>412519.47</v>
      </c>
      <c r="M36" s="135">
        <f t="shared" si="1"/>
        <v>732.99892924036317</v>
      </c>
      <c r="N36" s="135">
        <f t="shared" si="2"/>
        <v>734.30138274702438</v>
      </c>
    </row>
    <row r="37" spans="1:14">
      <c r="A37" s="449">
        <f>MAX($A$11:A36)+1</f>
        <v>27</v>
      </c>
      <c r="B37" s="770" t="s">
        <v>845</v>
      </c>
      <c r="C37" s="769" t="s">
        <v>846</v>
      </c>
      <c r="D37" s="135">
        <f>'Operating Report'!F67</f>
        <v>601354.73999999987</v>
      </c>
      <c r="E37" s="135">
        <v>-379622.23000000051</v>
      </c>
      <c r="F37" s="135"/>
      <c r="G37" s="135"/>
      <c r="H37" s="135"/>
      <c r="I37" s="135"/>
      <c r="J37" s="135"/>
      <c r="K37" s="135"/>
      <c r="L37" s="135">
        <f t="shared" si="0"/>
        <v>221732.50999999937</v>
      </c>
      <c r="M37" s="135">
        <f t="shared" si="1"/>
        <v>393.99277907483412</v>
      </c>
      <c r="N37" s="135">
        <f t="shared" si="2"/>
        <v>394.69285823761959</v>
      </c>
    </row>
    <row r="38" spans="1:14">
      <c r="A38" s="449">
        <f>MAX($A$11:A37)+1</f>
        <v>28</v>
      </c>
      <c r="B38" s="772">
        <v>877</v>
      </c>
      <c r="C38" s="769" t="s">
        <v>847</v>
      </c>
      <c r="D38" s="135">
        <f>'Operating Report'!F68</f>
        <v>85000.01</v>
      </c>
      <c r="E38" s="135">
        <v>-41071.64</v>
      </c>
      <c r="F38" s="135"/>
      <c r="G38" s="135"/>
      <c r="H38" s="135"/>
      <c r="I38" s="135"/>
      <c r="J38" s="135"/>
      <c r="K38" s="135"/>
      <c r="L38" s="135">
        <f t="shared" si="0"/>
        <v>43928.369999999995</v>
      </c>
      <c r="M38" s="135">
        <f t="shared" si="1"/>
        <v>78.055584075278887</v>
      </c>
      <c r="N38" s="135">
        <f t="shared" si="2"/>
        <v>78.194279733809651</v>
      </c>
    </row>
    <row r="39" spans="1:14">
      <c r="A39" s="449">
        <f>MAX($A$11:A38)+1</f>
        <v>29</v>
      </c>
      <c r="B39" s="770" t="s">
        <v>848</v>
      </c>
      <c r="C39" s="769" t="s">
        <v>849</v>
      </c>
      <c r="D39" s="135">
        <f>'Operating Report'!F69</f>
        <v>-218316.13</v>
      </c>
      <c r="E39" s="135">
        <v>-804084.70000000019</v>
      </c>
      <c r="F39" s="135"/>
      <c r="G39" s="135"/>
      <c r="H39" s="135"/>
      <c r="I39" s="135"/>
      <c r="J39" s="135"/>
      <c r="K39" s="135"/>
      <c r="L39" s="135">
        <f t="shared" si="0"/>
        <v>-1022400.8300000002</v>
      </c>
      <c r="M39" s="135">
        <f t="shared" si="1"/>
        <v>-1816.6868915168022</v>
      </c>
      <c r="N39" s="135">
        <f t="shared" si="2"/>
        <v>-1819.9149319926778</v>
      </c>
    </row>
    <row r="40" spans="1:14">
      <c r="A40" s="449">
        <f>MAX($A$11:A39)+1</f>
        <v>30</v>
      </c>
      <c r="B40" s="770" t="s">
        <v>850</v>
      </c>
      <c r="C40" s="769" t="s">
        <v>851</v>
      </c>
      <c r="D40" s="135">
        <f>'Operating Report'!F70</f>
        <v>392583.16</v>
      </c>
      <c r="E40" s="135">
        <v>-358404.42999999982</v>
      </c>
      <c r="F40" s="135"/>
      <c r="G40" s="135"/>
      <c r="H40" s="135"/>
      <c r="I40" s="135"/>
      <c r="J40" s="135"/>
      <c r="K40" s="135"/>
      <c r="L40" s="135">
        <f t="shared" si="0"/>
        <v>34178.730000000156</v>
      </c>
      <c r="M40" s="135">
        <f t="shared" si="1"/>
        <v>60.731612238315911</v>
      </c>
      <c r="N40" s="135">
        <f t="shared" si="2"/>
        <v>60.839525221772725</v>
      </c>
    </row>
    <row r="41" spans="1:14">
      <c r="A41" s="449">
        <f>MAX($A$11:A40)+1</f>
        <v>31</v>
      </c>
      <c r="B41" s="770" t="s">
        <v>852</v>
      </c>
      <c r="C41" s="769" t="s">
        <v>853</v>
      </c>
      <c r="D41" s="135">
        <f>'Operating Report'!F71</f>
        <v>5459121.4300000006</v>
      </c>
      <c r="E41" s="135">
        <v>-3664448.6899999972</v>
      </c>
      <c r="F41" s="135"/>
      <c r="G41" s="135"/>
      <c r="H41" s="135"/>
      <c r="I41" s="135"/>
      <c r="J41" s="135"/>
      <c r="K41" s="135"/>
      <c r="L41" s="135">
        <f t="shared" si="0"/>
        <v>1794672.7400000035</v>
      </c>
      <c r="M41" s="135">
        <f t="shared" si="1"/>
        <v>3188.9238991722532</v>
      </c>
      <c r="N41" s="135">
        <f t="shared" si="2"/>
        <v>3194.5902445777738</v>
      </c>
    </row>
    <row r="42" spans="1:14">
      <c r="A42" s="449">
        <f>MAX($A$11:A41)+1</f>
        <v>32</v>
      </c>
      <c r="B42" s="770" t="s">
        <v>854</v>
      </c>
      <c r="C42" s="769" t="s">
        <v>855</v>
      </c>
      <c r="D42" s="135">
        <f>'Operating Report'!F72</f>
        <v>216918.48</v>
      </c>
      <c r="E42" s="135"/>
      <c r="F42" s="135"/>
      <c r="G42" s="135"/>
      <c r="H42" s="135"/>
      <c r="I42" s="135"/>
      <c r="J42" s="135"/>
      <c r="K42" s="135"/>
      <c r="L42" s="135">
        <f t="shared" si="0"/>
        <v>216918.48</v>
      </c>
      <c r="M42" s="135">
        <f t="shared" si="1"/>
        <v>385.43880988804517</v>
      </c>
      <c r="N42" s="135">
        <f t="shared" si="2"/>
        <v>386.12368964641297</v>
      </c>
    </row>
    <row r="43" spans="1:14">
      <c r="A43" s="449">
        <f>MAX($A$11:A42)+1</f>
        <v>33</v>
      </c>
      <c r="B43" s="770" t="s">
        <v>856</v>
      </c>
      <c r="C43" s="769" t="s">
        <v>857</v>
      </c>
      <c r="D43" s="655">
        <f>'Operating Report'!F73</f>
        <v>0</v>
      </c>
      <c r="E43" s="655"/>
      <c r="F43" s="655"/>
      <c r="G43" s="655"/>
      <c r="H43" s="655"/>
      <c r="I43" s="655"/>
      <c r="J43" s="655"/>
      <c r="K43" s="655"/>
      <c r="L43" s="655">
        <f t="shared" si="0"/>
        <v>0</v>
      </c>
      <c r="M43" s="655">
        <f t="shared" si="1"/>
        <v>0</v>
      </c>
      <c r="N43" s="655">
        <f t="shared" si="2"/>
        <v>0</v>
      </c>
    </row>
    <row r="44" spans="1:14">
      <c r="A44" s="449">
        <f>MAX($A$11:A43)+1</f>
        <v>34</v>
      </c>
      <c r="B44" s="767"/>
      <c r="C44" s="773" t="s">
        <v>858</v>
      </c>
      <c r="D44" s="135">
        <f>SUM(D32:D43)</f>
        <v>13565984.040000003</v>
      </c>
      <c r="E44" s="135">
        <f>SUM(E32:E43)</f>
        <v>-10652770.899999999</v>
      </c>
      <c r="F44" s="135">
        <f>SUM(F32:F43)</f>
        <v>0</v>
      </c>
      <c r="G44" s="135">
        <f t="shared" ref="G44:N44" si="3">SUM(G32:G43)</f>
        <v>0</v>
      </c>
      <c r="H44" s="135">
        <f t="shared" si="3"/>
        <v>0</v>
      </c>
      <c r="I44" s="135">
        <f t="shared" si="3"/>
        <v>0</v>
      </c>
      <c r="J44" s="135">
        <f t="shared" si="3"/>
        <v>0</v>
      </c>
      <c r="K44" s="135">
        <f t="shared" si="3"/>
        <v>0</v>
      </c>
      <c r="L44" s="135">
        <f t="shared" si="3"/>
        <v>2913213.140000002</v>
      </c>
      <c r="M44" s="135">
        <f t="shared" si="3"/>
        <v>5176.4395805826043</v>
      </c>
      <c r="N44" s="135">
        <f t="shared" si="3"/>
        <v>5185.6375092763565</v>
      </c>
    </row>
    <row r="45" spans="1:14">
      <c r="A45" s="449">
        <f>MAX($A$11:A44)+1</f>
        <v>35</v>
      </c>
      <c r="B45" s="767"/>
      <c r="C45" s="767"/>
      <c r="D45" s="135"/>
      <c r="E45" s="135"/>
      <c r="F45" s="135"/>
      <c r="G45" s="135"/>
      <c r="H45" s="135"/>
      <c r="I45" s="135"/>
      <c r="J45" s="135"/>
      <c r="K45" s="135"/>
      <c r="L45" s="135"/>
      <c r="M45" s="135"/>
      <c r="N45" s="135"/>
    </row>
    <row r="46" spans="1:14">
      <c r="A46" s="449">
        <f>MAX($A$11:A45)+1</f>
        <v>36</v>
      </c>
      <c r="B46" s="766" t="s">
        <v>859</v>
      </c>
      <c r="C46" s="767"/>
      <c r="D46" s="135"/>
      <c r="E46" s="135"/>
      <c r="F46" s="135"/>
      <c r="G46" s="135"/>
      <c r="H46" s="135"/>
      <c r="I46" s="135"/>
      <c r="J46" s="135"/>
      <c r="K46" s="135"/>
      <c r="L46" s="135"/>
      <c r="M46" s="135"/>
      <c r="N46" s="135"/>
    </row>
    <row r="47" spans="1:14">
      <c r="A47" s="449">
        <f>MAX($A$11:A46)+1</f>
        <v>37</v>
      </c>
      <c r="B47" s="770" t="s">
        <v>860</v>
      </c>
      <c r="C47" s="769" t="s">
        <v>861</v>
      </c>
      <c r="D47" s="135">
        <f>'Operating Report'!F77</f>
        <v>1154263.98</v>
      </c>
      <c r="E47" s="135">
        <v>-1098247.9999999995</v>
      </c>
      <c r="F47" s="135"/>
      <c r="G47" s="135"/>
      <c r="H47" s="135"/>
      <c r="I47" s="135"/>
      <c r="J47" s="135"/>
      <c r="K47" s="135"/>
      <c r="L47" s="135">
        <f t="shared" ref="L47:L56" si="4">SUM(D47:K47)</f>
        <v>56015.980000000447</v>
      </c>
      <c r="M47" s="135">
        <f t="shared" ref="M47:M56" si="5">L47*$H$24</f>
        <v>99.533855602863852</v>
      </c>
      <c r="N47" s="135">
        <f t="shared" ref="N47:N56" si="6">SUM(L47:M47)*$H$24</f>
        <v>99.710715641930776</v>
      </c>
    </row>
    <row r="48" spans="1:14">
      <c r="A48" s="449">
        <f>MAX($A$11:A47)+1</f>
        <v>38</v>
      </c>
      <c r="B48" s="770" t="s">
        <v>862</v>
      </c>
      <c r="C48" s="769" t="s">
        <v>863</v>
      </c>
      <c r="D48" s="135">
        <f>'Operating Report'!F78</f>
        <v>5181.9700000000012</v>
      </c>
      <c r="E48" s="135"/>
      <c r="F48" s="135"/>
      <c r="G48" s="135"/>
      <c r="H48" s="135"/>
      <c r="I48" s="135"/>
      <c r="J48" s="135"/>
      <c r="K48" s="135"/>
      <c r="L48" s="135">
        <f t="shared" si="4"/>
        <v>5181.9700000000012</v>
      </c>
      <c r="M48" s="135">
        <f t="shared" si="5"/>
        <v>9.2077556032826422</v>
      </c>
      <c r="N48" s="135">
        <f t="shared" si="6"/>
        <v>9.2241167098212333</v>
      </c>
    </row>
    <row r="49" spans="1:14">
      <c r="A49" s="449">
        <f>MAX($A$11:A48)+1</f>
        <v>39</v>
      </c>
      <c r="B49" s="770" t="s">
        <v>864</v>
      </c>
      <c r="C49" s="769" t="s">
        <v>865</v>
      </c>
      <c r="D49" s="135">
        <f>'Operating Report'!F79</f>
        <v>2746004.21</v>
      </c>
      <c r="E49" s="135">
        <v>-510618.23000000027</v>
      </c>
      <c r="F49" s="135"/>
      <c r="G49" s="135"/>
      <c r="H49" s="135"/>
      <c r="I49" s="135"/>
      <c r="J49" s="135">
        <f>'MAOP Deferral'!F17</f>
        <v>-1342706.2349999999</v>
      </c>
      <c r="K49" s="135"/>
      <c r="L49" s="135">
        <f t="shared" si="4"/>
        <v>892679.74499999965</v>
      </c>
      <c r="M49" s="135">
        <f t="shared" si="5"/>
        <v>1586.1876707045128</v>
      </c>
      <c r="N49" s="135">
        <f t="shared" si="6"/>
        <v>1589.0061409798691</v>
      </c>
    </row>
    <row r="50" spans="1:14">
      <c r="A50" s="449">
        <f>MAX($A$11:A49)+1</f>
        <v>40</v>
      </c>
      <c r="B50" s="771" t="s">
        <v>866</v>
      </c>
      <c r="C50" s="769" t="s">
        <v>840</v>
      </c>
      <c r="D50" s="135">
        <f>'Operating Report'!F80</f>
        <v>474768.2</v>
      </c>
      <c r="E50" s="135">
        <v>-60563.239999999991</v>
      </c>
      <c r="F50" s="135"/>
      <c r="G50" s="135"/>
      <c r="H50" s="135"/>
      <c r="I50" s="135"/>
      <c r="J50" s="135"/>
      <c r="K50" s="135"/>
      <c r="L50" s="135">
        <f t="shared" si="4"/>
        <v>414204.96</v>
      </c>
      <c r="M50" s="135">
        <f t="shared" si="5"/>
        <v>735.99384815957285</v>
      </c>
      <c r="N50" s="135">
        <f t="shared" si="6"/>
        <v>737.3016232874437</v>
      </c>
    </row>
    <row r="51" spans="1:14">
      <c r="A51" s="449">
        <f>MAX($A$11:A50)+1</f>
        <v>41</v>
      </c>
      <c r="B51" s="770" t="s">
        <v>867</v>
      </c>
      <c r="C51" s="769" t="s">
        <v>868</v>
      </c>
      <c r="D51" s="135">
        <f>'Operating Report'!F81</f>
        <v>288648.95</v>
      </c>
      <c r="E51" s="135">
        <v>-163546.12000000008</v>
      </c>
      <c r="F51" s="135"/>
      <c r="G51" s="135"/>
      <c r="H51" s="135"/>
      <c r="I51" s="135"/>
      <c r="J51" s="135"/>
      <c r="K51" s="135"/>
      <c r="L51" s="135">
        <f t="shared" si="4"/>
        <v>125102.82999999993</v>
      </c>
      <c r="M51" s="135">
        <f t="shared" si="5"/>
        <v>222.29312094030163</v>
      </c>
      <c r="N51" s="135">
        <f t="shared" si="6"/>
        <v>222.68810985955614</v>
      </c>
    </row>
    <row r="52" spans="1:14">
      <c r="A52" s="449">
        <f>MAX($A$11:A51)+1</f>
        <v>42</v>
      </c>
      <c r="B52" s="770" t="s">
        <v>869</v>
      </c>
      <c r="C52" s="769" t="s">
        <v>870</v>
      </c>
      <c r="D52" s="135">
        <f>'Operating Report'!F82</f>
        <v>356838.82</v>
      </c>
      <c r="E52" s="135">
        <v>-226949.74000000005</v>
      </c>
      <c r="F52" s="135"/>
      <c r="G52" s="135"/>
      <c r="H52" s="135"/>
      <c r="I52" s="135"/>
      <c r="J52" s="135"/>
      <c r="K52" s="135"/>
      <c r="L52" s="135">
        <f t="shared" si="4"/>
        <v>129889.07999999996</v>
      </c>
      <c r="M52" s="135">
        <f t="shared" si="5"/>
        <v>230.79772831089849</v>
      </c>
      <c r="N52" s="135">
        <f t="shared" si="6"/>
        <v>231.20782892438709</v>
      </c>
    </row>
    <row r="53" spans="1:14">
      <c r="A53" s="449">
        <f>MAX($A$11:A52)+1</f>
        <v>43</v>
      </c>
      <c r="B53" s="772">
        <v>891</v>
      </c>
      <c r="C53" s="769" t="s">
        <v>870</v>
      </c>
      <c r="D53" s="135">
        <f>'Operating Report'!F83</f>
        <v>115218.98999999999</v>
      </c>
      <c r="E53" s="135">
        <v>-62263.819999999992</v>
      </c>
      <c r="F53" s="135"/>
      <c r="G53" s="135"/>
      <c r="H53" s="135"/>
      <c r="I53" s="135"/>
      <c r="J53" s="135"/>
      <c r="K53" s="135"/>
      <c r="L53" s="135">
        <f t="shared" si="4"/>
        <v>52955.17</v>
      </c>
      <c r="M53" s="135">
        <f t="shared" si="5"/>
        <v>94.095153636606298</v>
      </c>
      <c r="N53" s="135">
        <f t="shared" si="6"/>
        <v>94.262349737343882</v>
      </c>
    </row>
    <row r="54" spans="1:14">
      <c r="A54" s="449">
        <f>MAX($A$11:A53)+1</f>
        <v>44</v>
      </c>
      <c r="B54" s="770" t="s">
        <v>871</v>
      </c>
      <c r="C54" s="769" t="s">
        <v>872</v>
      </c>
      <c r="D54" s="135">
        <f>'Operating Report'!F84</f>
        <v>1064198.2100000002</v>
      </c>
      <c r="E54" s="135">
        <v>-656675.96999999904</v>
      </c>
      <c r="F54" s="135"/>
      <c r="G54" s="135"/>
      <c r="H54" s="135"/>
      <c r="I54" s="135"/>
      <c r="J54" s="135"/>
      <c r="K54" s="135"/>
      <c r="L54" s="135">
        <f t="shared" si="4"/>
        <v>407522.24000000115</v>
      </c>
      <c r="M54" s="135">
        <f t="shared" si="5"/>
        <v>724.11943504541773</v>
      </c>
      <c r="N54" s="135">
        <f t="shared" si="6"/>
        <v>725.40611072773254</v>
      </c>
    </row>
    <row r="55" spans="1:14">
      <c r="A55" s="449">
        <f>MAX($A$11:A54)+1</f>
        <v>45</v>
      </c>
      <c r="B55" s="770" t="s">
        <v>873</v>
      </c>
      <c r="C55" s="769" t="s">
        <v>874</v>
      </c>
      <c r="D55" s="135">
        <f>'Operating Report'!F85</f>
        <v>1417725.8</v>
      </c>
      <c r="E55" s="135">
        <v>-1048688.8899999994</v>
      </c>
      <c r="F55" s="135"/>
      <c r="G55" s="135"/>
      <c r="H55" s="135"/>
      <c r="I55" s="135"/>
      <c r="J55" s="135"/>
      <c r="K55" s="135"/>
      <c r="L55" s="135">
        <f t="shared" si="4"/>
        <v>369036.91000000061</v>
      </c>
      <c r="M55" s="135">
        <f t="shared" si="5"/>
        <v>655.73549747887716</v>
      </c>
      <c r="N55" s="135">
        <f t="shared" si="6"/>
        <v>656.90066288917137</v>
      </c>
    </row>
    <row r="56" spans="1:14">
      <c r="A56" s="449">
        <f>MAX($A$11:A55)+1</f>
        <v>46</v>
      </c>
      <c r="B56" s="770" t="s">
        <v>875</v>
      </c>
      <c r="C56" s="769" t="s">
        <v>876</v>
      </c>
      <c r="D56" s="655">
        <f>'Operating Report'!F86</f>
        <v>1367764.3599999999</v>
      </c>
      <c r="E56" s="655">
        <v>-1136204.5600000005</v>
      </c>
      <c r="F56" s="655"/>
      <c r="G56" s="655"/>
      <c r="H56" s="655"/>
      <c r="I56" s="655"/>
      <c r="J56" s="655"/>
      <c r="K56" s="655"/>
      <c r="L56" s="655">
        <f t="shared" si="4"/>
        <v>231559.79999999935</v>
      </c>
      <c r="M56" s="655">
        <f t="shared" si="5"/>
        <v>411.45472589478544</v>
      </c>
      <c r="N56" s="655">
        <f t="shared" si="6"/>
        <v>412.18583289807856</v>
      </c>
    </row>
    <row r="57" spans="1:14">
      <c r="A57" s="449">
        <f>MAX($A$11:A56)+1</f>
        <v>47</v>
      </c>
      <c r="B57" s="767"/>
      <c r="C57" s="773" t="s">
        <v>877</v>
      </c>
      <c r="D57" s="135">
        <f>SUM(D47:D56)</f>
        <v>8990613.4900000002</v>
      </c>
      <c r="E57" s="135">
        <f>SUM(E47:E56)</f>
        <v>-4963758.5699999994</v>
      </c>
      <c r="F57" s="135">
        <f>SUM(F47:F56)</f>
        <v>0</v>
      </c>
      <c r="G57" s="135">
        <f t="shared" ref="G57:N57" si="7">SUM(G47:G56)</f>
        <v>0</v>
      </c>
      <c r="H57" s="135">
        <f t="shared" si="7"/>
        <v>0</v>
      </c>
      <c r="I57" s="135">
        <f t="shared" si="7"/>
        <v>0</v>
      </c>
      <c r="J57" s="135">
        <f t="shared" si="7"/>
        <v>-1342706.2349999999</v>
      </c>
      <c r="K57" s="135">
        <f t="shared" si="7"/>
        <v>0</v>
      </c>
      <c r="L57" s="135">
        <f t="shared" si="7"/>
        <v>2684148.685000001</v>
      </c>
      <c r="M57" s="135">
        <f t="shared" si="7"/>
        <v>4769.4187913771184</v>
      </c>
      <c r="N57" s="135">
        <f t="shared" si="7"/>
        <v>4777.8934916553353</v>
      </c>
    </row>
    <row r="58" spans="1:14">
      <c r="A58" s="449">
        <f>MAX($A$11:A57)+1</f>
        <v>48</v>
      </c>
      <c r="B58" s="766" t="s">
        <v>878</v>
      </c>
      <c r="C58" s="767"/>
      <c r="D58" s="488">
        <f>D44+D57</f>
        <v>22556597.530000001</v>
      </c>
      <c r="E58" s="488">
        <f>E44+E57</f>
        <v>-15616529.469999999</v>
      </c>
      <c r="F58" s="488">
        <f>F44+F57</f>
        <v>0</v>
      </c>
      <c r="G58" s="488">
        <f t="shared" ref="G58:N58" si="8">G44+G57</f>
        <v>0</v>
      </c>
      <c r="H58" s="488">
        <f t="shared" si="8"/>
        <v>0</v>
      </c>
      <c r="I58" s="488">
        <f t="shared" si="8"/>
        <v>0</v>
      </c>
      <c r="J58" s="488">
        <f t="shared" si="8"/>
        <v>-1342706.2349999999</v>
      </c>
      <c r="K58" s="488">
        <f t="shared" si="8"/>
        <v>0</v>
      </c>
      <c r="L58" s="488">
        <f t="shared" si="8"/>
        <v>5597361.825000003</v>
      </c>
      <c r="M58" s="488">
        <f t="shared" si="8"/>
        <v>9945.8583719597227</v>
      </c>
      <c r="N58" s="488">
        <f t="shared" si="8"/>
        <v>9963.5310009316927</v>
      </c>
    </row>
    <row r="59" spans="1:14">
      <c r="A59" s="449">
        <f>MAX($A$11:A58)+1</f>
        <v>49</v>
      </c>
      <c r="B59" s="767"/>
      <c r="C59" s="767"/>
      <c r="D59" s="135"/>
      <c r="E59" s="135"/>
      <c r="F59" s="135"/>
      <c r="G59" s="135"/>
      <c r="H59" s="135"/>
      <c r="I59" s="135"/>
      <c r="J59" s="135"/>
      <c r="K59" s="135"/>
      <c r="L59" s="135"/>
      <c r="M59" s="135"/>
      <c r="N59" s="135"/>
    </row>
    <row r="60" spans="1:14">
      <c r="A60" s="449">
        <f>MAX($A$11:A59)+1</f>
        <v>50</v>
      </c>
      <c r="B60" s="766" t="s">
        <v>879</v>
      </c>
      <c r="C60" s="767"/>
      <c r="D60" s="135"/>
      <c r="E60" s="135"/>
      <c r="F60" s="135"/>
      <c r="G60" s="135"/>
      <c r="H60" s="135"/>
      <c r="I60" s="135"/>
      <c r="J60" s="135"/>
      <c r="K60" s="135"/>
      <c r="L60" s="135"/>
      <c r="M60" s="135"/>
      <c r="N60" s="135"/>
    </row>
    <row r="61" spans="1:14">
      <c r="A61" s="449">
        <f>MAX($A$11:A60)+1</f>
        <v>51</v>
      </c>
      <c r="B61" s="770" t="s">
        <v>880</v>
      </c>
      <c r="C61" s="769" t="s">
        <v>881</v>
      </c>
      <c r="D61" s="135">
        <f>'Operating Report'!F91</f>
        <v>121992.08</v>
      </c>
      <c r="E61" s="135">
        <v>-121945.29000000004</v>
      </c>
      <c r="F61" s="135"/>
      <c r="G61" s="135"/>
      <c r="H61" s="135"/>
      <c r="I61" s="135"/>
      <c r="J61" s="135"/>
      <c r="K61" s="135"/>
      <c r="L61" s="135">
        <f>SUM(D61:K61)</f>
        <v>46.789999999964493</v>
      </c>
      <c r="M61" s="135">
        <f>L61*$H$24</f>
        <v>8.3140366439263022E-2</v>
      </c>
      <c r="N61" s="135">
        <f>SUM(L61:M61)*$H$24</f>
        <v>8.3288097162316235E-2</v>
      </c>
    </row>
    <row r="62" spans="1:14">
      <c r="A62" s="449">
        <f>MAX($A$11:A61)+1</f>
        <v>52</v>
      </c>
      <c r="B62" s="770" t="s">
        <v>882</v>
      </c>
      <c r="C62" s="769" t="s">
        <v>883</v>
      </c>
      <c r="D62" s="135">
        <f>'Operating Report'!F92</f>
        <v>520745.67</v>
      </c>
      <c r="E62" s="135">
        <v>-424460.71000000008</v>
      </c>
      <c r="F62" s="135"/>
      <c r="G62" s="135"/>
      <c r="H62" s="135"/>
      <c r="I62" s="135"/>
      <c r="J62" s="135"/>
      <c r="K62" s="135"/>
      <c r="L62" s="135">
        <f>SUM(D62:K62)</f>
        <v>96284.959999999905</v>
      </c>
      <c r="M62" s="135">
        <f>L62*$H$24</f>
        <v>171.08713094669477</v>
      </c>
      <c r="N62" s="135">
        <f>SUM(L62:M62)*$H$24</f>
        <v>171.3911328009363</v>
      </c>
    </row>
    <row r="63" spans="1:14">
      <c r="A63" s="449">
        <f>MAX($A$11:A62)+1</f>
        <v>53</v>
      </c>
      <c r="B63" s="770" t="s">
        <v>884</v>
      </c>
      <c r="C63" s="769" t="s">
        <v>885</v>
      </c>
      <c r="D63" s="135">
        <f>'Operating Report'!F93</f>
        <v>4747284.0699999994</v>
      </c>
      <c r="E63" s="135">
        <v>-2895363.2000000039</v>
      </c>
      <c r="F63" s="135"/>
      <c r="G63" s="135"/>
      <c r="H63" s="135"/>
      <c r="I63" s="135"/>
      <c r="J63" s="135"/>
      <c r="K63" s="135"/>
      <c r="L63" s="135">
        <f>SUM(D63:K63)</f>
        <v>1851920.8699999955</v>
      </c>
      <c r="M63" s="135">
        <f>L63*$H$24</f>
        <v>3290.6471414497805</v>
      </c>
      <c r="N63" s="135">
        <f>SUM(L63:M63)*$H$24</f>
        <v>3296.4942371788393</v>
      </c>
    </row>
    <row r="64" spans="1:14">
      <c r="A64" s="449">
        <f>MAX($A$11:A63)+1</f>
        <v>54</v>
      </c>
      <c r="B64" s="770" t="s">
        <v>886</v>
      </c>
      <c r="C64" s="769" t="s">
        <v>613</v>
      </c>
      <c r="D64" s="135">
        <f>'Operating Report'!F94</f>
        <v>2527969.04</v>
      </c>
      <c r="E64" s="135"/>
      <c r="F64" s="135"/>
      <c r="G64" s="135"/>
      <c r="H64" s="135">
        <f>-D64</f>
        <v>-2527969.04</v>
      </c>
      <c r="I64" s="135"/>
      <c r="J64" s="135"/>
      <c r="K64" s="135"/>
      <c r="L64" s="135">
        <f>SUM(D64:K64)</f>
        <v>0</v>
      </c>
      <c r="M64" s="135">
        <f>L64*$H$24</f>
        <v>0</v>
      </c>
      <c r="N64" s="135">
        <f>SUM(L64:M64)*$H$24</f>
        <v>0</v>
      </c>
    </row>
    <row r="65" spans="1:14">
      <c r="A65" s="449">
        <f>MAX($A$11:A64)+1</f>
        <v>55</v>
      </c>
      <c r="B65" s="770" t="s">
        <v>887</v>
      </c>
      <c r="C65" s="769" t="s">
        <v>888</v>
      </c>
      <c r="D65" s="135">
        <f>'Operating Report'!F95</f>
        <v>422.05000000000018</v>
      </c>
      <c r="E65" s="655"/>
      <c r="F65" s="655"/>
      <c r="G65" s="655"/>
      <c r="H65" s="655"/>
      <c r="I65" s="655"/>
      <c r="J65" s="655"/>
      <c r="K65" s="655"/>
      <c r="L65" s="655">
        <f>SUM(D65:K65)</f>
        <v>422.05000000000018</v>
      </c>
      <c r="M65" s="655">
        <f>L65*$H$24</f>
        <v>0.74993356819229751</v>
      </c>
      <c r="N65" s="655">
        <f>SUM(L65:M65)*$H$24</f>
        <v>0.75126611257495746</v>
      </c>
    </row>
    <row r="66" spans="1:14">
      <c r="A66" s="449">
        <f>MAX($A$11:A65)+1</f>
        <v>56</v>
      </c>
      <c r="B66" s="766" t="s">
        <v>889</v>
      </c>
      <c r="C66" s="767"/>
      <c r="D66" s="774">
        <f>SUM(D61:D65)</f>
        <v>7918412.9099999992</v>
      </c>
      <c r="E66" s="774">
        <f>SUM(E61:E65)</f>
        <v>-3441769.2000000039</v>
      </c>
      <c r="F66" s="774">
        <f>SUM(F61:F65)</f>
        <v>0</v>
      </c>
      <c r="G66" s="774">
        <f t="shared" ref="G66:N66" si="9">SUM(G61:G65)</f>
        <v>0</v>
      </c>
      <c r="H66" s="774">
        <f t="shared" si="9"/>
        <v>-2527969.04</v>
      </c>
      <c r="I66" s="774">
        <f t="shared" si="9"/>
        <v>0</v>
      </c>
      <c r="J66" s="774">
        <f t="shared" si="9"/>
        <v>0</v>
      </c>
      <c r="K66" s="774">
        <f t="shared" si="9"/>
        <v>0</v>
      </c>
      <c r="L66" s="774">
        <f t="shared" si="9"/>
        <v>1948674.6699999953</v>
      </c>
      <c r="M66" s="774">
        <f t="shared" si="9"/>
        <v>3462.5673463311068</v>
      </c>
      <c r="N66" s="774">
        <f t="shared" si="9"/>
        <v>3468.7199241895128</v>
      </c>
    </row>
    <row r="67" spans="1:14">
      <c r="A67" s="449">
        <f>MAX($A$11:A66)+1</f>
        <v>57</v>
      </c>
      <c r="B67" s="767"/>
      <c r="C67" s="767"/>
      <c r="D67" s="135"/>
      <c r="E67" s="135"/>
      <c r="F67" s="135"/>
      <c r="G67" s="135"/>
      <c r="H67" s="135"/>
      <c r="I67" s="135"/>
      <c r="J67" s="135"/>
      <c r="K67" s="135"/>
      <c r="L67" s="135"/>
      <c r="M67" s="135"/>
      <c r="N67" s="135"/>
    </row>
    <row r="68" spans="1:14">
      <c r="A68" s="449">
        <f>MAX($A$11:A67)+1</f>
        <v>58</v>
      </c>
      <c r="B68" s="766" t="s">
        <v>890</v>
      </c>
      <c r="C68" s="767"/>
      <c r="D68" s="135"/>
      <c r="E68" s="135"/>
      <c r="F68" s="135"/>
      <c r="G68" s="135"/>
      <c r="H68" s="135"/>
      <c r="I68" s="135"/>
      <c r="J68" s="135"/>
      <c r="K68" s="135"/>
      <c r="L68" s="135"/>
      <c r="M68" s="135"/>
      <c r="N68" s="135"/>
    </row>
    <row r="69" spans="1:14">
      <c r="A69" s="449">
        <f>MAX($A$11:A68)+1</f>
        <v>59</v>
      </c>
      <c r="B69" s="770" t="s">
        <v>891</v>
      </c>
      <c r="C69" s="769" t="s">
        <v>881</v>
      </c>
      <c r="D69" s="135">
        <f>'Operating Report'!F99</f>
        <v>0</v>
      </c>
      <c r="E69" s="135"/>
      <c r="F69" s="135"/>
      <c r="G69" s="135"/>
      <c r="H69" s="135"/>
      <c r="I69" s="135"/>
      <c r="J69" s="135"/>
      <c r="K69" s="135"/>
      <c r="L69" s="135">
        <f>SUM(D69:K69)</f>
        <v>0</v>
      </c>
      <c r="M69" s="135">
        <f>L69*$H$24</f>
        <v>0</v>
      </c>
      <c r="N69" s="135">
        <f>SUM(L69:M69)*$H$24</f>
        <v>0</v>
      </c>
    </row>
    <row r="70" spans="1:14">
      <c r="A70" s="449">
        <f>MAX($A$11:A69)+1</f>
        <v>60</v>
      </c>
      <c r="B70" s="770" t="s">
        <v>892</v>
      </c>
      <c r="C70" s="769" t="s">
        <v>893</v>
      </c>
      <c r="D70" s="135">
        <f>'Operating Report'!F100</f>
        <v>8055449.5399999991</v>
      </c>
      <c r="E70" s="135">
        <v>-642651.57999999984</v>
      </c>
      <c r="F70" s="135"/>
      <c r="G70" s="135"/>
      <c r="H70" s="135"/>
      <c r="I70" s="135"/>
      <c r="J70" s="135"/>
      <c r="K70" s="135">
        <f>'Operating Report'!H100</f>
        <v>-8150919.2300000004</v>
      </c>
      <c r="L70" s="135">
        <f>SUM(D70:K70)</f>
        <v>-738121.27000000142</v>
      </c>
      <c r="M70" s="135">
        <f>L70*$H$24</f>
        <v>-1311.5553080671273</v>
      </c>
      <c r="N70" s="135">
        <f>SUM(L70:M70)*$H$24</f>
        <v>-1313.8857887022659</v>
      </c>
    </row>
    <row r="71" spans="1:14">
      <c r="A71" s="449">
        <f>MAX($A$11:A70)+1</f>
        <v>61</v>
      </c>
      <c r="B71" s="770" t="s">
        <v>894</v>
      </c>
      <c r="C71" s="769" t="s">
        <v>895</v>
      </c>
      <c r="D71" s="135">
        <f>'Operating Report'!F101</f>
        <v>66640.58</v>
      </c>
      <c r="E71" s="135"/>
      <c r="F71" s="135"/>
      <c r="G71" s="135"/>
      <c r="H71" s="135"/>
      <c r="I71" s="135"/>
      <c r="J71" s="135"/>
      <c r="K71" s="135"/>
      <c r="L71" s="135">
        <f>SUM(D71:K71)</f>
        <v>66640.58</v>
      </c>
      <c r="M71" s="135">
        <f>L71*$H$24</f>
        <v>118.41252919275971</v>
      </c>
      <c r="N71" s="135">
        <f>SUM(L71:M71)*$H$24</f>
        <v>118.62293443037659</v>
      </c>
    </row>
    <row r="72" spans="1:14">
      <c r="A72" s="449">
        <f>MAX($A$11:A71)+1</f>
        <v>62</v>
      </c>
      <c r="B72" s="770" t="s">
        <v>896</v>
      </c>
      <c r="C72" s="769" t="s">
        <v>897</v>
      </c>
      <c r="D72" s="135">
        <f>'Operating Report'!F102</f>
        <v>162309.67000000001</v>
      </c>
      <c r="E72" s="655">
        <v>-158149.53999999998</v>
      </c>
      <c r="F72" s="655"/>
      <c r="G72" s="655"/>
      <c r="H72" s="655"/>
      <c r="I72" s="655"/>
      <c r="J72" s="655"/>
      <c r="K72" s="655"/>
      <c r="L72" s="655">
        <f>SUM(D72:K72)</f>
        <v>4160.1300000000338</v>
      </c>
      <c r="M72" s="655">
        <f>L72*$H$24</f>
        <v>7.3920652411890684</v>
      </c>
      <c r="N72" s="655">
        <f>SUM(L72:M72)*$H$24</f>
        <v>7.4052000779682068</v>
      </c>
    </row>
    <row r="73" spans="1:14">
      <c r="A73" s="449">
        <f>MAX($A$11:A72)+1</f>
        <v>63</v>
      </c>
      <c r="B73" s="766" t="s">
        <v>898</v>
      </c>
      <c r="C73" s="767"/>
      <c r="D73" s="774">
        <f>SUM(D69:D72)</f>
        <v>8284399.7899999991</v>
      </c>
      <c r="E73" s="774">
        <f>SUM(E69:E72)</f>
        <v>-800801.11999999988</v>
      </c>
      <c r="F73" s="774">
        <f>SUM(F69:F72)</f>
        <v>0</v>
      </c>
      <c r="G73" s="774">
        <f t="shared" ref="G73:N73" si="10">SUM(G69:G72)</f>
        <v>0</v>
      </c>
      <c r="H73" s="774">
        <f t="shared" si="10"/>
        <v>0</v>
      </c>
      <c r="I73" s="774">
        <f t="shared" si="10"/>
        <v>0</v>
      </c>
      <c r="J73" s="774">
        <f t="shared" si="10"/>
        <v>0</v>
      </c>
      <c r="K73" s="774">
        <f t="shared" si="10"/>
        <v>-8150919.2300000004</v>
      </c>
      <c r="L73" s="774">
        <f t="shared" si="10"/>
        <v>-667320.56000000145</v>
      </c>
      <c r="M73" s="774">
        <f t="shared" si="10"/>
        <v>-1185.7507136331785</v>
      </c>
      <c r="N73" s="774">
        <f t="shared" si="10"/>
        <v>-1187.8576541939212</v>
      </c>
    </row>
    <row r="74" spans="1:14">
      <c r="A74" s="449">
        <f>MAX($A$11:A73)+1</f>
        <v>64</v>
      </c>
      <c r="B74" s="767"/>
      <c r="C74" s="767"/>
      <c r="D74" s="135"/>
      <c r="E74" s="135"/>
      <c r="F74" s="135"/>
      <c r="G74" s="135"/>
      <c r="H74" s="135"/>
      <c r="I74" s="135"/>
      <c r="J74" s="135"/>
      <c r="K74" s="135"/>
      <c r="L74" s="135"/>
      <c r="M74" s="135"/>
      <c r="N74" s="135"/>
    </row>
    <row r="75" spans="1:14">
      <c r="A75" s="449">
        <f>MAX($A$11:A74)+1</f>
        <v>65</v>
      </c>
      <c r="B75" s="766" t="s">
        <v>899</v>
      </c>
      <c r="C75" s="767"/>
      <c r="D75" s="135"/>
      <c r="E75" s="135"/>
      <c r="F75" s="135"/>
      <c r="G75" s="135"/>
      <c r="H75" s="135"/>
      <c r="I75" s="135"/>
      <c r="J75" s="135"/>
      <c r="K75" s="135"/>
      <c r="L75" s="135"/>
      <c r="M75" s="135"/>
      <c r="N75" s="135"/>
    </row>
    <row r="76" spans="1:14">
      <c r="A76" s="449">
        <f>MAX($A$11:A75)+1</f>
        <v>66</v>
      </c>
      <c r="B76" s="770" t="s">
        <v>900</v>
      </c>
      <c r="C76" s="769" t="s">
        <v>881</v>
      </c>
      <c r="D76" s="135">
        <f>'Operating Report'!F106</f>
        <v>0</v>
      </c>
      <c r="E76" s="135"/>
      <c r="F76" s="135"/>
      <c r="G76" s="135"/>
      <c r="H76" s="135"/>
      <c r="I76" s="135"/>
      <c r="J76" s="135"/>
      <c r="K76" s="135"/>
      <c r="L76" s="135">
        <f>SUM(D76:K76)</f>
        <v>0</v>
      </c>
      <c r="M76" s="135">
        <f>L76*$H$24</f>
        <v>0</v>
      </c>
      <c r="N76" s="135">
        <f>SUM(L76:M76)*$H$24</f>
        <v>0</v>
      </c>
    </row>
    <row r="77" spans="1:14">
      <c r="A77" s="449">
        <f>MAX($A$11:A76)+1</f>
        <v>67</v>
      </c>
      <c r="B77" s="770" t="s">
        <v>901</v>
      </c>
      <c r="C77" s="769" t="s">
        <v>902</v>
      </c>
      <c r="D77" s="135">
        <f>'Operating Report'!F107</f>
        <v>18968.669999999998</v>
      </c>
      <c r="E77" s="135">
        <v>-18876.719999999998</v>
      </c>
      <c r="F77" s="135"/>
      <c r="G77" s="135"/>
      <c r="H77" s="135"/>
      <c r="I77" s="135"/>
      <c r="J77" s="135"/>
      <c r="K77" s="135"/>
      <c r="L77" s="135">
        <f>SUM(D77:K77)</f>
        <v>91.950000000000728</v>
      </c>
      <c r="M77" s="135">
        <f>L77*$H$24</f>
        <v>0.16338441321000419</v>
      </c>
      <c r="N77" s="135">
        <f>SUM(L77:M77)*$H$24</f>
        <v>0.16367472823425627</v>
      </c>
    </row>
    <row r="78" spans="1:14">
      <c r="A78" s="449">
        <f>MAX($A$11:A77)+1</f>
        <v>68</v>
      </c>
      <c r="B78" s="770" t="s">
        <v>903</v>
      </c>
      <c r="C78" s="769" t="s">
        <v>904</v>
      </c>
      <c r="D78" s="135">
        <f>'Operating Report'!F108</f>
        <v>0</v>
      </c>
      <c r="E78" s="135"/>
      <c r="F78" s="135"/>
      <c r="G78" s="135"/>
      <c r="H78" s="135"/>
      <c r="I78" s="135"/>
      <c r="J78" s="135"/>
      <c r="K78" s="135"/>
      <c r="L78" s="135">
        <f>SUM(D78:K78)</f>
        <v>0</v>
      </c>
      <c r="M78" s="135">
        <f>L78*$H$24</f>
        <v>0</v>
      </c>
      <c r="N78" s="135">
        <f>SUM(L78:M78)*$H$24</f>
        <v>0</v>
      </c>
    </row>
    <row r="79" spans="1:14">
      <c r="A79" s="449">
        <f>MAX($A$11:A78)+1</f>
        <v>69</v>
      </c>
      <c r="B79" s="770" t="s">
        <v>905</v>
      </c>
      <c r="C79" s="769" t="s">
        <v>906</v>
      </c>
      <c r="D79" s="135">
        <f>'Operating Report'!F109</f>
        <v>0</v>
      </c>
      <c r="E79" s="655"/>
      <c r="F79" s="655"/>
      <c r="G79" s="655"/>
      <c r="H79" s="655"/>
      <c r="I79" s="655"/>
      <c r="J79" s="655"/>
      <c r="K79" s="655"/>
      <c r="L79" s="655">
        <f>SUM(D79:K79)</f>
        <v>0</v>
      </c>
      <c r="M79" s="655">
        <f>L79*$H$24</f>
        <v>0</v>
      </c>
      <c r="N79" s="655">
        <f>SUM(L79:M79)*$H$24</f>
        <v>0</v>
      </c>
    </row>
    <row r="80" spans="1:14">
      <c r="A80" s="449">
        <f>MAX($A$11:A79)+1</f>
        <v>70</v>
      </c>
      <c r="B80" s="766" t="s">
        <v>907</v>
      </c>
      <c r="C80" s="767"/>
      <c r="D80" s="774">
        <f>SUM(D76:D79)</f>
        <v>18968.669999999998</v>
      </c>
      <c r="E80" s="774">
        <f>SUM(E76:E79)</f>
        <v>-18876.719999999998</v>
      </c>
      <c r="F80" s="774">
        <f>SUM(F76:F79)</f>
        <v>0</v>
      </c>
      <c r="G80" s="774">
        <f t="shared" ref="G80:N80" si="11">SUM(G76:G79)</f>
        <v>0</v>
      </c>
      <c r="H80" s="774">
        <f t="shared" si="11"/>
        <v>0</v>
      </c>
      <c r="I80" s="774">
        <f t="shared" si="11"/>
        <v>0</v>
      </c>
      <c r="J80" s="774">
        <f t="shared" si="11"/>
        <v>0</v>
      </c>
      <c r="K80" s="774">
        <f t="shared" si="11"/>
        <v>0</v>
      </c>
      <c r="L80" s="774">
        <f t="shared" si="11"/>
        <v>91.950000000000728</v>
      </c>
      <c r="M80" s="774">
        <f t="shared" si="11"/>
        <v>0.16338441321000419</v>
      </c>
      <c r="N80" s="774">
        <f t="shared" si="11"/>
        <v>0.16367472823425627</v>
      </c>
    </row>
    <row r="81" spans="1:14">
      <c r="A81" s="449">
        <f>MAX($A$11:A80)+1</f>
        <v>71</v>
      </c>
      <c r="B81" s="767"/>
      <c r="C81" s="767"/>
      <c r="D81" s="135"/>
      <c r="E81" s="135"/>
      <c r="F81" s="135"/>
      <c r="G81" s="135"/>
      <c r="H81" s="135"/>
      <c r="I81" s="135"/>
      <c r="J81" s="135"/>
      <c r="K81" s="135"/>
      <c r="L81" s="135"/>
      <c r="M81" s="135"/>
      <c r="N81" s="135"/>
    </row>
    <row r="82" spans="1:14">
      <c r="A82" s="449">
        <f>MAX($A$11:A81)+1</f>
        <v>72</v>
      </c>
      <c r="B82" s="766" t="s">
        <v>908</v>
      </c>
      <c r="C82" s="767"/>
      <c r="D82" s="135"/>
      <c r="E82" s="135"/>
      <c r="F82" s="135"/>
      <c r="G82" s="135"/>
      <c r="H82" s="135"/>
      <c r="I82" s="135"/>
      <c r="J82" s="135"/>
      <c r="K82" s="135"/>
      <c r="L82" s="135"/>
      <c r="M82" s="135"/>
      <c r="N82" s="135"/>
    </row>
    <row r="83" spans="1:14">
      <c r="A83" s="449">
        <f>MAX($A$11:A82)+1</f>
        <v>73</v>
      </c>
      <c r="B83" s="770" t="s">
        <v>909</v>
      </c>
      <c r="C83" s="769" t="s">
        <v>910</v>
      </c>
      <c r="D83" s="135">
        <f>'Operating Report'!F113</f>
        <v>9401904.8599999994</v>
      </c>
      <c r="E83" s="135">
        <v>-9401904.8599999975</v>
      </c>
      <c r="F83" s="135"/>
      <c r="G83" s="135"/>
      <c r="H83" s="135"/>
      <c r="I83" s="135"/>
      <c r="J83" s="135"/>
      <c r="K83" s="135"/>
      <c r="L83" s="135">
        <f t="shared" ref="L83:L93" si="12">SUM(D83:K83)</f>
        <v>0</v>
      </c>
      <c r="M83" s="135">
        <f t="shared" ref="M83:M93" si="13">L83*$H$24</f>
        <v>0</v>
      </c>
      <c r="N83" s="135">
        <f t="shared" ref="N83:N93" si="14">SUM(L83:M83)*$H$24</f>
        <v>0</v>
      </c>
    </row>
    <row r="84" spans="1:14">
      <c r="A84" s="449">
        <f>MAX($A$11:A83)+1</f>
        <v>74</v>
      </c>
      <c r="B84" s="770" t="s">
        <v>911</v>
      </c>
      <c r="C84" s="769" t="s">
        <v>912</v>
      </c>
      <c r="D84" s="135">
        <f>'Operating Report'!F114</f>
        <v>3175378.32</v>
      </c>
      <c r="E84" s="135"/>
      <c r="F84" s="135"/>
      <c r="G84" s="135"/>
      <c r="H84" s="135"/>
      <c r="I84" s="135"/>
      <c r="J84" s="135"/>
      <c r="K84" s="135"/>
      <c r="L84" s="135">
        <f t="shared" si="12"/>
        <v>3175378.32</v>
      </c>
      <c r="M84" s="135">
        <f t="shared" si="13"/>
        <v>5642.2764930175617</v>
      </c>
      <c r="N84" s="135">
        <f t="shared" si="14"/>
        <v>5652.3021595100063</v>
      </c>
    </row>
    <row r="85" spans="1:14">
      <c r="A85" s="449">
        <f>MAX($A$11:A84)+1</f>
        <v>75</v>
      </c>
      <c r="B85" s="770" t="s">
        <v>913</v>
      </c>
      <c r="C85" s="769" t="s">
        <v>914</v>
      </c>
      <c r="D85" s="135">
        <f>'Operating Report'!F115</f>
        <v>1250376.3799999999</v>
      </c>
      <c r="E85" s="135"/>
      <c r="F85" s="135"/>
      <c r="G85" s="135"/>
      <c r="H85" s="135"/>
      <c r="I85" s="135">
        <f>-D85</f>
        <v>-1250376.3799999999</v>
      </c>
      <c r="J85" s="135"/>
      <c r="K85" s="135"/>
      <c r="L85" s="135">
        <f t="shared" si="12"/>
        <v>0</v>
      </c>
      <c r="M85" s="135">
        <f t="shared" si="13"/>
        <v>0</v>
      </c>
      <c r="N85" s="135">
        <f t="shared" si="14"/>
        <v>0</v>
      </c>
    </row>
    <row r="86" spans="1:14">
      <c r="A86" s="449">
        <f>MAX($A$11:A85)+1</f>
        <v>76</v>
      </c>
      <c r="B86" s="770" t="s">
        <v>915</v>
      </c>
      <c r="C86" s="769" t="s">
        <v>916</v>
      </c>
      <c r="D86" s="135">
        <f>'Operating Report'!F116</f>
        <v>97331.09</v>
      </c>
      <c r="E86" s="135"/>
      <c r="F86" s="135"/>
      <c r="G86" s="135"/>
      <c r="H86" s="135"/>
      <c r="I86" s="135"/>
      <c r="J86" s="135"/>
      <c r="K86" s="135"/>
      <c r="L86" s="135">
        <f t="shared" si="12"/>
        <v>97331.09</v>
      </c>
      <c r="M86" s="135">
        <f t="shared" si="13"/>
        <v>172.94598180250114</v>
      </c>
      <c r="N86" s="135">
        <f t="shared" si="14"/>
        <v>173.25328661765971</v>
      </c>
    </row>
    <row r="87" spans="1:14">
      <c r="A87" s="449">
        <f>MAX($A$11:A86)+1</f>
        <v>77</v>
      </c>
      <c r="B87" s="770" t="s">
        <v>917</v>
      </c>
      <c r="C87" s="769" t="s">
        <v>918</v>
      </c>
      <c r="D87" s="135">
        <f>'Operating Report'!F117</f>
        <v>1998980.68</v>
      </c>
      <c r="E87" s="135">
        <v>-237259.13000000053</v>
      </c>
      <c r="F87" s="135"/>
      <c r="G87" s="135"/>
      <c r="H87" s="135"/>
      <c r="I87" s="135"/>
      <c r="J87" s="135"/>
      <c r="K87" s="135"/>
      <c r="L87" s="135">
        <f t="shared" si="12"/>
        <v>1761721.5499999993</v>
      </c>
      <c r="M87" s="135">
        <f t="shared" si="13"/>
        <v>3130.3734821769076</v>
      </c>
      <c r="N87" s="135">
        <f t="shared" si="14"/>
        <v>3135.9357903282248</v>
      </c>
    </row>
    <row r="88" spans="1:14">
      <c r="A88" s="449">
        <f>MAX($A$11:A87)+1</f>
        <v>78</v>
      </c>
      <c r="B88" s="770" t="s">
        <v>919</v>
      </c>
      <c r="C88" s="769" t="s">
        <v>920</v>
      </c>
      <c r="D88" s="135">
        <f>'Operating Report'!F118</f>
        <v>5353322.57</v>
      </c>
      <c r="E88" s="135">
        <v>-5227469.0799999824</v>
      </c>
      <c r="F88" s="135"/>
      <c r="G88" s="135"/>
      <c r="H88" s="135"/>
      <c r="I88" s="135"/>
      <c r="J88" s="135"/>
      <c r="K88" s="135"/>
      <c r="L88" s="135">
        <f t="shared" si="12"/>
        <v>125853.49000001792</v>
      </c>
      <c r="M88" s="135">
        <f t="shared" si="13"/>
        <v>223.62695610749205</v>
      </c>
      <c r="N88" s="135">
        <f t="shared" si="14"/>
        <v>224.02431509608979</v>
      </c>
    </row>
    <row r="89" spans="1:14">
      <c r="A89" s="449">
        <f>MAX($A$11:A88)+1</f>
        <v>79</v>
      </c>
      <c r="B89" s="770" t="s">
        <v>921</v>
      </c>
      <c r="C89" s="769" t="s">
        <v>922</v>
      </c>
      <c r="D89" s="135">
        <f>'Operating Report'!F119</f>
        <v>0</v>
      </c>
      <c r="E89" s="135"/>
      <c r="F89" s="135"/>
      <c r="G89" s="135"/>
      <c r="H89" s="135"/>
      <c r="I89" s="135"/>
      <c r="J89" s="135"/>
      <c r="K89" s="135"/>
      <c r="L89" s="135">
        <f t="shared" si="12"/>
        <v>0</v>
      </c>
      <c r="M89" s="135">
        <f t="shared" si="13"/>
        <v>0</v>
      </c>
      <c r="N89" s="135">
        <f t="shared" si="14"/>
        <v>0</v>
      </c>
    </row>
    <row r="90" spans="1:14">
      <c r="A90" s="449">
        <f>MAX($A$11:A89)+1</f>
        <v>80</v>
      </c>
      <c r="B90" s="770" t="s">
        <v>923</v>
      </c>
      <c r="C90" s="769" t="s">
        <v>924</v>
      </c>
      <c r="D90" s="135">
        <f>'Operating Report'!F120</f>
        <v>36573.93</v>
      </c>
      <c r="E90" s="135"/>
      <c r="F90" s="135"/>
      <c r="G90" s="135">
        <f>'Operating Report'!L120</f>
        <v>-36573.89</v>
      </c>
      <c r="H90" s="135"/>
      <c r="I90" s="135"/>
      <c r="J90" s="135"/>
      <c r="K90" s="135"/>
      <c r="L90" s="135">
        <f t="shared" si="12"/>
        <v>4.0000000000873115E-2</v>
      </c>
      <c r="M90" s="135">
        <f t="shared" si="13"/>
        <v>7.107532929355921E-5</v>
      </c>
      <c r="N90" s="135">
        <f t="shared" si="14"/>
        <v>7.1201621854411157E-5</v>
      </c>
    </row>
    <row r="91" spans="1:14">
      <c r="A91" s="449">
        <f>MAX($A$11:A90)+1</f>
        <v>81</v>
      </c>
      <c r="B91" s="770" t="s">
        <v>925</v>
      </c>
      <c r="C91" s="769" t="s">
        <v>926</v>
      </c>
      <c r="D91" s="135">
        <f>'Operating Report'!F121</f>
        <v>512871.74</v>
      </c>
      <c r="E91" s="135"/>
      <c r="F91" s="135">
        <f>'Operating Report'!O121</f>
        <v>-160480.375</v>
      </c>
      <c r="G91" s="135"/>
      <c r="H91" s="135"/>
      <c r="I91" s="135"/>
      <c r="J91" s="135"/>
      <c r="K91" s="135"/>
      <c r="L91" s="135">
        <f t="shared" si="12"/>
        <v>352391.36499999999</v>
      </c>
      <c r="M91" s="135">
        <f t="shared" si="13"/>
        <v>626.15830767587761</v>
      </c>
      <c r="N91" s="135">
        <f t="shared" si="14"/>
        <v>627.27091787355232</v>
      </c>
    </row>
    <row r="92" spans="1:14">
      <c r="A92" s="449">
        <f>MAX($A$11:A91)+1</f>
        <v>82</v>
      </c>
      <c r="B92" s="770" t="s">
        <v>927</v>
      </c>
      <c r="C92" s="769" t="s">
        <v>855</v>
      </c>
      <c r="D92" s="135">
        <f>'Operating Report'!F122</f>
        <v>1611424.68</v>
      </c>
      <c r="E92" s="135"/>
      <c r="F92" s="135"/>
      <c r="G92" s="135"/>
      <c r="H92" s="135"/>
      <c r="I92" s="135"/>
      <c r="J92" s="135"/>
      <c r="K92" s="135"/>
      <c r="L92" s="135">
        <f t="shared" si="12"/>
        <v>1611424.68</v>
      </c>
      <c r="M92" s="135">
        <f t="shared" si="13"/>
        <v>2863.3134940067066</v>
      </c>
      <c r="N92" s="135">
        <f t="shared" si="14"/>
        <v>2868.401267743026</v>
      </c>
    </row>
    <row r="93" spans="1:14">
      <c r="A93" s="449">
        <f>MAX($A$11:A92)+1</f>
        <v>83</v>
      </c>
      <c r="B93" s="772">
        <v>935</v>
      </c>
      <c r="C93" s="769" t="s">
        <v>928</v>
      </c>
      <c r="D93" s="135">
        <f>'Operating Report'!F123</f>
        <v>91713.5</v>
      </c>
      <c r="E93" s="655">
        <v>-497.51</v>
      </c>
      <c r="F93" s="655"/>
      <c r="G93" s="655"/>
      <c r="H93" s="655"/>
      <c r="I93" s="655"/>
      <c r="J93" s="655"/>
      <c r="K93" s="655"/>
      <c r="L93" s="655">
        <f t="shared" si="12"/>
        <v>91215.99</v>
      </c>
      <c r="M93" s="655">
        <f t="shared" si="13"/>
        <v>162.08016314866225</v>
      </c>
      <c r="N93" s="655">
        <f t="shared" si="14"/>
        <v>162.3681606728496</v>
      </c>
    </row>
    <row r="94" spans="1:14">
      <c r="A94" s="449">
        <f>MAX($A$11:A93)+1</f>
        <v>84</v>
      </c>
      <c r="B94" s="767"/>
      <c r="C94" s="767"/>
      <c r="D94" s="774">
        <f>SUM(D83:D93)</f>
        <v>23529877.749999996</v>
      </c>
      <c r="E94" s="774">
        <f>SUM(E83:E93)</f>
        <v>-14867130.579999981</v>
      </c>
      <c r="F94" s="774">
        <f>SUM(F83:F93)</f>
        <v>-160480.375</v>
      </c>
      <c r="G94" s="774">
        <f t="shared" ref="G94:N94" si="15">SUM(G83:G93)</f>
        <v>-36573.89</v>
      </c>
      <c r="H94" s="774">
        <f t="shared" si="15"/>
        <v>0</v>
      </c>
      <c r="I94" s="774">
        <f t="shared" si="15"/>
        <v>-1250376.3799999999</v>
      </c>
      <c r="J94" s="774">
        <f t="shared" si="15"/>
        <v>0</v>
      </c>
      <c r="K94" s="774">
        <f t="shared" si="15"/>
        <v>0</v>
      </c>
      <c r="L94" s="774">
        <f t="shared" si="15"/>
        <v>7215316.5250000171</v>
      </c>
      <c r="M94" s="774">
        <f t="shared" si="15"/>
        <v>12820.77494901104</v>
      </c>
      <c r="N94" s="774">
        <f t="shared" si="15"/>
        <v>12843.555969043033</v>
      </c>
    </row>
    <row r="95" spans="1:14">
      <c r="A95" s="449">
        <f>MAX($A$11:A94)+1</f>
        <v>85</v>
      </c>
      <c r="B95" s="770" t="s">
        <v>929</v>
      </c>
      <c r="C95" s="769" t="s">
        <v>930</v>
      </c>
      <c r="D95" s="135">
        <f>'Operating Report'!F125</f>
        <v>0</v>
      </c>
      <c r="E95" s="655"/>
      <c r="F95" s="135"/>
      <c r="G95" s="135"/>
      <c r="H95" s="135"/>
      <c r="I95" s="135"/>
      <c r="J95" s="135"/>
      <c r="K95" s="135"/>
      <c r="L95" s="135"/>
      <c r="M95" s="135"/>
      <c r="N95" s="135"/>
    </row>
    <row r="96" spans="1:14">
      <c r="A96" s="449">
        <f>MAX($A$11:A95)+1</f>
        <v>86</v>
      </c>
      <c r="B96" s="766" t="s">
        <v>931</v>
      </c>
      <c r="C96" s="767"/>
      <c r="D96" s="518">
        <f>D94+D95</f>
        <v>23529877.749999996</v>
      </c>
      <c r="E96" s="518">
        <f>E94+E95</f>
        <v>-14867130.579999981</v>
      </c>
      <c r="F96" s="518">
        <f>F94+F95</f>
        <v>-160480.375</v>
      </c>
      <c r="G96" s="518">
        <f t="shared" ref="G96:N96" si="16">G94+G95</f>
        <v>-36573.89</v>
      </c>
      <c r="H96" s="518">
        <f t="shared" si="16"/>
        <v>0</v>
      </c>
      <c r="I96" s="518">
        <f t="shared" si="16"/>
        <v>-1250376.3799999999</v>
      </c>
      <c r="J96" s="518">
        <f t="shared" si="16"/>
        <v>0</v>
      </c>
      <c r="K96" s="518">
        <f t="shared" si="16"/>
        <v>0</v>
      </c>
      <c r="L96" s="518">
        <f t="shared" si="16"/>
        <v>7215316.5250000171</v>
      </c>
      <c r="M96" s="518">
        <f t="shared" si="16"/>
        <v>12820.77494901104</v>
      </c>
      <c r="N96" s="518">
        <f t="shared" si="16"/>
        <v>12843.555969043033</v>
      </c>
    </row>
    <row r="97" spans="1:14">
      <c r="A97" s="449">
        <f>MAX($A$11:A96)+1</f>
        <v>87</v>
      </c>
      <c r="B97" s="767"/>
      <c r="C97" s="767"/>
      <c r="D97" s="135"/>
      <c r="E97" s="135"/>
      <c r="F97" s="135"/>
      <c r="G97" s="135"/>
      <c r="H97" s="135"/>
      <c r="I97" s="135"/>
      <c r="J97" s="135"/>
      <c r="K97" s="135"/>
      <c r="L97" s="135"/>
      <c r="M97" s="135"/>
      <c r="N97" s="135"/>
    </row>
    <row r="98" spans="1:14" ht="15.75" thickBot="1">
      <c r="A98" s="449">
        <f>MAX($A$11:A97)+1</f>
        <v>88</v>
      </c>
      <c r="B98" s="1400" t="s">
        <v>932</v>
      </c>
      <c r="C98" s="1400"/>
      <c r="D98" s="775">
        <f>D58+D66+D73+D80+D96+D28</f>
        <v>62893666.960000008</v>
      </c>
      <c r="E98" s="775">
        <f>E58+E66+E73+E80+E96+E28</f>
        <v>-35064959.869999982</v>
      </c>
      <c r="F98" s="775">
        <f>F58+F66+F73+F80+F96+F28</f>
        <v>-160480.375</v>
      </c>
      <c r="G98" s="775">
        <f t="shared" ref="G98:M98" si="17">G58+G66+G73+G80+G96+G28</f>
        <v>-36573.89</v>
      </c>
      <c r="H98" s="775">
        <f t="shared" si="17"/>
        <v>-2527969.04</v>
      </c>
      <c r="I98" s="775">
        <f>I58+I66+I73+I80+I96+I28</f>
        <v>-1250376.3799999999</v>
      </c>
      <c r="J98" s="775">
        <f t="shared" si="17"/>
        <v>-1342706.2349999999</v>
      </c>
      <c r="K98" s="775">
        <f t="shared" si="17"/>
        <v>-8150919.2300000004</v>
      </c>
      <c r="L98" s="775">
        <f t="shared" si="17"/>
        <v>14359681.940000014</v>
      </c>
      <c r="M98" s="775">
        <f t="shared" si="17"/>
        <v>25515.478060349957</v>
      </c>
      <c r="N98" s="775">
        <f>N58+N66+N73+N80+N96+N28</f>
        <v>25560.816085479517</v>
      </c>
    </row>
    <row r="99" spans="1:14" ht="15.75" thickTop="1"/>
    <row r="100" spans="1:14">
      <c r="L100" s="53" t="s">
        <v>4141</v>
      </c>
      <c r="M100" s="1265">
        <f>+'O&amp;M Adj'!M98</f>
        <v>218393.82386775711</v>
      </c>
      <c r="N100" s="1265">
        <f>+'O&amp;M Adj'!N98</f>
        <v>221715.33631509906</v>
      </c>
    </row>
    <row r="102" spans="1:14">
      <c r="L102" s="53" t="s">
        <v>179</v>
      </c>
      <c r="M102" s="1265">
        <f>+M98-M100</f>
        <v>-192878.34580740714</v>
      </c>
      <c r="N102" s="1265">
        <f>+N98-N100</f>
        <v>-196154.52022961955</v>
      </c>
    </row>
  </sheetData>
  <mergeCells count="1">
    <mergeCell ref="B98:C98"/>
  </mergeCells>
  <pageMargins left="0.7" right="0.7" top="0.75" bottom="0.75" header="0.3" footer="0.3"/>
  <pageSetup scale="45" orientation="landscape" r:id="rId1"/>
  <headerFooter>
    <oddHeader>&amp;RPage  &amp;P of &amp;N</oddHeader>
    <oddFooter>&amp;LElectronic Tab Name: &amp;A</oddFooter>
  </headerFooter>
  <rowBreaks count="1" manualBreakCount="1">
    <brk id="44" max="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B8DA041E6AD244B4287ED7B15DC401" ma:contentTypeVersion="16" ma:contentTypeDescription="" ma:contentTypeScope="" ma:versionID="8171100b090f68821dc0f9c719881fb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2024-09-25T07:00:00+00:00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240008</DocketNumber>
    <DelegatedOrder xmlns="dc463f71-b30c-4ab2-9473-d307f9d35888">false</DelegatedOrder>
  </documentManagement>
</p:properties>
</file>

<file path=customXml/itemProps1.xml><?xml version="1.0" encoding="utf-8"?>
<ds:datastoreItem xmlns:ds="http://schemas.openxmlformats.org/officeDocument/2006/customXml" ds:itemID="{80FACFCA-4452-4C23-9312-28636FEAEAAF}"/>
</file>

<file path=customXml/itemProps2.xml><?xml version="1.0" encoding="utf-8"?>
<ds:datastoreItem xmlns:ds="http://schemas.openxmlformats.org/officeDocument/2006/customXml" ds:itemID="{B2987DD2-ECD2-4DC5-B6E5-06311F197FF6}">
  <ds:schemaRefs>
    <ds:schemaRef ds:uri="http://schemas.microsoft.com/sharepoint/v3/contenttype/forms"/>
  </ds:schemaRefs>
</ds:datastoreItem>
</file>

<file path=customXml/itemProps3.xml><?xml version="1.0" encoding="utf-8"?>
<ds:datastoreItem xmlns:ds="http://schemas.openxmlformats.org/officeDocument/2006/customXml" ds:itemID="{5C05A51F-CF40-4DB4-958A-E979AF62D91B}">
  <ds:schemaRefs>
    <ds:schemaRef ds:uri="Microsoft.SharePoint.Taxonomy.ContentTypeSync"/>
  </ds:schemaRefs>
</ds:datastoreItem>
</file>

<file path=customXml/itemProps4.xml><?xml version="1.0" encoding="utf-8"?>
<ds:datastoreItem xmlns:ds="http://schemas.openxmlformats.org/officeDocument/2006/customXml" ds:itemID="{B49482A7-848A-47BC-87B9-85411ECE13E3}">
  <ds:schemaRefs>
    <ds:schemaRef ds:uri="http://schemas.microsoft.com/office/2006/documentManagement/types"/>
    <ds:schemaRef ds:uri="http://schemas.microsoft.com/office/infopath/2007/PartnerControls"/>
    <ds:schemaRef ds:uri="d5cc8d43-1cbe-4f92-bb7a-9353782eab5b"/>
    <ds:schemaRef ds:uri="http://purl.org/dc/elements/1.1/"/>
    <ds:schemaRef ds:uri="http://schemas.microsoft.com/office/2006/metadata/properties"/>
    <ds:schemaRef ds:uri="http://purl.org/dc/terms/"/>
    <ds:schemaRef ds:uri="http://schemas.openxmlformats.org/package/2006/metadata/core-properties"/>
    <ds:schemaRef ds:uri="3eb5731f-fd80-43b3-8241-3c206fd1768d"/>
    <ds:schemaRef ds:uri="http://www.w3.org/XML/1998/namespace"/>
    <ds:schemaRef ds:uri="http://purl.org/dc/dcmitype/"/>
    <ds:schemaRef ds:uri="dc463f71-b30c-4ab2-9473-d307f9d3588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77</vt:i4>
      </vt:variant>
    </vt:vector>
  </HeadingPairs>
  <TitlesOfParts>
    <vt:vector size="162" baseType="lpstr">
      <vt:lpstr>Table 1</vt:lpstr>
      <vt:lpstr>Table 2</vt:lpstr>
      <vt:lpstr>Table 7</vt:lpstr>
      <vt:lpstr>Table 8</vt:lpstr>
      <vt:lpstr>Figure 4</vt:lpstr>
      <vt:lpstr>Exh. BGM-3 (Summary)</vt:lpstr>
      <vt:lpstr>Exh. BGM-3 (Detail)</vt:lpstr>
      <vt:lpstr>Wage Adjustments (AWEC)</vt:lpstr>
      <vt:lpstr>O&amp;M Adj (AWEC)</vt:lpstr>
      <vt:lpstr>D&amp;O Adjustment (AWEC)</vt:lpstr>
      <vt:lpstr>Rate Case Expense Adj (AWEC)</vt:lpstr>
      <vt:lpstr>Provisional Plant Add (AccDepr)</vt:lpstr>
      <vt:lpstr>Provisional Plant Add (RunRate)</vt:lpstr>
      <vt:lpstr>24-25 Plant Additions (RunRate)</vt:lpstr>
      <vt:lpstr>Provisional Plant Add (Discr.)</vt:lpstr>
      <vt:lpstr>24-25 Plant Additions (Descr.)</vt:lpstr>
      <vt:lpstr>Provisional Plant Add (RNG)</vt:lpstr>
      <vt:lpstr>24-25 Plant Additions (RNG)</vt:lpstr>
      <vt:lpstr>Provisional Plant Adds (AWEC1)</vt:lpstr>
      <vt:lpstr>Model as filed-&gt;</vt:lpstr>
      <vt:lpstr>Cover</vt:lpstr>
      <vt:lpstr>Title</vt:lpstr>
      <vt:lpstr>Summary Document</vt:lpstr>
      <vt:lpstr>Summary Document Support</vt:lpstr>
      <vt:lpstr>TY Revenues ---&gt;</vt:lpstr>
      <vt:lpstr>Exh JAD-2, TY Revenues</vt:lpstr>
      <vt:lpstr>Exh. JAD-2 WPs ---&gt;</vt:lpstr>
      <vt:lpstr>Index</vt:lpstr>
      <vt:lpstr>Monthly Billed Revenues</vt:lpstr>
      <vt:lpstr>Customer Counts</vt:lpstr>
      <vt:lpstr>Block Therms Support</vt:lpstr>
      <vt:lpstr>WEAF &amp; Decoupling Rev Adj</vt:lpstr>
      <vt:lpstr>Unbilled Revenue</vt:lpstr>
      <vt:lpstr>Deficiency Billing</vt:lpstr>
      <vt:lpstr>Rev Recon Summary</vt:lpstr>
      <vt:lpstr>EOP Calculations</vt:lpstr>
      <vt:lpstr>663 EOP Contract Demand</vt:lpstr>
      <vt:lpstr>Allocation Report 2023</vt:lpstr>
      <vt:lpstr>Weather Normalization</vt:lpstr>
      <vt:lpstr>Rev Req ---&gt;</vt:lpstr>
      <vt:lpstr>Exh JAD-3 ROO Summary</vt:lpstr>
      <vt:lpstr>Exh JAD-4 MYRP Summary</vt:lpstr>
      <vt:lpstr>Exh JAD-5, Rev Req Calc</vt:lpstr>
      <vt:lpstr>Exh JAD-6, Conversion Factor</vt:lpstr>
      <vt:lpstr>Exh JAD-7, Summary of Adj</vt:lpstr>
      <vt:lpstr>Exh JAD-8, State Allocators</vt:lpstr>
      <vt:lpstr>RR WPs ---&gt;</vt:lpstr>
      <vt:lpstr>JAD WP Index</vt:lpstr>
      <vt:lpstr>Operating Report</vt:lpstr>
      <vt:lpstr>Rate Base</vt:lpstr>
      <vt:lpstr>WACC Calculation</vt:lpstr>
      <vt:lpstr>Suppl Sch Adj</vt:lpstr>
      <vt:lpstr>Normalize Rev Adj</vt:lpstr>
      <vt:lpstr>EOP Rev Adj</vt:lpstr>
      <vt:lpstr>EOP Depn Exp Adj</vt:lpstr>
      <vt:lpstr>Annualized CRM</vt:lpstr>
      <vt:lpstr>Advertising Adj</vt:lpstr>
      <vt:lpstr>Wage Adjustments</vt:lpstr>
      <vt:lpstr>Incentives Adj</vt:lpstr>
      <vt:lpstr>D&amp;O Adjustment</vt:lpstr>
      <vt:lpstr>COVID-19 Offsets</vt:lpstr>
      <vt:lpstr>CCA Deferral</vt:lpstr>
      <vt:lpstr>Commission Fees</vt:lpstr>
      <vt:lpstr>Interest Sync Adj</vt:lpstr>
      <vt:lpstr>MAOP Deferral</vt:lpstr>
      <vt:lpstr>Rate Case Expense Adjustment</vt:lpstr>
      <vt:lpstr>Medical Expense Adjustment</vt:lpstr>
      <vt:lpstr>Property Tax Increase</vt:lpstr>
      <vt:lpstr>Pension Adjustment</vt:lpstr>
      <vt:lpstr>Tax Flow-Through</vt:lpstr>
      <vt:lpstr>O&amp;M Adj</vt:lpstr>
      <vt:lpstr>401K Expense Adjustment</vt:lpstr>
      <vt:lpstr>Decarb Adjustment</vt:lpstr>
      <vt:lpstr>Plt-Accum Depn</vt:lpstr>
      <vt:lpstr>Provisional Plant Additions</vt:lpstr>
      <vt:lpstr>24-25 Plant Additions</vt:lpstr>
      <vt:lpstr>24-25 Cost of Removal</vt:lpstr>
      <vt:lpstr>CAC-Def Tax</vt:lpstr>
      <vt:lpstr>24-25 ADIT</vt:lpstr>
      <vt:lpstr>Working Capital (AMA)</vt:lpstr>
      <vt:lpstr>COS Inputs ---&gt;</vt:lpstr>
      <vt:lpstr>COS Transfer File</vt:lpstr>
      <vt:lpstr>Therms and Customers</vt:lpstr>
      <vt:lpstr>A-RR Cross-Reference </vt:lpstr>
      <vt:lpstr>D-Summary of Adjustments</vt:lpstr>
      <vt:lpstr>Company</vt:lpstr>
      <vt:lpstr>'24-25 ADIT'!Print_Area</vt:lpstr>
      <vt:lpstr>'24-25 Plant Additions'!Print_Area</vt:lpstr>
      <vt:lpstr>'24-25 Plant Additions (Descr.)'!Print_Area</vt:lpstr>
      <vt:lpstr>'24-25 Plant Additions (RNG)'!Print_Area</vt:lpstr>
      <vt:lpstr>'24-25 Plant Additions (RunRate)'!Print_Area</vt:lpstr>
      <vt:lpstr>'Advertising Adj'!Print_Area</vt:lpstr>
      <vt:lpstr>'Allocation Report 2023'!Print_Area</vt:lpstr>
      <vt:lpstr>'Annualized CRM'!Print_Area</vt:lpstr>
      <vt:lpstr>'Deficiency Billing'!Print_Area</vt:lpstr>
      <vt:lpstr>'EOP Depn Exp Adj'!Print_Area</vt:lpstr>
      <vt:lpstr>'EOP Rev Adj'!Print_Area</vt:lpstr>
      <vt:lpstr>'Exh JAD-2, TY Revenues'!Print_Area</vt:lpstr>
      <vt:lpstr>'Exh JAD-3 ROO Summary'!Print_Area</vt:lpstr>
      <vt:lpstr>'Exh JAD-4 MYRP Summary'!Print_Area</vt:lpstr>
      <vt:lpstr>'Exh JAD-5, Rev Req Calc'!Print_Area</vt:lpstr>
      <vt:lpstr>'Exh JAD-6, Conversion Factor'!Print_Area</vt:lpstr>
      <vt:lpstr>'Exh JAD-7, Summary of Adj'!Print_Area</vt:lpstr>
      <vt:lpstr>'Exh JAD-8, State Allocators'!Print_Area</vt:lpstr>
      <vt:lpstr>'Exh. BGM-3 (Detail)'!Print_Area</vt:lpstr>
      <vt:lpstr>'Exh. BGM-3 (Summary)'!Print_Area</vt:lpstr>
      <vt:lpstr>'Incentives Adj'!Print_Area</vt:lpstr>
      <vt:lpstr>Index!Print_Area</vt:lpstr>
      <vt:lpstr>'MAOP Deferral'!Print_Area</vt:lpstr>
      <vt:lpstr>'Normalize Rev Adj'!Print_Area</vt:lpstr>
      <vt:lpstr>'O&amp;M Adj'!Print_Area</vt:lpstr>
      <vt:lpstr>'O&amp;M Adj (AWEC)'!Print_Area</vt:lpstr>
      <vt:lpstr>'Pension Adjustment'!Print_Area</vt:lpstr>
      <vt:lpstr>'Plt-Accum Depn'!Print_Area</vt:lpstr>
      <vt:lpstr>'Property Tax Increase'!Print_Area</vt:lpstr>
      <vt:lpstr>'Provisional Plant Add (AccDepr)'!Print_Area</vt:lpstr>
      <vt:lpstr>'Provisional Plant Add (Discr.)'!Print_Area</vt:lpstr>
      <vt:lpstr>'Provisional Plant Add (RNG)'!Print_Area</vt:lpstr>
      <vt:lpstr>'Provisional Plant Add (RunRate)'!Print_Area</vt:lpstr>
      <vt:lpstr>'Provisional Plant Additions'!Print_Area</vt:lpstr>
      <vt:lpstr>'Provisional Plant Adds (AWEC1)'!Print_Area</vt:lpstr>
      <vt:lpstr>'Rate Base'!Print_Area</vt:lpstr>
      <vt:lpstr>'Suppl Sch Adj'!Print_Area</vt:lpstr>
      <vt:lpstr>'Therms and Customers'!Print_Area</vt:lpstr>
      <vt:lpstr>Title!Print_Area</vt:lpstr>
      <vt:lpstr>'Unbilled Revenue'!Print_Area</vt:lpstr>
      <vt:lpstr>'WACC Calculation'!Print_Area</vt:lpstr>
      <vt:lpstr>'Wage Adjustments'!Print_Area</vt:lpstr>
      <vt:lpstr>'Wage Adjustments (AWEC)'!Print_Area</vt:lpstr>
      <vt:lpstr>'Working Capital (AMA)'!Print_Area</vt:lpstr>
      <vt:lpstr>'24-25 Cost of Removal'!Print_Titles</vt:lpstr>
      <vt:lpstr>'24-25 Plant Additions'!Print_Titles</vt:lpstr>
      <vt:lpstr>'24-25 Plant Additions (Descr.)'!Print_Titles</vt:lpstr>
      <vt:lpstr>'24-25 Plant Additions (RNG)'!Print_Titles</vt:lpstr>
      <vt:lpstr>'24-25 Plant Additions (RunRate)'!Print_Titles</vt:lpstr>
      <vt:lpstr>'663 EOP Contract Demand'!Print_Titles</vt:lpstr>
      <vt:lpstr>'Advertising Adj'!Print_Titles</vt:lpstr>
      <vt:lpstr>'Block Therms Support'!Print_Titles</vt:lpstr>
      <vt:lpstr>'CAC-Def Tax'!Print_Titles</vt:lpstr>
      <vt:lpstr>'COS Transfer File'!Print_Titles</vt:lpstr>
      <vt:lpstr>'EOP Calculations'!Print_Titles</vt:lpstr>
      <vt:lpstr>'Exh JAD-2, TY Revenues'!Print_Titles</vt:lpstr>
      <vt:lpstr>'Exh JAD-4 MYRP Summary'!Print_Titles</vt:lpstr>
      <vt:lpstr>'Exh JAD-7, Summary of Adj'!Print_Titles</vt:lpstr>
      <vt:lpstr>'Exh JAD-8, State Allocators'!Print_Titles</vt:lpstr>
      <vt:lpstr>'Exh. BGM-3 (Detail)'!Print_Titles</vt:lpstr>
      <vt:lpstr>'Exh. BGM-3 (Summary)'!Print_Titles</vt:lpstr>
      <vt:lpstr>'Incentives Adj'!Print_Titles</vt:lpstr>
      <vt:lpstr>'Monthly Billed Revenues'!Print_Titles</vt:lpstr>
      <vt:lpstr>'O&amp;M Adj'!Print_Titles</vt:lpstr>
      <vt:lpstr>'O&amp;M Adj (AWEC)'!Print_Titles</vt:lpstr>
      <vt:lpstr>'Operating Report'!Print_Titles</vt:lpstr>
      <vt:lpstr>'Plt-Accum Depn'!Print_Titles</vt:lpstr>
      <vt:lpstr>'Rev Recon Summary'!Print_Titles</vt:lpstr>
      <vt:lpstr>'Suppl Sch Adj'!Print_Titles</vt:lpstr>
      <vt:lpstr>'Wage Adjustments'!Print_Titles</vt:lpstr>
      <vt:lpstr>'Wage Adjustments (AWEC)'!Print_Titles</vt:lpstr>
      <vt:lpstr>'Working Capital (AMA)'!Print_Titles</vt:lpstr>
      <vt:lpstr>Title1</vt:lpstr>
      <vt:lpstr>Title2</vt:lpstr>
      <vt:lpstr>Title3</vt:lpstr>
      <vt:lpstr>Title8</vt:lpstr>
    </vt:vector>
  </TitlesOfParts>
  <Manager/>
  <Company>MDU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Cascade Natural Gas</dc:creator>
  <cp:keywords/>
  <dc:description/>
  <cp:lastModifiedBy>Bradley Mullins</cp:lastModifiedBy>
  <cp:revision/>
  <cp:lastPrinted>2024-09-25T06:26:50Z</cp:lastPrinted>
  <dcterms:created xsi:type="dcterms:W3CDTF">2014-12-11T21:48:04Z</dcterms:created>
  <dcterms:modified xsi:type="dcterms:W3CDTF">2024-09-25T14:14:25Z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0x0101006E56B4D1795A2E4DB2F0B01679ED314A009EB8DA041E6AD244B4287ED7B15DC401</vt:lpwstr>
  </property>
  <property fmtid="{D5CDD505-2E9C-101B-9397-08002B2CF9AE}" pid="6" name="MediaServiceImageTags">
    <vt:lpwstr/>
  </property>
  <property fmtid="{D5CDD505-2E9C-101B-9397-08002B2CF9AE}" pid="7" name="_docset_NoMedatataSyncRequired">
    <vt:lpwstr>False</vt:lpwstr>
  </property>
</Properties>
</file>